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5.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6.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defaultThemeVersion="166925"/>
  <mc:AlternateContent xmlns:mc="http://schemas.openxmlformats.org/markup-compatibility/2006">
    <mc:Choice Requires="x15">
      <x15ac:absPath xmlns:x15ac="http://schemas.microsoft.com/office/spreadsheetml/2010/11/ac" url="/Users/ceej/Dropbox/NESP Action Mapping/02 Write ups/02 Costings/03 Supplmentary Material/"/>
    </mc:Choice>
  </mc:AlternateContent>
  <xr:revisionPtr revIDLastSave="0" documentId="13_ncr:1_{6151DE21-F51D-4B45-A7EF-B3DC8419CBDD}" xr6:coauthVersionLast="47" xr6:coauthVersionMax="47" xr10:uidLastSave="{00000000-0000-0000-0000-000000000000}"/>
  <bookViews>
    <workbookView xWindow="8760" yWindow="500" windowWidth="25720" windowHeight="20160" xr2:uid="{00000000-000D-0000-FFFF-FFFF00000000}"/>
  </bookViews>
  <sheets>
    <sheet name="Overall Assumptions" sheetId="71" r:id="rId1"/>
    <sheet name="Biosecurity" sheetId="51" r:id="rId2"/>
    <sheet name="GIS - Biosecurity" sheetId="86" r:id="rId3"/>
    <sheet name="Critical Sites Access" sheetId="152" r:id="rId4"/>
    <sheet name="GIS - Critical Sites Access" sheetId="153" r:id="rId5"/>
    <sheet name="Disease management (General)" sheetId="26" r:id="rId6"/>
    <sheet name="GIS - Disease Management (Gen)" sheetId="73" r:id="rId7"/>
    <sheet name="Disease (Phytophthora)" sheetId="169" r:id="rId8"/>
    <sheet name="GIS - Disease Phytophthora" sheetId="170" r:id="rId9"/>
    <sheet name="Ecological Fire Regimes" sheetId="99" r:id="rId10"/>
    <sheet name="GIS - Ecological Fire Regimes" sheetId="100" r:id="rId11"/>
    <sheet name="Forestry Management" sheetId="171" r:id="rId12"/>
    <sheet name="GIS - Forestry Management" sheetId="172" r:id="rId13"/>
    <sheet name="Grazing Management" sheetId="84" r:id="rId14"/>
    <sheet name="GIS - Grazing Management" sheetId="98" r:id="rId15"/>
    <sheet name="Habitat Restoration" sheetId="76" r:id="rId16"/>
    <sheet name="GIS - Habitat Mgmt+Restoration" sheetId="78" r:id="rId17"/>
    <sheet name="Hydrology Management" sheetId="179" r:id="rId18"/>
    <sheet name="GIS - Hydrology Management" sheetId="180" r:id="rId19"/>
    <sheet name="Invasive Fish Mgmt" sheetId="81" r:id="rId20"/>
    <sheet name="GIS - Invasive Fish Mgmt" sheetId="87" r:id="rId21"/>
    <sheet name="Invasive Large Herbivore" sheetId="12" r:id="rId22"/>
    <sheet name="GIS - Invasive Large Herbivores" sheetId="72" r:id="rId23"/>
    <sheet name="Invasive Predators" sheetId="70" r:id="rId24"/>
    <sheet name="GIS - Invasive Predators" sheetId="69" r:id="rId25"/>
    <sheet name="Invasive Rabbit Management" sheetId="107" r:id="rId26"/>
    <sheet name="GIS - Rabbit Management" sheetId="108" r:id="rId27"/>
    <sheet name="Invasive Weed Management" sheetId="14" r:id="rId28"/>
    <sheet name="GIS - Invasive Weed Mgt_New" sheetId="189" r:id="rId29"/>
    <sheet name="Invasive Problematic Birds" sheetId="96" r:id="rId30"/>
    <sheet name="GIS - Invasive Birds" sheetId="95" r:id="rId31"/>
    <sheet name="Map and Protect" sheetId="165" r:id="rId32"/>
    <sheet name="GIS - Map and Protect" sheetId="166" r:id="rId33"/>
    <sheet name="Native Herbivore Management" sheetId="150" r:id="rId34"/>
    <sheet name="GIS - Native Herbivore Mgmt" sheetId="151" r:id="rId35"/>
    <sheet name="Policy and Education" sheetId="163" r:id="rId36"/>
    <sheet name="GIS - Policy and Education" sheetId="164" r:id="rId37"/>
  </sheets>
  <definedNames>
    <definedName name="_GoBack" localSheetId="7">'Disease (Phytophthora)'!$K$240</definedName>
    <definedName name="_GoBack" localSheetId="5">'Disease management (General)'!#REF!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97" i="71" l="1"/>
  <c r="R98" i="71"/>
  <c r="T98" i="71" s="1"/>
  <c r="R99" i="71"/>
  <c r="I102" i="71"/>
  <c r="I100" i="71"/>
  <c r="I101" i="71"/>
  <c r="E347" i="150"/>
  <c r="F346" i="150"/>
  <c r="G346" i="150"/>
  <c r="E346" i="150"/>
  <c r="K51" i="107"/>
  <c r="K52" i="107"/>
  <c r="K53" i="107"/>
  <c r="K54" i="107"/>
  <c r="K55" i="107"/>
  <c r="K56" i="107"/>
  <c r="K57" i="107"/>
  <c r="K39" i="107"/>
  <c r="K40" i="107"/>
  <c r="K41" i="107"/>
  <c r="K42" i="107"/>
  <c r="R104" i="71" l="1"/>
  <c r="L100" i="78"/>
  <c r="K100" i="78"/>
  <c r="J100" i="78"/>
  <c r="L99" i="78"/>
  <c r="K99" i="78"/>
  <c r="J99" i="78"/>
  <c r="L98" i="78"/>
  <c r="K98" i="78"/>
  <c r="J98" i="78"/>
  <c r="L97" i="78"/>
  <c r="K97" i="78"/>
  <c r="J97" i="78"/>
  <c r="L96" i="78"/>
  <c r="K96" i="78"/>
  <c r="J96" i="78"/>
  <c r="AD54" i="189"/>
  <c r="AE54" i="189"/>
  <c r="AC54" i="189"/>
  <c r="F842" i="99"/>
  <c r="F841" i="99"/>
  <c r="F839" i="99"/>
  <c r="D418" i="99"/>
  <c r="D35" i="152"/>
  <c r="D31" i="152"/>
  <c r="D410" i="152"/>
  <c r="D439" i="152"/>
  <c r="D411" i="152"/>
  <c r="AA15" i="165"/>
  <c r="AA15" i="81"/>
  <c r="AA15" i="99"/>
  <c r="AD12" i="99"/>
  <c r="AA15" i="14"/>
  <c r="AE48" i="189"/>
  <c r="AD48" i="189"/>
  <c r="AC48" i="189"/>
  <c r="J42" i="189"/>
  <c r="U42" i="189" s="1"/>
  <c r="L80" i="189"/>
  <c r="L81" i="189"/>
  <c r="L82" i="189"/>
  <c r="M81" i="189"/>
  <c r="N42" i="189" s="1"/>
  <c r="Y42" i="189" s="1"/>
  <c r="M82" i="189"/>
  <c r="O42" i="189" s="1"/>
  <c r="Z42" i="189" s="1"/>
  <c r="M80" i="189"/>
  <c r="M42" i="189" s="1"/>
  <c r="X42" i="189" s="1"/>
  <c r="K66" i="189"/>
  <c r="L66" i="189" s="1"/>
  <c r="L42" i="189" s="1"/>
  <c r="W42" i="189" s="1"/>
  <c r="H59" i="189"/>
  <c r="G59" i="189"/>
  <c r="F59" i="189"/>
  <c r="H55" i="189"/>
  <c r="G55" i="189"/>
  <c r="F55" i="189"/>
  <c r="D51" i="189"/>
  <c r="H49" i="189"/>
  <c r="G49" i="189"/>
  <c r="F49" i="189"/>
  <c r="S48" i="189"/>
  <c r="R48" i="189"/>
  <c r="Q48" i="189"/>
  <c r="AF47" i="189"/>
  <c r="AA47" i="189"/>
  <c r="T47" i="189"/>
  <c r="AP46" i="189"/>
  <c r="AE46" i="189"/>
  <c r="AD46" i="189"/>
  <c r="AC46" i="189"/>
  <c r="S46" i="189"/>
  <c r="R46" i="189"/>
  <c r="Q46" i="189"/>
  <c r="H45" i="189"/>
  <c r="G45" i="189"/>
  <c r="F45" i="189"/>
  <c r="U38" i="189"/>
  <c r="Q38" i="189"/>
  <c r="AG50" i="100"/>
  <c r="AB50" i="100"/>
  <c r="C195" i="71"/>
  <c r="D196" i="71"/>
  <c r="D197" i="71"/>
  <c r="D198" i="71"/>
  <c r="D195" i="71"/>
  <c r="D194" i="71"/>
  <c r="C198" i="71"/>
  <c r="I195" i="71"/>
  <c r="H195" i="71"/>
  <c r="H117" i="100"/>
  <c r="J52" i="100"/>
  <c r="H116" i="100"/>
  <c r="D521" i="99"/>
  <c r="N98" i="100"/>
  <c r="N97" i="100"/>
  <c r="N99" i="100"/>
  <c r="N100" i="100"/>
  <c r="N101" i="100"/>
  <c r="N102" i="100"/>
  <c r="N103" i="100"/>
  <c r="N96" i="100"/>
  <c r="S52" i="100"/>
  <c r="M308" i="14"/>
  <c r="M307" i="14"/>
  <c r="G308" i="14"/>
  <c r="G307" i="14"/>
  <c r="H307" i="14"/>
  <c r="I307" i="14"/>
  <c r="H306" i="14"/>
  <c r="I306" i="14"/>
  <c r="G306" i="14"/>
  <c r="E307" i="14"/>
  <c r="F307" i="14"/>
  <c r="D307" i="14"/>
  <c r="E306" i="14"/>
  <c r="F306" i="14"/>
  <c r="D306" i="14"/>
  <c r="E279" i="14"/>
  <c r="D279" i="14"/>
  <c r="D293" i="14"/>
  <c r="E293" i="14"/>
  <c r="AA16" i="14" l="1"/>
  <c r="AA12" i="14" s="1"/>
  <c r="AL42" i="189"/>
  <c r="AK42" i="189"/>
  <c r="AJ42" i="189"/>
  <c r="AI42" i="189"/>
  <c r="AG42" i="189"/>
  <c r="AG47" i="189" s="1"/>
  <c r="K42" i="189"/>
  <c r="Q51" i="189"/>
  <c r="R51" i="189"/>
  <c r="S51" i="189"/>
  <c r="K560" i="99"/>
  <c r="K559" i="99"/>
  <c r="K558" i="99"/>
  <c r="K553" i="99"/>
  <c r="K546" i="99"/>
  <c r="K547" i="99" s="1"/>
  <c r="J538" i="99"/>
  <c r="S110" i="100"/>
  <c r="I251" i="14"/>
  <c r="I250" i="14"/>
  <c r="I249" i="14"/>
  <c r="K246" i="14"/>
  <c r="U47" i="189" l="1"/>
  <c r="U51" i="189" s="1"/>
  <c r="AG54" i="189"/>
  <c r="AG51" i="189"/>
  <c r="V42" i="189"/>
  <c r="AH42" i="189"/>
  <c r="AH47" i="189" s="1"/>
  <c r="K554" i="99"/>
  <c r="I243" i="14"/>
  <c r="H243" i="14"/>
  <c r="H240" i="14"/>
  <c r="V47" i="189" l="1"/>
  <c r="V51" i="189" s="1"/>
  <c r="AH54" i="189"/>
  <c r="AH51" i="189"/>
  <c r="AI47" i="189"/>
  <c r="AI54" i="189" s="1"/>
  <c r="AJ47" i="189" l="1"/>
  <c r="AJ54" i="189" s="1"/>
  <c r="W47" i="189"/>
  <c r="W51" i="189" s="1"/>
  <c r="AI51" i="189"/>
  <c r="D49" i="170"/>
  <c r="AK47" i="189" l="1"/>
  <c r="AK54" i="189" s="1"/>
  <c r="X47" i="189"/>
  <c r="X51" i="189" s="1"/>
  <c r="AJ51" i="189"/>
  <c r="E142" i="153"/>
  <c r="F182" i="153"/>
  <c r="D182" i="153"/>
  <c r="E171" i="153"/>
  <c r="F171" i="153" s="1"/>
  <c r="G171" i="153" s="1"/>
  <c r="F170" i="153"/>
  <c r="G170" i="153" s="1"/>
  <c r="F169" i="153"/>
  <c r="G169" i="153" s="1"/>
  <c r="F168" i="153"/>
  <c r="G168" i="153" s="1"/>
  <c r="F166" i="153"/>
  <c r="G166" i="153" s="1"/>
  <c r="E165" i="153"/>
  <c r="F165" i="153" s="1"/>
  <c r="G165" i="153" s="1"/>
  <c r="F164" i="153"/>
  <c r="G164" i="153" s="1"/>
  <c r="G163" i="153"/>
  <c r="F163" i="153"/>
  <c r="G160" i="153"/>
  <c r="F160" i="153"/>
  <c r="E160" i="153"/>
  <c r="J151" i="153"/>
  <c r="I151" i="153"/>
  <c r="J150" i="153"/>
  <c r="I150" i="153"/>
  <c r="J149" i="153"/>
  <c r="I149" i="153"/>
  <c r="E145" i="153"/>
  <c r="E144" i="153"/>
  <c r="E143" i="153"/>
  <c r="E150" i="153" a="1"/>
  <c r="E150" i="153" s="1"/>
  <c r="D115" i="153" s="1"/>
  <c r="D134" i="153"/>
  <c r="D130" i="153"/>
  <c r="C129" i="153"/>
  <c r="C128" i="153"/>
  <c r="C127" i="153"/>
  <c r="D122" i="153"/>
  <c r="AL47" i="189" l="1"/>
  <c r="AL54" i="189" s="1"/>
  <c r="Y47" i="189"/>
  <c r="Y51" i="189" s="1"/>
  <c r="AK51" i="189"/>
  <c r="E167" i="153"/>
  <c r="E173" i="153" s="1"/>
  <c r="E176" i="153" s="1"/>
  <c r="D118" i="153" s="1"/>
  <c r="G167" i="153"/>
  <c r="G173" i="153" s="1"/>
  <c r="E178" i="153" s="1"/>
  <c r="D120" i="153" s="1"/>
  <c r="E149" i="153" a="1"/>
  <c r="E149" i="153" s="1"/>
  <c r="E151" i="153" a="1"/>
  <c r="E151" i="153" s="1"/>
  <c r="D116" i="153" s="1"/>
  <c r="F167" i="153"/>
  <c r="F173" i="153" s="1"/>
  <c r="E177" i="153" s="1"/>
  <c r="D119" i="153" s="1"/>
  <c r="D133" i="153" s="1"/>
  <c r="AL51" i="189" l="1"/>
  <c r="Z47" i="189"/>
  <c r="Z51" i="189" s="1"/>
  <c r="D114" i="153"/>
  <c r="D132" i="153" s="1"/>
  <c r="D135" i="153" s="1"/>
  <c r="I212" i="71" l="1"/>
  <c r="K72" i="81"/>
  <c r="K73" i="81"/>
  <c r="K71" i="81"/>
  <c r="J337" i="150"/>
  <c r="E336" i="150" s="1"/>
  <c r="I688" i="12"/>
  <c r="D687" i="12" s="1"/>
  <c r="G74" i="12"/>
  <c r="G78" i="12"/>
  <c r="G82" i="12"/>
  <c r="D759" i="12"/>
  <c r="E759" i="12"/>
  <c r="F759" i="12"/>
  <c r="G759" i="12"/>
  <c r="H759" i="12"/>
  <c r="I759" i="12"/>
  <c r="J759" i="12"/>
  <c r="K759" i="12"/>
  <c r="D760" i="12"/>
  <c r="G760" i="12"/>
  <c r="D761" i="12"/>
  <c r="D762" i="12"/>
  <c r="G762" i="12"/>
  <c r="V61" i="81"/>
  <c r="V60" i="81"/>
  <c r="AC62" i="81"/>
  <c r="AC50" i="81"/>
  <c r="V49" i="81"/>
  <c r="V48" i="81"/>
  <c r="V52" i="81"/>
  <c r="V53" i="81"/>
  <c r="I59" i="81"/>
  <c r="I60" i="81"/>
  <c r="I61" i="81"/>
  <c r="I47" i="81"/>
  <c r="I48" i="81"/>
  <c r="I49" i="81"/>
  <c r="N532" i="81"/>
  <c r="K61" i="81" s="1"/>
  <c r="N531" i="81"/>
  <c r="K60" i="81" s="1"/>
  <c r="N530" i="81"/>
  <c r="K59" i="81" s="1"/>
  <c r="H531" i="81"/>
  <c r="K48" i="81" s="1"/>
  <c r="H532" i="81"/>
  <c r="K49" i="81" s="1"/>
  <c r="H530" i="81"/>
  <c r="K47" i="81" s="1"/>
  <c r="F326" i="179"/>
  <c r="D326" i="179"/>
  <c r="F295" i="179"/>
  <c r="D295" i="179"/>
  <c r="K285" i="179"/>
  <c r="K286" i="179"/>
  <c r="K287" i="179"/>
  <c r="J286" i="179"/>
  <c r="J287" i="179"/>
  <c r="J285" i="179"/>
  <c r="G69" i="84"/>
  <c r="D381" i="99"/>
  <c r="D369" i="99"/>
  <c r="D327" i="99"/>
  <c r="H336" i="99" s="1"/>
  <c r="I336" i="99" s="1"/>
  <c r="D245" i="169"/>
  <c r="D242" i="169"/>
  <c r="D127" i="26"/>
  <c r="C7" i="51"/>
  <c r="AA15" i="163"/>
  <c r="J49" i="81" l="1"/>
  <c r="J48" i="81"/>
  <c r="J60" i="81"/>
  <c r="J61" i="81"/>
  <c r="K288" i="179"/>
  <c r="J288" i="179"/>
  <c r="C187" i="71"/>
  <c r="C191" i="71"/>
  <c r="C67" i="71"/>
  <c r="C68" i="71"/>
  <c r="D46" i="164"/>
  <c r="I39" i="76"/>
  <c r="H263" i="76"/>
  <c r="K39" i="76" s="1"/>
  <c r="E253" i="76"/>
  <c r="E257" i="76" s="1"/>
  <c r="E252" i="76"/>
  <c r="E256" i="76" s="1"/>
  <c r="E251" i="76"/>
  <c r="D250" i="76"/>
  <c r="D248" i="76"/>
  <c r="D247" i="76"/>
  <c r="E241" i="76"/>
  <c r="E240" i="76"/>
  <c r="D240" i="76"/>
  <c r="D241" i="76" s="1"/>
  <c r="E263" i="76" s="1"/>
  <c r="AC42" i="76"/>
  <c r="AC41" i="76"/>
  <c r="AC40" i="76"/>
  <c r="Z58" i="179"/>
  <c r="X58" i="179"/>
  <c r="Z57" i="179"/>
  <c r="X57" i="179"/>
  <c r="Z56" i="179"/>
  <c r="X56" i="179"/>
  <c r="J39" i="76" l="1"/>
  <c r="H187" i="71"/>
  <c r="H194" i="71"/>
  <c r="C194" i="71"/>
  <c r="G247" i="76"/>
  <c r="G248" i="76"/>
  <c r="D251" i="76"/>
  <c r="D88" i="51"/>
  <c r="C180" i="71"/>
  <c r="K55" i="179"/>
  <c r="I55" i="179"/>
  <c r="E821" i="179"/>
  <c r="E820" i="179"/>
  <c r="E819" i="179"/>
  <c r="D819" i="179"/>
  <c r="D818" i="179"/>
  <c r="D816" i="179"/>
  <c r="D815" i="179"/>
  <c r="E812" i="179"/>
  <c r="E811" i="179"/>
  <c r="D811" i="179"/>
  <c r="D812" i="179" s="1"/>
  <c r="G814" i="179" s="1"/>
  <c r="H248" i="76" l="1"/>
  <c r="G39" i="76" s="1"/>
  <c r="H180" i="71"/>
  <c r="B180" i="71"/>
  <c r="J55" i="179"/>
  <c r="G815" i="179"/>
  <c r="H815" i="179" s="1"/>
  <c r="E828" i="179" s="1"/>
  <c r="G55" i="179" s="1"/>
  <c r="AD56" i="179"/>
  <c r="AD57" i="179"/>
  <c r="AD58" i="179"/>
  <c r="C202" i="71"/>
  <c r="H202" i="71" s="1"/>
  <c r="D188" i="71"/>
  <c r="C214" i="71"/>
  <c r="I222" i="71"/>
  <c r="H222" i="71"/>
  <c r="I221" i="71"/>
  <c r="I202" i="71"/>
  <c r="I201" i="71"/>
  <c r="I181" i="71"/>
  <c r="I180" i="71"/>
  <c r="I175" i="71"/>
  <c r="H175" i="71"/>
  <c r="D169" i="71" l="1"/>
  <c r="D170" i="71"/>
  <c r="D171" i="71"/>
  <c r="C170" i="71"/>
  <c r="L172" i="71" s="1"/>
  <c r="C171" i="71"/>
  <c r="M172" i="71" s="1"/>
  <c r="C169" i="71"/>
  <c r="K172" i="71" s="1"/>
  <c r="I63" i="150"/>
  <c r="I64" i="150"/>
  <c r="I65" i="150"/>
  <c r="I59" i="150"/>
  <c r="I60" i="150"/>
  <c r="I61" i="150"/>
  <c r="I62" i="150"/>
  <c r="H481" i="150"/>
  <c r="D473" i="150"/>
  <c r="D475" i="150" s="1"/>
  <c r="D476" i="150" s="1"/>
  <c r="E574" i="150" s="1"/>
  <c r="I586" i="150"/>
  <c r="K62" i="150" s="1"/>
  <c r="G586" i="150"/>
  <c r="H62" i="150" s="1"/>
  <c r="L583" i="150"/>
  <c r="K63" i="150" s="1"/>
  <c r="I583" i="150"/>
  <c r="I584" i="150" s="1"/>
  <c r="D527" i="150"/>
  <c r="D526" i="150"/>
  <c r="J503" i="150"/>
  <c r="E497" i="150" s="1"/>
  <c r="E503" i="150" s="1"/>
  <c r="F496" i="150"/>
  <c r="E496" i="150"/>
  <c r="D496" i="150"/>
  <c r="W495" i="150"/>
  <c r="J495" i="150"/>
  <c r="D497" i="150" s="1"/>
  <c r="D503" i="150" s="1"/>
  <c r="F495" i="150"/>
  <c r="D523" i="150" s="1"/>
  <c r="D575" i="150" s="1"/>
  <c r="E495" i="150"/>
  <c r="E501" i="150" s="1"/>
  <c r="D495" i="150"/>
  <c r="D501" i="150" s="1"/>
  <c r="O492" i="150"/>
  <c r="F497" i="150" s="1"/>
  <c r="F491" i="150"/>
  <c r="D518" i="150" s="1"/>
  <c r="E491" i="150"/>
  <c r="D491" i="150"/>
  <c r="J488" i="150"/>
  <c r="J483" i="150"/>
  <c r="J491" i="150" s="1"/>
  <c r="AA66" i="150"/>
  <c r="Y66" i="150"/>
  <c r="X66" i="150"/>
  <c r="W66" i="150"/>
  <c r="V66" i="150"/>
  <c r="V65" i="150"/>
  <c r="V64" i="150"/>
  <c r="B63" i="150"/>
  <c r="V62" i="150"/>
  <c r="V61" i="150"/>
  <c r="V60" i="150"/>
  <c r="X50" i="151"/>
  <c r="X51" i="151" s="1"/>
  <c r="I44" i="150"/>
  <c r="I40" i="150"/>
  <c r="I47" i="150"/>
  <c r="I48" i="150"/>
  <c r="I45" i="150"/>
  <c r="L341" i="150"/>
  <c r="L342" i="150" s="1"/>
  <c r="L343" i="150" s="1"/>
  <c r="K41" i="150" s="1"/>
  <c r="K341" i="150"/>
  <c r="I39" i="150" s="1"/>
  <c r="D276" i="150"/>
  <c r="D275" i="150"/>
  <c r="D259" i="150"/>
  <c r="D258" i="150"/>
  <c r="D267" i="150" s="1"/>
  <c r="H257" i="150"/>
  <c r="V50" i="150"/>
  <c r="V49" i="150"/>
  <c r="V48" i="150"/>
  <c r="V46" i="150"/>
  <c r="V45" i="150"/>
  <c r="V44" i="150"/>
  <c r="V42" i="150"/>
  <c r="V41" i="150"/>
  <c r="V40" i="150"/>
  <c r="I73" i="150"/>
  <c r="I72" i="150"/>
  <c r="I71" i="150"/>
  <c r="I67" i="150"/>
  <c r="I68" i="150"/>
  <c r="I69" i="150"/>
  <c r="H70" i="150"/>
  <c r="I70" i="150"/>
  <c r="AA74" i="150"/>
  <c r="Y74" i="150"/>
  <c r="X74" i="150"/>
  <c r="W74" i="150"/>
  <c r="V74" i="150"/>
  <c r="V73" i="150"/>
  <c r="V72" i="150"/>
  <c r="B71" i="150"/>
  <c r="V70" i="150"/>
  <c r="V69" i="150"/>
  <c r="V68" i="150"/>
  <c r="F615" i="150"/>
  <c r="D642" i="150" s="1"/>
  <c r="D615" i="150"/>
  <c r="F620" i="150"/>
  <c r="D651" i="150"/>
  <c r="D600" i="150"/>
  <c r="E698" i="150" s="1"/>
  <c r="I710" i="150"/>
  <c r="K70" i="150" s="1"/>
  <c r="G710" i="150"/>
  <c r="L707" i="150"/>
  <c r="L708" i="150" s="1"/>
  <c r="L709" i="150" s="1"/>
  <c r="K73" i="150" s="1"/>
  <c r="I707" i="150"/>
  <c r="I708" i="150" s="1"/>
  <c r="I709" i="150" s="1"/>
  <c r="K69" i="150" s="1"/>
  <c r="D650" i="150"/>
  <c r="J627" i="150"/>
  <c r="E621" i="150" s="1"/>
  <c r="E627" i="150" s="1"/>
  <c r="E620" i="150"/>
  <c r="D620" i="150"/>
  <c r="W619" i="150"/>
  <c r="J619" i="150"/>
  <c r="D621" i="150" s="1"/>
  <c r="D627" i="150" s="1"/>
  <c r="F619" i="150"/>
  <c r="D647" i="150" s="1"/>
  <c r="D699" i="150" s="1"/>
  <c r="E619" i="150"/>
  <c r="E625" i="150" s="1"/>
  <c r="D619" i="150"/>
  <c r="D625" i="150" s="1"/>
  <c r="O616" i="150"/>
  <c r="F621" i="150" s="1"/>
  <c r="D643" i="150" s="1"/>
  <c r="E615" i="150"/>
  <c r="J612" i="150"/>
  <c r="J607" i="150"/>
  <c r="J615" i="150" s="1"/>
  <c r="D597" i="150"/>
  <c r="K187" i="71" l="1"/>
  <c r="K194" i="71"/>
  <c r="M195" i="71"/>
  <c r="M194" i="71"/>
  <c r="L195" i="71"/>
  <c r="N195" i="71" s="1"/>
  <c r="O195" i="71" s="1"/>
  <c r="C197" i="71" s="1"/>
  <c r="L194" i="71"/>
  <c r="AC74" i="150"/>
  <c r="J41" i="150"/>
  <c r="J69" i="150"/>
  <c r="I43" i="150"/>
  <c r="M222" i="71"/>
  <c r="M187" i="71"/>
  <c r="AC66" i="150"/>
  <c r="J73" i="150"/>
  <c r="J63" i="150"/>
  <c r="L222" i="71"/>
  <c r="N222" i="71" s="1"/>
  <c r="O222" i="71" s="1"/>
  <c r="C224" i="71" s="1"/>
  <c r="L187" i="71"/>
  <c r="N187" i="71" s="1"/>
  <c r="O187" i="71" s="1"/>
  <c r="C189" i="71" s="1"/>
  <c r="J70" i="150"/>
  <c r="J62" i="150"/>
  <c r="D269" i="150"/>
  <c r="D272" i="150" s="1"/>
  <c r="E337" i="150"/>
  <c r="W496" i="150"/>
  <c r="K59" i="150"/>
  <c r="I585" i="150"/>
  <c r="K61" i="150" s="1"/>
  <c r="K60" i="150"/>
  <c r="W620" i="150"/>
  <c r="K43" i="150"/>
  <c r="L584" i="150"/>
  <c r="K72" i="150"/>
  <c r="F501" i="150"/>
  <c r="D524" i="150" s="1"/>
  <c r="E575" i="150" s="1"/>
  <c r="X52" i="151"/>
  <c r="X53" i="151" s="1"/>
  <c r="X54" i="151" s="1"/>
  <c r="X55" i="151" s="1"/>
  <c r="X56" i="151" s="1"/>
  <c r="X57" i="151" s="1"/>
  <c r="E656" i="150"/>
  <c r="E677" i="150" s="1"/>
  <c r="M202" i="71"/>
  <c r="M175" i="71"/>
  <c r="L202" i="71"/>
  <c r="L175" i="71"/>
  <c r="F503" i="150"/>
  <c r="D521" i="150" s="1"/>
  <c r="D519" i="150"/>
  <c r="I49" i="150"/>
  <c r="I41" i="150"/>
  <c r="K45" i="150"/>
  <c r="F625" i="150"/>
  <c r="D648" i="150" s="1"/>
  <c r="E699" i="150" s="1"/>
  <c r="E700" i="150" s="1"/>
  <c r="J714" i="150" s="1"/>
  <c r="K67" i="150"/>
  <c r="K44" i="150"/>
  <c r="D532" i="150"/>
  <c r="D553" i="150" s="1"/>
  <c r="K47" i="150"/>
  <c r="K68" i="150"/>
  <c r="K49" i="150"/>
  <c r="K39" i="150"/>
  <c r="K71" i="150"/>
  <c r="K48" i="150"/>
  <c r="K40" i="150"/>
  <c r="E532" i="150"/>
  <c r="E553" i="150" s="1"/>
  <c r="E576" i="150"/>
  <c r="J590" i="150" s="1"/>
  <c r="D260" i="150"/>
  <c r="D286" i="150" s="1"/>
  <c r="O489" i="150"/>
  <c r="O497" i="150"/>
  <c r="J498" i="150"/>
  <c r="D513" i="150"/>
  <c r="D574" i="150"/>
  <c r="D576" i="150" s="1"/>
  <c r="G590" i="150" s="1"/>
  <c r="D291" i="150"/>
  <c r="E291" i="150" s="1"/>
  <c r="D285" i="150"/>
  <c r="E285" i="150" s="1"/>
  <c r="F285" i="150" s="1"/>
  <c r="D656" i="150"/>
  <c r="D677" i="150" s="1"/>
  <c r="F627" i="150"/>
  <c r="D645" i="150" s="1"/>
  <c r="O613" i="150"/>
  <c r="O621" i="150"/>
  <c r="J622" i="150"/>
  <c r="D637" i="150"/>
  <c r="D658" i="150" s="1"/>
  <c r="D698" i="150"/>
  <c r="D700" i="150" s="1"/>
  <c r="G714" i="150" s="1"/>
  <c r="N202" i="71" l="1"/>
  <c r="O202" i="71" s="1"/>
  <c r="C204" i="71" s="1"/>
  <c r="N194" i="71"/>
  <c r="O194" i="71" s="1"/>
  <c r="C196" i="71" s="1"/>
  <c r="C193" i="71" s="1"/>
  <c r="D270" i="150"/>
  <c r="J43" i="150"/>
  <c r="J48" i="150"/>
  <c r="J71" i="150"/>
  <c r="J39" i="150"/>
  <c r="J45" i="150"/>
  <c r="J49" i="150"/>
  <c r="J60" i="150"/>
  <c r="J67" i="150"/>
  <c r="J59" i="150"/>
  <c r="J68" i="150"/>
  <c r="J61" i="150"/>
  <c r="J47" i="150"/>
  <c r="J40" i="150"/>
  <c r="J44" i="150"/>
  <c r="N175" i="71"/>
  <c r="O175" i="71" s="1"/>
  <c r="C176" i="71" s="1"/>
  <c r="J72" i="150"/>
  <c r="D332" i="150"/>
  <c r="E332" i="150"/>
  <c r="F332" i="150"/>
  <c r="L585" i="150"/>
  <c r="K65" i="150" s="1"/>
  <c r="K64" i="150"/>
  <c r="D534" i="150"/>
  <c r="D538" i="150" s="1"/>
  <c r="W55" i="151"/>
  <c r="E286" i="150"/>
  <c r="D273" i="150"/>
  <c r="E534" i="150"/>
  <c r="E538" i="150" s="1"/>
  <c r="F583" i="150" s="1"/>
  <c r="G63" i="150" s="1"/>
  <c r="D314" i="150"/>
  <c r="F288" i="150"/>
  <c r="F294" i="150" s="1"/>
  <c r="E288" i="150"/>
  <c r="E294" i="150" s="1"/>
  <c r="D288" i="150"/>
  <c r="D294" i="150" s="1"/>
  <c r="F291" i="150"/>
  <c r="E314" i="150"/>
  <c r="D662" i="150"/>
  <c r="E658" i="150"/>
  <c r="E662" i="150" s="1"/>
  <c r="F707" i="150" s="1"/>
  <c r="G71" i="150" s="1"/>
  <c r="E934" i="179"/>
  <c r="E933" i="179"/>
  <c r="E932" i="179"/>
  <c r="E927" i="179"/>
  <c r="D876" i="179"/>
  <c r="D853" i="179"/>
  <c r="D768" i="179"/>
  <c r="E752" i="179"/>
  <c r="E751" i="179"/>
  <c r="E750" i="179"/>
  <c r="D749" i="179"/>
  <c r="D691" i="179"/>
  <c r="D690" i="179"/>
  <c r="D665" i="179"/>
  <c r="D659" i="179"/>
  <c r="D654" i="179"/>
  <c r="F620" i="179"/>
  <c r="E620" i="179"/>
  <c r="D620" i="179"/>
  <c r="F618" i="179"/>
  <c r="E618" i="179"/>
  <c r="D618" i="179"/>
  <c r="F617" i="179"/>
  <c r="E617" i="179"/>
  <c r="D617" i="179"/>
  <c r="D613" i="179"/>
  <c r="D612" i="179"/>
  <c r="D611" i="179"/>
  <c r="D610" i="179"/>
  <c r="G604" i="179"/>
  <c r="G603" i="179"/>
  <c r="G602" i="179"/>
  <c r="E593" i="179"/>
  <c r="D593" i="179"/>
  <c r="E592" i="179"/>
  <c r="D592" i="179"/>
  <c r="D542" i="179"/>
  <c r="D541" i="179"/>
  <c r="D512" i="179"/>
  <c r="D506" i="179"/>
  <c r="D501" i="179"/>
  <c r="G424" i="179"/>
  <c r="G423" i="179"/>
  <c r="G422" i="179"/>
  <c r="E413" i="179"/>
  <c r="D413" i="179"/>
  <c r="E412" i="179"/>
  <c r="D412" i="179"/>
  <c r="D318" i="179"/>
  <c r="D317" i="179"/>
  <c r="D208" i="179"/>
  <c r="D207" i="179"/>
  <c r="D144" i="179"/>
  <c r="D119" i="179"/>
  <c r="E90" i="179"/>
  <c r="E89" i="179"/>
  <c r="E88" i="179"/>
  <c r="D87" i="179"/>
  <c r="E82" i="179"/>
  <c r="AM16" i="179"/>
  <c r="Z16" i="179"/>
  <c r="Y16" i="179"/>
  <c r="X16" i="179"/>
  <c r="M16" i="179"/>
  <c r="M55" i="179" s="1"/>
  <c r="N55" i="179" s="1"/>
  <c r="M15" i="179"/>
  <c r="D536" i="150" l="1"/>
  <c r="D567" i="150" s="1"/>
  <c r="D568" i="150" s="1"/>
  <c r="D569" i="150" s="1"/>
  <c r="E585" i="150" s="1"/>
  <c r="G61" i="150" s="1"/>
  <c r="E583" i="150"/>
  <c r="G59" i="150" s="1"/>
  <c r="J64" i="150"/>
  <c r="J65" i="150"/>
  <c r="D660" i="150"/>
  <c r="D691" i="150" s="1"/>
  <c r="D692" i="150" s="1"/>
  <c r="D693" i="150" s="1"/>
  <c r="E709" i="150" s="1"/>
  <c r="G69" i="150" s="1"/>
  <c r="E707" i="150"/>
  <c r="G67" i="150" s="1"/>
  <c r="AM55" i="179"/>
  <c r="AN55" i="179" s="1"/>
  <c r="AH57" i="179"/>
  <c r="AH56" i="179"/>
  <c r="AH58" i="179"/>
  <c r="E536" i="150"/>
  <c r="F286" i="150"/>
  <c r="F314" i="150"/>
  <c r="E660" i="150"/>
  <c r="D60" i="166"/>
  <c r="AN55" i="180"/>
  <c r="AN56" i="180" s="1"/>
  <c r="AN57" i="180" s="1"/>
  <c r="AN58" i="180" s="1"/>
  <c r="AN59" i="180" s="1"/>
  <c r="AN60" i="180" s="1"/>
  <c r="AN61" i="180" s="1"/>
  <c r="AN62" i="180" s="1"/>
  <c r="AN54" i="180"/>
  <c r="L15" i="179"/>
  <c r="L6" i="179"/>
  <c r="D554" i="150" l="1"/>
  <c r="D556" i="150" s="1"/>
  <c r="E584" i="150" s="1"/>
  <c r="G60" i="150" s="1"/>
  <c r="AM56" i="180"/>
  <c r="AM55" i="180"/>
  <c r="D678" i="150"/>
  <c r="D680" i="150" s="1"/>
  <c r="E708" i="150" s="1"/>
  <c r="G68" i="150" s="1"/>
  <c r="AM60" i="180"/>
  <c r="AK60" i="180"/>
  <c r="AL60" i="180"/>
  <c r="D562" i="150"/>
  <c r="E567" i="150"/>
  <c r="E568" i="150" s="1"/>
  <c r="E569" i="150" s="1"/>
  <c r="F585" i="150" s="1"/>
  <c r="G65" i="150" s="1"/>
  <c r="E554" i="150"/>
  <c r="E556" i="150" s="1"/>
  <c r="F584" i="150" s="1"/>
  <c r="G64" i="150" s="1"/>
  <c r="E691" i="150"/>
  <c r="E692" i="150" s="1"/>
  <c r="E693" i="150" s="1"/>
  <c r="F709" i="150" s="1"/>
  <c r="G73" i="150" s="1"/>
  <c r="E678" i="150"/>
  <c r="E680" i="150" s="1"/>
  <c r="F708" i="150" s="1"/>
  <c r="G72" i="150" s="1"/>
  <c r="D686" i="150"/>
  <c r="I104" i="180"/>
  <c r="I103" i="180"/>
  <c r="I102" i="180"/>
  <c r="I101" i="180"/>
  <c r="I100" i="180"/>
  <c r="I99" i="180"/>
  <c r="I98" i="180"/>
  <c r="H49" i="180" s="1"/>
  <c r="AC49" i="180" s="1"/>
  <c r="R49" i="180" s="1"/>
  <c r="J94" i="180"/>
  <c r="J93" i="180"/>
  <c r="J92" i="180"/>
  <c r="J91" i="180"/>
  <c r="J90" i="180"/>
  <c r="J89" i="180"/>
  <c r="J88" i="180"/>
  <c r="I84" i="180"/>
  <c r="J84" i="180" s="1"/>
  <c r="K84" i="180" s="1"/>
  <c r="L84" i="180" s="1"/>
  <c r="L49" i="180" s="1"/>
  <c r="AG49" i="180" s="1"/>
  <c r="V49" i="180" s="1"/>
  <c r="AM54" i="180"/>
  <c r="AM53" i="180"/>
  <c r="I941" i="179"/>
  <c r="K63" i="179" s="1"/>
  <c r="E941" i="179"/>
  <c r="G64" i="179" s="1"/>
  <c r="D922" i="179"/>
  <c r="I909" i="179"/>
  <c r="I908" i="179"/>
  <c r="I60" i="179" s="1"/>
  <c r="J907" i="179"/>
  <c r="J908" i="179" s="1"/>
  <c r="I907" i="179"/>
  <c r="I59" i="179" s="1"/>
  <c r="D859" i="179"/>
  <c r="D899" i="179" s="1"/>
  <c r="D900" i="179" s="1"/>
  <c r="D839" i="179"/>
  <c r="I800" i="179"/>
  <c r="I53" i="179" s="1"/>
  <c r="I799" i="179"/>
  <c r="I52" i="179" s="1"/>
  <c r="J798" i="179"/>
  <c r="J799" i="179" s="1"/>
  <c r="I798" i="179"/>
  <c r="I51" i="179" s="1"/>
  <c r="D754" i="179"/>
  <c r="D755" i="179" s="1"/>
  <c r="E798" i="179" s="1"/>
  <c r="G51" i="179" s="1"/>
  <c r="D738" i="179"/>
  <c r="J726" i="179"/>
  <c r="K50" i="179" s="1"/>
  <c r="I726" i="179"/>
  <c r="I50" i="179" s="1"/>
  <c r="J725" i="179"/>
  <c r="K49" i="179" s="1"/>
  <c r="J724" i="179"/>
  <c r="I724" i="179"/>
  <c r="J723" i="179"/>
  <c r="K47" i="179" s="1"/>
  <c r="I723" i="179"/>
  <c r="E717" i="179"/>
  <c r="D643" i="179"/>
  <c r="H726" i="179" s="1"/>
  <c r="H50" i="179" s="1"/>
  <c r="D636" i="179"/>
  <c r="P634" i="179"/>
  <c r="P638" i="179" s="1"/>
  <c r="D597" i="179"/>
  <c r="D596" i="179"/>
  <c r="D598" i="179"/>
  <c r="D658" i="179" s="1"/>
  <c r="D587" i="179"/>
  <c r="F723" i="179" s="1"/>
  <c r="F725" i="179" s="1"/>
  <c r="F724" i="179" s="1"/>
  <c r="H574" i="179"/>
  <c r="G574" i="179"/>
  <c r="G573" i="179"/>
  <c r="I45" i="179" s="1"/>
  <c r="G572" i="179"/>
  <c r="H571" i="179"/>
  <c r="H572" i="179" s="1"/>
  <c r="H573" i="179" s="1"/>
  <c r="K45" i="179" s="1"/>
  <c r="G571" i="179"/>
  <c r="I43" i="179" s="1"/>
  <c r="D505" i="179"/>
  <c r="D490" i="179"/>
  <c r="F574" i="179" s="1"/>
  <c r="H46" i="179" s="1"/>
  <c r="F464" i="179"/>
  <c r="F466" i="179" s="1"/>
  <c r="F467" i="179" s="1"/>
  <c r="E464" i="179"/>
  <c r="E466" i="179" s="1"/>
  <c r="E467" i="179" s="1"/>
  <c r="D464" i="179"/>
  <c r="D466" i="179" s="1"/>
  <c r="D467" i="179" s="1"/>
  <c r="F445" i="179"/>
  <c r="E445" i="179"/>
  <c r="D445" i="179"/>
  <c r="F438" i="179"/>
  <c r="E438" i="179"/>
  <c r="D438" i="179"/>
  <c r="F433" i="179"/>
  <c r="E433" i="179"/>
  <c r="D433" i="179"/>
  <c r="F431" i="179"/>
  <c r="E431" i="179"/>
  <c r="D431" i="179"/>
  <c r="D418" i="179"/>
  <c r="D417" i="179"/>
  <c r="E468" i="179" s="1"/>
  <c r="E406" i="179"/>
  <c r="E405" i="179"/>
  <c r="E404" i="179"/>
  <c r="D403" i="179"/>
  <c r="J375" i="179"/>
  <c r="J371" i="179"/>
  <c r="K39" i="179" s="1"/>
  <c r="H371" i="179"/>
  <c r="K35" i="179" s="1"/>
  <c r="H350" i="179"/>
  <c r="H349" i="179"/>
  <c r="F349" i="179"/>
  <c r="H348" i="179"/>
  <c r="F348" i="179"/>
  <c r="H347" i="179"/>
  <c r="F347" i="179"/>
  <c r="F325" i="179"/>
  <c r="D324" i="179"/>
  <c r="D276" i="179"/>
  <c r="D298" i="179" s="1"/>
  <c r="D299" i="179" s="1"/>
  <c r="E371" i="179" s="1"/>
  <c r="G35" i="179" s="1"/>
  <c r="H257" i="179"/>
  <c r="I33" i="179" s="1"/>
  <c r="H256" i="179"/>
  <c r="I32" i="179" s="1"/>
  <c r="I255" i="179"/>
  <c r="I256" i="179" s="1"/>
  <c r="H255" i="179"/>
  <c r="I31" i="179" s="1"/>
  <c r="D202" i="179"/>
  <c r="D199" i="179"/>
  <c r="I177" i="179"/>
  <c r="I29" i="179" s="1"/>
  <c r="I176" i="179"/>
  <c r="I28" i="179" s="1"/>
  <c r="J175" i="179"/>
  <c r="J176" i="179" s="1"/>
  <c r="K28" i="179" s="1"/>
  <c r="I175" i="179"/>
  <c r="I27" i="179" s="1"/>
  <c r="D108" i="179"/>
  <c r="D127" i="179" s="1"/>
  <c r="I97" i="179"/>
  <c r="D80" i="179"/>
  <c r="E97" i="179" s="1"/>
  <c r="G23" i="179" s="1"/>
  <c r="AD66" i="179"/>
  <c r="AH66" i="179" s="1"/>
  <c r="AA66" i="179"/>
  <c r="Z66" i="179"/>
  <c r="X66" i="179"/>
  <c r="AD65" i="179"/>
  <c r="AH65" i="179" s="1"/>
  <c r="AA65" i="179"/>
  <c r="Z65" i="179"/>
  <c r="X65" i="179"/>
  <c r="AD64" i="179"/>
  <c r="AH64" i="179" s="1"/>
  <c r="AA64" i="179"/>
  <c r="Z64" i="179"/>
  <c r="X64" i="179"/>
  <c r="AD62" i="179"/>
  <c r="AH62" i="179" s="1"/>
  <c r="AA62" i="179"/>
  <c r="Z62" i="179"/>
  <c r="Y62" i="179"/>
  <c r="X62" i="179"/>
  <c r="X61" i="179"/>
  <c r="I61" i="179"/>
  <c r="X60" i="179"/>
  <c r="X54" i="179"/>
  <c r="W54" i="179"/>
  <c r="Y54" i="179" s="1"/>
  <c r="X53" i="179"/>
  <c r="X52" i="179"/>
  <c r="B51" i="179"/>
  <c r="X50" i="179"/>
  <c r="X49" i="179"/>
  <c r="I49" i="179"/>
  <c r="X48" i="179"/>
  <c r="K48" i="179"/>
  <c r="I48" i="179"/>
  <c r="I47" i="179"/>
  <c r="X46" i="179"/>
  <c r="K46" i="179"/>
  <c r="I46" i="179"/>
  <c r="X45" i="179"/>
  <c r="X44" i="179"/>
  <c r="I44" i="179"/>
  <c r="K43" i="179"/>
  <c r="Z42" i="179"/>
  <c r="Y42" i="179"/>
  <c r="X42" i="179"/>
  <c r="X41" i="179"/>
  <c r="I41" i="179"/>
  <c r="X40" i="179"/>
  <c r="I40" i="179"/>
  <c r="I39" i="179"/>
  <c r="B39" i="179"/>
  <c r="X38" i="179"/>
  <c r="W38" i="179"/>
  <c r="Y38" i="179" s="1"/>
  <c r="X37" i="179"/>
  <c r="I37" i="179"/>
  <c r="X36" i="179"/>
  <c r="I36" i="179"/>
  <c r="AK35" i="179"/>
  <c r="I35" i="179"/>
  <c r="Z34" i="179"/>
  <c r="Y34" i="179"/>
  <c r="X34" i="179"/>
  <c r="X33" i="179"/>
  <c r="AK32" i="179"/>
  <c r="AK33" i="179" s="1"/>
  <c r="AK34" i="179" s="1"/>
  <c r="X32" i="179"/>
  <c r="B31" i="179"/>
  <c r="B35" i="179" s="1"/>
  <c r="X30" i="179"/>
  <c r="W30" i="179"/>
  <c r="X29" i="179"/>
  <c r="AK28" i="179"/>
  <c r="AK29" i="179" s="1"/>
  <c r="AK30" i="179" s="1"/>
  <c r="X28" i="179"/>
  <c r="AD26" i="179"/>
  <c r="AH26" i="179" s="1"/>
  <c r="AA26" i="179"/>
  <c r="Z26" i="179"/>
  <c r="X26" i="179"/>
  <c r="AD25" i="179"/>
  <c r="AH25" i="179" s="1"/>
  <c r="AA25" i="179"/>
  <c r="Z25" i="179"/>
  <c r="X25" i="179"/>
  <c r="AK24" i="179"/>
  <c r="AK25" i="179" s="1"/>
  <c r="AK26" i="179" s="1"/>
  <c r="AD24" i="179"/>
  <c r="AH24" i="179" s="1"/>
  <c r="AA24" i="179"/>
  <c r="Z24" i="179"/>
  <c r="X24" i="179"/>
  <c r="K23" i="179"/>
  <c r="H12" i="179"/>
  <c r="H11" i="179"/>
  <c r="D278" i="179" s="1"/>
  <c r="H10" i="179"/>
  <c r="J50" i="179" l="1"/>
  <c r="J46" i="179"/>
  <c r="J35" i="179"/>
  <c r="J39" i="179"/>
  <c r="J47" i="179"/>
  <c r="J23" i="179"/>
  <c r="J43" i="179"/>
  <c r="J45" i="179"/>
  <c r="J48" i="179"/>
  <c r="J49" i="179"/>
  <c r="J28" i="179"/>
  <c r="J63" i="179"/>
  <c r="AM52" i="180"/>
  <c r="AL62" i="180"/>
  <c r="AK52" i="180"/>
  <c r="AM61" i="180"/>
  <c r="AL52" i="180"/>
  <c r="AM62" i="180"/>
  <c r="AK62" i="180"/>
  <c r="F439" i="179"/>
  <c r="D561" i="150"/>
  <c r="F60" i="150" s="1"/>
  <c r="E562" i="150"/>
  <c r="D685" i="150"/>
  <c r="F68" i="150" s="1"/>
  <c r="E686" i="150"/>
  <c r="I49" i="180"/>
  <c r="AD49" i="180" s="1"/>
  <c r="S49" i="180" s="1"/>
  <c r="J49" i="180"/>
  <c r="AE49" i="180" s="1"/>
  <c r="T49" i="180" s="1"/>
  <c r="M84" i="180"/>
  <c r="M49" i="180" s="1"/>
  <c r="AH49" i="180" s="1"/>
  <c r="W49" i="180" s="1"/>
  <c r="K49" i="180"/>
  <c r="AF49" i="180" s="1"/>
  <c r="U49" i="180" s="1"/>
  <c r="K31" i="179"/>
  <c r="M31" i="179" s="1"/>
  <c r="N31" i="179" s="1"/>
  <c r="D325" i="179"/>
  <c r="F298" i="179"/>
  <c r="F307" i="179" s="1"/>
  <c r="I371" i="179" s="1"/>
  <c r="H39" i="179" s="1"/>
  <c r="H372" i="179"/>
  <c r="K36" i="179" s="1"/>
  <c r="D861" i="179"/>
  <c r="AM23" i="179"/>
  <c r="AN23" i="179" s="1"/>
  <c r="D277" i="179"/>
  <c r="D281" i="179" s="1"/>
  <c r="D292" i="179" s="1"/>
  <c r="E434" i="179"/>
  <c r="F440" i="179"/>
  <c r="H9" i="179"/>
  <c r="D206" i="179"/>
  <c r="D213" i="179" s="1"/>
  <c r="D233" i="179" s="1"/>
  <c r="E470" i="179"/>
  <c r="D626" i="179" s="1"/>
  <c r="D211" i="179"/>
  <c r="D232" i="179" s="1"/>
  <c r="K27" i="179"/>
  <c r="E446" i="179"/>
  <c r="E447" i="179" s="1"/>
  <c r="D468" i="179"/>
  <c r="D470" i="179" s="1"/>
  <c r="D625" i="179" s="1"/>
  <c r="M47" i="179"/>
  <c r="N47" i="179" s="1"/>
  <c r="D434" i="179"/>
  <c r="D446" i="179"/>
  <c r="D447" i="179" s="1"/>
  <c r="F468" i="179"/>
  <c r="F470" i="179" s="1"/>
  <c r="D627" i="179" s="1"/>
  <c r="F434" i="179"/>
  <c r="F446" i="179"/>
  <c r="F447" i="179" s="1"/>
  <c r="D668" i="179"/>
  <c r="J372" i="179"/>
  <c r="K44" i="179"/>
  <c r="K51" i="179"/>
  <c r="D521" i="179"/>
  <c r="D547" i="179" s="1"/>
  <c r="D404" i="179"/>
  <c r="D439" i="179"/>
  <c r="D440" i="179" s="1"/>
  <c r="D882" i="179"/>
  <c r="D885" i="179" s="1"/>
  <c r="E908" i="179" s="1"/>
  <c r="G60" i="179" s="1"/>
  <c r="K59" i="179"/>
  <c r="M35" i="179"/>
  <c r="N35" i="179" s="1"/>
  <c r="F604" i="179"/>
  <c r="D604" i="179" s="1"/>
  <c r="E627" i="179" s="1"/>
  <c r="D519" i="179"/>
  <c r="D546" i="179"/>
  <c r="F602" i="179"/>
  <c r="D602" i="179" s="1"/>
  <c r="E625" i="179" s="1"/>
  <c r="D902" i="179"/>
  <c r="E909" i="179" s="1"/>
  <c r="G61" i="179" s="1"/>
  <c r="M43" i="179"/>
  <c r="N43" i="179" s="1"/>
  <c r="F603" i="179"/>
  <c r="D603" i="179" s="1"/>
  <c r="E626" i="179" s="1"/>
  <c r="D670" i="179"/>
  <c r="D696" i="179" s="1"/>
  <c r="D695" i="179"/>
  <c r="D594" i="179"/>
  <c r="J800" i="179"/>
  <c r="K53" i="179" s="1"/>
  <c r="K52" i="179"/>
  <c r="AK39" i="179"/>
  <c r="AK36" i="179"/>
  <c r="AK37" i="179" s="1"/>
  <c r="AK38" i="179" s="1"/>
  <c r="D405" i="179"/>
  <c r="D621" i="179"/>
  <c r="H625" i="179" s="1"/>
  <c r="F621" i="179"/>
  <c r="H627" i="179" s="1"/>
  <c r="E621" i="179"/>
  <c r="H626" i="179" s="1"/>
  <c r="D406" i="179"/>
  <c r="D279" i="179"/>
  <c r="AM48" i="179"/>
  <c r="AN48" i="179" s="1"/>
  <c r="AM49" i="179"/>
  <c r="AN49" i="179" s="1"/>
  <c r="AM47" i="179"/>
  <c r="AN47" i="179" s="1"/>
  <c r="AM43" i="179"/>
  <c r="AN43" i="179" s="1"/>
  <c r="AM28" i="179"/>
  <c r="AN28" i="179" s="1"/>
  <c r="AM45" i="179"/>
  <c r="AN45" i="179" s="1"/>
  <c r="AM35" i="179"/>
  <c r="AN35" i="179" s="1"/>
  <c r="D307" i="179"/>
  <c r="G371" i="179" s="1"/>
  <c r="H35" i="179" s="1"/>
  <c r="H373" i="179"/>
  <c r="K37" i="179" s="1"/>
  <c r="Z54" i="179"/>
  <c r="AA54" i="179" s="1"/>
  <c r="AD54" i="179" s="1"/>
  <c r="AM63" i="179"/>
  <c r="AN63" i="179" s="1"/>
  <c r="J177" i="179"/>
  <c r="K29" i="179" s="1"/>
  <c r="F350" i="179"/>
  <c r="F351" i="179" s="1"/>
  <c r="H13" i="179"/>
  <c r="H14" i="179"/>
  <c r="Z38" i="179"/>
  <c r="M39" i="179"/>
  <c r="N39" i="179" s="1"/>
  <c r="F423" i="179"/>
  <c r="D423" i="179" s="1"/>
  <c r="E475" i="179" s="1"/>
  <c r="L27" i="179"/>
  <c r="L7" i="179" s="1"/>
  <c r="I257" i="179"/>
  <c r="K33" i="179" s="1"/>
  <c r="K32" i="179"/>
  <c r="F424" i="179"/>
  <c r="D424" i="179" s="1"/>
  <c r="F475" i="179" s="1"/>
  <c r="F422" i="179"/>
  <c r="D422" i="179" s="1"/>
  <c r="D475" i="179" s="1"/>
  <c r="D150" i="179"/>
  <c r="D167" i="179"/>
  <c r="D168" i="179" s="1"/>
  <c r="D170" i="179" s="1"/>
  <c r="D129" i="179"/>
  <c r="J909" i="179"/>
  <c r="K61" i="179" s="1"/>
  <c r="K60" i="179"/>
  <c r="M49" i="179"/>
  <c r="N49" i="179" s="1"/>
  <c r="M48" i="179"/>
  <c r="M45" i="179"/>
  <c r="N45" i="179" s="1"/>
  <c r="M63" i="179"/>
  <c r="N63" i="179" s="1"/>
  <c r="M50" i="179"/>
  <c r="N50" i="179" s="1"/>
  <c r="M28" i="179"/>
  <c r="N28" i="179" s="1"/>
  <c r="M23" i="179"/>
  <c r="Y30" i="179"/>
  <c r="Z30" i="179" s="1"/>
  <c r="L31" i="179"/>
  <c r="L8" i="179" s="1"/>
  <c r="AM39" i="179"/>
  <c r="AN39" i="179" s="1"/>
  <c r="M46" i="179"/>
  <c r="N46" i="179" s="1"/>
  <c r="O46" i="179" s="1"/>
  <c r="P46" i="179" s="1"/>
  <c r="W46" i="179" s="1"/>
  <c r="D774" i="179"/>
  <c r="D791" i="179"/>
  <c r="D792" i="179" s="1"/>
  <c r="D794" i="179" s="1"/>
  <c r="D414" i="179"/>
  <c r="E439" i="179"/>
  <c r="E440" i="179" s="1"/>
  <c r="J44" i="179" l="1"/>
  <c r="J59" i="179"/>
  <c r="J61" i="179"/>
  <c r="J29" i="179"/>
  <c r="J27" i="179"/>
  <c r="J60" i="179"/>
  <c r="J37" i="179"/>
  <c r="D235" i="179"/>
  <c r="D240" i="179" s="1"/>
  <c r="F32" i="179" s="1"/>
  <c r="J52" i="179"/>
  <c r="M36" i="179"/>
  <c r="N36" i="179" s="1"/>
  <c r="J31" i="179"/>
  <c r="AM31" i="179"/>
  <c r="AN31" i="179" s="1"/>
  <c r="J53" i="179"/>
  <c r="J32" i="179"/>
  <c r="J51" i="179"/>
  <c r="F328" i="179"/>
  <c r="F299" i="179"/>
  <c r="F371" i="179" s="1"/>
  <c r="G39" i="179" s="1"/>
  <c r="F448" i="179"/>
  <c r="AM44" i="179"/>
  <c r="AN44" i="179" s="1"/>
  <c r="D328" i="179"/>
  <c r="E907" i="179"/>
  <c r="G59" i="179" s="1"/>
  <c r="E561" i="150"/>
  <c r="F64" i="150" s="1"/>
  <c r="E685" i="150"/>
  <c r="F72" i="150" s="1"/>
  <c r="N84" i="180"/>
  <c r="N49" i="180" s="1"/>
  <c r="AI49" i="180" s="1"/>
  <c r="X49" i="180" s="1"/>
  <c r="E448" i="179"/>
  <c r="D893" i="179"/>
  <c r="F60" i="179" s="1"/>
  <c r="D892" i="179"/>
  <c r="M59" i="179"/>
  <c r="N59" i="179" s="1"/>
  <c r="E441" i="179"/>
  <c r="D282" i="179"/>
  <c r="F292" i="179" s="1"/>
  <c r="M61" i="179"/>
  <c r="N61" i="179" s="1"/>
  <c r="F441" i="179"/>
  <c r="M60" i="179"/>
  <c r="N60" i="179" s="1"/>
  <c r="R60" i="179" s="1"/>
  <c r="S60" i="179" s="1"/>
  <c r="D215" i="179"/>
  <c r="D246" i="179" s="1"/>
  <c r="D247" i="179" s="1"/>
  <c r="D248" i="179" s="1"/>
  <c r="E257" i="179" s="1"/>
  <c r="G33" i="179" s="1"/>
  <c r="AM51" i="179"/>
  <c r="AN51" i="179" s="1"/>
  <c r="AM27" i="179"/>
  <c r="AN27" i="179" s="1"/>
  <c r="O7" i="179"/>
  <c r="M32" i="179"/>
  <c r="N32" i="179" s="1"/>
  <c r="R32" i="179" s="1"/>
  <c r="S32" i="179" s="1"/>
  <c r="D441" i="179"/>
  <c r="K534" i="179" s="1"/>
  <c r="D448" i="179"/>
  <c r="K536" i="179" s="1"/>
  <c r="M27" i="179"/>
  <c r="N27" i="179" s="1"/>
  <c r="AM53" i="179"/>
  <c r="AN53" i="179" s="1"/>
  <c r="E629" i="179"/>
  <c r="J373" i="179"/>
  <c r="K41" i="179" s="1"/>
  <c r="K40" i="179"/>
  <c r="M29" i="179"/>
  <c r="N29" i="179" s="1"/>
  <c r="D408" i="179"/>
  <c r="D409" i="179" s="1"/>
  <c r="M44" i="179"/>
  <c r="N44" i="179" s="1"/>
  <c r="AM60" i="179"/>
  <c r="AN60" i="179" s="1"/>
  <c r="AM29" i="179"/>
  <c r="AN29" i="179" s="1"/>
  <c r="M51" i="179"/>
  <c r="N51" i="179" s="1"/>
  <c r="F353" i="179"/>
  <c r="F358" i="179" s="1"/>
  <c r="F359" i="179" s="1"/>
  <c r="F360" i="179" s="1"/>
  <c r="AM61" i="179"/>
  <c r="AN61" i="179" s="1"/>
  <c r="AM59" i="179"/>
  <c r="AN59" i="179" s="1"/>
  <c r="F627" i="179"/>
  <c r="I627" i="179" s="1"/>
  <c r="F626" i="179"/>
  <c r="I626" i="179" s="1"/>
  <c r="N48" i="179"/>
  <c r="R48" i="179" s="1"/>
  <c r="S48" i="179" s="1"/>
  <c r="Y58" i="180" s="1"/>
  <c r="F625" i="179"/>
  <c r="I625" i="179" s="1"/>
  <c r="Y46" i="179"/>
  <c r="E177" i="179"/>
  <c r="G29" i="179" s="1"/>
  <c r="D153" i="179"/>
  <c r="M53" i="179"/>
  <c r="N53" i="179" s="1"/>
  <c r="D840" i="179"/>
  <c r="D841" i="179" s="1"/>
  <c r="D739" i="179"/>
  <c r="D740" i="179" s="1"/>
  <c r="L59" i="179"/>
  <c r="L14" i="179" s="1"/>
  <c r="L51" i="179"/>
  <c r="L13" i="179" s="1"/>
  <c r="L47" i="179"/>
  <c r="L43" i="179"/>
  <c r="L39" i="179"/>
  <c r="D923" i="179"/>
  <c r="D924" i="179" s="1"/>
  <c r="D588" i="179"/>
  <c r="D589" i="179" s="1"/>
  <c r="D476" i="179"/>
  <c r="D477" i="179" s="1"/>
  <c r="L35" i="179"/>
  <c r="L9" i="179" s="1"/>
  <c r="AM52" i="179"/>
  <c r="AN52" i="179" s="1"/>
  <c r="M33" i="179"/>
  <c r="N33" i="179" s="1"/>
  <c r="J33" i="179"/>
  <c r="AM33" i="179"/>
  <c r="AN33" i="179" s="1"/>
  <c r="N23" i="179"/>
  <c r="O50" i="179"/>
  <c r="P50" i="179" s="1"/>
  <c r="W50" i="179" s="1"/>
  <c r="M52" i="179"/>
  <c r="R28" i="179"/>
  <c r="S28" i="179" s="1"/>
  <c r="F338" i="179"/>
  <c r="F339" i="179" s="1"/>
  <c r="F340" i="179" s="1"/>
  <c r="F373" i="179" s="1"/>
  <c r="G41" i="179" s="1"/>
  <c r="F332" i="179"/>
  <c r="F372" i="179" s="1"/>
  <c r="G40" i="179" s="1"/>
  <c r="D777" i="179"/>
  <c r="AO35" i="179"/>
  <c r="O35" i="179"/>
  <c r="P35" i="179" s="1"/>
  <c r="M37" i="179"/>
  <c r="N37" i="179" s="1"/>
  <c r="F476" i="179"/>
  <c r="F477" i="179" s="1"/>
  <c r="E800" i="179"/>
  <c r="G53" i="179" s="1"/>
  <c r="AM37" i="179"/>
  <c r="AN37" i="179" s="1"/>
  <c r="AO39" i="179"/>
  <c r="O39" i="179"/>
  <c r="P39" i="179" s="1"/>
  <c r="E175" i="179"/>
  <c r="G27" i="179" s="1"/>
  <c r="E476" i="179"/>
  <c r="E477" i="179" s="1"/>
  <c r="AM32" i="179"/>
  <c r="AN32" i="179" s="1"/>
  <c r="J36" i="179"/>
  <c r="AM36" i="179"/>
  <c r="AN36" i="179" s="1"/>
  <c r="AK43" i="179"/>
  <c r="AK40" i="179"/>
  <c r="AK41" i="179" s="1"/>
  <c r="AK42" i="179" s="1"/>
  <c r="R36" i="179" l="1"/>
  <c r="S36" i="179" s="1"/>
  <c r="L10" i="179"/>
  <c r="AF42" i="179"/>
  <c r="E256" i="179"/>
  <c r="G32" i="179" s="1"/>
  <c r="D241" i="179"/>
  <c r="AF54" i="179"/>
  <c r="T60" i="179"/>
  <c r="U60" i="179" s="1"/>
  <c r="P61" i="180" s="1"/>
  <c r="D338" i="179"/>
  <c r="D339" i="179" s="1"/>
  <c r="D340" i="179" s="1"/>
  <c r="E373" i="179" s="1"/>
  <c r="G37" i="179" s="1"/>
  <c r="E372" i="179"/>
  <c r="G36" i="179" s="1"/>
  <c r="D332" i="179"/>
  <c r="L12" i="179"/>
  <c r="Z58" i="180"/>
  <c r="L11" i="179"/>
  <c r="Z57" i="180"/>
  <c r="D217" i="179"/>
  <c r="E255" i="179" s="1"/>
  <c r="G31" i="179" s="1"/>
  <c r="D452" i="179"/>
  <c r="F456" i="179" s="1"/>
  <c r="F480" i="179" s="1"/>
  <c r="T32" i="179"/>
  <c r="U32" i="179" s="1"/>
  <c r="P54" i="180" s="1"/>
  <c r="D451" i="179"/>
  <c r="D456" i="179" s="1"/>
  <c r="O9" i="179"/>
  <c r="G627" i="179"/>
  <c r="D663" i="179" s="1"/>
  <c r="K535" i="179"/>
  <c r="J40" i="179"/>
  <c r="AM40" i="179"/>
  <c r="AN40" i="179" s="1"/>
  <c r="M40" i="179"/>
  <c r="N40" i="179" s="1"/>
  <c r="R40" i="179" s="1"/>
  <c r="S40" i="179" s="1"/>
  <c r="R44" i="179"/>
  <c r="S44" i="179" s="1"/>
  <c r="Y57" i="180" s="1"/>
  <c r="J41" i="179"/>
  <c r="AM41" i="179"/>
  <c r="AN41" i="179" s="1"/>
  <c r="M41" i="179"/>
  <c r="N41" i="179" s="1"/>
  <c r="F355" i="179"/>
  <c r="F356" i="179" s="1"/>
  <c r="G625" i="179"/>
  <c r="D661" i="179" s="1"/>
  <c r="I629" i="179"/>
  <c r="D635" i="179" s="1"/>
  <c r="D717" i="179" s="1"/>
  <c r="F629" i="179"/>
  <c r="G626" i="179"/>
  <c r="D662" i="179" s="1"/>
  <c r="D333" i="179"/>
  <c r="F36" i="179" s="1"/>
  <c r="D480" i="179"/>
  <c r="D479" i="179"/>
  <c r="D508" i="179" s="1"/>
  <c r="E799" i="179"/>
  <c r="G52" i="179" s="1"/>
  <c r="D785" i="179"/>
  <c r="F52" i="179" s="1"/>
  <c r="D784" i="179"/>
  <c r="N52" i="179"/>
  <c r="R52" i="179" s="1"/>
  <c r="S52" i="179" s="1"/>
  <c r="D161" i="179"/>
  <c r="F28" i="179" s="1"/>
  <c r="D160" i="179"/>
  <c r="E176" i="179"/>
  <c r="G28" i="179" s="1"/>
  <c r="Y50" i="179"/>
  <c r="Z46" i="179"/>
  <c r="AA46" i="179" s="1"/>
  <c r="AD46" i="179" s="1"/>
  <c r="AF46" i="179" s="1"/>
  <c r="AK44" i="179"/>
  <c r="AK45" i="179" s="1"/>
  <c r="AK46" i="179" s="1"/>
  <c r="AK47" i="179"/>
  <c r="F333" i="179"/>
  <c r="F40" i="179" s="1"/>
  <c r="W35" i="179"/>
  <c r="F479" i="179"/>
  <c r="D510" i="179" s="1"/>
  <c r="W39" i="179"/>
  <c r="E479" i="179"/>
  <c r="D509" i="179" s="1"/>
  <c r="T52" i="179" l="1"/>
  <c r="U52" i="179" s="1"/>
  <c r="P59" i="180" s="1"/>
  <c r="T40" i="179"/>
  <c r="U40" i="179" s="1"/>
  <c r="P56" i="180" s="1"/>
  <c r="T36" i="179"/>
  <c r="U36" i="179" s="1"/>
  <c r="P55" i="180" s="1"/>
  <c r="E456" i="179"/>
  <c r="E480" i="179" s="1"/>
  <c r="D566" i="179" s="1"/>
  <c r="T28" i="179"/>
  <c r="U28" i="179" s="1"/>
  <c r="P53" i="180" s="1"/>
  <c r="D672" i="179"/>
  <c r="D674" i="179" s="1"/>
  <c r="Z50" i="179"/>
  <c r="AA50" i="179" s="1"/>
  <c r="AD50" i="179" s="1"/>
  <c r="G629" i="179"/>
  <c r="AK48" i="179"/>
  <c r="AK49" i="179" s="1"/>
  <c r="AK50" i="179" s="1"/>
  <c r="AK51" i="179"/>
  <c r="AK55" i="179" s="1"/>
  <c r="AK56" i="179" s="1"/>
  <c r="AK57" i="179" s="1"/>
  <c r="AK58" i="179" s="1"/>
  <c r="X35" i="179"/>
  <c r="X39" i="179"/>
  <c r="Y39" i="179" s="1"/>
  <c r="D523" i="179"/>
  <c r="D676" i="179" l="1"/>
  <c r="D711" i="179"/>
  <c r="D712" i="179" s="1"/>
  <c r="D713" i="179" s="1"/>
  <c r="D697" i="179"/>
  <c r="D698" i="179" s="1"/>
  <c r="D703" i="179" s="1"/>
  <c r="AK52" i="179"/>
  <c r="AK53" i="179" s="1"/>
  <c r="AK54" i="179" s="1"/>
  <c r="Z39" i="179"/>
  <c r="Y35" i="179"/>
  <c r="Z35" i="179" s="1"/>
  <c r="D548" i="179"/>
  <c r="D549" i="179" s="1"/>
  <c r="D525" i="179"/>
  <c r="E724" i="179" l="1"/>
  <c r="G48" i="179" s="1"/>
  <c r="E725" i="179"/>
  <c r="G49" i="179" s="1"/>
  <c r="D704" i="179"/>
  <c r="F48" i="179" s="1"/>
  <c r="E723" i="179"/>
  <c r="G47" i="179" s="1"/>
  <c r="AA35" i="179"/>
  <c r="AD35" i="179" s="1"/>
  <c r="AF35" i="179" s="1"/>
  <c r="E572" i="179"/>
  <c r="G44" i="179" s="1"/>
  <c r="D554" i="179"/>
  <c r="D527" i="179"/>
  <c r="D560" i="179"/>
  <c r="D561" i="179" s="1"/>
  <c r="D562" i="179" s="1"/>
  <c r="AA39" i="179"/>
  <c r="AD39" i="179" s="1"/>
  <c r="AF39" i="179" s="1"/>
  <c r="AK60" i="179"/>
  <c r="AK63" i="179"/>
  <c r="AK64" i="179" s="1"/>
  <c r="AK65" i="179" s="1"/>
  <c r="AK66" i="179" s="1"/>
  <c r="AB58" i="180" l="1"/>
  <c r="AC58" i="180" s="1"/>
  <c r="R58" i="180" s="1"/>
  <c r="T48" i="179"/>
  <c r="U48" i="179" s="1"/>
  <c r="Q58" i="180" s="1"/>
  <c r="E571" i="179"/>
  <c r="G43" i="179" s="1"/>
  <c r="AF58" i="180"/>
  <c r="U58" i="180" s="1"/>
  <c r="AE58" i="180"/>
  <c r="T58" i="180" s="1"/>
  <c r="AD58" i="180"/>
  <c r="S58" i="180" s="1"/>
  <c r="D555" i="179"/>
  <c r="F44" i="179" s="1"/>
  <c r="AB57" i="180"/>
  <c r="AK61" i="179"/>
  <c r="E573" i="179"/>
  <c r="G45" i="179" s="1"/>
  <c r="AH58" i="180" l="1"/>
  <c r="W58" i="180" s="1"/>
  <c r="AI58" i="180"/>
  <c r="X58" i="180" s="1"/>
  <c r="AG58" i="180"/>
  <c r="V58" i="180" s="1"/>
  <c r="T44" i="179"/>
  <c r="U44" i="179" s="1"/>
  <c r="Q57" i="180" s="1"/>
  <c r="AK62" i="179"/>
  <c r="P64" i="180" l="1"/>
  <c r="AF57" i="180"/>
  <c r="U57" i="180" s="1"/>
  <c r="AE57" i="180"/>
  <c r="T57" i="180" s="1"/>
  <c r="AD57" i="180"/>
  <c r="S57" i="180" s="1"/>
  <c r="AC57" i="180"/>
  <c r="R57" i="180" s="1"/>
  <c r="AI57" i="180"/>
  <c r="X57" i="180" s="1"/>
  <c r="AH57" i="180"/>
  <c r="W57" i="180" s="1"/>
  <c r="AG57" i="180"/>
  <c r="V57" i="180" s="1"/>
  <c r="S64" i="180" l="1"/>
  <c r="AG64" i="180"/>
  <c r="V64" i="180"/>
  <c r="AI64" i="180"/>
  <c r="X64" i="180"/>
  <c r="AH64" i="180"/>
  <c r="W64" i="180"/>
  <c r="AE64" i="180"/>
  <c r="T64" i="180"/>
  <c r="AF64" i="180"/>
  <c r="U64" i="180"/>
  <c r="AC64" i="180"/>
  <c r="R64" i="180"/>
  <c r="AD64" i="180"/>
  <c r="AR65" i="87" l="1"/>
  <c r="AR66" i="87" s="1"/>
  <c r="AG53" i="100"/>
  <c r="AO53" i="100"/>
  <c r="Z78" i="87"/>
  <c r="AR67" i="87" l="1"/>
  <c r="AR69" i="87" s="1"/>
  <c r="V24" i="81" l="1"/>
  <c r="X24" i="81"/>
  <c r="K23" i="81"/>
  <c r="H501" i="81" l="1"/>
  <c r="F498" i="81"/>
  <c r="H498" i="81"/>
  <c r="F499" i="81"/>
  <c r="H499" i="81"/>
  <c r="H500" i="81"/>
  <c r="D499" i="81"/>
  <c r="D500" i="81"/>
  <c r="D498" i="81"/>
  <c r="F448" i="81"/>
  <c r="F500" i="81" s="1"/>
  <c r="G471" i="81"/>
  <c r="F471" i="81"/>
  <c r="D465" i="81"/>
  <c r="D553" i="81" l="1"/>
  <c r="D604" i="81" s="1"/>
  <c r="D600" i="81"/>
  <c r="D602" i="81" s="1"/>
  <c r="D554" i="81"/>
  <c r="R59" i="172" l="1"/>
  <c r="R58" i="172"/>
  <c r="K55" i="171"/>
  <c r="AA58" i="171"/>
  <c r="Y58" i="171"/>
  <c r="X58" i="171"/>
  <c r="V58" i="171"/>
  <c r="AA57" i="171"/>
  <c r="Y57" i="171"/>
  <c r="X57" i="171"/>
  <c r="V57" i="171"/>
  <c r="AA56" i="171"/>
  <c r="Y56" i="171"/>
  <c r="X56" i="171"/>
  <c r="V56" i="171"/>
  <c r="J55" i="171"/>
  <c r="C35" i="171"/>
  <c r="D35" i="171"/>
  <c r="K52" i="171"/>
  <c r="K53" i="171"/>
  <c r="K51" i="171"/>
  <c r="H434" i="171"/>
  <c r="I53" i="171" s="1"/>
  <c r="H433" i="171"/>
  <c r="I52" i="171" s="1"/>
  <c r="I432" i="171"/>
  <c r="I433" i="171" s="1"/>
  <c r="I434" i="171" s="1"/>
  <c r="H432" i="171"/>
  <c r="I51" i="171" s="1"/>
  <c r="D385" i="171"/>
  <c r="D384" i="171"/>
  <c r="D379" i="171"/>
  <c r="D383" i="171" s="1"/>
  <c r="D390" i="171" s="1"/>
  <c r="D410" i="171" s="1"/>
  <c r="D376" i="171"/>
  <c r="K47" i="171"/>
  <c r="I47" i="171"/>
  <c r="E353" i="171"/>
  <c r="E352" i="171"/>
  <c r="E351" i="171"/>
  <c r="D350" i="171"/>
  <c r="D348" i="171"/>
  <c r="D347" i="171"/>
  <c r="E344" i="171"/>
  <c r="E343" i="171"/>
  <c r="D343" i="171"/>
  <c r="D344" i="171" s="1"/>
  <c r="AA50" i="171"/>
  <c r="Y50" i="171"/>
  <c r="X50" i="171"/>
  <c r="W50" i="171"/>
  <c r="V50" i="171"/>
  <c r="AA49" i="171"/>
  <c r="Y49" i="171"/>
  <c r="X49" i="171"/>
  <c r="W49" i="171"/>
  <c r="V49" i="171"/>
  <c r="AA48" i="171"/>
  <c r="Y48" i="171"/>
  <c r="X48" i="171"/>
  <c r="W48" i="171"/>
  <c r="V48" i="171"/>
  <c r="V54" i="171"/>
  <c r="V53" i="171"/>
  <c r="V52" i="171"/>
  <c r="B51" i="171"/>
  <c r="E453" i="171"/>
  <c r="E452" i="171"/>
  <c r="E451" i="171"/>
  <c r="E446" i="171"/>
  <c r="E445" i="171"/>
  <c r="D445" i="171"/>
  <c r="D446" i="171" s="1"/>
  <c r="H334" i="171"/>
  <c r="K43" i="171" s="1"/>
  <c r="E324" i="171"/>
  <c r="E328" i="171" s="1"/>
  <c r="E323" i="171"/>
  <c r="E327" i="171" s="1"/>
  <c r="E322" i="171"/>
  <c r="D321" i="171"/>
  <c r="E312" i="171"/>
  <c r="D312" i="171"/>
  <c r="E311" i="171"/>
  <c r="K297" i="171"/>
  <c r="K296" i="171"/>
  <c r="L295" i="171"/>
  <c r="K31" i="171" s="1"/>
  <c r="K295" i="171"/>
  <c r="G271" i="171"/>
  <c r="D264" i="171"/>
  <c r="G296" i="171" s="1"/>
  <c r="D236" i="171"/>
  <c r="D235" i="171"/>
  <c r="E232" i="171"/>
  <c r="D226" i="171"/>
  <c r="D210" i="171"/>
  <c r="D202" i="171"/>
  <c r="E199" i="171"/>
  <c r="D198" i="171"/>
  <c r="J182" i="171"/>
  <c r="K29" i="171" s="1"/>
  <c r="I182" i="171"/>
  <c r="J181" i="171"/>
  <c r="K28" i="171" s="1"/>
  <c r="I181" i="171"/>
  <c r="J180" i="171"/>
  <c r="I180" i="171"/>
  <c r="E157" i="171"/>
  <c r="E156" i="171"/>
  <c r="E155" i="171"/>
  <c r="D145" i="171"/>
  <c r="D119" i="171"/>
  <c r="D127" i="171" s="1"/>
  <c r="D156" i="171" s="1"/>
  <c r="D118" i="171"/>
  <c r="D117" i="171"/>
  <c r="E116" i="171"/>
  <c r="D116" i="171"/>
  <c r="D115" i="171"/>
  <c r="E113" i="171"/>
  <c r="D113" i="171"/>
  <c r="D112" i="171"/>
  <c r="D98" i="171"/>
  <c r="D97" i="171"/>
  <c r="E82" i="171"/>
  <c r="E81" i="171"/>
  <c r="E80" i="171"/>
  <c r="D79" i="171"/>
  <c r="E74" i="171"/>
  <c r="E73" i="171"/>
  <c r="D73" i="171"/>
  <c r="D72" i="171"/>
  <c r="AA46" i="171"/>
  <c r="V46" i="171"/>
  <c r="AA45" i="171"/>
  <c r="V45" i="171"/>
  <c r="AA44" i="171"/>
  <c r="V44" i="171"/>
  <c r="I43" i="171"/>
  <c r="B43" i="171"/>
  <c r="X42" i="171"/>
  <c r="W42" i="171"/>
  <c r="V42" i="171"/>
  <c r="V41" i="171"/>
  <c r="V40" i="171"/>
  <c r="B39" i="171"/>
  <c r="X38" i="171"/>
  <c r="W38" i="171"/>
  <c r="V38" i="171"/>
  <c r="V37" i="171"/>
  <c r="I37" i="171"/>
  <c r="V36" i="171"/>
  <c r="I36" i="171"/>
  <c r="I35" i="171"/>
  <c r="B35" i="171"/>
  <c r="V34" i="171"/>
  <c r="V33" i="171"/>
  <c r="V32" i="171"/>
  <c r="X30" i="171"/>
  <c r="W30" i="171"/>
  <c r="V30" i="171"/>
  <c r="V29" i="171"/>
  <c r="V28" i="171"/>
  <c r="AF27" i="171"/>
  <c r="AF28" i="171" s="1"/>
  <c r="AF29" i="171" s="1"/>
  <c r="AF30" i="171" s="1"/>
  <c r="K27" i="171"/>
  <c r="B27" i="171"/>
  <c r="B31" i="171" s="1"/>
  <c r="AA26" i="171"/>
  <c r="Y26" i="171"/>
  <c r="X26" i="171"/>
  <c r="V26" i="171"/>
  <c r="AA25" i="171"/>
  <c r="Y25" i="171"/>
  <c r="X25" i="171"/>
  <c r="V25" i="171"/>
  <c r="AF24" i="171"/>
  <c r="AF25" i="171" s="1"/>
  <c r="AF26" i="171" s="1"/>
  <c r="AA24" i="171"/>
  <c r="Y24" i="171"/>
  <c r="X24" i="171"/>
  <c r="V24" i="171"/>
  <c r="K23" i="171"/>
  <c r="AH16" i="171"/>
  <c r="X16" i="171"/>
  <c r="W16" i="171"/>
  <c r="V16" i="171"/>
  <c r="U16" i="171"/>
  <c r="L16" i="171"/>
  <c r="L55" i="171" s="1"/>
  <c r="M55" i="171" s="1"/>
  <c r="L15" i="171"/>
  <c r="AC49" i="171" l="1"/>
  <c r="J47" i="171"/>
  <c r="AC46" i="171"/>
  <c r="G347" i="171"/>
  <c r="H347" i="171" s="1"/>
  <c r="E360" i="171" s="1"/>
  <c r="G47" i="171" s="1"/>
  <c r="J51" i="171"/>
  <c r="AC57" i="171"/>
  <c r="J27" i="171"/>
  <c r="J23" i="171"/>
  <c r="J31" i="171"/>
  <c r="G348" i="171"/>
  <c r="J53" i="171"/>
  <c r="AC56" i="171"/>
  <c r="AC58" i="171"/>
  <c r="J29" i="171"/>
  <c r="AC48" i="171"/>
  <c r="J52" i="171"/>
  <c r="AC26" i="171"/>
  <c r="AC45" i="171"/>
  <c r="J28" i="171"/>
  <c r="J43" i="171"/>
  <c r="D39" i="171"/>
  <c r="AC24" i="171"/>
  <c r="G319" i="171"/>
  <c r="G318" i="171"/>
  <c r="AC25" i="171"/>
  <c r="AC44" i="171"/>
  <c r="AC50" i="171"/>
  <c r="C39" i="171"/>
  <c r="AH52" i="171"/>
  <c r="AI52" i="171" s="1"/>
  <c r="O48" i="171"/>
  <c r="AH55" i="171"/>
  <c r="AI55" i="171" s="1"/>
  <c r="D388" i="171"/>
  <c r="D409" i="171" s="1"/>
  <c r="D412" i="171" s="1"/>
  <c r="D114" i="171"/>
  <c r="D124" i="171" s="1"/>
  <c r="D152" i="171" s="1"/>
  <c r="D162" i="171" s="1"/>
  <c r="AH53" i="171"/>
  <c r="AI53" i="171" s="1"/>
  <c r="L52" i="171"/>
  <c r="M52" i="171" s="1"/>
  <c r="L53" i="171"/>
  <c r="M53" i="171" s="1"/>
  <c r="L47" i="171"/>
  <c r="M47" i="171" s="1"/>
  <c r="O50" i="171"/>
  <c r="AH51" i="171"/>
  <c r="AI51" i="171" s="1"/>
  <c r="O49" i="171"/>
  <c r="O54" i="171"/>
  <c r="U54" i="171" s="1"/>
  <c r="W54" i="171" s="1"/>
  <c r="D242" i="171"/>
  <c r="D269" i="171" s="1"/>
  <c r="E269" i="171" s="1"/>
  <c r="O45" i="171"/>
  <c r="AH47" i="171"/>
  <c r="AI47" i="171" s="1"/>
  <c r="L51" i="171"/>
  <c r="L43" i="171"/>
  <c r="M43" i="171" s="1"/>
  <c r="D122" i="171"/>
  <c r="D200" i="171"/>
  <c r="D211" i="171" s="1"/>
  <c r="D212" i="171" s="1"/>
  <c r="D234" i="171" s="1"/>
  <c r="E246" i="171" s="1"/>
  <c r="E460" i="171"/>
  <c r="G55" i="171" s="1"/>
  <c r="O38" i="171"/>
  <c r="O25" i="171"/>
  <c r="D99" i="171"/>
  <c r="O24" i="171"/>
  <c r="AH29" i="171"/>
  <c r="AI29" i="171" s="1"/>
  <c r="L27" i="171"/>
  <c r="M27" i="171" s="1"/>
  <c r="AH27" i="171"/>
  <c r="AI27" i="171" s="1"/>
  <c r="K39" i="171"/>
  <c r="O44" i="171"/>
  <c r="L296" i="171"/>
  <c r="L28" i="171"/>
  <c r="M28" i="171" s="1"/>
  <c r="AF31" i="171"/>
  <c r="K35" i="171"/>
  <c r="D149" i="171"/>
  <c r="D161" i="171" s="1"/>
  <c r="O30" i="171"/>
  <c r="O46" i="171"/>
  <c r="AH23" i="171"/>
  <c r="L29" i="171"/>
  <c r="M29" i="171" s="1"/>
  <c r="L31" i="171"/>
  <c r="M31" i="171" s="1"/>
  <c r="AH31" i="171"/>
  <c r="AI31" i="171" s="1"/>
  <c r="O42" i="171"/>
  <c r="F181" i="171"/>
  <c r="AH43" i="171"/>
  <c r="AI43" i="171" s="1"/>
  <c r="L23" i="171"/>
  <c r="M23" i="171" s="1"/>
  <c r="O26" i="171"/>
  <c r="AH28" i="171"/>
  <c r="AI28" i="171" s="1"/>
  <c r="O34" i="171"/>
  <c r="U34" i="171" s="1"/>
  <c r="C35" i="165"/>
  <c r="C31" i="165"/>
  <c r="Q61" i="172" l="1"/>
  <c r="P57" i="172"/>
  <c r="P60" i="172"/>
  <c r="R61" i="172"/>
  <c r="P61" i="172"/>
  <c r="J35" i="171"/>
  <c r="H318" i="171"/>
  <c r="E334" i="171" s="1"/>
  <c r="G43" i="171" s="1"/>
  <c r="J39" i="171"/>
  <c r="R57" i="172"/>
  <c r="Q57" i="172"/>
  <c r="Q28" i="171"/>
  <c r="R28" i="171" s="1"/>
  <c r="Q52" i="171"/>
  <c r="R52" i="171" s="1"/>
  <c r="D392" i="171"/>
  <c r="D423" i="171" s="1"/>
  <c r="D424" i="171" s="1"/>
  <c r="D425" i="171" s="1"/>
  <c r="F180" i="171"/>
  <c r="D203" i="171"/>
  <c r="D232" i="171" s="1"/>
  <c r="F295" i="171"/>
  <c r="F297" i="171" s="1"/>
  <c r="F296" i="171" s="1"/>
  <c r="E242" i="171"/>
  <c r="F242" i="171" s="1"/>
  <c r="AH35" i="171"/>
  <c r="AI35" i="171" s="1"/>
  <c r="D126" i="171"/>
  <c r="D155" i="171" s="1"/>
  <c r="L35" i="171"/>
  <c r="M35" i="171" s="1"/>
  <c r="D418" i="171"/>
  <c r="G52" i="171" s="1"/>
  <c r="D417" i="171"/>
  <c r="F52" i="171" s="1"/>
  <c r="E433" i="171"/>
  <c r="X54" i="171"/>
  <c r="Y54" i="171" s="1"/>
  <c r="AA54" i="171" s="1"/>
  <c r="M51" i="171"/>
  <c r="E271" i="171"/>
  <c r="D246" i="171"/>
  <c r="F246" i="171"/>
  <c r="F269" i="171"/>
  <c r="AI23" i="171"/>
  <c r="L39" i="171"/>
  <c r="M39" i="171" s="1"/>
  <c r="AH39" i="171"/>
  <c r="AI39" i="171" s="1"/>
  <c r="L297" i="171"/>
  <c r="K36" i="171"/>
  <c r="K32" i="171"/>
  <c r="K40" i="171"/>
  <c r="W34" i="171"/>
  <c r="X34" i="171" s="1"/>
  <c r="AF35" i="171"/>
  <c r="AF32" i="171"/>
  <c r="AF33" i="171" s="1"/>
  <c r="AF34" i="171" s="1"/>
  <c r="G53" i="171" l="1"/>
  <c r="E434" i="171"/>
  <c r="S52" i="171"/>
  <c r="D394" i="171"/>
  <c r="F271" i="171"/>
  <c r="D271" i="171"/>
  <c r="K33" i="171"/>
  <c r="K41" i="171"/>
  <c r="K37" i="171"/>
  <c r="J40" i="171"/>
  <c r="AH40" i="171"/>
  <c r="AI40" i="171" s="1"/>
  <c r="L40" i="171"/>
  <c r="J32" i="171"/>
  <c r="L32" i="171"/>
  <c r="AH32" i="171"/>
  <c r="AI32" i="171" s="1"/>
  <c r="AF39" i="171"/>
  <c r="AF36" i="171"/>
  <c r="AF37" i="171" s="1"/>
  <c r="AF38" i="171" s="1"/>
  <c r="J36" i="171"/>
  <c r="AH36" i="171"/>
  <c r="AI36" i="171" s="1"/>
  <c r="L36" i="171"/>
  <c r="R50" i="153"/>
  <c r="D405" i="152"/>
  <c r="D383" i="152"/>
  <c r="E432" i="171" l="1"/>
  <c r="G51" i="171"/>
  <c r="M36" i="171"/>
  <c r="Q36" i="171"/>
  <c r="R36" i="171" s="1"/>
  <c r="M40" i="171"/>
  <c r="Q40" i="171" s="1"/>
  <c r="R40" i="171" s="1"/>
  <c r="K62" i="172"/>
  <c r="L62" i="172"/>
  <c r="M62" i="172"/>
  <c r="M32" i="171"/>
  <c r="Q32" i="171" s="1"/>
  <c r="R32" i="171" s="1"/>
  <c r="J37" i="171"/>
  <c r="AH37" i="171"/>
  <c r="AI37" i="171" s="1"/>
  <c r="L37" i="171"/>
  <c r="M37" i="171" s="1"/>
  <c r="J41" i="171"/>
  <c r="L41" i="171"/>
  <c r="M41" i="171" s="1"/>
  <c r="AH41" i="171"/>
  <c r="AI41" i="171" s="1"/>
  <c r="AF40" i="171"/>
  <c r="AF41" i="171" s="1"/>
  <c r="AF42" i="171" s="1"/>
  <c r="AF43" i="171"/>
  <c r="J33" i="171"/>
  <c r="L33" i="171"/>
  <c r="M33" i="171" s="1"/>
  <c r="AH33" i="171"/>
  <c r="AI33" i="171" s="1"/>
  <c r="S44" i="170"/>
  <c r="C566" i="169"/>
  <c r="C568" i="169" s="1"/>
  <c r="C558" i="169"/>
  <c r="C559" i="169" s="1"/>
  <c r="E544" i="169"/>
  <c r="E543" i="169"/>
  <c r="E542" i="169"/>
  <c r="E537" i="169"/>
  <c r="E536" i="169"/>
  <c r="D536" i="169"/>
  <c r="D537" i="169" s="1"/>
  <c r="E551" i="169" s="1"/>
  <c r="G67" i="169" s="1"/>
  <c r="L523" i="169"/>
  <c r="K523" i="169"/>
  <c r="L522" i="169"/>
  <c r="K56" i="169" s="1"/>
  <c r="K522" i="169"/>
  <c r="L521" i="169"/>
  <c r="K521" i="169"/>
  <c r="D472" i="169"/>
  <c r="D471" i="169"/>
  <c r="D470" i="169"/>
  <c r="E468" i="169"/>
  <c r="D462" i="169"/>
  <c r="D450" i="169"/>
  <c r="D443" i="169"/>
  <c r="D441" i="169"/>
  <c r="L430" i="169"/>
  <c r="E430" i="169"/>
  <c r="L429" i="169"/>
  <c r="K429" i="169"/>
  <c r="L428" i="169"/>
  <c r="K428" i="169"/>
  <c r="D373" i="169"/>
  <c r="D372" i="169"/>
  <c r="D371" i="169"/>
  <c r="E370" i="169"/>
  <c r="E367" i="169"/>
  <c r="D361" i="169"/>
  <c r="D351" i="169"/>
  <c r="D370" i="169" s="1"/>
  <c r="D345" i="169"/>
  <c r="D336" i="169"/>
  <c r="D339" i="169" s="1"/>
  <c r="I328" i="169"/>
  <c r="I327" i="169"/>
  <c r="H327" i="169"/>
  <c r="I40" i="169" s="1"/>
  <c r="I326" i="169"/>
  <c r="K39" i="169" s="1"/>
  <c r="H326" i="169"/>
  <c r="I39" i="169" s="1"/>
  <c r="E306" i="169"/>
  <c r="D293" i="169"/>
  <c r="D270" i="169"/>
  <c r="D269" i="169"/>
  <c r="D268" i="169"/>
  <c r="E267" i="169"/>
  <c r="D267" i="169"/>
  <c r="D266" i="169"/>
  <c r="E264" i="169"/>
  <c r="D264" i="169"/>
  <c r="D263" i="169"/>
  <c r="D249" i="169"/>
  <c r="K234" i="169"/>
  <c r="K236" i="169" s="1"/>
  <c r="L221" i="169"/>
  <c r="K29" i="169" s="1"/>
  <c r="K221" i="169"/>
  <c r="L220" i="169"/>
  <c r="K28" i="169" s="1"/>
  <c r="K220" i="169"/>
  <c r="L219" i="169"/>
  <c r="K27" i="169" s="1"/>
  <c r="K219" i="169"/>
  <c r="D165" i="169"/>
  <c r="D164" i="169"/>
  <c r="D163" i="169"/>
  <c r="E157" i="169"/>
  <c r="D151" i="169"/>
  <c r="D136" i="169"/>
  <c r="D128" i="169"/>
  <c r="D126" i="169"/>
  <c r="D130" i="169" s="1"/>
  <c r="E111" i="169"/>
  <c r="E110" i="169"/>
  <c r="E109" i="169"/>
  <c r="D108" i="169"/>
  <c r="E103" i="169"/>
  <c r="E102" i="169"/>
  <c r="D102" i="169"/>
  <c r="D103" i="169" s="1"/>
  <c r="E118" i="169" s="1"/>
  <c r="G23" i="169" s="1"/>
  <c r="D101" i="169"/>
  <c r="AA70" i="169"/>
  <c r="Y70" i="169"/>
  <c r="X70" i="169"/>
  <c r="V70" i="169"/>
  <c r="AA69" i="169"/>
  <c r="Y69" i="169"/>
  <c r="X69" i="169"/>
  <c r="V69" i="169"/>
  <c r="AA68" i="169"/>
  <c r="Y68" i="169"/>
  <c r="X68" i="169"/>
  <c r="V68" i="169"/>
  <c r="K67" i="169"/>
  <c r="I67" i="169"/>
  <c r="AA66" i="169"/>
  <c r="Y66" i="169"/>
  <c r="X66" i="169"/>
  <c r="W66" i="169"/>
  <c r="V66" i="169"/>
  <c r="V65" i="169"/>
  <c r="V64" i="169"/>
  <c r="AA62" i="169"/>
  <c r="Y62" i="169"/>
  <c r="X62" i="169"/>
  <c r="W62" i="169"/>
  <c r="V62" i="169"/>
  <c r="V61" i="169"/>
  <c r="V60" i="169"/>
  <c r="D59" i="169"/>
  <c r="AA58" i="169"/>
  <c r="Y58" i="169"/>
  <c r="X58" i="169"/>
  <c r="W58" i="169"/>
  <c r="V58" i="169"/>
  <c r="V57" i="169"/>
  <c r="K57" i="169"/>
  <c r="V56" i="169"/>
  <c r="K55" i="169"/>
  <c r="AA54" i="169"/>
  <c r="Y54" i="169"/>
  <c r="X54" i="169"/>
  <c r="W54" i="169"/>
  <c r="V54" i="169"/>
  <c r="V53" i="169"/>
  <c r="V52" i="169"/>
  <c r="AA50" i="169"/>
  <c r="Y50" i="169"/>
  <c r="X50" i="169"/>
  <c r="W50" i="169"/>
  <c r="V50" i="169"/>
  <c r="V49" i="169"/>
  <c r="V48" i="169"/>
  <c r="D47" i="169"/>
  <c r="C47" i="169"/>
  <c r="B47" i="169"/>
  <c r="AA46" i="169"/>
  <c r="Y46" i="169"/>
  <c r="X46" i="169"/>
  <c r="W46" i="169"/>
  <c r="V46" i="169"/>
  <c r="V45" i="169"/>
  <c r="K45" i="169"/>
  <c r="V44" i="169"/>
  <c r="K44" i="169"/>
  <c r="K43" i="169"/>
  <c r="V42" i="169"/>
  <c r="V41" i="169"/>
  <c r="K41" i="169"/>
  <c r="I41" i="169"/>
  <c r="V40" i="169"/>
  <c r="K40" i="169"/>
  <c r="AD39" i="169"/>
  <c r="X38" i="169"/>
  <c r="W38" i="169"/>
  <c r="V38" i="169"/>
  <c r="V37" i="169"/>
  <c r="V36" i="169"/>
  <c r="X34" i="169"/>
  <c r="W34" i="169"/>
  <c r="V34" i="169"/>
  <c r="V33" i="169"/>
  <c r="I33" i="169"/>
  <c r="V32" i="169"/>
  <c r="I32" i="169"/>
  <c r="I31" i="169"/>
  <c r="D31" i="169"/>
  <c r="V30" i="169"/>
  <c r="V29" i="169"/>
  <c r="V28" i="169"/>
  <c r="AF27" i="169"/>
  <c r="AF28" i="169" s="1"/>
  <c r="AF29" i="169" s="1"/>
  <c r="AF30" i="169" s="1"/>
  <c r="B27" i="169"/>
  <c r="B31" i="169" s="1"/>
  <c r="B35" i="169" s="1"/>
  <c r="AA26" i="169"/>
  <c r="Y26" i="169"/>
  <c r="X26" i="169"/>
  <c r="V26" i="169"/>
  <c r="AA25" i="169"/>
  <c r="Y25" i="169"/>
  <c r="X25" i="169"/>
  <c r="V25" i="169"/>
  <c r="AF24" i="169"/>
  <c r="AF25" i="169" s="1"/>
  <c r="AF26" i="169" s="1"/>
  <c r="AA24" i="169"/>
  <c r="Y24" i="169"/>
  <c r="X24" i="169"/>
  <c r="V24" i="169"/>
  <c r="K23" i="169"/>
  <c r="AH16" i="169"/>
  <c r="X16" i="169"/>
  <c r="W16" i="169"/>
  <c r="V16" i="169"/>
  <c r="U16" i="169"/>
  <c r="L16" i="169"/>
  <c r="L15" i="169"/>
  <c r="D35" i="169" l="1"/>
  <c r="K49" i="169"/>
  <c r="C51" i="169"/>
  <c r="AC50" i="169"/>
  <c r="K59" i="169"/>
  <c r="AC58" i="169"/>
  <c r="AC62" i="169"/>
  <c r="J56" i="169"/>
  <c r="AC24" i="169"/>
  <c r="Q43" i="170" s="1"/>
  <c r="D51" i="169"/>
  <c r="D63" i="169"/>
  <c r="J67" i="169"/>
  <c r="AC69" i="169"/>
  <c r="R48" i="170" s="1"/>
  <c r="AC26" i="169"/>
  <c r="S43" i="170" s="1"/>
  <c r="J41" i="169"/>
  <c r="K61" i="169"/>
  <c r="J39" i="169"/>
  <c r="K33" i="169"/>
  <c r="J23" i="169"/>
  <c r="K47" i="169"/>
  <c r="AC68" i="169"/>
  <c r="Q48" i="170" s="1"/>
  <c r="AC70" i="169"/>
  <c r="AC25" i="169"/>
  <c r="K48" i="169"/>
  <c r="AC46" i="169"/>
  <c r="J40" i="169"/>
  <c r="AC54" i="169"/>
  <c r="AC66" i="169"/>
  <c r="J55" i="169"/>
  <c r="L40" i="169"/>
  <c r="M40" i="169" s="1"/>
  <c r="AF31" i="169"/>
  <c r="J29" i="169"/>
  <c r="D247" i="169"/>
  <c r="D252" i="169" s="1"/>
  <c r="D479" i="169"/>
  <c r="D498" i="169" s="1"/>
  <c r="D172" i="169"/>
  <c r="D194" i="169" s="1"/>
  <c r="D444" i="169"/>
  <c r="D467" i="169" s="1"/>
  <c r="AF44" i="171"/>
  <c r="AF45" i="171" s="1"/>
  <c r="AF46" i="171" s="1"/>
  <c r="AF47" i="171"/>
  <c r="D277" i="169"/>
  <c r="D302" i="169" s="1"/>
  <c r="F326" i="169"/>
  <c r="F327" i="169" s="1"/>
  <c r="O38" i="169"/>
  <c r="D379" i="169"/>
  <c r="D404" i="169" s="1"/>
  <c r="J27" i="169"/>
  <c r="K31" i="169"/>
  <c r="L27" i="169"/>
  <c r="M27" i="169" s="1"/>
  <c r="J59" i="169"/>
  <c r="K63" i="169"/>
  <c r="AH27" i="169"/>
  <c r="AI27" i="169" s="1"/>
  <c r="L44" i="169"/>
  <c r="M44" i="169" s="1"/>
  <c r="D129" i="169"/>
  <c r="K37" i="169"/>
  <c r="J45" i="169"/>
  <c r="J57" i="169"/>
  <c r="J43" i="169"/>
  <c r="D273" i="169"/>
  <c r="D296" i="169" s="1"/>
  <c r="K53" i="169"/>
  <c r="J49" i="169"/>
  <c r="D341" i="169"/>
  <c r="D367" i="169" s="1"/>
  <c r="D346" i="169"/>
  <c r="J28" i="169"/>
  <c r="L28" i="169"/>
  <c r="M28" i="169" s="1"/>
  <c r="K32" i="169"/>
  <c r="K52" i="169"/>
  <c r="J48" i="169"/>
  <c r="L48" i="169"/>
  <c r="M48" i="169" s="1"/>
  <c r="AH55" i="169"/>
  <c r="AI55" i="169" s="1"/>
  <c r="AH57" i="169"/>
  <c r="AI57" i="169" s="1"/>
  <c r="AH59" i="169"/>
  <c r="AI59" i="169" s="1"/>
  <c r="AH43" i="169"/>
  <c r="AI43" i="169" s="1"/>
  <c r="AH49" i="169"/>
  <c r="AI49" i="169" s="1"/>
  <c r="AH45" i="169"/>
  <c r="AI45" i="169" s="1"/>
  <c r="AH39" i="169"/>
  <c r="AI39" i="169" s="1"/>
  <c r="AH40" i="169"/>
  <c r="AI40" i="169" s="1"/>
  <c r="AH61" i="169"/>
  <c r="AI61" i="169" s="1"/>
  <c r="AH44" i="169"/>
  <c r="AI44" i="169" s="1"/>
  <c r="AH67" i="169"/>
  <c r="AI67" i="169" s="1"/>
  <c r="AH56" i="169"/>
  <c r="AI56" i="169" s="1"/>
  <c r="AH33" i="169"/>
  <c r="AI33" i="169" s="1"/>
  <c r="AH29" i="169"/>
  <c r="AI29" i="169" s="1"/>
  <c r="AH28" i="169"/>
  <c r="AI28" i="169" s="1"/>
  <c r="AH23" i="169"/>
  <c r="AI23" i="169" s="1"/>
  <c r="AH41" i="169"/>
  <c r="AI41" i="169" s="1"/>
  <c r="O58" i="169"/>
  <c r="O62" i="169"/>
  <c r="O66" i="169"/>
  <c r="O54" i="169"/>
  <c r="O34" i="169"/>
  <c r="O30" i="169"/>
  <c r="U30" i="169" s="1"/>
  <c r="K51" i="169"/>
  <c r="J47" i="169"/>
  <c r="L67" i="169"/>
  <c r="M67" i="169" s="1"/>
  <c r="L59" i="169"/>
  <c r="M59" i="169" s="1"/>
  <c r="L55" i="169"/>
  <c r="M55" i="169" s="1"/>
  <c r="L47" i="169"/>
  <c r="M47" i="169" s="1"/>
  <c r="L43" i="169"/>
  <c r="M43" i="169" s="1"/>
  <c r="L61" i="169"/>
  <c r="M61" i="169" s="1"/>
  <c r="L33" i="169"/>
  <c r="M33" i="169" s="1"/>
  <c r="L29" i="169"/>
  <c r="M29" i="169" s="1"/>
  <c r="L57" i="169"/>
  <c r="M57" i="169" s="1"/>
  <c r="L39" i="169"/>
  <c r="M39" i="169" s="1"/>
  <c r="L56" i="169"/>
  <c r="M56" i="169" s="1"/>
  <c r="L41" i="169"/>
  <c r="M41" i="169" s="1"/>
  <c r="O42" i="169"/>
  <c r="U42" i="169" s="1"/>
  <c r="L45" i="169"/>
  <c r="M45" i="169" s="1"/>
  <c r="O46" i="169"/>
  <c r="L23" i="169"/>
  <c r="M23" i="169" s="1"/>
  <c r="O26" i="169"/>
  <c r="D275" i="169"/>
  <c r="D299" i="169" s="1"/>
  <c r="L49" i="169"/>
  <c r="M49" i="169" s="1"/>
  <c r="O50" i="169"/>
  <c r="AF32" i="169"/>
  <c r="AF33" i="169" s="1"/>
  <c r="AF34" i="169" s="1"/>
  <c r="AF35" i="169"/>
  <c r="O25" i="169"/>
  <c r="O24" i="169"/>
  <c r="J61" i="169"/>
  <c r="K65" i="169"/>
  <c r="J44" i="169"/>
  <c r="K60" i="169"/>
  <c r="K27" i="70"/>
  <c r="L16" i="70"/>
  <c r="L15" i="70"/>
  <c r="Q40" i="169" l="1"/>
  <c r="R40" i="169" s="1"/>
  <c r="S46" i="170"/>
  <c r="S47" i="170"/>
  <c r="R43" i="170"/>
  <c r="S48" i="170"/>
  <c r="J51" i="169"/>
  <c r="L31" i="169"/>
  <c r="M31" i="169" s="1"/>
  <c r="J52" i="169"/>
  <c r="AH53" i="169"/>
  <c r="AI53" i="169" s="1"/>
  <c r="J63" i="169"/>
  <c r="J33" i="169"/>
  <c r="J65" i="169"/>
  <c r="AH47" i="169"/>
  <c r="AI47" i="169" s="1"/>
  <c r="AH48" i="169"/>
  <c r="AI48" i="169" s="1"/>
  <c r="AH52" i="169"/>
  <c r="AI52" i="169" s="1"/>
  <c r="E479" i="169"/>
  <c r="E172" i="169"/>
  <c r="AH63" i="169"/>
  <c r="AI63" i="169" s="1"/>
  <c r="J31" i="169"/>
  <c r="K35" i="169"/>
  <c r="AH31" i="169"/>
  <c r="AI31" i="169" s="1"/>
  <c r="L65" i="169"/>
  <c r="M65" i="169" s="1"/>
  <c r="E379" i="169"/>
  <c r="F379" i="169" s="1"/>
  <c r="F404" i="169" s="1"/>
  <c r="D451" i="169"/>
  <c r="D452" i="169" s="1"/>
  <c r="D468" i="169" s="1"/>
  <c r="Q56" i="169"/>
  <c r="R56" i="169" s="1"/>
  <c r="Q28" i="169"/>
  <c r="R28" i="169" s="1"/>
  <c r="Q44" i="169"/>
  <c r="R44" i="169" s="1"/>
  <c r="Q48" i="169"/>
  <c r="R48" i="169" s="1"/>
  <c r="AF48" i="171"/>
  <c r="AF49" i="171" s="1"/>
  <c r="AF50" i="171" s="1"/>
  <c r="AF51" i="171"/>
  <c r="E404" i="169"/>
  <c r="L37" i="169"/>
  <c r="M37" i="169" s="1"/>
  <c r="J37" i="169"/>
  <c r="D156" i="169"/>
  <c r="D137" i="169"/>
  <c r="D138" i="169" s="1"/>
  <c r="D157" i="169" s="1"/>
  <c r="L63" i="169"/>
  <c r="M63" i="169" s="1"/>
  <c r="AH65" i="169"/>
  <c r="AI65" i="169" s="1"/>
  <c r="L52" i="169"/>
  <c r="AH37" i="169"/>
  <c r="AI37" i="169" s="1"/>
  <c r="D369" i="169"/>
  <c r="D383" i="169" s="1"/>
  <c r="D348" i="169"/>
  <c r="F479" i="169"/>
  <c r="L51" i="169"/>
  <c r="M51" i="169" s="1"/>
  <c r="W30" i="169"/>
  <c r="X30" i="169" s="1"/>
  <c r="F172" i="169"/>
  <c r="W42" i="169"/>
  <c r="X42" i="169" s="1"/>
  <c r="AH51" i="169"/>
  <c r="AI51" i="169" s="1"/>
  <c r="J53" i="169"/>
  <c r="L53" i="169"/>
  <c r="M53" i="169" s="1"/>
  <c r="K64" i="169"/>
  <c r="J60" i="169"/>
  <c r="AF36" i="169"/>
  <c r="AF37" i="169" s="1"/>
  <c r="AF38" i="169" s="1"/>
  <c r="K36" i="169"/>
  <c r="L32" i="169"/>
  <c r="AH32" i="169"/>
  <c r="AI32" i="169" s="1"/>
  <c r="J32" i="169"/>
  <c r="L60" i="169"/>
  <c r="AH60" i="169"/>
  <c r="AI60" i="169" s="1"/>
  <c r="J35" i="169" l="1"/>
  <c r="L35" i="169"/>
  <c r="M35" i="169" s="1"/>
  <c r="AH35" i="169"/>
  <c r="AI35" i="169" s="1"/>
  <c r="F482" i="169"/>
  <c r="D482" i="169"/>
  <c r="E482" i="169"/>
  <c r="M52" i="169"/>
  <c r="Q52" i="169" s="1"/>
  <c r="R52" i="169" s="1"/>
  <c r="M60" i="169"/>
  <c r="Q60" i="169" s="1"/>
  <c r="R60" i="169" s="1"/>
  <c r="M32" i="169"/>
  <c r="Q32" i="169" s="1"/>
  <c r="R32" i="169" s="1"/>
  <c r="AF52" i="171"/>
  <c r="AF53" i="171" s="1"/>
  <c r="AF54" i="171" s="1"/>
  <c r="AF55" i="171"/>
  <c r="AF56" i="171" s="1"/>
  <c r="AF57" i="171" s="1"/>
  <c r="AF58" i="171" s="1"/>
  <c r="F175" i="169"/>
  <c r="E175" i="169"/>
  <c r="D175" i="169"/>
  <c r="J64" i="169"/>
  <c r="AH64" i="169"/>
  <c r="AI64" i="169" s="1"/>
  <c r="L64" i="169"/>
  <c r="J36" i="169"/>
  <c r="AH36" i="169"/>
  <c r="AI36" i="169" s="1"/>
  <c r="L36" i="169"/>
  <c r="D406" i="169"/>
  <c r="E383" i="169"/>
  <c r="Y42" i="169"/>
  <c r="AA42" i="169" s="1"/>
  <c r="M64" i="169" l="1"/>
  <c r="Q64" i="169" s="1"/>
  <c r="R64" i="169" s="1"/>
  <c r="M36" i="169"/>
  <c r="Q36" i="169" s="1"/>
  <c r="R36" i="169" s="1"/>
  <c r="AF43" i="169"/>
  <c r="AF40" i="169"/>
  <c r="AF41" i="169" s="1"/>
  <c r="AF42" i="169" s="1"/>
  <c r="F383" i="169"/>
  <c r="E406" i="169"/>
  <c r="D68" i="166"/>
  <c r="D52" i="164"/>
  <c r="R58" i="166"/>
  <c r="E339" i="165"/>
  <c r="E338" i="165"/>
  <c r="E337" i="165"/>
  <c r="E332" i="165"/>
  <c r="E331" i="165"/>
  <c r="D331" i="165"/>
  <c r="D332" i="165" s="1"/>
  <c r="H322" i="165"/>
  <c r="K39" i="165" s="1"/>
  <c r="E312" i="165"/>
  <c r="E316" i="165" s="1"/>
  <c r="E311" i="165"/>
  <c r="E315" i="165" s="1"/>
  <c r="E310" i="165"/>
  <c r="D309" i="165"/>
  <c r="E300" i="165"/>
  <c r="E299" i="165"/>
  <c r="D300" i="165"/>
  <c r="K284" i="165"/>
  <c r="K283" i="165"/>
  <c r="L282" i="165"/>
  <c r="L283" i="165" s="1"/>
  <c r="K32" i="165" s="1"/>
  <c r="K282" i="165"/>
  <c r="G258" i="165"/>
  <c r="D251" i="165"/>
  <c r="D223" i="165"/>
  <c r="D222" i="165"/>
  <c r="E219" i="165"/>
  <c r="D213" i="165"/>
  <c r="D197" i="165"/>
  <c r="D189" i="165"/>
  <c r="E186" i="165"/>
  <c r="D186" i="165"/>
  <c r="D185" i="165"/>
  <c r="J169" i="165"/>
  <c r="I169" i="165"/>
  <c r="J168" i="165"/>
  <c r="I168" i="165"/>
  <c r="J167" i="165"/>
  <c r="I167" i="165"/>
  <c r="E144" i="165"/>
  <c r="E143" i="165"/>
  <c r="E142" i="165"/>
  <c r="D132" i="165"/>
  <c r="D106" i="165"/>
  <c r="D114" i="165" s="1"/>
  <c r="D143" i="165" s="1"/>
  <c r="D105" i="165"/>
  <c r="D104" i="165"/>
  <c r="E103" i="165"/>
  <c r="D103" i="165"/>
  <c r="F168" i="165" s="1"/>
  <c r="D102" i="165"/>
  <c r="E100" i="165"/>
  <c r="D100" i="165"/>
  <c r="D99" i="165"/>
  <c r="D85" i="165"/>
  <c r="D84" i="165"/>
  <c r="E70" i="165"/>
  <c r="E69" i="165"/>
  <c r="E68" i="165"/>
  <c r="D67" i="165"/>
  <c r="E62" i="165"/>
  <c r="E61" i="165"/>
  <c r="D61" i="165"/>
  <c r="D60" i="165"/>
  <c r="AA42" i="165"/>
  <c r="V42" i="165"/>
  <c r="AA41" i="165"/>
  <c r="V41" i="165"/>
  <c r="AA40" i="165"/>
  <c r="V40" i="165"/>
  <c r="I39" i="165"/>
  <c r="B39" i="165"/>
  <c r="X38" i="165"/>
  <c r="W38" i="165"/>
  <c r="V38" i="165"/>
  <c r="V37" i="165"/>
  <c r="V36" i="165"/>
  <c r="B35" i="165"/>
  <c r="X34" i="165"/>
  <c r="W34" i="165"/>
  <c r="V34" i="165"/>
  <c r="V33" i="165"/>
  <c r="I33" i="165"/>
  <c r="V32" i="165"/>
  <c r="I32" i="165"/>
  <c r="K31" i="165"/>
  <c r="I31" i="165"/>
  <c r="D31" i="165"/>
  <c r="B31" i="165"/>
  <c r="V30" i="165"/>
  <c r="V29" i="165"/>
  <c r="V28" i="165"/>
  <c r="K28" i="165"/>
  <c r="K27" i="165"/>
  <c r="AA26" i="165"/>
  <c r="Y26" i="165"/>
  <c r="X26" i="165"/>
  <c r="V26" i="165"/>
  <c r="AA25" i="165"/>
  <c r="Y25" i="165"/>
  <c r="X25" i="165"/>
  <c r="V25" i="165"/>
  <c r="AF24" i="165"/>
  <c r="AF25" i="165" s="1"/>
  <c r="AF26" i="165" s="1"/>
  <c r="AA24" i="165"/>
  <c r="Y24" i="165"/>
  <c r="X24" i="165"/>
  <c r="V24" i="165"/>
  <c r="K23" i="165"/>
  <c r="AH16" i="165"/>
  <c r="AH32" i="165" s="1"/>
  <c r="AI32" i="165" s="1"/>
  <c r="X16" i="165"/>
  <c r="W16" i="165"/>
  <c r="V16" i="165"/>
  <c r="U16" i="165"/>
  <c r="L16" i="165"/>
  <c r="L15" i="165"/>
  <c r="E61" i="163"/>
  <c r="E65" i="163" s="1"/>
  <c r="E58" i="163"/>
  <c r="E57" i="163"/>
  <c r="H73" i="163"/>
  <c r="K23" i="163" s="1"/>
  <c r="E63" i="163"/>
  <c r="E67" i="163" s="1"/>
  <c r="E62" i="163"/>
  <c r="E66" i="163" s="1"/>
  <c r="D60" i="163"/>
  <c r="D58" i="163"/>
  <c r="E50" i="163"/>
  <c r="E49" i="163"/>
  <c r="D49" i="163"/>
  <c r="D50" i="163" s="1"/>
  <c r="AA26" i="163"/>
  <c r="AC26" i="163" s="1"/>
  <c r="V26" i="163"/>
  <c r="AA25" i="163"/>
  <c r="AC25" i="163" s="1"/>
  <c r="V25" i="163"/>
  <c r="AA24" i="163"/>
  <c r="AC24" i="163" s="1"/>
  <c r="V24" i="163"/>
  <c r="I23" i="163"/>
  <c r="B23" i="163"/>
  <c r="AH16" i="163"/>
  <c r="X16" i="163"/>
  <c r="W16" i="163"/>
  <c r="V16" i="163"/>
  <c r="U16" i="163"/>
  <c r="L16" i="163"/>
  <c r="L15" i="163"/>
  <c r="G307" i="165" l="1"/>
  <c r="G306" i="165"/>
  <c r="H306" i="165" s="1"/>
  <c r="E322" i="165" s="1"/>
  <c r="G39" i="165" s="1"/>
  <c r="D56" i="163"/>
  <c r="G56" i="163" s="1"/>
  <c r="G58" i="163"/>
  <c r="AC25" i="165"/>
  <c r="AC41" i="165"/>
  <c r="AC42" i="165"/>
  <c r="AC24" i="165"/>
  <c r="D35" i="165"/>
  <c r="J23" i="165"/>
  <c r="J23" i="163"/>
  <c r="AC26" i="165"/>
  <c r="R57" i="166" s="1"/>
  <c r="J32" i="165"/>
  <c r="J27" i="165"/>
  <c r="J31" i="165"/>
  <c r="J28" i="165"/>
  <c r="AC40" i="165"/>
  <c r="J39" i="165"/>
  <c r="Q59" i="166"/>
  <c r="R59" i="166"/>
  <c r="P59" i="166"/>
  <c r="AF47" i="169"/>
  <c r="AF44" i="169"/>
  <c r="AF45" i="169" s="1"/>
  <c r="AF46" i="169" s="1"/>
  <c r="F406" i="169"/>
  <c r="O34" i="165"/>
  <c r="D86" i="165"/>
  <c r="D229" i="165"/>
  <c r="D256" i="165" s="1"/>
  <c r="D109" i="165"/>
  <c r="D187" i="165"/>
  <c r="K35" i="165"/>
  <c r="AH23" i="165"/>
  <c r="AI23" i="165" s="1"/>
  <c r="AH28" i="165"/>
  <c r="AI28" i="165" s="1"/>
  <c r="D101" i="165"/>
  <c r="D111" i="165" s="1"/>
  <c r="AF31" i="165"/>
  <c r="AF28" i="165"/>
  <c r="AF29" i="165" s="1"/>
  <c r="AF30" i="165" s="1"/>
  <c r="L23" i="165"/>
  <c r="M23" i="165" s="1"/>
  <c r="L27" i="165"/>
  <c r="M27" i="165" s="1"/>
  <c r="L39" i="165"/>
  <c r="M39" i="165" s="1"/>
  <c r="O30" i="165"/>
  <c r="U30" i="165" s="1"/>
  <c r="O38" i="165"/>
  <c r="O40" i="165"/>
  <c r="O42" i="165"/>
  <c r="O25" i="165"/>
  <c r="O24" i="165"/>
  <c r="B27" i="165"/>
  <c r="AH31" i="165"/>
  <c r="AI31" i="165" s="1"/>
  <c r="D136" i="165"/>
  <c r="L284" i="165"/>
  <c r="K36" i="165"/>
  <c r="O26" i="165"/>
  <c r="L32" i="165"/>
  <c r="M32" i="165" s="1"/>
  <c r="AH39" i="165"/>
  <c r="AI39" i="165" s="1"/>
  <c r="AH27" i="165"/>
  <c r="AI27" i="165" s="1"/>
  <c r="L28" i="165"/>
  <c r="M28" i="165" s="1"/>
  <c r="L31" i="165"/>
  <c r="M31" i="165" s="1"/>
  <c r="O41" i="165"/>
  <c r="E346" i="165"/>
  <c r="O25" i="163"/>
  <c r="D57" i="163"/>
  <c r="G57" i="163" s="1"/>
  <c r="O26" i="163"/>
  <c r="AH23" i="163"/>
  <c r="AI23" i="163" s="1"/>
  <c r="E73" i="163"/>
  <c r="O24" i="163"/>
  <c r="L23" i="163"/>
  <c r="M23" i="163" s="1"/>
  <c r="R51" i="153"/>
  <c r="I39" i="152"/>
  <c r="B39" i="152"/>
  <c r="H246" i="152"/>
  <c r="K39" i="152" s="1"/>
  <c r="E236" i="152"/>
  <c r="E240" i="152" s="1"/>
  <c r="E235" i="152"/>
  <c r="E239" i="152" s="1"/>
  <c r="E234" i="152"/>
  <c r="D233" i="152"/>
  <c r="D231" i="152"/>
  <c r="D230" i="152"/>
  <c r="E224" i="152"/>
  <c r="E223" i="152"/>
  <c r="D223" i="152"/>
  <c r="D224" i="152" s="1"/>
  <c r="D51" i="152"/>
  <c r="D31" i="150"/>
  <c r="D79" i="150"/>
  <c r="G230" i="152" l="1"/>
  <c r="G231" i="152"/>
  <c r="H230" i="152" s="1"/>
  <c r="E246" i="152" s="1"/>
  <c r="G39" i="152" s="1"/>
  <c r="P57" i="166"/>
  <c r="Q57" i="166"/>
  <c r="D83" i="150"/>
  <c r="J36" i="165"/>
  <c r="D35" i="150"/>
  <c r="J35" i="165"/>
  <c r="H56" i="163"/>
  <c r="G23" i="163" s="1"/>
  <c r="D55" i="152"/>
  <c r="J39" i="152"/>
  <c r="Q28" i="165"/>
  <c r="R28" i="165" s="1"/>
  <c r="Q32" i="165"/>
  <c r="R32" i="165" s="1"/>
  <c r="R60" i="172"/>
  <c r="Q60" i="172"/>
  <c r="AF51" i="169"/>
  <c r="AF48" i="169"/>
  <c r="AF49" i="169" s="1"/>
  <c r="AF50" i="169" s="1"/>
  <c r="F167" i="165"/>
  <c r="D113" i="165"/>
  <c r="D142" i="165" s="1"/>
  <c r="D198" i="165"/>
  <c r="D199" i="165" s="1"/>
  <c r="D221" i="165" s="1"/>
  <c r="D233" i="165" s="1"/>
  <c r="D190" i="165"/>
  <c r="D219" i="165" s="1"/>
  <c r="L36" i="165"/>
  <c r="L35" i="165"/>
  <c r="M35" i="165" s="1"/>
  <c r="E229" i="165"/>
  <c r="F229" i="165" s="1"/>
  <c r="AH35" i="165"/>
  <c r="AI35" i="165" s="1"/>
  <c r="AH36" i="165"/>
  <c r="AI36" i="165" s="1"/>
  <c r="D139" i="165"/>
  <c r="D149" i="165" s="1"/>
  <c r="E256" i="165"/>
  <c r="K37" i="165"/>
  <c r="K33" i="165"/>
  <c r="K29" i="165"/>
  <c r="AF32" i="165"/>
  <c r="AF33" i="165" s="1"/>
  <c r="AF34" i="165" s="1"/>
  <c r="AF35" i="165"/>
  <c r="D148" i="165"/>
  <c r="W30" i="165"/>
  <c r="X30" i="165" s="1"/>
  <c r="I461" i="152"/>
  <c r="K43" i="152" s="1"/>
  <c r="H464" i="152"/>
  <c r="I46" i="152" s="1"/>
  <c r="H463" i="152"/>
  <c r="I45" i="152" s="1"/>
  <c r="H462" i="152"/>
  <c r="I44" i="152" s="1"/>
  <c r="H461" i="152"/>
  <c r="I43" i="152" s="1"/>
  <c r="D413" i="152"/>
  <c r="D412" i="152"/>
  <c r="F462" i="152" s="1"/>
  <c r="D404" i="152"/>
  <c r="D402" i="152"/>
  <c r="D386" i="152"/>
  <c r="D382" i="152"/>
  <c r="V46" i="152"/>
  <c r="V45" i="152"/>
  <c r="V44" i="152"/>
  <c r="B43" i="152"/>
  <c r="R52" i="153"/>
  <c r="Q48" i="153"/>
  <c r="C518" i="152"/>
  <c r="C519" i="152" s="1"/>
  <c r="E505" i="152"/>
  <c r="E504" i="152"/>
  <c r="E503" i="152"/>
  <c r="E498" i="152"/>
  <c r="E497" i="152"/>
  <c r="D497" i="152"/>
  <c r="D498" i="152" s="1"/>
  <c r="E512" i="152" s="1"/>
  <c r="G59" i="152" s="1"/>
  <c r="D484" i="152"/>
  <c r="D483" i="152"/>
  <c r="D482" i="152"/>
  <c r="K481" i="152"/>
  <c r="J481" i="152"/>
  <c r="I481" i="152"/>
  <c r="H481" i="152"/>
  <c r="G481" i="152"/>
  <c r="F481" i="152"/>
  <c r="E481" i="152"/>
  <c r="D481" i="152"/>
  <c r="I362" i="152"/>
  <c r="G362" i="152"/>
  <c r="L359" i="152"/>
  <c r="L360" i="152" s="1"/>
  <c r="I359" i="152"/>
  <c r="I360" i="152" s="1"/>
  <c r="D303" i="152"/>
  <c r="D302" i="152"/>
  <c r="J279" i="152"/>
  <c r="E273" i="152" s="1"/>
  <c r="E279" i="152" s="1"/>
  <c r="F272" i="152"/>
  <c r="E272" i="152"/>
  <c r="D272" i="152"/>
  <c r="W271" i="152"/>
  <c r="J271" i="152"/>
  <c r="D273" i="152" s="1"/>
  <c r="D279" i="152" s="1"/>
  <c r="D297" i="152" s="1"/>
  <c r="F271" i="152"/>
  <c r="F277" i="152" s="1"/>
  <c r="E271" i="152"/>
  <c r="E277" i="152" s="1"/>
  <c r="D271" i="152"/>
  <c r="D277" i="152" s="1"/>
  <c r="D300" i="152" s="1"/>
  <c r="O268" i="152"/>
  <c r="F273" i="152" s="1"/>
  <c r="F267" i="152"/>
  <c r="E267" i="152"/>
  <c r="D267" i="152"/>
  <c r="D294" i="152" s="1"/>
  <c r="J264" i="152"/>
  <c r="J259" i="152"/>
  <c r="J267" i="152" s="1"/>
  <c r="D252" i="152"/>
  <c r="E350" i="152" s="1"/>
  <c r="D251" i="152"/>
  <c r="K208" i="152"/>
  <c r="K484" i="152" s="1"/>
  <c r="K207" i="152"/>
  <c r="K483" i="152" s="1"/>
  <c r="L206" i="152"/>
  <c r="L207" i="152" s="1"/>
  <c r="K36" i="152" s="1"/>
  <c r="K206" i="152"/>
  <c r="K482" i="152" s="1"/>
  <c r="G183" i="152"/>
  <c r="D176" i="152"/>
  <c r="D148" i="152"/>
  <c r="D147" i="152"/>
  <c r="E144" i="152"/>
  <c r="D138" i="152"/>
  <c r="D122" i="152"/>
  <c r="D114" i="152"/>
  <c r="E111" i="152"/>
  <c r="D111" i="152"/>
  <c r="D110" i="152"/>
  <c r="E90" i="152"/>
  <c r="E89" i="152"/>
  <c r="E88" i="152"/>
  <c r="D87" i="152"/>
  <c r="E82" i="152"/>
  <c r="E81" i="152"/>
  <c r="D81" i="152"/>
  <c r="D80" i="152"/>
  <c r="AA62" i="152"/>
  <c r="Y62" i="152"/>
  <c r="X62" i="152"/>
  <c r="V62" i="152"/>
  <c r="AA61" i="152"/>
  <c r="Y61" i="152"/>
  <c r="X61" i="152"/>
  <c r="V61" i="152"/>
  <c r="AA60" i="152"/>
  <c r="Y60" i="152"/>
  <c r="X60" i="152"/>
  <c r="V60" i="152"/>
  <c r="K59" i="152"/>
  <c r="I59" i="152"/>
  <c r="AA58" i="152"/>
  <c r="Y58" i="152"/>
  <c r="X58" i="152"/>
  <c r="W58" i="152"/>
  <c r="V58" i="152"/>
  <c r="V57" i="152"/>
  <c r="V56" i="152"/>
  <c r="AA54" i="152"/>
  <c r="Y54" i="152"/>
  <c r="X54" i="152"/>
  <c r="W54" i="152"/>
  <c r="V54" i="152"/>
  <c r="V53" i="152"/>
  <c r="V52" i="152"/>
  <c r="B51" i="152"/>
  <c r="B55" i="152" s="1"/>
  <c r="AA50" i="152"/>
  <c r="Y50" i="152"/>
  <c r="X50" i="152"/>
  <c r="W50" i="152"/>
  <c r="V50" i="152"/>
  <c r="V49" i="152"/>
  <c r="K49" i="152"/>
  <c r="V48" i="152"/>
  <c r="K48" i="152"/>
  <c r="K47" i="152"/>
  <c r="X38" i="152"/>
  <c r="W38" i="152"/>
  <c r="V38" i="152"/>
  <c r="V37" i="152"/>
  <c r="V36" i="152"/>
  <c r="X34" i="152"/>
  <c r="W34" i="152"/>
  <c r="V34" i="152"/>
  <c r="V33" i="152"/>
  <c r="I33" i="152"/>
  <c r="V32" i="152"/>
  <c r="I32" i="152"/>
  <c r="I31" i="152"/>
  <c r="B31" i="152"/>
  <c r="B35" i="152" s="1"/>
  <c r="V30" i="152"/>
  <c r="V29" i="152"/>
  <c r="V28" i="152"/>
  <c r="AA26" i="152"/>
  <c r="Y26" i="152"/>
  <c r="X26" i="152"/>
  <c r="V26" i="152"/>
  <c r="AA25" i="152"/>
  <c r="Y25" i="152"/>
  <c r="X25" i="152"/>
  <c r="V25" i="152"/>
  <c r="AF24" i="152"/>
  <c r="AF25" i="152" s="1"/>
  <c r="AF26" i="152" s="1"/>
  <c r="AA24" i="152"/>
  <c r="Y24" i="152"/>
  <c r="X24" i="152"/>
  <c r="V24" i="152"/>
  <c r="K23" i="152"/>
  <c r="AH16" i="152"/>
  <c r="X16" i="152"/>
  <c r="W16" i="152"/>
  <c r="V16" i="152"/>
  <c r="U16" i="152"/>
  <c r="L16" i="152"/>
  <c r="L15" i="152"/>
  <c r="I55" i="150"/>
  <c r="I56" i="150"/>
  <c r="I57" i="150"/>
  <c r="I51" i="150"/>
  <c r="I52" i="150"/>
  <c r="I53" i="150"/>
  <c r="I54" i="150"/>
  <c r="D645" i="107"/>
  <c r="D644" i="107"/>
  <c r="I464" i="150"/>
  <c r="K54" i="150" s="1"/>
  <c r="G464" i="150"/>
  <c r="L461" i="150"/>
  <c r="K55" i="150" s="1"/>
  <c r="I461" i="150"/>
  <c r="K51" i="150" s="1"/>
  <c r="D404" i="150"/>
  <c r="D403" i="150"/>
  <c r="J380" i="150"/>
  <c r="E374" i="150" s="1"/>
  <c r="E380" i="150" s="1"/>
  <c r="F373" i="150"/>
  <c r="E373" i="150"/>
  <c r="D373" i="150"/>
  <c r="W372" i="150"/>
  <c r="J372" i="150"/>
  <c r="D374" i="150" s="1"/>
  <c r="D380" i="150" s="1"/>
  <c r="F372" i="150"/>
  <c r="D400" i="150" s="1"/>
  <c r="D452" i="150" s="1"/>
  <c r="E372" i="150"/>
  <c r="E378" i="150" s="1"/>
  <c r="D372" i="150"/>
  <c r="D378" i="150" s="1"/>
  <c r="O369" i="150"/>
  <c r="F374" i="150" s="1"/>
  <c r="F380" i="150" s="1"/>
  <c r="D398" i="150" s="1"/>
  <c r="F368" i="150"/>
  <c r="D395" i="150" s="1"/>
  <c r="E368" i="150"/>
  <c r="D368" i="150"/>
  <c r="J365" i="150"/>
  <c r="J360" i="150"/>
  <c r="J375" i="150" s="1"/>
  <c r="D350" i="150"/>
  <c r="D352" i="150" s="1"/>
  <c r="D353" i="150" s="1"/>
  <c r="E451" i="150" s="1"/>
  <c r="J454" i="84"/>
  <c r="E457" i="84"/>
  <c r="F457" i="84"/>
  <c r="D457" i="84"/>
  <c r="J575" i="84"/>
  <c r="E578" i="84"/>
  <c r="F578" i="84"/>
  <c r="D578" i="84"/>
  <c r="AA58" i="150"/>
  <c r="Y58" i="150"/>
  <c r="X58" i="150"/>
  <c r="W58" i="150"/>
  <c r="V58" i="150"/>
  <c r="V57" i="150"/>
  <c r="V56" i="150"/>
  <c r="V54" i="150"/>
  <c r="V53" i="150"/>
  <c r="V52" i="150"/>
  <c r="B51" i="150"/>
  <c r="D75" i="107"/>
  <c r="B55" i="150"/>
  <c r="D58" i="151"/>
  <c r="E751" i="150"/>
  <c r="E750" i="150"/>
  <c r="E749" i="150"/>
  <c r="E744" i="150"/>
  <c r="E743" i="150"/>
  <c r="D743" i="150"/>
  <c r="D744" i="150" s="1"/>
  <c r="D730" i="150"/>
  <c r="D729" i="150"/>
  <c r="D728" i="150"/>
  <c r="K727" i="150"/>
  <c r="J727" i="150"/>
  <c r="I727" i="150"/>
  <c r="H727" i="150"/>
  <c r="G727" i="150"/>
  <c r="F727" i="150"/>
  <c r="E727" i="150"/>
  <c r="D727" i="150"/>
  <c r="K236" i="150"/>
  <c r="K730" i="150" s="1"/>
  <c r="K235" i="150"/>
  <c r="K729" i="150" s="1"/>
  <c r="L234" i="150"/>
  <c r="L235" i="150" s="1"/>
  <c r="L236" i="150" s="1"/>
  <c r="K37" i="150" s="1"/>
  <c r="K234" i="150"/>
  <c r="K728" i="150" s="1"/>
  <c r="G211" i="150"/>
  <c r="D204" i="150"/>
  <c r="D176" i="150"/>
  <c r="D175" i="150"/>
  <c r="E172" i="150"/>
  <c r="D166" i="150"/>
  <c r="D150" i="150"/>
  <c r="D142" i="150"/>
  <c r="E139" i="150"/>
  <c r="D139" i="150"/>
  <c r="D138" i="150"/>
  <c r="E118" i="150"/>
  <c r="E117" i="150"/>
  <c r="E116" i="150"/>
  <c r="D115" i="150"/>
  <c r="E110" i="150"/>
  <c r="E109" i="150"/>
  <c r="D109" i="150"/>
  <c r="D108" i="150"/>
  <c r="AA90" i="150"/>
  <c r="Y90" i="150"/>
  <c r="X90" i="150"/>
  <c r="V90" i="150"/>
  <c r="AA89" i="150"/>
  <c r="Y89" i="150"/>
  <c r="X89" i="150"/>
  <c r="V89" i="150"/>
  <c r="AA88" i="150"/>
  <c r="Y88" i="150"/>
  <c r="X88" i="150"/>
  <c r="V88" i="150"/>
  <c r="K87" i="150"/>
  <c r="I87" i="150"/>
  <c r="AA86" i="150"/>
  <c r="Y86" i="150"/>
  <c r="X86" i="150"/>
  <c r="W86" i="150"/>
  <c r="V86" i="150"/>
  <c r="V85" i="150"/>
  <c r="V84" i="150"/>
  <c r="AA82" i="150"/>
  <c r="Y82" i="150"/>
  <c r="X82" i="150"/>
  <c r="W82" i="150"/>
  <c r="V82" i="150"/>
  <c r="V81" i="150"/>
  <c r="V80" i="150"/>
  <c r="B79" i="150"/>
  <c r="B83" i="150" s="1"/>
  <c r="AA78" i="150"/>
  <c r="Y78" i="150"/>
  <c r="X78" i="150"/>
  <c r="W78" i="150"/>
  <c r="V78" i="150"/>
  <c r="V77" i="150"/>
  <c r="K77" i="150"/>
  <c r="V76" i="150"/>
  <c r="K76" i="150"/>
  <c r="K75" i="150"/>
  <c r="X38" i="150"/>
  <c r="W38" i="150"/>
  <c r="V38" i="150"/>
  <c r="V37" i="150"/>
  <c r="V36" i="150"/>
  <c r="X34" i="150"/>
  <c r="W34" i="150"/>
  <c r="V34" i="150"/>
  <c r="V33" i="150"/>
  <c r="I33" i="150"/>
  <c r="V32" i="150"/>
  <c r="I32" i="150"/>
  <c r="I31" i="150"/>
  <c r="B31" i="150"/>
  <c r="V30" i="150"/>
  <c r="V29" i="150"/>
  <c r="V28" i="150"/>
  <c r="AA26" i="150"/>
  <c r="Y26" i="150"/>
  <c r="X26" i="150"/>
  <c r="V26" i="150"/>
  <c r="AA25" i="150"/>
  <c r="Y25" i="150"/>
  <c r="X25" i="150"/>
  <c r="V25" i="150"/>
  <c r="AF24" i="150"/>
  <c r="AF25" i="150" s="1"/>
  <c r="AF26" i="150" s="1"/>
  <c r="AA24" i="150"/>
  <c r="Y24" i="150"/>
  <c r="X24" i="150"/>
  <c r="V24" i="150"/>
  <c r="K23" i="150"/>
  <c r="AH16" i="150"/>
  <c r="X16" i="150"/>
  <c r="W16" i="150"/>
  <c r="V16" i="150"/>
  <c r="U16" i="150"/>
  <c r="L16" i="150"/>
  <c r="L15" i="150"/>
  <c r="K79" i="150" l="1"/>
  <c r="AC86" i="150"/>
  <c r="J55" i="150"/>
  <c r="AC25" i="152"/>
  <c r="J59" i="152"/>
  <c r="AC61" i="152"/>
  <c r="K80" i="150"/>
  <c r="AC78" i="150"/>
  <c r="AC82" i="150"/>
  <c r="D79" i="107"/>
  <c r="K53" i="152"/>
  <c r="J36" i="152"/>
  <c r="AC25" i="150"/>
  <c r="J87" i="150"/>
  <c r="AC89" i="150"/>
  <c r="J54" i="150"/>
  <c r="J37" i="150"/>
  <c r="AC24" i="152"/>
  <c r="J23" i="150"/>
  <c r="K81" i="150"/>
  <c r="AC58" i="150"/>
  <c r="AC26" i="152"/>
  <c r="AC60" i="152"/>
  <c r="AC62" i="152"/>
  <c r="AC24" i="150"/>
  <c r="AC26" i="150"/>
  <c r="AC88" i="150"/>
  <c r="AC90" i="150"/>
  <c r="K51" i="152"/>
  <c r="AC58" i="152"/>
  <c r="J51" i="150"/>
  <c r="J23" i="152"/>
  <c r="K52" i="152"/>
  <c r="AC50" i="152"/>
  <c r="AC54" i="152"/>
  <c r="J43" i="152"/>
  <c r="W373" i="150"/>
  <c r="D299" i="152"/>
  <c r="W53" i="151"/>
  <c r="H54" i="150"/>
  <c r="B35" i="150"/>
  <c r="B39" i="150" s="1"/>
  <c r="B43" i="150" s="1"/>
  <c r="B47" i="150" s="1"/>
  <c r="B59" i="150"/>
  <c r="B67" i="150"/>
  <c r="L60" i="150"/>
  <c r="M60" i="150" s="1"/>
  <c r="Q60" i="150" s="1"/>
  <c r="R60" i="150" s="1"/>
  <c r="L61" i="150"/>
  <c r="L59" i="150"/>
  <c r="M59" i="150" s="1"/>
  <c r="L64" i="150"/>
  <c r="L62" i="150"/>
  <c r="M62" i="150" s="1"/>
  <c r="N62" i="150" s="1"/>
  <c r="O62" i="150" s="1"/>
  <c r="U62" i="150" s="1"/>
  <c r="L65" i="150"/>
  <c r="M65" i="150" s="1"/>
  <c r="L63" i="150"/>
  <c r="M63" i="150" s="1"/>
  <c r="AH60" i="150"/>
  <c r="AI60" i="150" s="1"/>
  <c r="AH65" i="150"/>
  <c r="AI65" i="150" s="1"/>
  <c r="AH59" i="150"/>
  <c r="AI59" i="150" s="1"/>
  <c r="AH64" i="150"/>
  <c r="AI64" i="150" s="1"/>
  <c r="AH63" i="150"/>
  <c r="AI63" i="150" s="1"/>
  <c r="AH61" i="150"/>
  <c r="AI61" i="150" s="1"/>
  <c r="O66" i="150"/>
  <c r="L44" i="150"/>
  <c r="M44" i="150" s="1"/>
  <c r="Q44" i="150" s="1"/>
  <c r="R44" i="150" s="1"/>
  <c r="L45" i="150"/>
  <c r="M45" i="150" s="1"/>
  <c r="L43" i="150"/>
  <c r="M43" i="150" s="1"/>
  <c r="L39" i="150"/>
  <c r="M39" i="150" s="1"/>
  <c r="L48" i="150"/>
  <c r="L40" i="150"/>
  <c r="L49" i="150"/>
  <c r="M49" i="150" s="1"/>
  <c r="L47" i="150"/>
  <c r="M47" i="150" s="1"/>
  <c r="L41" i="150"/>
  <c r="M41" i="150" s="1"/>
  <c r="U46" i="150"/>
  <c r="U50" i="150"/>
  <c r="U42" i="150"/>
  <c r="AH44" i="150"/>
  <c r="AH49" i="150"/>
  <c r="AH43" i="150"/>
  <c r="AH41" i="150"/>
  <c r="AH48" i="150"/>
  <c r="AI48" i="150" s="1"/>
  <c r="AH40" i="150"/>
  <c r="AI40" i="150" s="1"/>
  <c r="AH47" i="150"/>
  <c r="AI47" i="150" s="1"/>
  <c r="AH45" i="150"/>
  <c r="AH39" i="150"/>
  <c r="O74" i="150"/>
  <c r="L68" i="150"/>
  <c r="M68" i="150" s="1"/>
  <c r="Q68" i="150" s="1"/>
  <c r="R68" i="150" s="1"/>
  <c r="L70" i="150"/>
  <c r="M70" i="150" s="1"/>
  <c r="N70" i="150" s="1"/>
  <c r="O70" i="150" s="1"/>
  <c r="U70" i="150" s="1"/>
  <c r="L69" i="150"/>
  <c r="L67" i="150"/>
  <c r="L71" i="150"/>
  <c r="M71" i="150" s="1"/>
  <c r="L72" i="150"/>
  <c r="L73" i="150"/>
  <c r="M73" i="150" s="1"/>
  <c r="AH68" i="150"/>
  <c r="AH73" i="150"/>
  <c r="AI73" i="150" s="1"/>
  <c r="AH67" i="150"/>
  <c r="AI67" i="150" s="1"/>
  <c r="AH71" i="150"/>
  <c r="AI71" i="150" s="1"/>
  <c r="AH69" i="150"/>
  <c r="AI69" i="150" s="1"/>
  <c r="AH72" i="150"/>
  <c r="AI72" i="150" s="1"/>
  <c r="M36" i="165"/>
  <c r="Q36" i="165" s="1"/>
  <c r="R36" i="165" s="1"/>
  <c r="D388" i="152"/>
  <c r="D408" i="152" s="1"/>
  <c r="D387" i="152"/>
  <c r="I462" i="152"/>
  <c r="D295" i="152"/>
  <c r="E351" i="152"/>
  <c r="AF55" i="169"/>
  <c r="AF52" i="169"/>
  <c r="AF53" i="169" s="1"/>
  <c r="AF54" i="169" s="1"/>
  <c r="F233" i="165"/>
  <c r="F258" i="165" s="1"/>
  <c r="E233" i="165"/>
  <c r="E258" i="165" s="1"/>
  <c r="D258" i="165"/>
  <c r="AF39" i="165"/>
  <c r="AF36" i="165"/>
  <c r="AF37" i="165" s="1"/>
  <c r="AF38" i="165" s="1"/>
  <c r="F256" i="165"/>
  <c r="J29" i="165"/>
  <c r="AH29" i="165"/>
  <c r="AI29" i="165" s="1"/>
  <c r="L29" i="165"/>
  <c r="M29" i="165" s="1"/>
  <c r="J37" i="165"/>
  <c r="L37" i="165"/>
  <c r="M37" i="165" s="1"/>
  <c r="AH37" i="165"/>
  <c r="AI37" i="165" s="1"/>
  <c r="AH33" i="165"/>
  <c r="AI33" i="165" s="1"/>
  <c r="J33" i="165"/>
  <c r="L33" i="165"/>
  <c r="M33" i="165" s="1"/>
  <c r="K35" i="150"/>
  <c r="D396" i="150"/>
  <c r="I462" i="150"/>
  <c r="L462" i="150"/>
  <c r="F378" i="150"/>
  <c r="D401" i="150" s="1"/>
  <c r="E452" i="150" s="1"/>
  <c r="E453" i="150" s="1"/>
  <c r="J468" i="150" s="1"/>
  <c r="L39" i="152"/>
  <c r="M39" i="152" s="1"/>
  <c r="AH41" i="152"/>
  <c r="AH39" i="152"/>
  <c r="AI39" i="152" s="1"/>
  <c r="AH40" i="152"/>
  <c r="AI40" i="152" s="1"/>
  <c r="AJ40" i="152" s="1"/>
  <c r="D308" i="152"/>
  <c r="D329" i="152" s="1"/>
  <c r="J48" i="152"/>
  <c r="D407" i="152"/>
  <c r="D416" i="152"/>
  <c r="D112" i="152"/>
  <c r="D123" i="152" s="1"/>
  <c r="L43" i="152"/>
  <c r="M43" i="152" s="1"/>
  <c r="AH43" i="152"/>
  <c r="AI43" i="152" s="1"/>
  <c r="W272" i="152"/>
  <c r="D351" i="152"/>
  <c r="D154" i="152"/>
  <c r="D181" i="152" s="1"/>
  <c r="E181" i="152" s="1"/>
  <c r="O265" i="152"/>
  <c r="J49" i="152"/>
  <c r="J274" i="152"/>
  <c r="I361" i="152"/>
  <c r="L361" i="152"/>
  <c r="L49" i="152"/>
  <c r="M49" i="152" s="1"/>
  <c r="L208" i="152"/>
  <c r="K35" i="152"/>
  <c r="J47" i="152"/>
  <c r="K32" i="152"/>
  <c r="K28" i="152"/>
  <c r="U30" i="152"/>
  <c r="W30" i="152" s="1"/>
  <c r="X30" i="152" s="1"/>
  <c r="K27" i="152"/>
  <c r="E308" i="152"/>
  <c r="E329" i="152" s="1"/>
  <c r="K31" i="152"/>
  <c r="L51" i="152"/>
  <c r="M51" i="152" s="1"/>
  <c r="AH59" i="152"/>
  <c r="AI59" i="152" s="1"/>
  <c r="AH53" i="152"/>
  <c r="AI53" i="152" s="1"/>
  <c r="AH48" i="152"/>
  <c r="AI48" i="152" s="1"/>
  <c r="AH49" i="152"/>
  <c r="AI49" i="152" s="1"/>
  <c r="AH51" i="152"/>
  <c r="AI51" i="152" s="1"/>
  <c r="AH52" i="152"/>
  <c r="AI52" i="152" s="1"/>
  <c r="AH47" i="152"/>
  <c r="AI47" i="152" s="1"/>
  <c r="AH36" i="152"/>
  <c r="AI36" i="152" s="1"/>
  <c r="J51" i="152"/>
  <c r="AH23" i="152"/>
  <c r="L53" i="152"/>
  <c r="M53" i="152" s="1"/>
  <c r="L59" i="152"/>
  <c r="M59" i="152" s="1"/>
  <c r="L52" i="152"/>
  <c r="M52" i="152" s="1"/>
  <c r="L48" i="152"/>
  <c r="M48" i="152" s="1"/>
  <c r="L23" i="152"/>
  <c r="L36" i="152"/>
  <c r="M36" i="152" s="1"/>
  <c r="L47" i="152"/>
  <c r="M47" i="152" s="1"/>
  <c r="AF28" i="152"/>
  <c r="AF29" i="152" s="1"/>
  <c r="AF30" i="152" s="1"/>
  <c r="AF31" i="152"/>
  <c r="J53" i="152"/>
  <c r="K57" i="152"/>
  <c r="K56" i="152"/>
  <c r="E352" i="152"/>
  <c r="J366" i="152" s="1"/>
  <c r="D531" i="152"/>
  <c r="D532" i="152" s="1"/>
  <c r="D527" i="152"/>
  <c r="F279" i="152"/>
  <c r="O273" i="152"/>
  <c r="D289" i="152"/>
  <c r="D310" i="152" s="1"/>
  <c r="D350" i="152"/>
  <c r="D409" i="150"/>
  <c r="D430" i="150" s="1"/>
  <c r="D390" i="150"/>
  <c r="E409" i="150"/>
  <c r="E430" i="150" s="1"/>
  <c r="J368" i="150"/>
  <c r="O366" i="150"/>
  <c r="O374" i="150"/>
  <c r="D451" i="150"/>
  <c r="D453" i="150" s="1"/>
  <c r="G468" i="150" s="1"/>
  <c r="K33" i="150"/>
  <c r="K31" i="150"/>
  <c r="J75" i="150"/>
  <c r="J77" i="150"/>
  <c r="O58" i="150"/>
  <c r="L51" i="150"/>
  <c r="M51" i="150" s="1"/>
  <c r="AH51" i="150"/>
  <c r="AI51" i="150" s="1"/>
  <c r="L54" i="150"/>
  <c r="M54" i="150" s="1"/>
  <c r="L55" i="150"/>
  <c r="AH55" i="150"/>
  <c r="AI55" i="150" s="1"/>
  <c r="D140" i="150"/>
  <c r="D151" i="150" s="1"/>
  <c r="D152" i="150" s="1"/>
  <c r="D174" i="150" s="1"/>
  <c r="K36" i="150"/>
  <c r="L37" i="150"/>
  <c r="M37" i="150" s="1"/>
  <c r="K29" i="150"/>
  <c r="K32" i="150"/>
  <c r="K27" i="150"/>
  <c r="K28" i="150"/>
  <c r="J76" i="150"/>
  <c r="D182" i="150"/>
  <c r="E182" i="150" s="1"/>
  <c r="F182" i="150" s="1"/>
  <c r="U30" i="150"/>
  <c r="L87" i="150"/>
  <c r="M87" i="150" s="1"/>
  <c r="L80" i="150"/>
  <c r="M80" i="150" s="1"/>
  <c r="L79" i="150"/>
  <c r="M79" i="150" s="1"/>
  <c r="L77" i="150"/>
  <c r="M77" i="150" s="1"/>
  <c r="L76" i="150"/>
  <c r="M76" i="150" s="1"/>
  <c r="L75" i="150"/>
  <c r="M75" i="150" s="1"/>
  <c r="L81" i="150"/>
  <c r="M81" i="150" s="1"/>
  <c r="L35" i="150"/>
  <c r="M35" i="150" s="1"/>
  <c r="L23" i="150"/>
  <c r="AH77" i="150"/>
  <c r="AI77" i="150" s="1"/>
  <c r="AH87" i="150"/>
  <c r="AI87" i="150" s="1"/>
  <c r="AH79" i="150"/>
  <c r="AI79" i="150" s="1"/>
  <c r="AH76" i="150"/>
  <c r="AI76" i="150" s="1"/>
  <c r="AH81" i="150"/>
  <c r="AI81" i="150" s="1"/>
  <c r="AH80" i="150"/>
  <c r="AI80" i="150" s="1"/>
  <c r="AH37" i="150"/>
  <c r="AI37" i="150" s="1"/>
  <c r="AH75" i="150"/>
  <c r="AI75" i="150" s="1"/>
  <c r="AH23" i="150"/>
  <c r="AH35" i="150"/>
  <c r="AI35" i="150" s="1"/>
  <c r="J81" i="150"/>
  <c r="K85" i="150"/>
  <c r="J80" i="150"/>
  <c r="K84" i="150"/>
  <c r="K83" i="150"/>
  <c r="E758" i="150"/>
  <c r="G87" i="150" s="1"/>
  <c r="W57" i="151" l="1"/>
  <c r="V47" i="151"/>
  <c r="O47" i="153"/>
  <c r="W47" i="151"/>
  <c r="U47" i="151"/>
  <c r="Q47" i="153"/>
  <c r="Q52" i="153"/>
  <c r="P47" i="153"/>
  <c r="J27" i="150"/>
  <c r="J57" i="152"/>
  <c r="J31" i="152"/>
  <c r="J32" i="150"/>
  <c r="J35" i="150"/>
  <c r="J29" i="150"/>
  <c r="J27" i="152"/>
  <c r="J83" i="150"/>
  <c r="J36" i="150"/>
  <c r="J28" i="152"/>
  <c r="J84" i="150"/>
  <c r="E411" i="150"/>
  <c r="E415" i="150" s="1"/>
  <c r="D411" i="150"/>
  <c r="J32" i="152"/>
  <c r="J31" i="150"/>
  <c r="J85" i="150"/>
  <c r="J28" i="150"/>
  <c r="J33" i="150"/>
  <c r="J56" i="152"/>
  <c r="J35" i="152"/>
  <c r="J52" i="152"/>
  <c r="K55" i="152"/>
  <c r="J79" i="150"/>
  <c r="D419" i="152"/>
  <c r="D393" i="152"/>
  <c r="G464" i="152" s="1"/>
  <c r="H46" i="152" s="1"/>
  <c r="Q48" i="152"/>
  <c r="R48" i="152" s="1"/>
  <c r="Q52" i="152"/>
  <c r="R52" i="152" s="1"/>
  <c r="Q36" i="152"/>
  <c r="R36" i="152" s="1"/>
  <c r="W62" i="150"/>
  <c r="X62" i="150" s="1"/>
  <c r="M64" i="150"/>
  <c r="Q64" i="150" s="1"/>
  <c r="R64" i="150" s="1"/>
  <c r="M61" i="150"/>
  <c r="AI41" i="150"/>
  <c r="AI43" i="150"/>
  <c r="AI45" i="150"/>
  <c r="W46" i="150"/>
  <c r="X46" i="150" s="1"/>
  <c r="Y46" i="150" s="1"/>
  <c r="AA46" i="150" s="1"/>
  <c r="AI49" i="150"/>
  <c r="M40" i="150"/>
  <c r="Q40" i="150" s="1"/>
  <c r="R40" i="150" s="1"/>
  <c r="AI44" i="150"/>
  <c r="M48" i="150"/>
  <c r="Q48" i="150" s="1"/>
  <c r="R48" i="150" s="1"/>
  <c r="W42" i="150"/>
  <c r="X42" i="150" s="1"/>
  <c r="Y42" i="150" s="1"/>
  <c r="AA42" i="150" s="1"/>
  <c r="AI39" i="150"/>
  <c r="W50" i="150"/>
  <c r="M72" i="150"/>
  <c r="AI68" i="150"/>
  <c r="W70" i="150"/>
  <c r="X70" i="150" s="1"/>
  <c r="M67" i="150"/>
  <c r="M69" i="150"/>
  <c r="Q76" i="150"/>
  <c r="R76" i="150" s="1"/>
  <c r="Q80" i="150"/>
  <c r="R80" i="150" s="1"/>
  <c r="D352" i="152"/>
  <c r="G366" i="152" s="1"/>
  <c r="I463" i="152"/>
  <c r="K44" i="152"/>
  <c r="AF59" i="169"/>
  <c r="AF56" i="169"/>
  <c r="AF40" i="165"/>
  <c r="AF41" i="165" s="1"/>
  <c r="AF42" i="165" s="1"/>
  <c r="AH33" i="150"/>
  <c r="AI33" i="150" s="1"/>
  <c r="AH31" i="150"/>
  <c r="AI31" i="150" s="1"/>
  <c r="D415" i="150"/>
  <c r="AF28" i="150"/>
  <c r="AF29" i="150" s="1"/>
  <c r="AF30" i="150" s="1"/>
  <c r="AF31" i="150"/>
  <c r="L31" i="150"/>
  <c r="M31" i="150" s="1"/>
  <c r="L463" i="150"/>
  <c r="K57" i="150" s="1"/>
  <c r="K56" i="150"/>
  <c r="L33" i="150"/>
  <c r="M33" i="150" s="1"/>
  <c r="I463" i="150"/>
  <c r="K53" i="150" s="1"/>
  <c r="K52" i="150"/>
  <c r="AI41" i="152"/>
  <c r="AJ41" i="152" s="1"/>
  <c r="D314" i="152"/>
  <c r="D312" i="152" s="1"/>
  <c r="AH57" i="152"/>
  <c r="AI57" i="152" s="1"/>
  <c r="E154" i="152"/>
  <c r="F154" i="152" s="1"/>
  <c r="D115" i="152"/>
  <c r="D144" i="152" s="1"/>
  <c r="L35" i="152"/>
  <c r="M35" i="152" s="1"/>
  <c r="AH28" i="152"/>
  <c r="AI28" i="152" s="1"/>
  <c r="AH35" i="152"/>
  <c r="AI35" i="152" s="1"/>
  <c r="D418" i="152"/>
  <c r="D438" i="152" s="1"/>
  <c r="D437" i="152"/>
  <c r="D124" i="152"/>
  <c r="D146" i="152" s="1"/>
  <c r="F158" i="152" s="1"/>
  <c r="L28" i="152"/>
  <c r="L31" i="152"/>
  <c r="M31" i="152" s="1"/>
  <c r="AH31" i="152"/>
  <c r="AI31" i="152" s="1"/>
  <c r="AI23" i="152"/>
  <c r="L27" i="152"/>
  <c r="M27" i="152" s="1"/>
  <c r="M23" i="152"/>
  <c r="AH27" i="152"/>
  <c r="AI27" i="152" s="1"/>
  <c r="K33" i="152"/>
  <c r="K29" i="152"/>
  <c r="K37" i="152"/>
  <c r="L32" i="152"/>
  <c r="AH32" i="152"/>
  <c r="AI32" i="152" s="1"/>
  <c r="AF35" i="152"/>
  <c r="AF39" i="152" s="1"/>
  <c r="AF40" i="152" s="1"/>
  <c r="AF41" i="152" s="1"/>
  <c r="AF42" i="152" s="1"/>
  <c r="AF32" i="152"/>
  <c r="AF33" i="152" s="1"/>
  <c r="AF34" i="152" s="1"/>
  <c r="AH56" i="152"/>
  <c r="AI56" i="152" s="1"/>
  <c r="E310" i="152"/>
  <c r="E314" i="152" s="1"/>
  <c r="L56" i="152"/>
  <c r="F181" i="152"/>
  <c r="L57" i="152"/>
  <c r="M57" i="152" s="1"/>
  <c r="D209" i="150"/>
  <c r="E209" i="150" s="1"/>
  <c r="D143" i="150"/>
  <c r="D172" i="150" s="1"/>
  <c r="AH32" i="150"/>
  <c r="AI32" i="150" s="1"/>
  <c r="L36" i="150"/>
  <c r="AH36" i="150"/>
  <c r="AI36" i="150" s="1"/>
  <c r="L32" i="150"/>
  <c r="AH27" i="150"/>
  <c r="AI27" i="150" s="1"/>
  <c r="L29" i="150"/>
  <c r="M29" i="150" s="1"/>
  <c r="AH83" i="150"/>
  <c r="AI83" i="150" s="1"/>
  <c r="AH29" i="150"/>
  <c r="AI29" i="150" s="1"/>
  <c r="L85" i="150"/>
  <c r="M85" i="150" s="1"/>
  <c r="L27" i="150"/>
  <c r="M27" i="150" s="1"/>
  <c r="L28" i="150"/>
  <c r="M55" i="150"/>
  <c r="N54" i="150"/>
  <c r="O54" i="150" s="1"/>
  <c r="U54" i="150" s="1"/>
  <c r="AH28" i="150"/>
  <c r="AI28" i="150" s="1"/>
  <c r="L83" i="150"/>
  <c r="M83" i="150" s="1"/>
  <c r="AH85" i="150"/>
  <c r="AI85" i="150" s="1"/>
  <c r="AH84" i="150"/>
  <c r="AI84" i="150" s="1"/>
  <c r="W30" i="150"/>
  <c r="X30" i="150" s="1"/>
  <c r="L84" i="150"/>
  <c r="M23" i="150"/>
  <c r="AI23" i="150"/>
  <c r="F186" i="150"/>
  <c r="E186" i="150"/>
  <c r="D186" i="150"/>
  <c r="J55" i="152" l="1"/>
  <c r="AH55" i="152"/>
  <c r="AI55" i="152" s="1"/>
  <c r="L55" i="152"/>
  <c r="M55" i="152" s="1"/>
  <c r="D413" i="150"/>
  <c r="E461" i="150"/>
  <c r="G51" i="150" s="1"/>
  <c r="E413" i="150"/>
  <c r="E444" i="150" s="1"/>
  <c r="E445" i="150" s="1"/>
  <c r="F461" i="150"/>
  <c r="G55" i="150" s="1"/>
  <c r="M56" i="152"/>
  <c r="Q56" i="152" s="1"/>
  <c r="R56" i="152" s="1"/>
  <c r="M32" i="152"/>
  <c r="Q32" i="152"/>
  <c r="R32" i="152" s="1"/>
  <c r="M28" i="152"/>
  <c r="Q28" i="152" s="1"/>
  <c r="R28" i="152" s="1"/>
  <c r="Y62" i="150"/>
  <c r="AA62" i="150" s="1"/>
  <c r="X50" i="150"/>
  <c r="Y50" i="150" s="1"/>
  <c r="AA50" i="150" s="1"/>
  <c r="Q72" i="150"/>
  <c r="R72" i="150" s="1"/>
  <c r="Y70" i="150"/>
  <c r="AA70" i="150" s="1"/>
  <c r="M32" i="150"/>
  <c r="Q32" i="150" s="1"/>
  <c r="R32" i="150" s="1"/>
  <c r="M84" i="150"/>
  <c r="Q84" i="150" s="1"/>
  <c r="R84" i="150" s="1"/>
  <c r="M28" i="150"/>
  <c r="Q28" i="150" s="1"/>
  <c r="R28" i="150" s="1"/>
  <c r="M36" i="150"/>
  <c r="Q36" i="150" s="1"/>
  <c r="R36" i="150" s="1"/>
  <c r="J44" i="152"/>
  <c r="L44" i="152"/>
  <c r="AH44" i="152"/>
  <c r="AI44" i="152" s="1"/>
  <c r="D420" i="152"/>
  <c r="D422" i="152" s="1"/>
  <c r="G43" i="152" s="1"/>
  <c r="I464" i="152"/>
  <c r="K46" i="152" s="1"/>
  <c r="K45" i="152"/>
  <c r="AF57" i="169"/>
  <c r="AF63" i="169"/>
  <c r="AF60" i="169"/>
  <c r="AF24" i="163"/>
  <c r="AF25" i="163" s="1"/>
  <c r="AF26" i="163" s="1"/>
  <c r="AF35" i="150"/>
  <c r="AF39" i="150" s="1"/>
  <c r="AF32" i="150"/>
  <c r="AF33" i="150" s="1"/>
  <c r="AF34" i="150" s="1"/>
  <c r="J52" i="150"/>
  <c r="AH52" i="150"/>
  <c r="AI52" i="150" s="1"/>
  <c r="L52" i="150"/>
  <c r="J53" i="150"/>
  <c r="L53" i="150"/>
  <c r="M53" i="150" s="1"/>
  <c r="AH53" i="150"/>
  <c r="AI53" i="150" s="1"/>
  <c r="J56" i="150"/>
  <c r="L56" i="150"/>
  <c r="AH56" i="150"/>
  <c r="AI56" i="150" s="1"/>
  <c r="J57" i="150"/>
  <c r="L57" i="150"/>
  <c r="M57" i="150" s="1"/>
  <c r="AH57" i="150"/>
  <c r="AI57" i="150" s="1"/>
  <c r="D440" i="152"/>
  <c r="D445" i="152" s="1"/>
  <c r="E158" i="152"/>
  <c r="E183" i="152" s="1"/>
  <c r="D158" i="152"/>
  <c r="D183" i="152" s="1"/>
  <c r="J29" i="152"/>
  <c r="AH29" i="152"/>
  <c r="AI29" i="152" s="1"/>
  <c r="L29" i="152"/>
  <c r="M29" i="152" s="1"/>
  <c r="J37" i="152"/>
  <c r="AH37" i="152"/>
  <c r="AI37" i="152" s="1"/>
  <c r="L37" i="152"/>
  <c r="M37" i="152" s="1"/>
  <c r="J33" i="152"/>
  <c r="L33" i="152"/>
  <c r="M33" i="152" s="1"/>
  <c r="AH33" i="152"/>
  <c r="AI33" i="152" s="1"/>
  <c r="F183" i="152"/>
  <c r="E312" i="152"/>
  <c r="AF36" i="152"/>
  <c r="AF37" i="152" s="1"/>
  <c r="AF38" i="152" s="1"/>
  <c r="D343" i="152"/>
  <c r="D344" i="152" s="1"/>
  <c r="D345" i="152" s="1"/>
  <c r="D330" i="152"/>
  <c r="D332" i="152" s="1"/>
  <c r="D444" i="150"/>
  <c r="D445" i="150" s="1"/>
  <c r="D431" i="150"/>
  <c r="D433" i="150" s="1"/>
  <c r="E462" i="150" s="1"/>
  <c r="G52" i="150" s="1"/>
  <c r="W54" i="150"/>
  <c r="D211" i="150"/>
  <c r="F211" i="150"/>
  <c r="F209" i="150"/>
  <c r="E211" i="150"/>
  <c r="R46" i="108"/>
  <c r="D53" i="108"/>
  <c r="I57" i="107"/>
  <c r="V58" i="107"/>
  <c r="K58" i="107"/>
  <c r="V57" i="107"/>
  <c r="V56" i="107"/>
  <c r="B55" i="107"/>
  <c r="D568" i="107"/>
  <c r="D447" i="107"/>
  <c r="D528" i="107"/>
  <c r="D583" i="107" s="1"/>
  <c r="D418" i="107"/>
  <c r="D556" i="107"/>
  <c r="I636" i="107"/>
  <c r="H634" i="107"/>
  <c r="I56" i="107" s="1"/>
  <c r="I633" i="107"/>
  <c r="I634" i="107" s="1"/>
  <c r="H633" i="107"/>
  <c r="I55" i="107" s="1"/>
  <c r="G636" i="107"/>
  <c r="D567" i="107"/>
  <c r="D564" i="107"/>
  <c r="D565" i="107" s="1"/>
  <c r="D554" i="107"/>
  <c r="D553" i="107"/>
  <c r="D562" i="107" s="1"/>
  <c r="D541" i="107"/>
  <c r="D542" i="107" s="1"/>
  <c r="D588" i="107" s="1"/>
  <c r="D538" i="107"/>
  <c r="D452" i="152" l="1"/>
  <c r="D453" i="152" s="1"/>
  <c r="D454" i="152" s="1"/>
  <c r="G45" i="152" s="1"/>
  <c r="E431" i="150"/>
  <c r="E433" i="150" s="1"/>
  <c r="F462" i="150" s="1"/>
  <c r="G56" i="150" s="1"/>
  <c r="I635" i="107"/>
  <c r="D587" i="107"/>
  <c r="D589" i="107" s="1"/>
  <c r="D426" i="152"/>
  <c r="D427" i="152" s="1"/>
  <c r="M44" i="152"/>
  <c r="Q44" i="152" s="1"/>
  <c r="R44" i="152" s="1"/>
  <c r="AF43" i="150"/>
  <c r="AF40" i="150"/>
  <c r="AF41" i="150" s="1"/>
  <c r="AF42" i="150" s="1"/>
  <c r="M56" i="150"/>
  <c r="Q56" i="150" s="1"/>
  <c r="R56" i="150" s="1"/>
  <c r="M52" i="150"/>
  <c r="Q52" i="150" s="1"/>
  <c r="R52" i="150" s="1"/>
  <c r="J45" i="152"/>
  <c r="AH45" i="152"/>
  <c r="AI45" i="152" s="1"/>
  <c r="L45" i="152"/>
  <c r="M45" i="152" s="1"/>
  <c r="J46" i="152"/>
  <c r="L46" i="152"/>
  <c r="AF61" i="169"/>
  <c r="AF64" i="169"/>
  <c r="AF67" i="169"/>
  <c r="AF58" i="169"/>
  <c r="AF36" i="150"/>
  <c r="AF37" i="150" s="1"/>
  <c r="AF38" i="150" s="1"/>
  <c r="D446" i="152"/>
  <c r="G44" i="152"/>
  <c r="E461" i="152"/>
  <c r="E343" i="152"/>
  <c r="E344" i="152" s="1"/>
  <c r="E345" i="152" s="1"/>
  <c r="E330" i="152"/>
  <c r="E332" i="152" s="1"/>
  <c r="D338" i="152"/>
  <c r="X54" i="150"/>
  <c r="Y54" i="150" s="1"/>
  <c r="AA54" i="150" s="1"/>
  <c r="D446" i="150"/>
  <c r="E463" i="150" s="1"/>
  <c r="G53" i="150" s="1"/>
  <c r="E446" i="150"/>
  <c r="F463" i="150" s="1"/>
  <c r="G57" i="150" s="1"/>
  <c r="D439" i="150"/>
  <c r="E439" i="150"/>
  <c r="S51" i="108"/>
  <c r="D571" i="107"/>
  <c r="D610" i="107" s="1"/>
  <c r="D555" i="107"/>
  <c r="D575" i="107" s="1"/>
  <c r="D563" i="107"/>
  <c r="D574" i="107" s="1"/>
  <c r="C63" i="107"/>
  <c r="E463" i="152" l="1"/>
  <c r="J55" i="107"/>
  <c r="C67" i="107"/>
  <c r="J56" i="107"/>
  <c r="J57" i="107"/>
  <c r="AF47" i="150"/>
  <c r="AF51" i="150" s="1"/>
  <c r="AF55" i="150" s="1"/>
  <c r="AF59" i="150" s="1"/>
  <c r="AF63" i="150" s="1"/>
  <c r="AF67" i="150" s="1"/>
  <c r="AF71" i="150" s="1"/>
  <c r="AF75" i="150" s="1"/>
  <c r="AF44" i="150"/>
  <c r="AF45" i="150" s="1"/>
  <c r="AF46" i="150" s="1"/>
  <c r="M46" i="152"/>
  <c r="N46" i="152" s="1"/>
  <c r="O46" i="152" s="1"/>
  <c r="U46" i="152" s="1"/>
  <c r="W46" i="152" s="1"/>
  <c r="X46" i="152" s="1"/>
  <c r="Y46" i="152" s="1"/>
  <c r="AA46" i="152" s="1"/>
  <c r="AF68" i="169"/>
  <c r="AF69" i="169" s="1"/>
  <c r="AF70" i="169" s="1"/>
  <c r="AF62" i="169"/>
  <c r="AF65" i="169"/>
  <c r="AF44" i="152"/>
  <c r="AF45" i="152" s="1"/>
  <c r="AF46" i="152" s="1"/>
  <c r="AF47" i="152"/>
  <c r="F44" i="152"/>
  <c r="D337" i="152"/>
  <c r="E338" i="152"/>
  <c r="E438" i="150"/>
  <c r="S64" i="150" s="1"/>
  <c r="Q53" i="151" s="1"/>
  <c r="D438" i="150"/>
  <c r="S60" i="150" s="1"/>
  <c r="Q52" i="151" s="1"/>
  <c r="D576" i="107"/>
  <c r="D611" i="107" s="1"/>
  <c r="D613" i="107" s="1"/>
  <c r="E634" i="107" s="1"/>
  <c r="G56" i="107" s="1"/>
  <c r="S52" i="108"/>
  <c r="I68" i="107"/>
  <c r="I69" i="107"/>
  <c r="I64" i="107"/>
  <c r="I65" i="107"/>
  <c r="I60" i="107"/>
  <c r="I61" i="107"/>
  <c r="D63" i="107"/>
  <c r="L742" i="107"/>
  <c r="L743" i="107" s="1"/>
  <c r="D643" i="107"/>
  <c r="D648" i="107" s="1"/>
  <c r="D684" i="107" s="1"/>
  <c r="J649" i="107"/>
  <c r="J655" i="107" s="1"/>
  <c r="J650" i="107"/>
  <c r="J651" i="107"/>
  <c r="J652" i="107"/>
  <c r="K742" i="107"/>
  <c r="I67" i="107" s="1"/>
  <c r="D689" i="107"/>
  <c r="D688" i="107"/>
  <c r="D675" i="107"/>
  <c r="J672" i="107"/>
  <c r="D649" i="107"/>
  <c r="D650" i="107" s="1"/>
  <c r="I663" i="107"/>
  <c r="D662" i="107" s="1"/>
  <c r="E662" i="107"/>
  <c r="D475" i="107"/>
  <c r="D476" i="107" s="1"/>
  <c r="G515" i="107" s="1"/>
  <c r="H54" i="107" s="1"/>
  <c r="D462" i="107"/>
  <c r="D438" i="107"/>
  <c r="D439" i="107" s="1"/>
  <c r="D432" i="107"/>
  <c r="D454" i="107" s="1"/>
  <c r="I53" i="107"/>
  <c r="I54" i="107"/>
  <c r="I515" i="107"/>
  <c r="D435" i="107"/>
  <c r="D433" i="107"/>
  <c r="H513" i="107"/>
  <c r="I52" i="107" s="1"/>
  <c r="I512" i="107"/>
  <c r="H512" i="107"/>
  <c r="I51" i="107" s="1"/>
  <c r="D446" i="107"/>
  <c r="I45" i="107"/>
  <c r="I49" i="107"/>
  <c r="I41" i="107"/>
  <c r="V46" i="107"/>
  <c r="V45" i="107"/>
  <c r="V44" i="107"/>
  <c r="V50" i="107"/>
  <c r="V49" i="107"/>
  <c r="V48" i="107"/>
  <c r="L394" i="107"/>
  <c r="L397" i="107"/>
  <c r="D334" i="107"/>
  <c r="D258" i="107"/>
  <c r="D257" i="107"/>
  <c r="D270" i="107"/>
  <c r="D269" i="107"/>
  <c r="D250" i="107"/>
  <c r="K397" i="107"/>
  <c r="I50" i="107" s="1"/>
  <c r="H397" i="107"/>
  <c r="I397" i="107" s="1"/>
  <c r="J397" i="107" s="1"/>
  <c r="H50" i="107" s="1"/>
  <c r="K395" i="107"/>
  <c r="I40" i="107" s="1"/>
  <c r="K394" i="107"/>
  <c r="I39" i="107" s="1"/>
  <c r="D370" i="107"/>
  <c r="D339" i="107"/>
  <c r="D333" i="107"/>
  <c r="D316" i="107"/>
  <c r="D249" i="107"/>
  <c r="C795" i="107"/>
  <c r="C796" i="107" s="1"/>
  <c r="E782" i="107"/>
  <c r="E781" i="107"/>
  <c r="E780" i="107"/>
  <c r="E775" i="107"/>
  <c r="E774" i="107"/>
  <c r="D774" i="107"/>
  <c r="D775" i="107" s="1"/>
  <c r="D761" i="107"/>
  <c r="D760" i="107"/>
  <c r="D759" i="107"/>
  <c r="K758" i="107"/>
  <c r="J758" i="107"/>
  <c r="I758" i="107"/>
  <c r="H758" i="107"/>
  <c r="G758" i="107"/>
  <c r="F758" i="107"/>
  <c r="E758" i="107"/>
  <c r="D758" i="107"/>
  <c r="K231" i="107"/>
  <c r="K761" i="107" s="1"/>
  <c r="K230" i="107"/>
  <c r="K760" i="107" s="1"/>
  <c r="L229" i="107"/>
  <c r="L230" i="107" s="1"/>
  <c r="L231" i="107" s="1"/>
  <c r="K33" i="107" s="1"/>
  <c r="K229" i="107"/>
  <c r="K759" i="107" s="1"/>
  <c r="G206" i="107"/>
  <c r="D199" i="107"/>
  <c r="D171" i="107"/>
  <c r="D170" i="107"/>
  <c r="E167" i="107"/>
  <c r="D161" i="107"/>
  <c r="D145" i="107"/>
  <c r="D137" i="107"/>
  <c r="E134" i="107"/>
  <c r="D134" i="107"/>
  <c r="D133" i="107"/>
  <c r="E114" i="107"/>
  <c r="E113" i="107"/>
  <c r="E112" i="107"/>
  <c r="D111" i="107"/>
  <c r="E106" i="107"/>
  <c r="E105" i="107"/>
  <c r="D105" i="107"/>
  <c r="D104" i="107"/>
  <c r="AA86" i="107"/>
  <c r="Y86" i="107"/>
  <c r="X86" i="107"/>
  <c r="V86" i="107"/>
  <c r="AA85" i="107"/>
  <c r="Y85" i="107"/>
  <c r="X85" i="107"/>
  <c r="V85" i="107"/>
  <c r="AA84" i="107"/>
  <c r="Y84" i="107"/>
  <c r="X84" i="107"/>
  <c r="V84" i="107"/>
  <c r="K83" i="107"/>
  <c r="I83" i="107"/>
  <c r="AA82" i="107"/>
  <c r="Y82" i="107"/>
  <c r="X82" i="107"/>
  <c r="W82" i="107"/>
  <c r="V82" i="107"/>
  <c r="V81" i="107"/>
  <c r="V80" i="107"/>
  <c r="AA78" i="107"/>
  <c r="Y78" i="107"/>
  <c r="X78" i="107"/>
  <c r="W78" i="107"/>
  <c r="V78" i="107"/>
  <c r="V77" i="107"/>
  <c r="V76" i="107"/>
  <c r="AA74" i="107"/>
  <c r="Y74" i="107"/>
  <c r="X74" i="107"/>
  <c r="W74" i="107"/>
  <c r="V74" i="107"/>
  <c r="V73" i="107"/>
  <c r="K73" i="107"/>
  <c r="V72" i="107"/>
  <c r="K72" i="107"/>
  <c r="K71" i="107"/>
  <c r="B75" i="107"/>
  <c r="B79" i="107" s="1"/>
  <c r="V70" i="107"/>
  <c r="V69" i="107"/>
  <c r="V68" i="107"/>
  <c r="V66" i="107"/>
  <c r="V65" i="107"/>
  <c r="V64" i="107"/>
  <c r="V62" i="107"/>
  <c r="V61" i="107"/>
  <c r="V60" i="107"/>
  <c r="V54" i="107"/>
  <c r="V53" i="107"/>
  <c r="V52" i="107"/>
  <c r="B51" i="107"/>
  <c r="B63" i="107" s="1"/>
  <c r="B67" i="107" s="1"/>
  <c r="V42" i="107"/>
  <c r="V41" i="107"/>
  <c r="V40" i="107"/>
  <c r="X38" i="107"/>
  <c r="W38" i="107"/>
  <c r="V38" i="107"/>
  <c r="V37" i="107"/>
  <c r="V36" i="107"/>
  <c r="X34" i="107"/>
  <c r="W34" i="107"/>
  <c r="V34" i="107"/>
  <c r="V33" i="107"/>
  <c r="I33" i="107"/>
  <c r="V32" i="107"/>
  <c r="I32" i="107"/>
  <c r="I31" i="107"/>
  <c r="B31" i="107"/>
  <c r="B35" i="107" s="1"/>
  <c r="V30" i="107"/>
  <c r="V29" i="107"/>
  <c r="V28" i="107"/>
  <c r="AA26" i="107"/>
  <c r="Y26" i="107"/>
  <c r="X26" i="107"/>
  <c r="V26" i="107"/>
  <c r="AA25" i="107"/>
  <c r="Y25" i="107"/>
  <c r="X25" i="107"/>
  <c r="V25" i="107"/>
  <c r="AF24" i="107"/>
  <c r="AF25" i="107" s="1"/>
  <c r="AF26" i="107" s="1"/>
  <c r="AA24" i="107"/>
  <c r="Y24" i="107"/>
  <c r="X24" i="107"/>
  <c r="V24" i="107"/>
  <c r="K23" i="107"/>
  <c r="AH16" i="107"/>
  <c r="X16" i="107"/>
  <c r="W16" i="107"/>
  <c r="V16" i="107"/>
  <c r="U16" i="107"/>
  <c r="L16" i="107"/>
  <c r="L15" i="107"/>
  <c r="AC25" i="107" l="1"/>
  <c r="J72" i="107"/>
  <c r="AC74" i="107"/>
  <c r="J83" i="107"/>
  <c r="AC85" i="107"/>
  <c r="K77" i="107"/>
  <c r="AC24" i="107"/>
  <c r="D67" i="107"/>
  <c r="AC84" i="107"/>
  <c r="AC86" i="107"/>
  <c r="AC26" i="107"/>
  <c r="AC82" i="107"/>
  <c r="J23" i="107"/>
  <c r="K75" i="107"/>
  <c r="AC78" i="107"/>
  <c r="S44" i="152"/>
  <c r="J50" i="153" s="1"/>
  <c r="I513" i="107"/>
  <c r="K46" i="107"/>
  <c r="K50" i="107"/>
  <c r="L395" i="107"/>
  <c r="K47" i="107"/>
  <c r="D578" i="107"/>
  <c r="E633" i="107" s="1"/>
  <c r="G55" i="107" s="1"/>
  <c r="AF48" i="150"/>
  <c r="AF49" i="150" s="1"/>
  <c r="AF50" i="150" s="1"/>
  <c r="F52" i="150"/>
  <c r="S68" i="150"/>
  <c r="R54" i="151" s="1"/>
  <c r="F56" i="150"/>
  <c r="S72" i="150"/>
  <c r="R55" i="151" s="1"/>
  <c r="AF66" i="169"/>
  <c r="O59" i="166"/>
  <c r="T59" i="166" s="1"/>
  <c r="E337" i="152"/>
  <c r="D584" i="107"/>
  <c r="D585" i="107" s="1"/>
  <c r="D592" i="107" s="1"/>
  <c r="D624" i="107"/>
  <c r="D625" i="107" s="1"/>
  <c r="D626" i="107" s="1"/>
  <c r="E635" i="107" s="1"/>
  <c r="G57" i="107" s="1"/>
  <c r="D619" i="107"/>
  <c r="U54" i="107"/>
  <c r="W54" i="107" s="1"/>
  <c r="U58" i="107"/>
  <c r="AH56" i="107"/>
  <c r="AI56" i="107" s="1"/>
  <c r="AH57" i="107"/>
  <c r="AI57" i="107" s="1"/>
  <c r="AH55" i="107"/>
  <c r="AI55" i="107" s="1"/>
  <c r="D614" i="107"/>
  <c r="D618" i="107"/>
  <c r="F56" i="107" s="1"/>
  <c r="L55" i="107"/>
  <c r="M55" i="107" s="1"/>
  <c r="L57" i="107"/>
  <c r="M57" i="107" s="1"/>
  <c r="L56" i="107"/>
  <c r="M56" i="107" s="1"/>
  <c r="I59" i="107"/>
  <c r="K63" i="107"/>
  <c r="K67" i="107"/>
  <c r="L744" i="107"/>
  <c r="K68" i="107"/>
  <c r="K60" i="107"/>
  <c r="K64" i="107"/>
  <c r="K59" i="107"/>
  <c r="I63" i="107"/>
  <c r="D699" i="107"/>
  <c r="D719" i="107" s="1"/>
  <c r="J656" i="107"/>
  <c r="D674" i="107"/>
  <c r="D676" i="107" s="1"/>
  <c r="L51" i="107"/>
  <c r="M51" i="107" s="1"/>
  <c r="J42" i="107"/>
  <c r="I43" i="107"/>
  <c r="I47" i="107"/>
  <c r="I48" i="107"/>
  <c r="H42" i="107"/>
  <c r="I44" i="107"/>
  <c r="D452" i="107"/>
  <c r="D434" i="107"/>
  <c r="I46" i="107"/>
  <c r="I42" i="107"/>
  <c r="H46" i="107"/>
  <c r="D450" i="107"/>
  <c r="K43" i="107"/>
  <c r="J47" i="107"/>
  <c r="K44" i="107"/>
  <c r="L46" i="107"/>
  <c r="AH46" i="107"/>
  <c r="AI46" i="107" s="1"/>
  <c r="K35" i="107"/>
  <c r="K28" i="107"/>
  <c r="AH72" i="107"/>
  <c r="AI72" i="107" s="1"/>
  <c r="D251" i="107"/>
  <c r="D135" i="107"/>
  <c r="D146" i="107" s="1"/>
  <c r="D147" i="107" s="1"/>
  <c r="D169" i="107" s="1"/>
  <c r="AH33" i="107"/>
  <c r="AI33" i="107" s="1"/>
  <c r="J33" i="107"/>
  <c r="K27" i="107"/>
  <c r="K36" i="107"/>
  <c r="AH23" i="107"/>
  <c r="AI23" i="107" s="1"/>
  <c r="K31" i="107"/>
  <c r="J73" i="107"/>
  <c r="K76" i="107"/>
  <c r="K32" i="107"/>
  <c r="J71" i="107"/>
  <c r="D177" i="107"/>
  <c r="E177" i="107" s="1"/>
  <c r="F177" i="107" s="1"/>
  <c r="AF31" i="107"/>
  <c r="AF28" i="107"/>
  <c r="AF29" i="107" s="1"/>
  <c r="AF30" i="107" s="1"/>
  <c r="L73" i="107"/>
  <c r="M73" i="107" s="1"/>
  <c r="L72" i="107"/>
  <c r="M72" i="107" s="1"/>
  <c r="L77" i="107"/>
  <c r="M77" i="107" s="1"/>
  <c r="L71" i="107"/>
  <c r="M71" i="107" s="1"/>
  <c r="L83" i="107"/>
  <c r="M83" i="107" s="1"/>
  <c r="K81" i="107"/>
  <c r="J77" i="107"/>
  <c r="L75" i="107"/>
  <c r="M75" i="107" s="1"/>
  <c r="K37" i="107"/>
  <c r="K29" i="107"/>
  <c r="J75" i="107"/>
  <c r="K79" i="107"/>
  <c r="L33" i="107"/>
  <c r="M33" i="107" s="1"/>
  <c r="L23" i="107"/>
  <c r="M23" i="107" s="1"/>
  <c r="U30" i="107"/>
  <c r="U70" i="107"/>
  <c r="U66" i="107"/>
  <c r="U62" i="107"/>
  <c r="AH75" i="107"/>
  <c r="AI75" i="107" s="1"/>
  <c r="AH77" i="107"/>
  <c r="AI77" i="107" s="1"/>
  <c r="AH71" i="107"/>
  <c r="AI71" i="107" s="1"/>
  <c r="AH73" i="107"/>
  <c r="AI73" i="107" s="1"/>
  <c r="AH83" i="107"/>
  <c r="AI83" i="107" s="1"/>
  <c r="D808" i="107"/>
  <c r="D809" i="107" s="1"/>
  <c r="D804" i="107"/>
  <c r="E789" i="107"/>
  <c r="G83" i="107" s="1"/>
  <c r="L50" i="153" l="1"/>
  <c r="K50" i="153"/>
  <c r="Q45" i="108"/>
  <c r="R52" i="108"/>
  <c r="P45" i="108"/>
  <c r="J36" i="107"/>
  <c r="AH35" i="107"/>
  <c r="AI35" i="107" s="1"/>
  <c r="J59" i="107"/>
  <c r="S52" i="150"/>
  <c r="P50" i="151" s="1"/>
  <c r="J64" i="107"/>
  <c r="J81" i="107"/>
  <c r="J27" i="107"/>
  <c r="J79" i="107"/>
  <c r="J44" i="107"/>
  <c r="J68" i="107"/>
  <c r="J46" i="107"/>
  <c r="J32" i="107"/>
  <c r="L76" i="107"/>
  <c r="M76" i="107" s="1"/>
  <c r="Q76" i="107" s="1"/>
  <c r="R76" i="107" s="1"/>
  <c r="J60" i="107"/>
  <c r="J43" i="107"/>
  <c r="J67" i="107"/>
  <c r="R45" i="108"/>
  <c r="J31" i="107"/>
  <c r="J63" i="107"/>
  <c r="S56" i="150"/>
  <c r="P51" i="151" s="1"/>
  <c r="J28" i="107"/>
  <c r="J50" i="107"/>
  <c r="J39" i="107"/>
  <c r="L396" i="107"/>
  <c r="K48" i="107"/>
  <c r="L39" i="107"/>
  <c r="M39" i="107" s="1"/>
  <c r="I514" i="107"/>
  <c r="Q72" i="107"/>
  <c r="R72" i="107" s="1"/>
  <c r="Q56" i="107"/>
  <c r="R56" i="107" s="1"/>
  <c r="AF52" i="150"/>
  <c r="AF53" i="150" s="1"/>
  <c r="AF54" i="150" s="1"/>
  <c r="AC41" i="152"/>
  <c r="AC42" i="152"/>
  <c r="AC40" i="152"/>
  <c r="W58" i="107"/>
  <c r="X58" i="107" s="1"/>
  <c r="E699" i="107"/>
  <c r="E719" i="107" s="1"/>
  <c r="K69" i="107"/>
  <c r="K61" i="107"/>
  <c r="K65" i="107"/>
  <c r="J35" i="107"/>
  <c r="L42" i="107"/>
  <c r="M42" i="107" s="1"/>
  <c r="D663" i="107"/>
  <c r="D651" i="107"/>
  <c r="D685" i="107" s="1"/>
  <c r="AH60" i="107"/>
  <c r="AI60" i="107" s="1"/>
  <c r="L60" i="107"/>
  <c r="D455" i="107"/>
  <c r="D490" i="107" s="1"/>
  <c r="AH42" i="107"/>
  <c r="AI42" i="107" s="1"/>
  <c r="AH67" i="107"/>
  <c r="AI67" i="107" s="1"/>
  <c r="AJ46" i="107"/>
  <c r="AH31" i="107"/>
  <c r="AI31" i="107" s="1"/>
  <c r="L67" i="107"/>
  <c r="M67" i="107" s="1"/>
  <c r="AH50" i="107"/>
  <c r="AI50" i="107" s="1"/>
  <c r="D489" i="107"/>
  <c r="L35" i="107"/>
  <c r="M35" i="107" s="1"/>
  <c r="L50" i="107"/>
  <c r="M50" i="107" s="1"/>
  <c r="N50" i="107" s="1"/>
  <c r="O50" i="107" s="1"/>
  <c r="U50" i="107" s="1"/>
  <c r="AH44" i="107"/>
  <c r="AI44" i="107" s="1"/>
  <c r="L48" i="107"/>
  <c r="AH43" i="107"/>
  <c r="AI43" i="107" s="1"/>
  <c r="AH39" i="107"/>
  <c r="AI39" i="107" s="1"/>
  <c r="AH47" i="107"/>
  <c r="AI47" i="107" s="1"/>
  <c r="L43" i="107"/>
  <c r="M43" i="107" s="1"/>
  <c r="L44" i="107"/>
  <c r="L47" i="107"/>
  <c r="M47" i="107" s="1"/>
  <c r="AH48" i="107"/>
  <c r="AI48" i="107" s="1"/>
  <c r="M46" i="107"/>
  <c r="N46" i="107" s="1"/>
  <c r="O46" i="107" s="1"/>
  <c r="U46" i="107" s="1"/>
  <c r="L31" i="107"/>
  <c r="M31" i="107" s="1"/>
  <c r="L40" i="107"/>
  <c r="D337" i="107"/>
  <c r="D285" i="107"/>
  <c r="L28" i="107"/>
  <c r="AH28" i="107"/>
  <c r="AI28" i="107" s="1"/>
  <c r="AH40" i="107"/>
  <c r="AI40" i="107" s="1"/>
  <c r="AH59" i="107"/>
  <c r="AI59" i="107" s="1"/>
  <c r="D281" i="107"/>
  <c r="D274" i="107"/>
  <c r="D277" i="107"/>
  <c r="AH64" i="107"/>
  <c r="AI64" i="107" s="1"/>
  <c r="L32" i="107"/>
  <c r="AH81" i="107"/>
  <c r="AI81" i="107" s="1"/>
  <c r="L36" i="107"/>
  <c r="AH32" i="107"/>
  <c r="AI32" i="107" s="1"/>
  <c r="L27" i="107"/>
  <c r="M27" i="107" s="1"/>
  <c r="D138" i="107"/>
  <c r="D167" i="107" s="1"/>
  <c r="AH76" i="107"/>
  <c r="AI76" i="107" s="1"/>
  <c r="J76" i="107"/>
  <c r="AH79" i="107"/>
  <c r="AI79" i="107" s="1"/>
  <c r="L81" i="107"/>
  <c r="M81" i="107" s="1"/>
  <c r="K80" i="107"/>
  <c r="D204" i="107"/>
  <c r="E204" i="107" s="1"/>
  <c r="L59" i="107"/>
  <c r="M59" i="107" s="1"/>
  <c r="AH68" i="107"/>
  <c r="AI68" i="107" s="1"/>
  <c r="AH36" i="107"/>
  <c r="AI36" i="107" s="1"/>
  <c r="AH27" i="107"/>
  <c r="AI27" i="107" s="1"/>
  <c r="L63" i="107"/>
  <c r="M63" i="107" s="1"/>
  <c r="AH63" i="107"/>
  <c r="AI63" i="107" s="1"/>
  <c r="L68" i="107"/>
  <c r="AH52" i="107"/>
  <c r="AI52" i="107" s="1"/>
  <c r="J52" i="107"/>
  <c r="L79" i="107"/>
  <c r="M79" i="107" s="1"/>
  <c r="AH51" i="107"/>
  <c r="AI51" i="107" s="1"/>
  <c r="J51" i="107"/>
  <c r="L64" i="107"/>
  <c r="J29" i="107"/>
  <c r="AH29" i="107"/>
  <c r="AI29" i="107" s="1"/>
  <c r="W62" i="107"/>
  <c r="J37" i="107"/>
  <c r="AH37" i="107"/>
  <c r="AI37" i="107" s="1"/>
  <c r="W66" i="107"/>
  <c r="X66" i="107" s="1"/>
  <c r="Y66" i="107" s="1"/>
  <c r="AA66" i="107" s="1"/>
  <c r="AF32" i="107"/>
  <c r="AF33" i="107" s="1"/>
  <c r="AF34" i="107" s="1"/>
  <c r="AF35" i="107"/>
  <c r="W70" i="107"/>
  <c r="X70" i="107" s="1"/>
  <c r="Y70" i="107" s="1"/>
  <c r="AA70" i="107" s="1"/>
  <c r="L29" i="107"/>
  <c r="M29" i="107" s="1"/>
  <c r="W30" i="107"/>
  <c r="X30" i="107" s="1"/>
  <c r="L37" i="107"/>
  <c r="M37" i="107" s="1"/>
  <c r="X54" i="107"/>
  <c r="Y54" i="107" s="1"/>
  <c r="AA54" i="107" s="1"/>
  <c r="F181" i="107"/>
  <c r="E181" i="107"/>
  <c r="D181" i="107"/>
  <c r="D366" i="12"/>
  <c r="J80" i="107" l="1"/>
  <c r="J65" i="107"/>
  <c r="J61" i="107"/>
  <c r="L52" i="107"/>
  <c r="M52" i="107" s="1"/>
  <c r="J48" i="107"/>
  <c r="J40" i="107"/>
  <c r="L61" i="107"/>
  <c r="M61" i="107" s="1"/>
  <c r="L65" i="107"/>
  <c r="M65" i="107" s="1"/>
  <c r="AH53" i="107"/>
  <c r="AI53" i="107" s="1"/>
  <c r="L53" i="107"/>
  <c r="M53" i="107" s="1"/>
  <c r="J53" i="107"/>
  <c r="AH61" i="107"/>
  <c r="AI61" i="107" s="1"/>
  <c r="K45" i="107"/>
  <c r="K49" i="107"/>
  <c r="M32" i="107"/>
  <c r="Q32" i="107" s="1"/>
  <c r="R32" i="107" s="1"/>
  <c r="M28" i="107"/>
  <c r="Q28" i="107" s="1"/>
  <c r="R28" i="107" s="1"/>
  <c r="M48" i="107"/>
  <c r="Q48" i="107" s="1"/>
  <c r="R48" i="107" s="1"/>
  <c r="M60" i="107"/>
  <c r="Q60" i="107" s="1"/>
  <c r="R60" i="107" s="1"/>
  <c r="S56" i="107"/>
  <c r="M49" i="108"/>
  <c r="M44" i="107"/>
  <c r="Q44" i="107" s="1"/>
  <c r="R44" i="107" s="1"/>
  <c r="M40" i="107"/>
  <c r="Q40" i="107" s="1"/>
  <c r="R40" i="107" s="1"/>
  <c r="M68" i="107"/>
  <c r="Q68" i="107" s="1"/>
  <c r="R68" i="107" s="1"/>
  <c r="M64" i="107"/>
  <c r="Q64" i="107" s="1"/>
  <c r="R64" i="107" s="1"/>
  <c r="M36" i="107"/>
  <c r="Q36" i="107" s="1"/>
  <c r="R36" i="107" s="1"/>
  <c r="AF56" i="150"/>
  <c r="AF57" i="150" s="1"/>
  <c r="AF58" i="150" s="1"/>
  <c r="W51" i="151"/>
  <c r="Q49" i="153"/>
  <c r="F699" i="107"/>
  <c r="F719" i="107" s="1"/>
  <c r="Y58" i="107"/>
  <c r="AA58" i="107" s="1"/>
  <c r="AH65" i="107"/>
  <c r="AI65" i="107" s="1"/>
  <c r="J69" i="107"/>
  <c r="L69" i="107"/>
  <c r="M69" i="107" s="1"/>
  <c r="AH69" i="107"/>
  <c r="AI69" i="107" s="1"/>
  <c r="E738" i="107"/>
  <c r="F738" i="107"/>
  <c r="D738" i="107"/>
  <c r="F702" i="107"/>
  <c r="E702" i="107"/>
  <c r="D702" i="107"/>
  <c r="AJ42" i="107"/>
  <c r="D492" i="107"/>
  <c r="D498" i="107" s="1"/>
  <c r="D503" i="107"/>
  <c r="D504" i="107" s="1"/>
  <c r="AJ50" i="107"/>
  <c r="W46" i="107"/>
  <c r="X46" i="107" s="1"/>
  <c r="W50" i="107"/>
  <c r="X50" i="107" s="1"/>
  <c r="Y50" i="107" s="1"/>
  <c r="AA50" i="107" s="1"/>
  <c r="D278" i="107"/>
  <c r="D292" i="107"/>
  <c r="D275" i="107"/>
  <c r="D291" i="107"/>
  <c r="D286" i="107"/>
  <c r="G285" i="107"/>
  <c r="D287" i="107"/>
  <c r="D348" i="107"/>
  <c r="D350" i="107" s="1"/>
  <c r="G281" i="107"/>
  <c r="D283" i="107"/>
  <c r="D282" i="107"/>
  <c r="N42" i="107"/>
  <c r="O42" i="107" s="1"/>
  <c r="U42" i="107" s="1"/>
  <c r="W42" i="107" s="1"/>
  <c r="AH80" i="107"/>
  <c r="AI80" i="107" s="1"/>
  <c r="L80" i="107"/>
  <c r="F206" i="107"/>
  <c r="AF39" i="107"/>
  <c r="AF36" i="107"/>
  <c r="AF37" i="107" s="1"/>
  <c r="AF38" i="107" s="1"/>
  <c r="X62" i="107"/>
  <c r="Y62" i="107" s="1"/>
  <c r="AA62" i="107" s="1"/>
  <c r="E206" i="107"/>
  <c r="F204" i="107"/>
  <c r="D206" i="107"/>
  <c r="Q52" i="107" l="1"/>
  <c r="R52" i="107" s="1"/>
  <c r="J49" i="107"/>
  <c r="AH49" i="107"/>
  <c r="AI49" i="107" s="1"/>
  <c r="L49" i="107"/>
  <c r="M49" i="107" s="1"/>
  <c r="J45" i="107"/>
  <c r="L45" i="107"/>
  <c r="M45" i="107" s="1"/>
  <c r="AH45" i="107"/>
  <c r="AI45" i="107" s="1"/>
  <c r="AH41" i="107"/>
  <c r="AI41" i="107" s="1"/>
  <c r="J41" i="107"/>
  <c r="L41" i="107"/>
  <c r="M41" i="107" s="1"/>
  <c r="M47" i="108"/>
  <c r="M53" i="108" s="1"/>
  <c r="M80" i="107"/>
  <c r="Q80" i="107"/>
  <c r="R80" i="107" s="1"/>
  <c r="J49" i="108"/>
  <c r="L49" i="108"/>
  <c r="K49" i="108"/>
  <c r="AF64" i="150"/>
  <c r="AF65" i="150" s="1"/>
  <c r="AF66" i="150" s="1"/>
  <c r="AF60" i="150"/>
  <c r="AF61" i="150" s="1"/>
  <c r="AF62" i="150" s="1"/>
  <c r="AF68" i="150"/>
  <c r="AF69" i="150" s="1"/>
  <c r="AF70" i="150" s="1"/>
  <c r="D505" i="107"/>
  <c r="E514" i="107" s="1"/>
  <c r="G53" i="107" s="1"/>
  <c r="D457" i="107"/>
  <c r="E512" i="107" s="1"/>
  <c r="G51" i="107" s="1"/>
  <c r="D463" i="107"/>
  <c r="D464" i="107" s="1"/>
  <c r="D471" i="107" s="1"/>
  <c r="D497" i="107"/>
  <c r="E513" i="107"/>
  <c r="G52" i="107" s="1"/>
  <c r="D493" i="107"/>
  <c r="AF43" i="107"/>
  <c r="Y46" i="107"/>
  <c r="AA46" i="107" s="1"/>
  <c r="E350" i="107"/>
  <c r="D293" i="107"/>
  <c r="D295" i="107"/>
  <c r="X42" i="107"/>
  <c r="Y42" i="107" s="1"/>
  <c r="AA42" i="107" s="1"/>
  <c r="AF40" i="107"/>
  <c r="AF41" i="107" s="1"/>
  <c r="AF42" i="107" s="1"/>
  <c r="C832" i="99"/>
  <c r="T93" i="100"/>
  <c r="S93" i="100"/>
  <c r="S96" i="100"/>
  <c r="T96" i="100"/>
  <c r="S97" i="100"/>
  <c r="T97" i="100"/>
  <c r="S98" i="100"/>
  <c r="T98" i="100"/>
  <c r="S99" i="100"/>
  <c r="T99" i="100"/>
  <c r="S100" i="100"/>
  <c r="T100" i="100"/>
  <c r="S101" i="100"/>
  <c r="T101" i="100"/>
  <c r="S102" i="100"/>
  <c r="T102" i="100"/>
  <c r="S103" i="100"/>
  <c r="T103" i="100"/>
  <c r="R97" i="100"/>
  <c r="R98" i="100"/>
  <c r="R99" i="100"/>
  <c r="R100" i="100"/>
  <c r="R101" i="100"/>
  <c r="R102" i="100"/>
  <c r="R103" i="100"/>
  <c r="R96" i="100"/>
  <c r="D619" i="99"/>
  <c r="AF44" i="107" l="1"/>
  <c r="AF45" i="107" s="1"/>
  <c r="AF46" i="107" s="1"/>
  <c r="AF47" i="107"/>
  <c r="AF72" i="150"/>
  <c r="AF73" i="150" s="1"/>
  <c r="AF74" i="150" s="1"/>
  <c r="AF48" i="152"/>
  <c r="AF51" i="152"/>
  <c r="F52" i="107"/>
  <c r="F350" i="107"/>
  <c r="BK63" i="100"/>
  <c r="CC64" i="100"/>
  <c r="CB58" i="100"/>
  <c r="CC59" i="100"/>
  <c r="CB59" i="100" s="1"/>
  <c r="AY53" i="100"/>
  <c r="Z54" i="100"/>
  <c r="Y54" i="100"/>
  <c r="S54" i="100"/>
  <c r="T81" i="100"/>
  <c r="U81" i="100" s="1"/>
  <c r="V81" i="100" s="1"/>
  <c r="W81" i="100" s="1"/>
  <c r="X81" i="100" s="1"/>
  <c r="X54" i="100" s="1"/>
  <c r="D79" i="100"/>
  <c r="BK57" i="100"/>
  <c r="BK58" i="100"/>
  <c r="BK59" i="100"/>
  <c r="BK60" i="100"/>
  <c r="BK61" i="100"/>
  <c r="BK62" i="100"/>
  <c r="BK64" i="100"/>
  <c r="BK65" i="100"/>
  <c r="I113" i="100"/>
  <c r="J109" i="100" s="1"/>
  <c r="I54" i="99"/>
  <c r="BD54" i="100" l="1"/>
  <c r="BF54" i="100"/>
  <c r="BE54" i="100"/>
  <c r="AY54" i="100"/>
  <c r="S52" i="107"/>
  <c r="K48" i="108" s="1"/>
  <c r="AF51" i="107"/>
  <c r="AF48" i="107"/>
  <c r="AF49" i="107" s="1"/>
  <c r="AF50" i="107" s="1"/>
  <c r="AF79" i="150"/>
  <c r="AF76" i="150"/>
  <c r="AF77" i="150" s="1"/>
  <c r="AF78" i="150" s="1"/>
  <c r="W54" i="100"/>
  <c r="AF49" i="152"/>
  <c r="AF55" i="152"/>
  <c r="AF52" i="152"/>
  <c r="W48" i="151"/>
  <c r="U54" i="100"/>
  <c r="V54" i="100"/>
  <c r="T54" i="100"/>
  <c r="J110" i="100"/>
  <c r="J108" i="100"/>
  <c r="K108" i="100" s="1"/>
  <c r="D583" i="99"/>
  <c r="D579" i="99"/>
  <c r="D578" i="99"/>
  <c r="F577" i="99"/>
  <c r="D577" i="99"/>
  <c r="D576" i="99"/>
  <c r="D635" i="99"/>
  <c r="D634" i="99"/>
  <c r="D633" i="99"/>
  <c r="D632" i="99"/>
  <c r="D392" i="99"/>
  <c r="D391" i="99"/>
  <c r="D390" i="99"/>
  <c r="D389" i="99"/>
  <c r="D627" i="99"/>
  <c r="D626" i="99"/>
  <c r="D625" i="99"/>
  <c r="D624" i="99"/>
  <c r="D384" i="99"/>
  <c r="D383" i="99"/>
  <c r="D382" i="99"/>
  <c r="D405" i="99" s="1"/>
  <c r="F351" i="99"/>
  <c r="F347" i="99"/>
  <c r="V54" i="99"/>
  <c r="V53" i="99"/>
  <c r="V52" i="99"/>
  <c r="J746" i="99"/>
  <c r="K54" i="99" s="1"/>
  <c r="I745" i="99"/>
  <c r="I53" i="99" s="1"/>
  <c r="E690" i="99"/>
  <c r="F633" i="99"/>
  <c r="F629" i="99"/>
  <c r="I744" i="99"/>
  <c r="I52" i="99" s="1"/>
  <c r="J743" i="99"/>
  <c r="J744" i="99" s="1"/>
  <c r="J745" i="99" s="1"/>
  <c r="I743" i="99"/>
  <c r="I51" i="99" s="1"/>
  <c r="E710" i="99"/>
  <c r="D703" i="99"/>
  <c r="G744" i="99" s="1"/>
  <c r="D655" i="99"/>
  <c r="D654" i="99"/>
  <c r="E651" i="99"/>
  <c r="D611" i="99"/>
  <c r="D609" i="99"/>
  <c r="L48" i="108" l="1"/>
  <c r="J48" i="108"/>
  <c r="BB54" i="100"/>
  <c r="BA54" i="100"/>
  <c r="BC54" i="100"/>
  <c r="J54" i="99"/>
  <c r="AF55" i="107"/>
  <c r="AF52" i="107"/>
  <c r="AF53" i="107" s="1"/>
  <c r="AF54" i="107" s="1"/>
  <c r="AF83" i="150"/>
  <c r="AF80" i="150"/>
  <c r="AF81" i="150" s="1"/>
  <c r="AF82" i="150" s="1"/>
  <c r="O49" i="153"/>
  <c r="P49" i="153"/>
  <c r="AF50" i="152"/>
  <c r="AF53" i="152"/>
  <c r="AF56" i="152"/>
  <c r="AF59" i="152"/>
  <c r="AZ54" i="100"/>
  <c r="D690" i="99"/>
  <c r="D692" i="99" s="1"/>
  <c r="H746" i="99" s="1"/>
  <c r="H54" i="99" s="1"/>
  <c r="D645" i="99"/>
  <c r="D705" i="99" s="1"/>
  <c r="K53" i="99"/>
  <c r="K52" i="99"/>
  <c r="K51" i="99"/>
  <c r="D661" i="99"/>
  <c r="D708" i="99" s="1"/>
  <c r="D612" i="99"/>
  <c r="D620" i="99" s="1"/>
  <c r="D679" i="99" s="1"/>
  <c r="J51" i="99" l="1"/>
  <c r="J52" i="99"/>
  <c r="J53" i="99"/>
  <c r="AF56" i="107"/>
  <c r="AF57" i="107" s="1"/>
  <c r="AF58" i="107" s="1"/>
  <c r="AF59" i="107"/>
  <c r="AF87" i="150"/>
  <c r="AF88" i="150" s="1"/>
  <c r="AF89" i="150" s="1"/>
  <c r="AF90" i="150" s="1"/>
  <c r="AF84" i="150"/>
  <c r="AF85" i="150" s="1"/>
  <c r="AF86" i="150" s="1"/>
  <c r="Q51" i="153"/>
  <c r="AF60" i="152"/>
  <c r="AF61" i="152" s="1"/>
  <c r="AF62" i="152" s="1"/>
  <c r="AF54" i="152"/>
  <c r="AF57" i="152"/>
  <c r="D686" i="99"/>
  <c r="D684" i="99"/>
  <c r="D621" i="99"/>
  <c r="D653" i="99" s="1"/>
  <c r="D651" i="99"/>
  <c r="AF60" i="107" l="1"/>
  <c r="AF61" i="107" s="1"/>
  <c r="AF62" i="107" s="1"/>
  <c r="AF63" i="107"/>
  <c r="AF58" i="152"/>
  <c r="D665" i="99"/>
  <c r="D710" i="99" s="1"/>
  <c r="Q54" i="100"/>
  <c r="P54" i="100"/>
  <c r="J54" i="100"/>
  <c r="N93" i="100"/>
  <c r="N92" i="100"/>
  <c r="N91" i="100"/>
  <c r="N90" i="100"/>
  <c r="N89" i="100"/>
  <c r="N88" i="100"/>
  <c r="N87" i="100"/>
  <c r="N86" i="100"/>
  <c r="N85" i="100"/>
  <c r="N84" i="100"/>
  <c r="O84" i="100"/>
  <c r="M85" i="100"/>
  <c r="M86" i="100"/>
  <c r="M87" i="100"/>
  <c r="M88" i="100"/>
  <c r="M89" i="100"/>
  <c r="M90" i="100"/>
  <c r="M91" i="100"/>
  <c r="M92" i="100"/>
  <c r="M93" i="100"/>
  <c r="M84" i="100"/>
  <c r="H93" i="100"/>
  <c r="O93" i="100" s="1"/>
  <c r="H92" i="100"/>
  <c r="O92" i="100" s="1"/>
  <c r="H91" i="100"/>
  <c r="O91" i="100" s="1"/>
  <c r="H90" i="100"/>
  <c r="O90" i="100" s="1"/>
  <c r="H89" i="100"/>
  <c r="O89" i="100" s="1"/>
  <c r="H88" i="100"/>
  <c r="O88" i="100" s="1"/>
  <c r="H87" i="100"/>
  <c r="O87" i="100" s="1"/>
  <c r="H86" i="100"/>
  <c r="O86" i="100" s="1"/>
  <c r="H85" i="100"/>
  <c r="O85" i="100" s="1"/>
  <c r="K81" i="100"/>
  <c r="L81" i="100" s="1"/>
  <c r="L54" i="100" s="1"/>
  <c r="D66" i="100"/>
  <c r="I49" i="99"/>
  <c r="I50" i="99"/>
  <c r="I45" i="99"/>
  <c r="I46" i="99"/>
  <c r="I596" i="99"/>
  <c r="K50" i="99" s="1"/>
  <c r="G596" i="99"/>
  <c r="H50" i="99" s="1"/>
  <c r="D572" i="99"/>
  <c r="H594" i="99"/>
  <c r="I48" i="99" s="1"/>
  <c r="I593" i="99"/>
  <c r="I594" i="99" s="1"/>
  <c r="I595" i="99" s="1"/>
  <c r="K49" i="99" s="1"/>
  <c r="H593" i="99"/>
  <c r="I47" i="99" s="1"/>
  <c r="E533" i="99"/>
  <c r="E532" i="99"/>
  <c r="E531" i="99"/>
  <c r="D495" i="99"/>
  <c r="D494" i="99"/>
  <c r="D492" i="99"/>
  <c r="D491" i="99"/>
  <c r="D488" i="99"/>
  <c r="AM54" i="100" l="1"/>
  <c r="AI54" i="100"/>
  <c r="AN54" i="100"/>
  <c r="J50" i="99"/>
  <c r="AF67" i="107"/>
  <c r="AF64" i="107"/>
  <c r="AF65" i="107" s="1"/>
  <c r="AF66" i="107" s="1"/>
  <c r="AO54" i="100"/>
  <c r="BQ54" i="100" s="1"/>
  <c r="AG54" i="100"/>
  <c r="P52" i="153"/>
  <c r="K54" i="100"/>
  <c r="K47" i="99"/>
  <c r="D568" i="99"/>
  <c r="D569" i="99" s="1"/>
  <c r="D570" i="99" s="1"/>
  <c r="AV54" i="100"/>
  <c r="BX54" i="100" s="1"/>
  <c r="AU54" i="100"/>
  <c r="BW54" i="100" s="1"/>
  <c r="AQ54" i="100"/>
  <c r="BS54" i="100" s="1"/>
  <c r="M81" i="100"/>
  <c r="M54" i="100" s="1"/>
  <c r="K48" i="99"/>
  <c r="D498" i="99"/>
  <c r="I470" i="99"/>
  <c r="K46" i="99" s="1"/>
  <c r="E405" i="99"/>
  <c r="E403" i="99"/>
  <c r="E404" i="99"/>
  <c r="D404" i="99"/>
  <c r="D403" i="99"/>
  <c r="D417" i="99"/>
  <c r="D441" i="99" s="1"/>
  <c r="D442" i="99" s="1"/>
  <c r="F390" i="99"/>
  <c r="F386" i="99"/>
  <c r="AF71" i="107" l="1"/>
  <c r="AF68" i="107"/>
  <c r="AF69" i="107" s="1"/>
  <c r="AF70" i="107" s="1"/>
  <c r="AP54" i="100"/>
  <c r="BR54" i="100" s="1"/>
  <c r="AH54" i="100"/>
  <c r="AR54" i="100"/>
  <c r="BT54" i="100" s="1"/>
  <c r="AJ54" i="100"/>
  <c r="AF72" i="107"/>
  <c r="AF75" i="107"/>
  <c r="N81" i="100"/>
  <c r="N54" i="100" s="1"/>
  <c r="D407" i="99"/>
  <c r="G470" i="99" s="1"/>
  <c r="H46" i="99" s="1"/>
  <c r="D525" i="99"/>
  <c r="D538" i="99" s="1"/>
  <c r="X51" i="95"/>
  <c r="X52" i="95" s="1"/>
  <c r="X53" i="95" s="1"/>
  <c r="X54" i="95" s="1"/>
  <c r="D91" i="96"/>
  <c r="K53" i="96"/>
  <c r="I60" i="96"/>
  <c r="I61" i="96"/>
  <c r="I56" i="96"/>
  <c r="I57" i="96"/>
  <c r="I52" i="96"/>
  <c r="I53" i="96"/>
  <c r="K60" i="96"/>
  <c r="K59" i="96"/>
  <c r="L483" i="96"/>
  <c r="K52" i="96" s="1"/>
  <c r="L484" i="96"/>
  <c r="L482" i="96"/>
  <c r="K57" i="96" s="1"/>
  <c r="V62" i="96"/>
  <c r="V61" i="96"/>
  <c r="V60" i="96"/>
  <c r="V58" i="96"/>
  <c r="V57" i="96"/>
  <c r="V56" i="96"/>
  <c r="D55" i="96"/>
  <c r="C55" i="96"/>
  <c r="V54" i="96"/>
  <c r="V53" i="96"/>
  <c r="V52" i="96"/>
  <c r="I48" i="96"/>
  <c r="I49" i="96"/>
  <c r="I44" i="96"/>
  <c r="I45" i="96"/>
  <c r="I40" i="96"/>
  <c r="I41" i="96"/>
  <c r="D377" i="96"/>
  <c r="K482" i="96"/>
  <c r="I59" i="96" s="1"/>
  <c r="D429" i="96"/>
  <c r="D428" i="96"/>
  <c r="E426" i="96"/>
  <c r="D415" i="96"/>
  <c r="J412" i="96"/>
  <c r="D398" i="96"/>
  <c r="I397" i="96"/>
  <c r="D383" i="96" s="1"/>
  <c r="E396" i="96"/>
  <c r="E388" i="96"/>
  <c r="D388" i="96"/>
  <c r="J386" i="96"/>
  <c r="E386" i="96"/>
  <c r="D386" i="96"/>
  <c r="J385" i="96"/>
  <c r="J384" i="96"/>
  <c r="J383" i="96"/>
  <c r="J389" i="96" s="1"/>
  <c r="J390" i="96" s="1"/>
  <c r="E383" i="96"/>
  <c r="D382" i="96"/>
  <c r="D396" i="96" s="1"/>
  <c r="D376" i="96"/>
  <c r="L364" i="96"/>
  <c r="L365" i="96" s="1"/>
  <c r="L366" i="96" s="1"/>
  <c r="K41" i="96" s="1"/>
  <c r="E308" i="96"/>
  <c r="D280" i="96"/>
  <c r="E278" i="96"/>
  <c r="D264" i="96"/>
  <c r="D278" i="96" s="1"/>
  <c r="E270" i="96"/>
  <c r="D270" i="96"/>
  <c r="E268" i="96"/>
  <c r="D268" i="96"/>
  <c r="D258" i="96"/>
  <c r="D260" i="96" s="1"/>
  <c r="D296" i="96" s="1"/>
  <c r="J268" i="96"/>
  <c r="J267" i="96"/>
  <c r="J266" i="96"/>
  <c r="K364" i="96"/>
  <c r="I43" i="96" s="1"/>
  <c r="D311" i="96"/>
  <c r="D310" i="96"/>
  <c r="D297" i="96"/>
  <c r="J294" i="96"/>
  <c r="E265" i="96"/>
  <c r="I279" i="96"/>
  <c r="J265" i="96"/>
  <c r="J271" i="96" s="1"/>
  <c r="AD13" i="99" l="1"/>
  <c r="AA16" i="99" s="1"/>
  <c r="AA12" i="99" s="1"/>
  <c r="C59" i="96"/>
  <c r="J60" i="96"/>
  <c r="J53" i="96"/>
  <c r="D59" i="96"/>
  <c r="J57" i="96"/>
  <c r="K61" i="96"/>
  <c r="D95" i="96"/>
  <c r="D389" i="96"/>
  <c r="J52" i="96"/>
  <c r="K51" i="96"/>
  <c r="J59" i="96"/>
  <c r="K55" i="96"/>
  <c r="I47" i="96"/>
  <c r="K56" i="96"/>
  <c r="AS54" i="100"/>
  <c r="BU54" i="100" s="1"/>
  <c r="AK54" i="100"/>
  <c r="K40" i="96"/>
  <c r="K44" i="96"/>
  <c r="I51" i="96"/>
  <c r="I55" i="96"/>
  <c r="I39" i="96"/>
  <c r="K39" i="96"/>
  <c r="AF73" i="107"/>
  <c r="AF76" i="107"/>
  <c r="AF79" i="107"/>
  <c r="O81" i="100"/>
  <c r="O54" i="100" s="1"/>
  <c r="K45" i="96"/>
  <c r="K47" i="96"/>
  <c r="K48" i="96"/>
  <c r="K49" i="96"/>
  <c r="K43" i="96"/>
  <c r="D439" i="96"/>
  <c r="D459" i="96" s="1"/>
  <c r="D378" i="96"/>
  <c r="D387" i="96" s="1"/>
  <c r="D399" i="96"/>
  <c r="J272" i="96"/>
  <c r="D271" i="96"/>
  <c r="D269" i="96"/>
  <c r="D281" i="96"/>
  <c r="D279" i="96"/>
  <c r="D298" i="96"/>
  <c r="D321" i="96"/>
  <c r="D341" i="96" s="1"/>
  <c r="D265" i="96"/>
  <c r="F336" i="99"/>
  <c r="J336" i="99" s="1"/>
  <c r="F337" i="99"/>
  <c r="F338" i="99"/>
  <c r="J56" i="96" l="1"/>
  <c r="J55" i="96"/>
  <c r="J61" i="96"/>
  <c r="J51" i="96"/>
  <c r="AT54" i="100"/>
  <c r="BV54" i="100" s="1"/>
  <c r="AL54" i="100"/>
  <c r="AF74" i="107"/>
  <c r="AF83" i="107"/>
  <c r="AF80" i="107"/>
  <c r="AF77" i="107"/>
  <c r="H337" i="99"/>
  <c r="I337" i="99" s="1"/>
  <c r="J337" i="99" s="1"/>
  <c r="D489" i="99"/>
  <c r="E439" i="96"/>
  <c r="F439" i="96" s="1"/>
  <c r="D392" i="96"/>
  <c r="D390" i="96"/>
  <c r="J387" i="96" s="1"/>
  <c r="D397" i="96"/>
  <c r="D414" i="96"/>
  <c r="D416" i="96" s="1"/>
  <c r="D284" i="96"/>
  <c r="D272" i="96"/>
  <c r="D307" i="96" s="1"/>
  <c r="D306" i="96"/>
  <c r="D274" i="96"/>
  <c r="D308" i="96" s="1"/>
  <c r="D282" i="96"/>
  <c r="E321" i="96"/>
  <c r="F321" i="96" s="1"/>
  <c r="H338" i="99"/>
  <c r="I338" i="99" s="1"/>
  <c r="J338" i="99" s="1"/>
  <c r="H468" i="99"/>
  <c r="I44" i="99" s="1"/>
  <c r="I467" i="99"/>
  <c r="H467" i="99"/>
  <c r="I43" i="99" s="1"/>
  <c r="D420" i="99"/>
  <c r="D419" i="99"/>
  <c r="D496" i="99" l="1"/>
  <c r="D500" i="99"/>
  <c r="E459" i="96"/>
  <c r="AF81" i="107"/>
  <c r="AF84" i="107"/>
  <c r="AF85" i="107" s="1"/>
  <c r="AF86" i="107" s="1"/>
  <c r="AF78" i="107"/>
  <c r="I468" i="99"/>
  <c r="K43" i="99"/>
  <c r="D502" i="99"/>
  <c r="D424" i="96"/>
  <c r="D402" i="96"/>
  <c r="D426" i="96" s="1"/>
  <c r="D400" i="96"/>
  <c r="D425" i="96" s="1"/>
  <c r="E442" i="96" s="1"/>
  <c r="F459" i="96"/>
  <c r="E360" i="96"/>
  <c r="F360" i="96"/>
  <c r="D360" i="96"/>
  <c r="E324" i="96"/>
  <c r="F324" i="96"/>
  <c r="D324" i="96"/>
  <c r="J269" i="96"/>
  <c r="E341" i="96"/>
  <c r="F341" i="96"/>
  <c r="D423" i="99"/>
  <c r="D444" i="99" s="1"/>
  <c r="J340" i="99"/>
  <c r="D366" i="99" s="1"/>
  <c r="J43" i="99" l="1"/>
  <c r="F442" i="96"/>
  <c r="AF82" i="107"/>
  <c r="D582" i="99"/>
  <c r="C826" i="99"/>
  <c r="D588" i="99"/>
  <c r="D584" i="99"/>
  <c r="D586" i="99" s="1"/>
  <c r="I469" i="99"/>
  <c r="K45" i="99" s="1"/>
  <c r="K44" i="99"/>
  <c r="D503" i="99"/>
  <c r="D532" i="99" s="1"/>
  <c r="D573" i="99"/>
  <c r="D531" i="99"/>
  <c r="D528" i="99"/>
  <c r="D397" i="99"/>
  <c r="D399" i="99"/>
  <c r="D396" i="99"/>
  <c r="D370" i="99"/>
  <c r="D442" i="96"/>
  <c r="F478" i="96"/>
  <c r="D478" i="96"/>
  <c r="E478" i="96"/>
  <c r="E102" i="99"/>
  <c r="E101" i="99"/>
  <c r="E100" i="99"/>
  <c r="D99" i="99"/>
  <c r="E94" i="99"/>
  <c r="E93" i="99"/>
  <c r="D93" i="99"/>
  <c r="D94" i="99" s="1"/>
  <c r="E109" i="99" s="1"/>
  <c r="G23" i="99" s="1"/>
  <c r="D92" i="99"/>
  <c r="D35" i="99"/>
  <c r="E809" i="99"/>
  <c r="E808" i="99"/>
  <c r="E807" i="99"/>
  <c r="E802" i="99"/>
  <c r="E801" i="99"/>
  <c r="D801" i="99"/>
  <c r="D802" i="99" s="1"/>
  <c r="G788" i="99"/>
  <c r="D788" i="99"/>
  <c r="D787" i="99"/>
  <c r="G786" i="99"/>
  <c r="D786" i="99"/>
  <c r="K785" i="99"/>
  <c r="J785" i="99"/>
  <c r="I785" i="99"/>
  <c r="H785" i="99"/>
  <c r="G785" i="99"/>
  <c r="F785" i="99"/>
  <c r="E785" i="99"/>
  <c r="D785" i="99"/>
  <c r="I774" i="99"/>
  <c r="D771" i="99"/>
  <c r="D770" i="99"/>
  <c r="J769" i="99"/>
  <c r="D769" i="99"/>
  <c r="I768" i="99"/>
  <c r="H768" i="99"/>
  <c r="G768" i="99"/>
  <c r="F768" i="99"/>
  <c r="E768" i="99"/>
  <c r="D768" i="99"/>
  <c r="E767" i="99"/>
  <c r="J49" i="99"/>
  <c r="K315" i="99"/>
  <c r="K788" i="99" s="1"/>
  <c r="K314" i="99"/>
  <c r="K787" i="99" s="1"/>
  <c r="L313" i="99"/>
  <c r="L314" i="99" s="1"/>
  <c r="L315" i="99" s="1"/>
  <c r="K33" i="99" s="1"/>
  <c r="K313" i="99"/>
  <c r="K786" i="99" s="1"/>
  <c r="G290" i="99"/>
  <c r="D283" i="99"/>
  <c r="G314" i="99" s="1"/>
  <c r="G787" i="99" s="1"/>
  <c r="D255" i="99"/>
  <c r="D254" i="99"/>
  <c r="E251" i="99"/>
  <c r="D245" i="99"/>
  <c r="D229" i="99"/>
  <c r="D221" i="99"/>
  <c r="E218" i="99"/>
  <c r="D218" i="99"/>
  <c r="D217" i="99"/>
  <c r="J201" i="99"/>
  <c r="K29" i="99" s="1"/>
  <c r="I201" i="99"/>
  <c r="I771" i="99" s="1"/>
  <c r="I57" i="99" s="1"/>
  <c r="J200" i="99"/>
  <c r="K28" i="99" s="1"/>
  <c r="I200" i="99"/>
  <c r="I770" i="99" s="1"/>
  <c r="I56" i="99" s="1"/>
  <c r="J199" i="99"/>
  <c r="K27" i="99" s="1"/>
  <c r="I199" i="99"/>
  <c r="I769" i="99" s="1"/>
  <c r="I55" i="99" s="1"/>
  <c r="E176" i="99"/>
  <c r="E175" i="99"/>
  <c r="E174" i="99"/>
  <c r="D164" i="99"/>
  <c r="D138" i="99"/>
  <c r="D146" i="99" s="1"/>
  <c r="D175" i="99" s="1"/>
  <c r="D137" i="99"/>
  <c r="D136" i="99"/>
  <c r="E135" i="99"/>
  <c r="D135" i="99"/>
  <c r="D134" i="99"/>
  <c r="E132" i="99"/>
  <c r="D132" i="99"/>
  <c r="D131" i="99"/>
  <c r="D117" i="99"/>
  <c r="D760" i="99" s="1"/>
  <c r="D116" i="99"/>
  <c r="AA74" i="99"/>
  <c r="Y74" i="99"/>
  <c r="X74" i="99"/>
  <c r="V74" i="99"/>
  <c r="AA73" i="99"/>
  <c r="Y73" i="99"/>
  <c r="X73" i="99"/>
  <c r="V73" i="99"/>
  <c r="AA72" i="99"/>
  <c r="Y72" i="99"/>
  <c r="X72" i="99"/>
  <c r="V72" i="99"/>
  <c r="K71" i="99"/>
  <c r="I71" i="99"/>
  <c r="AA70" i="99"/>
  <c r="Y70" i="99"/>
  <c r="X70" i="99"/>
  <c r="W70" i="99"/>
  <c r="V70" i="99"/>
  <c r="V69" i="99"/>
  <c r="V68" i="99"/>
  <c r="AA66" i="99"/>
  <c r="Y66" i="99"/>
  <c r="X66" i="99"/>
  <c r="W66" i="99"/>
  <c r="V66" i="99"/>
  <c r="V65" i="99"/>
  <c r="V64" i="99"/>
  <c r="AA62" i="99"/>
  <c r="Y62" i="99"/>
  <c r="X62" i="99"/>
  <c r="W62" i="99"/>
  <c r="V62" i="99"/>
  <c r="V61" i="99"/>
  <c r="K61" i="99"/>
  <c r="V60" i="99"/>
  <c r="K60" i="99"/>
  <c r="K59" i="99"/>
  <c r="B59" i="99"/>
  <c r="B63" i="99" s="1"/>
  <c r="B67" i="99" s="1"/>
  <c r="AA58" i="99"/>
  <c r="Y58" i="99"/>
  <c r="X58" i="99"/>
  <c r="W58" i="99"/>
  <c r="V58" i="99"/>
  <c r="V57" i="99"/>
  <c r="V56" i="99"/>
  <c r="V50" i="99"/>
  <c r="V49" i="99"/>
  <c r="V48" i="99"/>
  <c r="B47" i="99"/>
  <c r="B51" i="99" s="1"/>
  <c r="V46" i="99"/>
  <c r="V45" i="99"/>
  <c r="V44" i="99"/>
  <c r="X42" i="99"/>
  <c r="W42" i="99"/>
  <c r="V42" i="99"/>
  <c r="V41" i="99"/>
  <c r="V40" i="99"/>
  <c r="X38" i="99"/>
  <c r="W38" i="99"/>
  <c r="V38" i="99"/>
  <c r="V37" i="99"/>
  <c r="I37" i="99"/>
  <c r="V36" i="99"/>
  <c r="I36" i="99"/>
  <c r="I35" i="99"/>
  <c r="V34" i="99"/>
  <c r="V33" i="99"/>
  <c r="V32" i="99"/>
  <c r="B31" i="99"/>
  <c r="B35" i="99" s="1"/>
  <c r="B39" i="99" s="1"/>
  <c r="X30" i="99"/>
  <c r="W30" i="99"/>
  <c r="V30" i="99"/>
  <c r="V29" i="99"/>
  <c r="V28" i="99"/>
  <c r="AF27" i="99"/>
  <c r="AF31" i="99" s="1"/>
  <c r="AF32" i="99" s="1"/>
  <c r="AF33" i="99" s="1"/>
  <c r="AF34" i="99" s="1"/>
  <c r="AA26" i="99"/>
  <c r="Y26" i="99"/>
  <c r="X26" i="99"/>
  <c r="V26" i="99"/>
  <c r="AA25" i="99"/>
  <c r="Y25" i="99"/>
  <c r="X25" i="99"/>
  <c r="V25" i="99"/>
  <c r="AF24" i="99"/>
  <c r="AF25" i="99" s="1"/>
  <c r="AF26" i="99" s="1"/>
  <c r="AA24" i="99"/>
  <c r="Y24" i="99"/>
  <c r="X24" i="99"/>
  <c r="V24" i="99"/>
  <c r="K23" i="99"/>
  <c r="AH16" i="99"/>
  <c r="X16" i="99"/>
  <c r="W16" i="99"/>
  <c r="V16" i="99"/>
  <c r="U16" i="99"/>
  <c r="L16" i="99"/>
  <c r="L15" i="99"/>
  <c r="J60" i="99" l="1"/>
  <c r="J71" i="99"/>
  <c r="D39" i="99"/>
  <c r="J61" i="99"/>
  <c r="J23" i="99"/>
  <c r="AC58" i="99"/>
  <c r="J27" i="99"/>
  <c r="AC70" i="99"/>
  <c r="J33" i="99"/>
  <c r="J44" i="99"/>
  <c r="K63" i="99"/>
  <c r="AC66" i="99"/>
  <c r="J28" i="99"/>
  <c r="J45" i="99"/>
  <c r="L54" i="99"/>
  <c r="M54" i="99" s="1"/>
  <c r="L53" i="99"/>
  <c r="M53" i="99" s="1"/>
  <c r="L52" i="99"/>
  <c r="M52" i="99" s="1"/>
  <c r="L51" i="99"/>
  <c r="M51" i="99" s="1"/>
  <c r="AH53" i="99"/>
  <c r="AI53" i="99" s="1"/>
  <c r="AH52" i="99"/>
  <c r="AI52" i="99" s="1"/>
  <c r="AH51" i="99"/>
  <c r="AC24" i="99"/>
  <c r="AC25" i="99"/>
  <c r="AC62" i="99"/>
  <c r="AC73" i="99"/>
  <c r="AC74" i="99"/>
  <c r="AC72" i="99"/>
  <c r="AC26" i="99"/>
  <c r="L50" i="99"/>
  <c r="M50" i="99" s="1"/>
  <c r="N50" i="99" s="1"/>
  <c r="O50" i="99" s="1"/>
  <c r="U50" i="99" s="1"/>
  <c r="J48" i="99"/>
  <c r="D539" i="99"/>
  <c r="J47" i="99"/>
  <c r="D371" i="99"/>
  <c r="D425" i="99" s="1"/>
  <c r="D398" i="99"/>
  <c r="D400" i="99" s="1"/>
  <c r="K41" i="99"/>
  <c r="J59" i="99"/>
  <c r="AF28" i="99"/>
  <c r="AF29" i="99" s="1"/>
  <c r="AF30" i="99" s="1"/>
  <c r="D219" i="99"/>
  <c r="F313" i="99" s="1"/>
  <c r="K31" i="99"/>
  <c r="K36" i="99"/>
  <c r="L48" i="99"/>
  <c r="M48" i="99" s="1"/>
  <c r="D261" i="99"/>
  <c r="D288" i="99" s="1"/>
  <c r="E288" i="99" s="1"/>
  <c r="K32" i="99"/>
  <c r="K64" i="99"/>
  <c r="D118" i="99"/>
  <c r="K39" i="99"/>
  <c r="AH23" i="99"/>
  <c r="AI23" i="99" s="1"/>
  <c r="K35" i="99"/>
  <c r="K37" i="99"/>
  <c r="K40" i="99"/>
  <c r="AF35" i="99"/>
  <c r="AF39" i="99" s="1"/>
  <c r="AF43" i="99" s="1"/>
  <c r="AH49" i="99"/>
  <c r="AI49" i="99" s="1"/>
  <c r="AH60" i="99"/>
  <c r="AI60" i="99" s="1"/>
  <c r="D133" i="99"/>
  <c r="F199" i="99" s="1"/>
  <c r="L28" i="99"/>
  <c r="M28" i="99" s="1"/>
  <c r="L43" i="99"/>
  <c r="M43" i="99" s="1"/>
  <c r="AH48" i="99"/>
  <c r="AI48" i="99" s="1"/>
  <c r="AH43" i="99"/>
  <c r="AI43" i="99" s="1"/>
  <c r="AH29" i="99"/>
  <c r="AI29" i="99" s="1"/>
  <c r="AH33" i="99"/>
  <c r="AI33" i="99" s="1"/>
  <c r="L29" i="99"/>
  <c r="M29" i="99" s="1"/>
  <c r="L46" i="99"/>
  <c r="M46" i="99" s="1"/>
  <c r="AH27" i="99"/>
  <c r="AI27" i="99" s="1"/>
  <c r="AH46" i="99"/>
  <c r="AI46" i="99" s="1"/>
  <c r="U34" i="99"/>
  <c r="L27" i="99"/>
  <c r="M27" i="99" s="1"/>
  <c r="J770" i="99"/>
  <c r="K55" i="99"/>
  <c r="L61" i="99"/>
  <c r="M61" i="99" s="1"/>
  <c r="L60" i="99"/>
  <c r="M60" i="99" s="1"/>
  <c r="L59" i="99"/>
  <c r="M59" i="99" s="1"/>
  <c r="L71" i="99"/>
  <c r="M71" i="99" s="1"/>
  <c r="L49" i="99"/>
  <c r="M49" i="99" s="1"/>
  <c r="L63" i="99"/>
  <c r="M63" i="99" s="1"/>
  <c r="L33" i="99"/>
  <c r="M33" i="99" s="1"/>
  <c r="L45" i="99"/>
  <c r="M45" i="99" s="1"/>
  <c r="L23" i="99"/>
  <c r="M23" i="99" s="1"/>
  <c r="J29" i="99"/>
  <c r="AH59" i="99"/>
  <c r="AI59" i="99" s="1"/>
  <c r="AH61" i="99"/>
  <c r="AI61" i="99" s="1"/>
  <c r="AH71" i="99"/>
  <c r="AI71" i="99" s="1"/>
  <c r="AH45" i="99"/>
  <c r="AI45" i="99" s="1"/>
  <c r="AH28" i="99"/>
  <c r="AI28" i="99" s="1"/>
  <c r="AH63" i="99"/>
  <c r="AI63" i="99" s="1"/>
  <c r="D141" i="99"/>
  <c r="F200" i="99"/>
  <c r="D168" i="99"/>
  <c r="D180" i="99" s="1"/>
  <c r="J63" i="99"/>
  <c r="K67" i="99"/>
  <c r="E816" i="99"/>
  <c r="G71" i="99" s="1"/>
  <c r="K65" i="99"/>
  <c r="CB63" i="100" l="1"/>
  <c r="J39" i="99"/>
  <c r="L64" i="99"/>
  <c r="M64" i="99" s="1"/>
  <c r="J32" i="99"/>
  <c r="J41" i="99"/>
  <c r="J55" i="99"/>
  <c r="AH65" i="99"/>
  <c r="AI65" i="99" s="1"/>
  <c r="J37" i="99"/>
  <c r="J40" i="99"/>
  <c r="J67" i="99"/>
  <c r="J35" i="99"/>
  <c r="J36" i="99"/>
  <c r="J31" i="99"/>
  <c r="CB57" i="100"/>
  <c r="CA57" i="100"/>
  <c r="BZ57" i="100"/>
  <c r="Q28" i="99"/>
  <c r="R28" i="99" s="1"/>
  <c r="Q60" i="99"/>
  <c r="R60" i="99" s="1"/>
  <c r="Q64" i="99"/>
  <c r="R64" i="99" s="1"/>
  <c r="Q52" i="99"/>
  <c r="R52" i="99" s="1"/>
  <c r="Q48" i="99"/>
  <c r="R48" i="99" s="1"/>
  <c r="CB65" i="100"/>
  <c r="CB64" i="100"/>
  <c r="N54" i="99"/>
  <c r="O54" i="99" s="1"/>
  <c r="U54" i="99" s="1"/>
  <c r="W54" i="99" s="1"/>
  <c r="X54" i="99" s="1"/>
  <c r="AI51" i="99"/>
  <c r="L47" i="99"/>
  <c r="M47" i="99" s="1"/>
  <c r="AH47" i="99"/>
  <c r="AI47" i="99" s="1"/>
  <c r="L44" i="99"/>
  <c r="AH44" i="99"/>
  <c r="AI44" i="99" s="1"/>
  <c r="AH41" i="99"/>
  <c r="AI41" i="99" s="1"/>
  <c r="L41" i="99"/>
  <c r="M41" i="99" s="1"/>
  <c r="D445" i="99"/>
  <c r="D447" i="99" s="1"/>
  <c r="D427" i="99"/>
  <c r="D429" i="99" s="1"/>
  <c r="G43" i="99" s="1"/>
  <c r="D230" i="99"/>
  <c r="D231" i="99" s="1"/>
  <c r="D253" i="99" s="1"/>
  <c r="D265" i="99" s="1"/>
  <c r="D222" i="99"/>
  <c r="D251" i="99" s="1"/>
  <c r="AH39" i="99"/>
  <c r="AI39" i="99" s="1"/>
  <c r="L35" i="99"/>
  <c r="M35" i="99" s="1"/>
  <c r="L39" i="99"/>
  <c r="M39" i="99" s="1"/>
  <c r="AH35" i="99"/>
  <c r="AI35" i="99" s="1"/>
  <c r="E261" i="99"/>
  <c r="F261" i="99" s="1"/>
  <c r="L31" i="99"/>
  <c r="M31" i="99" s="1"/>
  <c r="N46" i="99"/>
  <c r="O46" i="99" s="1"/>
  <c r="U46" i="99" s="1"/>
  <c r="D145" i="99"/>
  <c r="D174" i="99" s="1"/>
  <c r="AH37" i="99"/>
  <c r="AI37" i="99" s="1"/>
  <c r="AH40" i="99"/>
  <c r="AI40" i="99" s="1"/>
  <c r="L40" i="99"/>
  <c r="K68" i="99"/>
  <c r="J64" i="99"/>
  <c r="AF40" i="99"/>
  <c r="AF41" i="99" s="1"/>
  <c r="AF42" i="99" s="1"/>
  <c r="AH36" i="99"/>
  <c r="AI36" i="99" s="1"/>
  <c r="L36" i="99"/>
  <c r="L37" i="99"/>
  <c r="M37" i="99" s="1"/>
  <c r="AH31" i="99"/>
  <c r="AI31" i="99" s="1"/>
  <c r="D143" i="99"/>
  <c r="D171" i="99" s="1"/>
  <c r="D181" i="99" s="1"/>
  <c r="AH32" i="99"/>
  <c r="AI32" i="99" s="1"/>
  <c r="L32" i="99"/>
  <c r="AH55" i="99"/>
  <c r="AI55" i="99" s="1"/>
  <c r="AH64" i="99"/>
  <c r="AI64" i="99" s="1"/>
  <c r="L55" i="99"/>
  <c r="M55" i="99" s="1"/>
  <c r="AF36" i="99"/>
  <c r="AF37" i="99" s="1"/>
  <c r="AF38" i="99" s="1"/>
  <c r="L65" i="99"/>
  <c r="M65" i="99" s="1"/>
  <c r="W34" i="99"/>
  <c r="X34" i="99" s="1"/>
  <c r="F786" i="99"/>
  <c r="F315" i="99"/>
  <c r="K56" i="99"/>
  <c r="J771" i="99"/>
  <c r="K57" i="99" s="1"/>
  <c r="F288" i="99"/>
  <c r="AH67" i="99"/>
  <c r="AI67" i="99" s="1"/>
  <c r="AF47" i="99"/>
  <c r="AF51" i="99" s="1"/>
  <c r="AF55" i="99" s="1"/>
  <c r="AF44" i="99"/>
  <c r="AF45" i="99" s="1"/>
  <c r="AF46" i="99" s="1"/>
  <c r="W50" i="99"/>
  <c r="J65" i="99"/>
  <c r="K69" i="99"/>
  <c r="L67" i="99"/>
  <c r="M67" i="99" s="1"/>
  <c r="U51" i="98"/>
  <c r="U52" i="98" s="1"/>
  <c r="U53" i="98" s="1"/>
  <c r="U54" i="98" s="1"/>
  <c r="U55" i="98" s="1"/>
  <c r="U56" i="98" s="1"/>
  <c r="U57" i="98" s="1"/>
  <c r="T50" i="98"/>
  <c r="T49" i="98"/>
  <c r="BH61" i="100" l="1"/>
  <c r="AW61" i="100" s="1"/>
  <c r="M44" i="99"/>
  <c r="Q44" i="99"/>
  <c r="R44" i="99" s="1"/>
  <c r="BH62" i="100"/>
  <c r="BG62" i="100" s="1"/>
  <c r="M40" i="99"/>
  <c r="Q40" i="99"/>
  <c r="R40" i="99" s="1"/>
  <c r="M32" i="99"/>
  <c r="Q32" i="99"/>
  <c r="R32" i="99" s="1"/>
  <c r="M36" i="99"/>
  <c r="Q36" i="99" s="1"/>
  <c r="R36" i="99" s="1"/>
  <c r="AF52" i="99"/>
  <c r="AF53" i="99" s="1"/>
  <c r="AF54" i="99" s="1"/>
  <c r="F265" i="99"/>
  <c r="F290" i="99" s="1"/>
  <c r="E265" i="99"/>
  <c r="E290" i="99" s="1"/>
  <c r="D458" i="99"/>
  <c r="D459" i="99" s="1"/>
  <c r="D452" i="99"/>
  <c r="F44" i="99" s="1"/>
  <c r="D448" i="99"/>
  <c r="E468" i="99"/>
  <c r="E467" i="99"/>
  <c r="AJ46" i="99"/>
  <c r="J68" i="99"/>
  <c r="AH68" i="99"/>
  <c r="AI68" i="99" s="1"/>
  <c r="L68" i="99"/>
  <c r="X50" i="99"/>
  <c r="Y50" i="99" s="1"/>
  <c r="AA50" i="99" s="1"/>
  <c r="F788" i="99"/>
  <c r="F314" i="99"/>
  <c r="F787" i="99" s="1"/>
  <c r="J69" i="99"/>
  <c r="L69" i="99"/>
  <c r="M69" i="99" s="1"/>
  <c r="AH69" i="99"/>
  <c r="AI69" i="99" s="1"/>
  <c r="AF48" i="99"/>
  <c r="AF49" i="99" s="1"/>
  <c r="AF50" i="99" s="1"/>
  <c r="J57" i="99"/>
  <c r="L57" i="99"/>
  <c r="M57" i="99" s="1"/>
  <c r="AH57" i="99"/>
  <c r="AI57" i="99" s="1"/>
  <c r="J56" i="99"/>
  <c r="L56" i="99"/>
  <c r="AH56" i="99"/>
  <c r="AI56" i="99" s="1"/>
  <c r="D290" i="99"/>
  <c r="W46" i="99"/>
  <c r="W48" i="95"/>
  <c r="AF27" i="96"/>
  <c r="V86" i="96"/>
  <c r="V85" i="96"/>
  <c r="V84" i="96"/>
  <c r="V82" i="96"/>
  <c r="V81" i="96"/>
  <c r="V80" i="96"/>
  <c r="D79" i="96"/>
  <c r="C79" i="96"/>
  <c r="V78" i="96"/>
  <c r="V77" i="96"/>
  <c r="V76" i="96"/>
  <c r="V74" i="96"/>
  <c r="V73" i="96"/>
  <c r="V72" i="96"/>
  <c r="V70" i="96"/>
  <c r="V69" i="96"/>
  <c r="V68" i="96"/>
  <c r="D67" i="96"/>
  <c r="C67" i="96"/>
  <c r="V66" i="96"/>
  <c r="V65" i="96"/>
  <c r="V64" i="96"/>
  <c r="B39" i="96"/>
  <c r="C43" i="96"/>
  <c r="D43" i="96"/>
  <c r="L691" i="96"/>
  <c r="L692" i="96" s="1"/>
  <c r="L693" i="96" s="1"/>
  <c r="K77" i="96" s="1"/>
  <c r="E638" i="96"/>
  <c r="E637" i="96"/>
  <c r="E636" i="96"/>
  <c r="K693" i="96"/>
  <c r="I81" i="96" s="1"/>
  <c r="K692" i="96"/>
  <c r="I84" i="96" s="1"/>
  <c r="K691" i="96"/>
  <c r="I79" i="96" s="1"/>
  <c r="F667" i="96"/>
  <c r="E667" i="96"/>
  <c r="D641" i="96"/>
  <c r="D640" i="96"/>
  <c r="D631" i="96"/>
  <c r="D627" i="96"/>
  <c r="D626" i="96"/>
  <c r="D532" i="96"/>
  <c r="L605" i="96" s="1"/>
  <c r="L606" i="96" s="1"/>
  <c r="L607" i="96" s="1"/>
  <c r="L608" i="96" s="1"/>
  <c r="K70" i="96" s="1"/>
  <c r="E581" i="96"/>
  <c r="F581" i="96"/>
  <c r="E550" i="96"/>
  <c r="E551" i="96"/>
  <c r="E552" i="96"/>
  <c r="D541" i="96"/>
  <c r="D540" i="96"/>
  <c r="D527" i="96"/>
  <c r="D548" i="96"/>
  <c r="D523" i="96"/>
  <c r="D634" i="96" s="1"/>
  <c r="D520" i="96"/>
  <c r="D525" i="96" s="1"/>
  <c r="D633" i="96" s="1"/>
  <c r="D516" i="96"/>
  <c r="D524" i="96" s="1"/>
  <c r="D547" i="96" s="1"/>
  <c r="K608" i="96"/>
  <c r="I66" i="96" s="1"/>
  <c r="K607" i="96"/>
  <c r="I69" i="96" s="1"/>
  <c r="K606" i="96"/>
  <c r="I72" i="96" s="1"/>
  <c r="K605" i="96"/>
  <c r="I67" i="96" s="1"/>
  <c r="D555" i="96"/>
  <c r="D554" i="96"/>
  <c r="D545" i="96"/>
  <c r="D526" i="96"/>
  <c r="D47" i="96" l="1"/>
  <c r="C47" i="96"/>
  <c r="J70" i="96"/>
  <c r="D71" i="96"/>
  <c r="C83" i="96"/>
  <c r="D83" i="96"/>
  <c r="C71" i="96"/>
  <c r="M56" i="99"/>
  <c r="Q56" i="99" s="1"/>
  <c r="R56" i="99" s="1"/>
  <c r="S44" i="99"/>
  <c r="BH60" i="100"/>
  <c r="M68" i="99"/>
  <c r="Q68" i="99" s="1"/>
  <c r="R68" i="99" s="1"/>
  <c r="B63" i="96"/>
  <c r="B67" i="96" s="1"/>
  <c r="B71" i="96" s="1"/>
  <c r="B51" i="96"/>
  <c r="B55" i="96" s="1"/>
  <c r="B59" i="96" s="1"/>
  <c r="D460" i="99"/>
  <c r="G45" i="99" s="1"/>
  <c r="D453" i="99"/>
  <c r="G44" i="99" s="1"/>
  <c r="K74" i="96"/>
  <c r="K73" i="96"/>
  <c r="K83" i="96"/>
  <c r="I68" i="96"/>
  <c r="I77" i="96"/>
  <c r="I65" i="96"/>
  <c r="I74" i="96"/>
  <c r="I80" i="96"/>
  <c r="K66" i="96"/>
  <c r="I85" i="96"/>
  <c r="K65" i="96"/>
  <c r="K75" i="96"/>
  <c r="K72" i="96"/>
  <c r="K64" i="96"/>
  <c r="K79" i="96"/>
  <c r="X46" i="99"/>
  <c r="Y46" i="99" s="1"/>
  <c r="AA46" i="99" s="1"/>
  <c r="I71" i="96"/>
  <c r="K63" i="96"/>
  <c r="K71" i="96"/>
  <c r="K81" i="96"/>
  <c r="I83" i="96"/>
  <c r="I70" i="96"/>
  <c r="I73" i="96"/>
  <c r="I76" i="96"/>
  <c r="K80" i="96"/>
  <c r="I64" i="96"/>
  <c r="K69" i="96"/>
  <c r="I75" i="96"/>
  <c r="K85" i="96"/>
  <c r="I63" i="96"/>
  <c r="K68" i="96"/>
  <c r="K84" i="96"/>
  <c r="K67" i="96"/>
  <c r="K76" i="96"/>
  <c r="J77" i="96"/>
  <c r="D628" i="96"/>
  <c r="F563" i="96"/>
  <c r="F583" i="96" s="1"/>
  <c r="D646" i="96"/>
  <c r="D667" i="96" s="1"/>
  <c r="E563" i="96"/>
  <c r="E583" i="96" s="1"/>
  <c r="D528" i="96"/>
  <c r="D531" i="96" s="1"/>
  <c r="D563" i="96"/>
  <c r="F649" i="96"/>
  <c r="F669" i="96" s="1"/>
  <c r="E649" i="96"/>
  <c r="E669" i="96" s="1"/>
  <c r="D649" i="96"/>
  <c r="D669" i="96" s="1"/>
  <c r="D542" i="96"/>
  <c r="D560" i="96"/>
  <c r="E733" i="96"/>
  <c r="E732" i="96"/>
  <c r="E731" i="96"/>
  <c r="E726" i="96"/>
  <c r="E725" i="96"/>
  <c r="D725" i="96"/>
  <c r="D726" i="96" s="1"/>
  <c r="D712" i="96"/>
  <c r="D711" i="96"/>
  <c r="D710" i="96"/>
  <c r="K709" i="96"/>
  <c r="J709" i="96"/>
  <c r="I709" i="96"/>
  <c r="H709" i="96"/>
  <c r="G709" i="96"/>
  <c r="F709" i="96"/>
  <c r="E709" i="96"/>
  <c r="D709" i="96"/>
  <c r="J47" i="96"/>
  <c r="K244" i="96"/>
  <c r="K712" i="96" s="1"/>
  <c r="K243" i="96"/>
  <c r="K711" i="96" s="1"/>
  <c r="L242" i="96"/>
  <c r="L243" i="96" s="1"/>
  <c r="L244" i="96" s="1"/>
  <c r="K37" i="96" s="1"/>
  <c r="K242" i="96"/>
  <c r="K710" i="96" s="1"/>
  <c r="G219" i="96"/>
  <c r="D212" i="96"/>
  <c r="D184" i="96"/>
  <c r="D183" i="96"/>
  <c r="E180" i="96"/>
  <c r="D174" i="96"/>
  <c r="D158" i="96"/>
  <c r="D150" i="96"/>
  <c r="E147" i="96"/>
  <c r="D147" i="96"/>
  <c r="D146" i="96"/>
  <c r="E126" i="96"/>
  <c r="E125" i="96"/>
  <c r="E124" i="96"/>
  <c r="D123" i="96"/>
  <c r="E118" i="96"/>
  <c r="E117" i="96"/>
  <c r="D117" i="96"/>
  <c r="D116" i="96"/>
  <c r="AA102" i="96"/>
  <c r="Y102" i="96"/>
  <c r="X102" i="96"/>
  <c r="V102" i="96"/>
  <c r="AA101" i="96"/>
  <c r="Y101" i="96"/>
  <c r="X101" i="96"/>
  <c r="V101" i="96"/>
  <c r="AA100" i="96"/>
  <c r="Y100" i="96"/>
  <c r="X100" i="96"/>
  <c r="V100" i="96"/>
  <c r="K99" i="96"/>
  <c r="I99" i="96"/>
  <c r="AA98" i="96"/>
  <c r="Y98" i="96"/>
  <c r="X98" i="96"/>
  <c r="W98" i="96"/>
  <c r="V98" i="96"/>
  <c r="V97" i="96"/>
  <c r="V96" i="96"/>
  <c r="AA94" i="96"/>
  <c r="Y94" i="96"/>
  <c r="X94" i="96"/>
  <c r="W94" i="96"/>
  <c r="V94" i="96"/>
  <c r="V93" i="96"/>
  <c r="V92" i="96"/>
  <c r="AA90" i="96"/>
  <c r="Y90" i="96"/>
  <c r="X90" i="96"/>
  <c r="W90" i="96"/>
  <c r="V90" i="96"/>
  <c r="V89" i="96"/>
  <c r="K89" i="96"/>
  <c r="V88" i="96"/>
  <c r="K88" i="96"/>
  <c r="K87" i="96"/>
  <c r="V50" i="96"/>
  <c r="V49" i="96"/>
  <c r="V48" i="96"/>
  <c r="V46" i="96"/>
  <c r="V45" i="96"/>
  <c r="V44" i="96"/>
  <c r="V42" i="96"/>
  <c r="V41" i="96"/>
  <c r="V40" i="96"/>
  <c r="B43" i="96"/>
  <c r="B47" i="96" s="1"/>
  <c r="X38" i="96"/>
  <c r="W38" i="96"/>
  <c r="V38" i="96"/>
  <c r="V37" i="96"/>
  <c r="V36" i="96"/>
  <c r="X34" i="96"/>
  <c r="W34" i="96"/>
  <c r="V34" i="96"/>
  <c r="V33" i="96"/>
  <c r="I33" i="96"/>
  <c r="V32" i="96"/>
  <c r="I32" i="96"/>
  <c r="I31" i="96"/>
  <c r="V30" i="96"/>
  <c r="V29" i="96"/>
  <c r="V28" i="96"/>
  <c r="B31" i="96"/>
  <c r="B35" i="96" s="1"/>
  <c r="AA26" i="96"/>
  <c r="Y26" i="96"/>
  <c r="X26" i="96"/>
  <c r="V26" i="96"/>
  <c r="AA25" i="96"/>
  <c r="Y25" i="96"/>
  <c r="X25" i="96"/>
  <c r="V25" i="96"/>
  <c r="AF24" i="96"/>
  <c r="AF25" i="96" s="1"/>
  <c r="AF26" i="96" s="1"/>
  <c r="AA24" i="96"/>
  <c r="Y24" i="96"/>
  <c r="X24" i="96"/>
  <c r="V24" i="96"/>
  <c r="K23" i="96"/>
  <c r="AH16" i="96"/>
  <c r="X16" i="96"/>
  <c r="W16" i="96"/>
  <c r="V16" i="96"/>
  <c r="U16" i="96"/>
  <c r="L16" i="96"/>
  <c r="L15" i="96"/>
  <c r="D55" i="95"/>
  <c r="AC98" i="96" l="1"/>
  <c r="J84" i="96"/>
  <c r="BP60" i="100"/>
  <c r="AC25" i="96"/>
  <c r="J87" i="96"/>
  <c r="AC94" i="96"/>
  <c r="J68" i="96"/>
  <c r="J79" i="96"/>
  <c r="K92" i="96"/>
  <c r="AC90" i="96"/>
  <c r="J99" i="96"/>
  <c r="AC101" i="96"/>
  <c r="J64" i="96"/>
  <c r="J37" i="96"/>
  <c r="J85" i="96"/>
  <c r="J72" i="96"/>
  <c r="AC24" i="96"/>
  <c r="J89" i="96"/>
  <c r="B75" i="96"/>
  <c r="J81" i="96"/>
  <c r="J75" i="96"/>
  <c r="AC26" i="96"/>
  <c r="J69" i="96"/>
  <c r="J71" i="96"/>
  <c r="J65" i="96"/>
  <c r="J83" i="96"/>
  <c r="J23" i="96"/>
  <c r="AC100" i="96"/>
  <c r="AC102" i="96"/>
  <c r="J76" i="96"/>
  <c r="J63" i="96"/>
  <c r="J73" i="96"/>
  <c r="J67" i="96"/>
  <c r="J80" i="96"/>
  <c r="J66" i="96"/>
  <c r="J74" i="96"/>
  <c r="BG60" i="100"/>
  <c r="BG66" i="100" s="1"/>
  <c r="AW60" i="100"/>
  <c r="AW66" i="100" s="1"/>
  <c r="AH56" i="96"/>
  <c r="AI56" i="96" s="1"/>
  <c r="AH53" i="96"/>
  <c r="AI53" i="96" s="1"/>
  <c r="AH51" i="96"/>
  <c r="AI51" i="96" s="1"/>
  <c r="AH60" i="96"/>
  <c r="AI60" i="96" s="1"/>
  <c r="AH61" i="96"/>
  <c r="AI61" i="96" s="1"/>
  <c r="AH59" i="96"/>
  <c r="AI59" i="96" s="1"/>
  <c r="AH52" i="96"/>
  <c r="AI52" i="96" s="1"/>
  <c r="AH57" i="96"/>
  <c r="AI57" i="96" s="1"/>
  <c r="AH55" i="96"/>
  <c r="AI55" i="96" s="1"/>
  <c r="L60" i="96"/>
  <c r="M60" i="96" s="1"/>
  <c r="L57" i="96"/>
  <c r="M57" i="96" s="1"/>
  <c r="L51" i="96"/>
  <c r="M51" i="96" s="1"/>
  <c r="L40" i="96"/>
  <c r="M40" i="96" s="1"/>
  <c r="L59" i="96"/>
  <c r="L56" i="96"/>
  <c r="M56" i="96" s="1"/>
  <c r="L53" i="96"/>
  <c r="M53" i="96" s="1"/>
  <c r="L52" i="96"/>
  <c r="M52" i="96" s="1"/>
  <c r="L61" i="96"/>
  <c r="L55" i="96"/>
  <c r="L41" i="96"/>
  <c r="M41" i="96" s="1"/>
  <c r="L39" i="96"/>
  <c r="M39" i="96" s="1"/>
  <c r="U58" i="96"/>
  <c r="U62" i="96"/>
  <c r="U54" i="96"/>
  <c r="L68" i="96"/>
  <c r="M68" i="96" s="1"/>
  <c r="AH68" i="96"/>
  <c r="AI68" i="96" s="1"/>
  <c r="L85" i="96"/>
  <c r="M85" i="96" s="1"/>
  <c r="L66" i="96"/>
  <c r="M66" i="96" s="1"/>
  <c r="L74" i="96"/>
  <c r="M74" i="96" s="1"/>
  <c r="L70" i="96"/>
  <c r="M70" i="96" s="1"/>
  <c r="AH67" i="96"/>
  <c r="AI67" i="96" s="1"/>
  <c r="L67" i="96"/>
  <c r="M67" i="96" s="1"/>
  <c r="AH80" i="96"/>
  <c r="AI80" i="96" s="1"/>
  <c r="AH65" i="96"/>
  <c r="AI65" i="96" s="1"/>
  <c r="L73" i="96"/>
  <c r="M73" i="96" s="1"/>
  <c r="L79" i="96"/>
  <c r="M79" i="96" s="1"/>
  <c r="B79" i="96"/>
  <c r="B83" i="96" s="1"/>
  <c r="B87" i="96"/>
  <c r="B91" i="96" s="1"/>
  <c r="B95" i="96" s="1"/>
  <c r="AH64" i="96"/>
  <c r="AI64" i="96" s="1"/>
  <c r="L80" i="96"/>
  <c r="L77" i="96"/>
  <c r="AH77" i="96"/>
  <c r="AI77" i="96" s="1"/>
  <c r="U82" i="96"/>
  <c r="U86" i="96"/>
  <c r="U78" i="96"/>
  <c r="W78" i="96" s="1"/>
  <c r="X78" i="96" s="1"/>
  <c r="Y78" i="96" s="1"/>
  <c r="AA78" i="96" s="1"/>
  <c r="L63" i="96"/>
  <c r="L65" i="96"/>
  <c r="AH81" i="96"/>
  <c r="AI81" i="96" s="1"/>
  <c r="AH84" i="96"/>
  <c r="AI84" i="96" s="1"/>
  <c r="AH72" i="96"/>
  <c r="AH71" i="96"/>
  <c r="AH69" i="96"/>
  <c r="AI69" i="96" s="1"/>
  <c r="AH76" i="96"/>
  <c r="AH75" i="96"/>
  <c r="AI75" i="96" s="1"/>
  <c r="AH83" i="96"/>
  <c r="AI83" i="96" s="1"/>
  <c r="AH73" i="96"/>
  <c r="AI73" i="96" s="1"/>
  <c r="AH79" i="96"/>
  <c r="AI79" i="96" s="1"/>
  <c r="AH63" i="96"/>
  <c r="AI63" i="96" s="1"/>
  <c r="L84" i="96"/>
  <c r="M84" i="96" s="1"/>
  <c r="L83" i="96"/>
  <c r="M83" i="96" s="1"/>
  <c r="L69" i="96"/>
  <c r="M69" i="96" s="1"/>
  <c r="L75" i="96"/>
  <c r="M75" i="96" s="1"/>
  <c r="L64" i="96"/>
  <c r="L81" i="96"/>
  <c r="M81" i="96" s="1"/>
  <c r="L71" i="96"/>
  <c r="L76" i="96"/>
  <c r="M76" i="96" s="1"/>
  <c r="AH85" i="96"/>
  <c r="AI85" i="96" s="1"/>
  <c r="L72" i="96"/>
  <c r="M72" i="96" s="1"/>
  <c r="J608" i="96"/>
  <c r="H74" i="96" s="1"/>
  <c r="H608" i="96"/>
  <c r="H66" i="96" s="1"/>
  <c r="I608" i="96"/>
  <c r="H70" i="96" s="1"/>
  <c r="K36" i="96"/>
  <c r="D583" i="96"/>
  <c r="K29" i="96"/>
  <c r="K33" i="96"/>
  <c r="K31" i="96"/>
  <c r="K27" i="96"/>
  <c r="K28" i="96"/>
  <c r="K32" i="96"/>
  <c r="K35" i="96"/>
  <c r="D148" i="96"/>
  <c r="D151" i="96" s="1"/>
  <c r="D180" i="96" s="1"/>
  <c r="D581" i="96"/>
  <c r="J40" i="96"/>
  <c r="J43" i="96"/>
  <c r="J88" i="96"/>
  <c r="J39" i="96"/>
  <c r="AH23" i="96"/>
  <c r="AI23" i="96" s="1"/>
  <c r="D190" i="96"/>
  <c r="K96" i="96"/>
  <c r="J92" i="96"/>
  <c r="K93" i="96"/>
  <c r="L47" i="96"/>
  <c r="M47" i="96" s="1"/>
  <c r="L89" i="96"/>
  <c r="M89" i="96" s="1"/>
  <c r="L88" i="96"/>
  <c r="M88" i="96" s="1"/>
  <c r="L87" i="96"/>
  <c r="M87" i="96" s="1"/>
  <c r="L99" i="96"/>
  <c r="M99" i="96" s="1"/>
  <c r="L92" i="96"/>
  <c r="M92" i="96" s="1"/>
  <c r="L37" i="96"/>
  <c r="M37" i="96" s="1"/>
  <c r="L23" i="96"/>
  <c r="M23" i="96" s="1"/>
  <c r="U46" i="96"/>
  <c r="U42" i="96"/>
  <c r="U50" i="96"/>
  <c r="U30" i="96"/>
  <c r="AH92" i="96"/>
  <c r="AI92" i="96" s="1"/>
  <c r="AH87" i="96"/>
  <c r="AI87" i="96" s="1"/>
  <c r="AH99" i="96"/>
  <c r="AI99" i="96" s="1"/>
  <c r="AH89" i="96"/>
  <c r="AI89" i="96" s="1"/>
  <c r="AH88" i="96"/>
  <c r="AI88" i="96" s="1"/>
  <c r="AH47" i="96"/>
  <c r="AI47" i="96" s="1"/>
  <c r="AH37" i="96"/>
  <c r="AI37" i="96" s="1"/>
  <c r="K91" i="96"/>
  <c r="E740" i="96"/>
  <c r="G99" i="96" s="1"/>
  <c r="V47" i="95" l="1"/>
  <c r="J28" i="96"/>
  <c r="J27" i="96"/>
  <c r="J31" i="96"/>
  <c r="AH93" i="96"/>
  <c r="AI93" i="96" s="1"/>
  <c r="J33" i="96"/>
  <c r="J29" i="96"/>
  <c r="J96" i="96"/>
  <c r="J35" i="96"/>
  <c r="J36" i="96"/>
  <c r="W47" i="95"/>
  <c r="L91" i="96"/>
  <c r="M91" i="96" s="1"/>
  <c r="J32" i="96"/>
  <c r="U47" i="95"/>
  <c r="Q60" i="96"/>
  <c r="R60" i="96" s="1"/>
  <c r="Q76" i="96"/>
  <c r="R76" i="96" s="1"/>
  <c r="N74" i="96"/>
  <c r="O74" i="96" s="1"/>
  <c r="U74" i="96" s="1"/>
  <c r="W74" i="96" s="1"/>
  <c r="X74" i="96" s="1"/>
  <c r="Y74" i="96" s="1"/>
  <c r="AA74" i="96" s="1"/>
  <c r="Q52" i="96"/>
  <c r="R52" i="96" s="1"/>
  <c r="Q84" i="96"/>
  <c r="R84" i="96" s="1"/>
  <c r="Q68" i="96"/>
  <c r="R68" i="96" s="1"/>
  <c r="Q88" i="96"/>
  <c r="R88" i="96" s="1"/>
  <c r="Q72" i="96"/>
  <c r="R72" i="96" s="1"/>
  <c r="Q92" i="96"/>
  <c r="R92" i="96" s="1"/>
  <c r="Q40" i="96"/>
  <c r="R40" i="96" s="1"/>
  <c r="Q56" i="96"/>
  <c r="R56" i="96" s="1"/>
  <c r="W54" i="96"/>
  <c r="X54" i="96" s="1"/>
  <c r="Y54" i="96" s="1"/>
  <c r="AA54" i="96" s="1"/>
  <c r="M61" i="96"/>
  <c r="M59" i="96"/>
  <c r="W62" i="96"/>
  <c r="X62" i="96" s="1"/>
  <c r="Y62" i="96" s="1"/>
  <c r="AA62" i="96" s="1"/>
  <c r="M55" i="96"/>
  <c r="W58" i="96"/>
  <c r="X58" i="96" s="1"/>
  <c r="Y58" i="96" s="1"/>
  <c r="AA58" i="96" s="1"/>
  <c r="N66" i="96"/>
  <c r="O66" i="96" s="1"/>
  <c r="U66" i="96" s="1"/>
  <c r="W66" i="96" s="1"/>
  <c r="X66" i="96" s="1"/>
  <c r="N70" i="96"/>
  <c r="O70" i="96" s="1"/>
  <c r="U70" i="96" s="1"/>
  <c r="W70" i="96" s="1"/>
  <c r="X70" i="96" s="1"/>
  <c r="Y70" i="96" s="1"/>
  <c r="AA70" i="96" s="1"/>
  <c r="M71" i="96"/>
  <c r="M77" i="96"/>
  <c r="L36" i="96"/>
  <c r="AI72" i="96"/>
  <c r="AI76" i="96"/>
  <c r="AI71" i="96"/>
  <c r="W86" i="96"/>
  <c r="X86" i="96" s="1"/>
  <c r="M63" i="96"/>
  <c r="W82" i="96"/>
  <c r="X82" i="96" s="1"/>
  <c r="Y82" i="96" s="1"/>
  <c r="AA82" i="96" s="1"/>
  <c r="M80" i="96"/>
  <c r="Q80" i="96" s="1"/>
  <c r="R80" i="96" s="1"/>
  <c r="M64" i="96"/>
  <c r="Q64" i="96" s="1"/>
  <c r="R64" i="96" s="1"/>
  <c r="M65" i="96"/>
  <c r="AH35" i="96"/>
  <c r="AI35" i="96" s="1"/>
  <c r="AH29" i="96"/>
  <c r="AI29" i="96" s="1"/>
  <c r="D159" i="96"/>
  <c r="D160" i="96" s="1"/>
  <c r="D182" i="96" s="1"/>
  <c r="L29" i="96"/>
  <c r="M29" i="96" s="1"/>
  <c r="AH36" i="96"/>
  <c r="AI36" i="96" s="1"/>
  <c r="L33" i="96"/>
  <c r="M33" i="96" s="1"/>
  <c r="AH96" i="96"/>
  <c r="AI96" i="96" s="1"/>
  <c r="L96" i="96"/>
  <c r="L27" i="96"/>
  <c r="M27" i="96" s="1"/>
  <c r="AH43" i="96"/>
  <c r="AI43" i="96" s="1"/>
  <c r="AH33" i="96"/>
  <c r="AI33" i="96" s="1"/>
  <c r="L31" i="96"/>
  <c r="M31" i="96" s="1"/>
  <c r="AH27" i="96"/>
  <c r="AI27" i="96" s="1"/>
  <c r="AH31" i="96"/>
  <c r="AI31" i="96" s="1"/>
  <c r="L28" i="96"/>
  <c r="L35" i="96"/>
  <c r="M35" i="96" s="1"/>
  <c r="L32" i="96"/>
  <c r="AH28" i="96"/>
  <c r="AI28" i="96" s="1"/>
  <c r="AH32" i="96"/>
  <c r="AI32" i="96" s="1"/>
  <c r="L43" i="96"/>
  <c r="M43" i="96" s="1"/>
  <c r="AH39" i="96"/>
  <c r="AI39" i="96" s="1"/>
  <c r="L93" i="96"/>
  <c r="M93" i="96" s="1"/>
  <c r="D217" i="96"/>
  <c r="E217" i="96" s="1"/>
  <c r="F217" i="96" s="1"/>
  <c r="E190" i="96"/>
  <c r="F190" i="96" s="1"/>
  <c r="AH40" i="96"/>
  <c r="AI40" i="96" s="1"/>
  <c r="J93" i="96"/>
  <c r="K97" i="96"/>
  <c r="W42" i="96"/>
  <c r="X42" i="96" s="1"/>
  <c r="Y42" i="96" s="1"/>
  <c r="AA42" i="96" s="1"/>
  <c r="W46" i="96"/>
  <c r="AF31" i="96"/>
  <c r="AF28" i="96"/>
  <c r="AF29" i="96" s="1"/>
  <c r="AF30" i="96" s="1"/>
  <c r="W50" i="96"/>
  <c r="X50" i="96" s="1"/>
  <c r="J91" i="96"/>
  <c r="K95" i="96"/>
  <c r="AH91" i="96"/>
  <c r="AI91" i="96" s="1"/>
  <c r="W30" i="96"/>
  <c r="X30" i="96" s="1"/>
  <c r="M96" i="96" l="1"/>
  <c r="Q96" i="96" s="1"/>
  <c r="R96" i="96" s="1"/>
  <c r="M36" i="96"/>
  <c r="Q36" i="96" s="1"/>
  <c r="R36" i="96" s="1"/>
  <c r="M28" i="96"/>
  <c r="Q28" i="96" s="1"/>
  <c r="R28" i="96" s="1"/>
  <c r="M32" i="96"/>
  <c r="Q32" i="96" s="1"/>
  <c r="R32" i="96" s="1"/>
  <c r="BV60" i="100"/>
  <c r="BQ60" i="100"/>
  <c r="BS60" i="100"/>
  <c r="BR60" i="100"/>
  <c r="BT60" i="100"/>
  <c r="BU60" i="100"/>
  <c r="BW60" i="100"/>
  <c r="BX60" i="100"/>
  <c r="D194" i="96"/>
  <c r="F194" i="96"/>
  <c r="F219" i="96" s="1"/>
  <c r="Y86" i="96"/>
  <c r="AA86" i="96" s="1"/>
  <c r="Y66" i="96"/>
  <c r="AA66" i="96" s="1"/>
  <c r="E194" i="96"/>
  <c r="J49" i="96"/>
  <c r="AH45" i="96"/>
  <c r="AI45" i="96" s="1"/>
  <c r="J44" i="96"/>
  <c r="AH44" i="96"/>
  <c r="AI44" i="96" s="1"/>
  <c r="L44" i="96"/>
  <c r="J48" i="96"/>
  <c r="AH48" i="96"/>
  <c r="AI48" i="96" s="1"/>
  <c r="L48" i="96"/>
  <c r="J97" i="96"/>
  <c r="L97" i="96"/>
  <c r="M97" i="96" s="1"/>
  <c r="AH97" i="96"/>
  <c r="AI97" i="96" s="1"/>
  <c r="J41" i="96"/>
  <c r="AH41" i="96"/>
  <c r="AI41" i="96" s="1"/>
  <c r="Y50" i="96"/>
  <c r="AA50" i="96" s="1"/>
  <c r="J95" i="96"/>
  <c r="L95" i="96"/>
  <c r="M95" i="96" s="1"/>
  <c r="AH95" i="96"/>
  <c r="AI95" i="96" s="1"/>
  <c r="X46" i="96"/>
  <c r="Y46" i="96" s="1"/>
  <c r="AA46" i="96" s="1"/>
  <c r="AF32" i="96"/>
  <c r="AF33" i="96" s="1"/>
  <c r="AF34" i="96" s="1"/>
  <c r="AF35" i="96"/>
  <c r="AF39" i="96" s="1"/>
  <c r="L16" i="81"/>
  <c r="B27" i="26"/>
  <c r="B31" i="26" s="1"/>
  <c r="B35" i="26" s="1"/>
  <c r="B71" i="12"/>
  <c r="B75" i="12" s="1"/>
  <c r="B79" i="12" s="1"/>
  <c r="B47" i="12"/>
  <c r="B51" i="12" s="1"/>
  <c r="B55" i="12" s="1"/>
  <c r="B31" i="12"/>
  <c r="B35" i="12" s="1"/>
  <c r="B39" i="12" s="1"/>
  <c r="B67" i="70"/>
  <c r="B43" i="70"/>
  <c r="B55" i="70" s="1"/>
  <c r="B59" i="70" s="1"/>
  <c r="B63" i="70" s="1"/>
  <c r="B39" i="70"/>
  <c r="B31" i="70"/>
  <c r="B35" i="70" s="1"/>
  <c r="L16" i="76"/>
  <c r="B47" i="70" l="1"/>
  <c r="B51" i="70" s="1"/>
  <c r="L60" i="81"/>
  <c r="M60" i="81" s="1"/>
  <c r="L49" i="81"/>
  <c r="M49" i="81" s="1"/>
  <c r="L61" i="81"/>
  <c r="M61" i="81" s="1"/>
  <c r="L48" i="81"/>
  <c r="L39" i="76"/>
  <c r="M39" i="76" s="1"/>
  <c r="BB60" i="100"/>
  <c r="BD60" i="100"/>
  <c r="AZ60" i="100"/>
  <c r="BF60" i="100"/>
  <c r="BE60" i="100"/>
  <c r="BC60" i="100"/>
  <c r="BA60" i="100"/>
  <c r="AY60" i="100"/>
  <c r="M48" i="96"/>
  <c r="Q48" i="96" s="1"/>
  <c r="R48" i="96" s="1"/>
  <c r="M44" i="96"/>
  <c r="Q44" i="96" s="1"/>
  <c r="R44" i="96" s="1"/>
  <c r="D219" i="96"/>
  <c r="AF59" i="99"/>
  <c r="AF56" i="99"/>
  <c r="AF57" i="99" s="1"/>
  <c r="AF58" i="99" s="1"/>
  <c r="L45" i="96"/>
  <c r="M45" i="96" s="1"/>
  <c r="L49" i="96"/>
  <c r="M49" i="96" s="1"/>
  <c r="E219" i="96"/>
  <c r="AH49" i="96"/>
  <c r="AI49" i="96" s="1"/>
  <c r="J45" i="96"/>
  <c r="AF36" i="96"/>
  <c r="AF37" i="96" s="1"/>
  <c r="AF38" i="96" s="1"/>
  <c r="C27" i="71"/>
  <c r="AR61" i="87"/>
  <c r="AR62" i="87" s="1"/>
  <c r="AR63" i="87" s="1"/>
  <c r="K114" i="87"/>
  <c r="K113" i="87"/>
  <c r="K112" i="87"/>
  <c r="K111" i="87"/>
  <c r="K110" i="87"/>
  <c r="K109" i="87"/>
  <c r="K108" i="87"/>
  <c r="J55" i="87" s="1"/>
  <c r="L104" i="87"/>
  <c r="L103" i="87"/>
  <c r="L102" i="87"/>
  <c r="L101" i="87"/>
  <c r="L100" i="87"/>
  <c r="L99" i="87"/>
  <c r="L98" i="87"/>
  <c r="K94" i="87"/>
  <c r="L94" i="87" s="1"/>
  <c r="M94" i="87" s="1"/>
  <c r="D27" i="81"/>
  <c r="AG55" i="87" l="1"/>
  <c r="AA16" i="81"/>
  <c r="AA12" i="81" s="1"/>
  <c r="M48" i="81"/>
  <c r="K55" i="87"/>
  <c r="AF63" i="99"/>
  <c r="AF60" i="99"/>
  <c r="B59" i="12"/>
  <c r="B63" i="12" s="1"/>
  <c r="L55" i="87"/>
  <c r="AI55" i="87" s="1"/>
  <c r="V55" i="87"/>
  <c r="N94" i="87"/>
  <c r="M55" i="87"/>
  <c r="AJ55" i="87" s="1"/>
  <c r="I669" i="84"/>
  <c r="I552" i="84"/>
  <c r="K43" i="84"/>
  <c r="D129" i="84"/>
  <c r="D683" i="84" s="1"/>
  <c r="D129" i="12"/>
  <c r="I63" i="84"/>
  <c r="I64" i="84"/>
  <c r="I65" i="84"/>
  <c r="I59" i="84"/>
  <c r="I60" i="84"/>
  <c r="I61" i="84"/>
  <c r="I62" i="84"/>
  <c r="AA66" i="84"/>
  <c r="Y66" i="84"/>
  <c r="X66" i="84"/>
  <c r="W66" i="84"/>
  <c r="V66" i="84"/>
  <c r="V65" i="84"/>
  <c r="V64" i="84"/>
  <c r="V62" i="84"/>
  <c r="V61" i="84"/>
  <c r="V60" i="84"/>
  <c r="G669" i="84"/>
  <c r="H62" i="84" s="1"/>
  <c r="L666" i="84"/>
  <c r="L667" i="84" s="1"/>
  <c r="L668" i="84" s="1"/>
  <c r="K65" i="84" s="1"/>
  <c r="I666" i="84"/>
  <c r="I667" i="84" s="1"/>
  <c r="I668" i="84" s="1"/>
  <c r="K62" i="84" s="1"/>
  <c r="D610" i="84"/>
  <c r="D609" i="84"/>
  <c r="J590" i="84"/>
  <c r="E584" i="84" s="1"/>
  <c r="E590" i="84" s="1"/>
  <c r="F583" i="84"/>
  <c r="E583" i="84"/>
  <c r="D583" i="84"/>
  <c r="W582" i="84"/>
  <c r="J582" i="84"/>
  <c r="D584" i="84" s="1"/>
  <c r="F582" i="84"/>
  <c r="F588" i="84" s="1"/>
  <c r="E582" i="84"/>
  <c r="E588" i="84" s="1"/>
  <c r="D582" i="84"/>
  <c r="D658" i="84" s="1"/>
  <c r="O579" i="84"/>
  <c r="F584" i="84" s="1"/>
  <c r="F590" i="84" s="1"/>
  <c r="D605" i="84"/>
  <c r="J570" i="84"/>
  <c r="J585" i="84" s="1"/>
  <c r="I55" i="84"/>
  <c r="I56" i="84"/>
  <c r="I57" i="84"/>
  <c r="V58" i="84"/>
  <c r="V57" i="84"/>
  <c r="V56" i="84"/>
  <c r="I51" i="84"/>
  <c r="I52" i="84"/>
  <c r="I53" i="84"/>
  <c r="I54" i="84"/>
  <c r="I43" i="84"/>
  <c r="G552" i="84"/>
  <c r="H54" i="84" s="1"/>
  <c r="L549" i="84"/>
  <c r="L550" i="84" s="1"/>
  <c r="L551" i="84" s="1"/>
  <c r="K57" i="84" s="1"/>
  <c r="C75" i="71"/>
  <c r="C71" i="71"/>
  <c r="J449" i="84"/>
  <c r="J464" i="84" s="1"/>
  <c r="D442" i="84"/>
  <c r="D479" i="84" s="1"/>
  <c r="D441" i="84"/>
  <c r="O458" i="84"/>
  <c r="F463" i="84" s="1"/>
  <c r="F469" i="84" s="1"/>
  <c r="J469" i="84"/>
  <c r="J461" i="84"/>
  <c r="D463" i="84" s="1"/>
  <c r="D469" i="84" s="1"/>
  <c r="D487" i="84" s="1"/>
  <c r="F461" i="84"/>
  <c r="F467" i="84" s="1"/>
  <c r="E461" i="84"/>
  <c r="E467" i="84" s="1"/>
  <c r="D461" i="84"/>
  <c r="W461" i="84"/>
  <c r="D379" i="84"/>
  <c r="D383" i="84" s="1"/>
  <c r="D484" i="84"/>
  <c r="I549" i="84"/>
  <c r="I550" i="84" s="1"/>
  <c r="K52" i="84" s="1"/>
  <c r="D493" i="84"/>
  <c r="D492" i="84"/>
  <c r="D346" i="84"/>
  <c r="E352" i="84"/>
  <c r="E351" i="84"/>
  <c r="E350" i="84"/>
  <c r="D349" i="84"/>
  <c r="E342" i="84"/>
  <c r="E341" i="84"/>
  <c r="D341" i="84"/>
  <c r="D342" i="84" s="1"/>
  <c r="G347" i="84" s="1"/>
  <c r="D146" i="84"/>
  <c r="D146" i="12"/>
  <c r="D35" i="84"/>
  <c r="E732" i="84"/>
  <c r="E731" i="84"/>
  <c r="E730" i="84"/>
  <c r="E725" i="84"/>
  <c r="E724" i="84"/>
  <c r="D724" i="84"/>
  <c r="D725" i="84" s="1"/>
  <c r="G711" i="84"/>
  <c r="D711" i="84"/>
  <c r="D710" i="84"/>
  <c r="G709" i="84"/>
  <c r="D709" i="84"/>
  <c r="K708" i="84"/>
  <c r="J708" i="84"/>
  <c r="I708" i="84"/>
  <c r="H708" i="84"/>
  <c r="G708" i="84"/>
  <c r="F708" i="84"/>
  <c r="E708" i="84"/>
  <c r="D708" i="84"/>
  <c r="I697" i="84"/>
  <c r="D694" i="84"/>
  <c r="D693" i="84"/>
  <c r="J692" i="84"/>
  <c r="J693" i="84" s="1"/>
  <c r="K68" i="84" s="1"/>
  <c r="D692" i="84"/>
  <c r="I691" i="84"/>
  <c r="H691" i="84"/>
  <c r="G691" i="84"/>
  <c r="F691" i="84"/>
  <c r="E691" i="84"/>
  <c r="D691" i="84"/>
  <c r="E690" i="84"/>
  <c r="H434" i="84"/>
  <c r="I49" i="84" s="1"/>
  <c r="H433" i="84"/>
  <c r="I48" i="84" s="1"/>
  <c r="I432" i="84"/>
  <c r="I433" i="84" s="1"/>
  <c r="I434" i="84" s="1"/>
  <c r="K49" i="84" s="1"/>
  <c r="H432" i="84"/>
  <c r="I47" i="84" s="1"/>
  <c r="D385" i="84"/>
  <c r="D384" i="84"/>
  <c r="D376" i="84"/>
  <c r="K328" i="84"/>
  <c r="K711" i="84" s="1"/>
  <c r="K327" i="84"/>
  <c r="K710" i="84" s="1"/>
  <c r="L326" i="84"/>
  <c r="L327" i="84" s="1"/>
  <c r="L328" i="84" s="1"/>
  <c r="K33" i="84" s="1"/>
  <c r="K326" i="84"/>
  <c r="K709" i="84" s="1"/>
  <c r="G302" i="84"/>
  <c r="D295" i="84"/>
  <c r="G327" i="84" s="1"/>
  <c r="G710" i="84" s="1"/>
  <c r="D267" i="84"/>
  <c r="D266" i="84"/>
  <c r="E263" i="84"/>
  <c r="D257" i="84"/>
  <c r="D241" i="84"/>
  <c r="D233" i="84"/>
  <c r="E230" i="84"/>
  <c r="D230" i="84"/>
  <c r="D705" i="84" s="1"/>
  <c r="D229" i="84"/>
  <c r="J213" i="84"/>
  <c r="K29" i="84" s="1"/>
  <c r="I213" i="84"/>
  <c r="I694" i="84" s="1"/>
  <c r="I69" i="84" s="1"/>
  <c r="J212" i="84"/>
  <c r="K28" i="84" s="1"/>
  <c r="I212" i="84"/>
  <c r="I693" i="84" s="1"/>
  <c r="I68" i="84" s="1"/>
  <c r="J211" i="84"/>
  <c r="K27" i="84" s="1"/>
  <c r="I211" i="84"/>
  <c r="I692" i="84" s="1"/>
  <c r="I67" i="84" s="1"/>
  <c r="E188" i="84"/>
  <c r="E187" i="84"/>
  <c r="E186" i="84"/>
  <c r="D176" i="84"/>
  <c r="D150" i="84"/>
  <c r="D158" i="84" s="1"/>
  <c r="D187" i="84" s="1"/>
  <c r="D149" i="84"/>
  <c r="D148" i="84"/>
  <c r="E147" i="84"/>
  <c r="D147" i="84"/>
  <c r="E144" i="84"/>
  <c r="D144" i="84"/>
  <c r="D143" i="84"/>
  <c r="D128" i="84"/>
  <c r="E114" i="84"/>
  <c r="E113" i="84"/>
  <c r="E112" i="84"/>
  <c r="D111" i="84"/>
  <c r="E106" i="84"/>
  <c r="E105" i="84"/>
  <c r="D105" i="84"/>
  <c r="D104" i="84"/>
  <c r="AA86" i="84"/>
  <c r="Y86" i="84"/>
  <c r="X86" i="84"/>
  <c r="V86" i="84"/>
  <c r="AA85" i="84"/>
  <c r="Y85" i="84"/>
  <c r="X85" i="84"/>
  <c r="V85" i="84"/>
  <c r="AA84" i="84"/>
  <c r="Y84" i="84"/>
  <c r="X84" i="84"/>
  <c r="V84" i="84"/>
  <c r="K83" i="84"/>
  <c r="I83" i="84"/>
  <c r="AA82" i="84"/>
  <c r="Y82" i="84"/>
  <c r="X82" i="84"/>
  <c r="W82" i="84"/>
  <c r="V82" i="84"/>
  <c r="V81" i="84"/>
  <c r="V80" i="84"/>
  <c r="AA78" i="84"/>
  <c r="Y78" i="84"/>
  <c r="X78" i="84"/>
  <c r="W78" i="84"/>
  <c r="V78" i="84"/>
  <c r="V77" i="84"/>
  <c r="V76" i="84"/>
  <c r="B75" i="84"/>
  <c r="B79" i="84" s="1"/>
  <c r="AA74" i="84"/>
  <c r="Y74" i="84"/>
  <c r="X74" i="84"/>
  <c r="W74" i="84"/>
  <c r="V74" i="84"/>
  <c r="V73" i="84"/>
  <c r="K73" i="84"/>
  <c r="V72" i="84"/>
  <c r="K72" i="84"/>
  <c r="K71" i="84"/>
  <c r="V70" i="84"/>
  <c r="V69" i="84"/>
  <c r="V68" i="84"/>
  <c r="V54" i="84"/>
  <c r="V53" i="84"/>
  <c r="V52" i="84"/>
  <c r="V50" i="84"/>
  <c r="V49" i="84"/>
  <c r="V48" i="84"/>
  <c r="V46" i="84"/>
  <c r="V45" i="84"/>
  <c r="V44" i="84"/>
  <c r="J43" i="84"/>
  <c r="B43" i="84"/>
  <c r="B63" i="84" s="1"/>
  <c r="X42" i="84"/>
  <c r="W42" i="84"/>
  <c r="V42" i="84"/>
  <c r="V41" i="84"/>
  <c r="V40" i="84"/>
  <c r="B39" i="84"/>
  <c r="B59" i="84" s="1"/>
  <c r="X38" i="84"/>
  <c r="W38" i="84"/>
  <c r="V38" i="84"/>
  <c r="V37" i="84"/>
  <c r="K37" i="84"/>
  <c r="I37" i="84"/>
  <c r="V36" i="84"/>
  <c r="I36" i="84"/>
  <c r="I35" i="84"/>
  <c r="B35" i="84"/>
  <c r="B55" i="84" s="1"/>
  <c r="V34" i="84"/>
  <c r="V33" i="84"/>
  <c r="V32" i="84"/>
  <c r="K31" i="84"/>
  <c r="X30" i="84"/>
  <c r="W30" i="84"/>
  <c r="V30" i="84"/>
  <c r="V29" i="84"/>
  <c r="V28" i="84"/>
  <c r="AF27" i="84"/>
  <c r="AF28" i="84" s="1"/>
  <c r="AF29" i="84" s="1"/>
  <c r="AF30" i="84" s="1"/>
  <c r="B27" i="84"/>
  <c r="B47" i="84" s="1"/>
  <c r="B67" i="84" s="1"/>
  <c r="AA26" i="84"/>
  <c r="Y26" i="84"/>
  <c r="X26" i="84"/>
  <c r="V26" i="84"/>
  <c r="AA25" i="84"/>
  <c r="Y25" i="84"/>
  <c r="X25" i="84"/>
  <c r="V25" i="84"/>
  <c r="AF24" i="84"/>
  <c r="AF25" i="84" s="1"/>
  <c r="AF26" i="84" s="1"/>
  <c r="AA24" i="84"/>
  <c r="Y24" i="84"/>
  <c r="X24" i="84"/>
  <c r="V24" i="84"/>
  <c r="K23" i="84"/>
  <c r="AH16" i="84"/>
  <c r="X16" i="84"/>
  <c r="W16" i="84"/>
  <c r="V16" i="84"/>
  <c r="U16" i="84"/>
  <c r="L16" i="84"/>
  <c r="L15" i="84"/>
  <c r="L60" i="51"/>
  <c r="L61" i="51"/>
  <c r="L68" i="51" s="1"/>
  <c r="M68" i="51" s="1"/>
  <c r="AH61" i="51"/>
  <c r="AH68" i="51" s="1"/>
  <c r="B68" i="51"/>
  <c r="I68" i="51"/>
  <c r="J68" i="51"/>
  <c r="K68" i="51"/>
  <c r="V69" i="51"/>
  <c r="W69" i="51"/>
  <c r="X69" i="51"/>
  <c r="Y69" i="51"/>
  <c r="AA69" i="51"/>
  <c r="AC69" i="51" s="1"/>
  <c r="V70" i="51"/>
  <c r="W70" i="51"/>
  <c r="X70" i="51"/>
  <c r="Y70" i="51"/>
  <c r="AA70" i="51"/>
  <c r="AC70" i="51" s="1"/>
  <c r="V71" i="51"/>
  <c r="W71" i="51"/>
  <c r="X71" i="51"/>
  <c r="Y71" i="51"/>
  <c r="AA71" i="51"/>
  <c r="AC71" i="51" s="1"/>
  <c r="D82" i="51"/>
  <c r="D84" i="51"/>
  <c r="D83" i="51" s="1"/>
  <c r="D91" i="51" s="1"/>
  <c r="E95" i="51"/>
  <c r="J49" i="84" l="1"/>
  <c r="AC24" i="84"/>
  <c r="R48" i="98" s="1"/>
  <c r="J27" i="84"/>
  <c r="AC26" i="84"/>
  <c r="J31" i="84"/>
  <c r="AC84" i="84"/>
  <c r="R59" i="98" s="1"/>
  <c r="AC86" i="84"/>
  <c r="T59" i="98" s="1"/>
  <c r="J33" i="84"/>
  <c r="J37" i="84"/>
  <c r="J28" i="84"/>
  <c r="J62" i="84"/>
  <c r="K48" i="84"/>
  <c r="J71" i="84"/>
  <c r="AC82" i="84"/>
  <c r="D39" i="84"/>
  <c r="J65" i="84"/>
  <c r="K47" i="84"/>
  <c r="J23" i="84"/>
  <c r="J72" i="84"/>
  <c r="AC74" i="84"/>
  <c r="AC78" i="84"/>
  <c r="J29" i="84"/>
  <c r="J68" i="84"/>
  <c r="D467" i="84"/>
  <c r="D490" i="84" s="1"/>
  <c r="E541" i="84" s="1"/>
  <c r="D489" i="84"/>
  <c r="D541" i="84" s="1"/>
  <c r="AC25" i="84"/>
  <c r="S48" i="98" s="1"/>
  <c r="J83" i="84"/>
  <c r="AC85" i="84"/>
  <c r="S59" i="98" s="1"/>
  <c r="G346" i="84"/>
  <c r="H346" i="84" s="1"/>
  <c r="E359" i="84" s="1"/>
  <c r="G43" i="84" s="1"/>
  <c r="G84" i="51"/>
  <c r="G85" i="51"/>
  <c r="G83" i="51"/>
  <c r="J73" i="84"/>
  <c r="AC66" i="84"/>
  <c r="J57" i="84"/>
  <c r="W55" i="87"/>
  <c r="AH55" i="87"/>
  <c r="J457" i="84"/>
  <c r="D145" i="84"/>
  <c r="D157" i="84" s="1"/>
  <c r="AF61" i="99"/>
  <c r="AF62" i="99" s="1"/>
  <c r="AF64" i="99"/>
  <c r="AF67" i="99"/>
  <c r="O82" i="84"/>
  <c r="O74" i="84"/>
  <c r="O66" i="84"/>
  <c r="O58" i="84"/>
  <c r="O50" i="84"/>
  <c r="U50" i="84" s="1"/>
  <c r="O42" i="84"/>
  <c r="O34" i="84"/>
  <c r="U34" i="84" s="1"/>
  <c r="O26" i="84"/>
  <c r="O45" i="84"/>
  <c r="O25" i="84"/>
  <c r="O44" i="84"/>
  <c r="O24" i="84"/>
  <c r="O78" i="84"/>
  <c r="O70" i="84"/>
  <c r="U70" i="84" s="1"/>
  <c r="O46" i="84"/>
  <c r="O38" i="84"/>
  <c r="O30" i="84"/>
  <c r="X55" i="87"/>
  <c r="O94" i="87"/>
  <c r="N55" i="87"/>
  <c r="AK55" i="87" s="1"/>
  <c r="Y55" i="87"/>
  <c r="D615" i="84"/>
  <c r="D636" i="84" s="1"/>
  <c r="K61" i="84"/>
  <c r="K60" i="84"/>
  <c r="K59" i="84"/>
  <c r="W583" i="84"/>
  <c r="E615" i="84"/>
  <c r="E636" i="84" s="1"/>
  <c r="D588" i="84"/>
  <c r="E658" i="84" s="1"/>
  <c r="K64" i="84"/>
  <c r="K63" i="84"/>
  <c r="L65" i="84"/>
  <c r="M65" i="84" s="1"/>
  <c r="L59" i="84"/>
  <c r="M59" i="84" s="1"/>
  <c r="AH59" i="84"/>
  <c r="L62" i="84"/>
  <c r="J578" i="84"/>
  <c r="AH65" i="84"/>
  <c r="D590" i="84"/>
  <c r="D608" i="84" s="1"/>
  <c r="D606" i="84"/>
  <c r="O576" i="84"/>
  <c r="O584" i="84"/>
  <c r="K51" i="84"/>
  <c r="K56" i="84"/>
  <c r="K55" i="84"/>
  <c r="L57" i="84"/>
  <c r="M57" i="84" s="1"/>
  <c r="AH57" i="84"/>
  <c r="AI57" i="84" s="1"/>
  <c r="K40" i="84"/>
  <c r="I551" i="84"/>
  <c r="E498" i="84"/>
  <c r="E519" i="84" s="1"/>
  <c r="E500" i="84"/>
  <c r="D485" i="84"/>
  <c r="D500" i="84" s="1"/>
  <c r="D540" i="84"/>
  <c r="E540" i="84"/>
  <c r="E542" i="84" s="1"/>
  <c r="J556" i="84" s="1"/>
  <c r="O463" i="84"/>
  <c r="O455" i="84"/>
  <c r="K75" i="84"/>
  <c r="K76" i="84"/>
  <c r="W462" i="84"/>
  <c r="D390" i="84"/>
  <c r="D410" i="84" s="1"/>
  <c r="E463" i="84"/>
  <c r="E469" i="84" s="1"/>
  <c r="D498" i="84"/>
  <c r="AF31" i="84"/>
  <c r="AF35" i="84" s="1"/>
  <c r="AF36" i="84" s="1"/>
  <c r="AF37" i="84" s="1"/>
  <c r="AF38" i="84" s="1"/>
  <c r="J48" i="84"/>
  <c r="J52" i="84"/>
  <c r="D231" i="84"/>
  <c r="F326" i="84" s="1"/>
  <c r="J47" i="84"/>
  <c r="K35" i="84"/>
  <c r="K32" i="84"/>
  <c r="K41" i="84"/>
  <c r="K36" i="84"/>
  <c r="B31" i="84"/>
  <c r="B51" i="84" s="1"/>
  <c r="K39" i="84"/>
  <c r="D130" i="84"/>
  <c r="D388" i="84"/>
  <c r="L31" i="84"/>
  <c r="M31" i="84" s="1"/>
  <c r="AH72" i="84"/>
  <c r="AI72" i="84" s="1"/>
  <c r="AH29" i="84"/>
  <c r="AI29" i="84" s="1"/>
  <c r="AH23" i="84"/>
  <c r="AI23" i="84" s="1"/>
  <c r="AH37" i="84"/>
  <c r="AI37" i="84" s="1"/>
  <c r="L33" i="84"/>
  <c r="M33" i="84" s="1"/>
  <c r="AH27" i="84"/>
  <c r="AI27" i="84" s="1"/>
  <c r="AH33" i="84"/>
  <c r="AI33" i="84" s="1"/>
  <c r="AH31" i="84"/>
  <c r="AI31" i="84" s="1"/>
  <c r="L49" i="84"/>
  <c r="M49" i="84" s="1"/>
  <c r="D273" i="84"/>
  <c r="E273" i="84" s="1"/>
  <c r="F273" i="84" s="1"/>
  <c r="AH28" i="84"/>
  <c r="AI28" i="84" s="1"/>
  <c r="L23" i="84"/>
  <c r="M23" i="84" s="1"/>
  <c r="L73" i="84"/>
  <c r="M73" i="84" s="1"/>
  <c r="L72" i="84"/>
  <c r="M72" i="84" s="1"/>
  <c r="L71" i="84"/>
  <c r="M71" i="84" s="1"/>
  <c r="L83" i="84"/>
  <c r="L43" i="84"/>
  <c r="M43" i="84" s="1"/>
  <c r="L37" i="84"/>
  <c r="M37" i="84" s="1"/>
  <c r="L29" i="84"/>
  <c r="M29" i="84" s="1"/>
  <c r="L68" i="84"/>
  <c r="M68" i="84" s="1"/>
  <c r="L27" i="84"/>
  <c r="M27" i="84" s="1"/>
  <c r="L28" i="84"/>
  <c r="M28" i="84" s="1"/>
  <c r="AH68" i="84"/>
  <c r="AI68" i="84" s="1"/>
  <c r="AH71" i="84"/>
  <c r="AI71" i="84" s="1"/>
  <c r="AH73" i="84"/>
  <c r="AI73" i="84" s="1"/>
  <c r="AH83" i="84"/>
  <c r="AI83" i="84" s="1"/>
  <c r="AH49" i="84"/>
  <c r="AI49" i="84" s="1"/>
  <c r="AH43" i="84"/>
  <c r="AI43" i="84" s="1"/>
  <c r="D153" i="84"/>
  <c r="F212" i="84"/>
  <c r="E739" i="84"/>
  <c r="G83" i="84" s="1"/>
  <c r="K67" i="84"/>
  <c r="D180" i="84"/>
  <c r="D192" i="84" s="1"/>
  <c r="J694" i="84"/>
  <c r="K69" i="84" s="1"/>
  <c r="K77" i="84"/>
  <c r="AI68" i="51"/>
  <c r="V78" i="81"/>
  <c r="V77" i="81"/>
  <c r="V76" i="81"/>
  <c r="V74" i="81"/>
  <c r="V73" i="81"/>
  <c r="V72" i="81"/>
  <c r="V70" i="81"/>
  <c r="V69" i="81"/>
  <c r="V68" i="81"/>
  <c r="V66" i="81"/>
  <c r="V65" i="81"/>
  <c r="V64" i="81"/>
  <c r="V38" i="81"/>
  <c r="V37" i="81"/>
  <c r="V36" i="81"/>
  <c r="V57" i="81"/>
  <c r="V56" i="81"/>
  <c r="V54" i="81"/>
  <c r="V45" i="81"/>
  <c r="V44" i="81"/>
  <c r="V42" i="81"/>
  <c r="V41" i="81"/>
  <c r="V40" i="81"/>
  <c r="V34" i="81"/>
  <c r="V33" i="81"/>
  <c r="V32" i="81"/>
  <c r="V30" i="81"/>
  <c r="V29" i="81"/>
  <c r="V28" i="81"/>
  <c r="V26" i="81"/>
  <c r="V25" i="81"/>
  <c r="AA42" i="81"/>
  <c r="Y42" i="81"/>
  <c r="X42" i="81"/>
  <c r="W42" i="81"/>
  <c r="J406" i="81"/>
  <c r="J407" i="81" s="1"/>
  <c r="J408" i="81" s="1"/>
  <c r="K41" i="81" s="1"/>
  <c r="I406" i="81"/>
  <c r="I39" i="81" s="1"/>
  <c r="I408" i="81"/>
  <c r="I41" i="81" s="1"/>
  <c r="I407" i="81"/>
  <c r="I40" i="81" s="1"/>
  <c r="F406" i="81"/>
  <c r="F408" i="81" s="1"/>
  <c r="F407" i="81" s="1"/>
  <c r="D376" i="81"/>
  <c r="G407" i="81" s="1"/>
  <c r="D353" i="81"/>
  <c r="D363" i="81" s="1"/>
  <c r="E368" i="81" s="1"/>
  <c r="E406" i="81" s="1"/>
  <c r="G39" i="81" s="1"/>
  <c r="E361" i="81"/>
  <c r="E360" i="81"/>
  <c r="E359" i="81"/>
  <c r="D358" i="81"/>
  <c r="E353" i="81"/>
  <c r="E352" i="81"/>
  <c r="D452" i="76"/>
  <c r="D768" i="81"/>
  <c r="I69" i="81"/>
  <c r="J858" i="81"/>
  <c r="K70" i="81" s="1"/>
  <c r="J856" i="81"/>
  <c r="K68" i="81" s="1"/>
  <c r="J857" i="81"/>
  <c r="K69" i="81" s="1"/>
  <c r="J855" i="81"/>
  <c r="K67" i="81" s="1"/>
  <c r="F439" i="14"/>
  <c r="E439" i="14"/>
  <c r="D439" i="14"/>
  <c r="F437" i="14"/>
  <c r="E437" i="14"/>
  <c r="D437" i="14"/>
  <c r="F436" i="14"/>
  <c r="E436" i="14"/>
  <c r="D436" i="14"/>
  <c r="D432" i="14"/>
  <c r="D431" i="14"/>
  <c r="D430" i="14"/>
  <c r="D429" i="14"/>
  <c r="D468" i="76"/>
  <c r="D467" i="76"/>
  <c r="D466" i="76"/>
  <c r="D465" i="76"/>
  <c r="F475" i="76"/>
  <c r="E475" i="76"/>
  <c r="D475" i="76"/>
  <c r="F473" i="76"/>
  <c r="E473" i="76"/>
  <c r="D473" i="76"/>
  <c r="F472" i="76"/>
  <c r="E472" i="76"/>
  <c r="D472" i="76"/>
  <c r="F752" i="81"/>
  <c r="F750" i="81"/>
  <c r="F749" i="81"/>
  <c r="E752" i="81"/>
  <c r="E750" i="81"/>
  <c r="E749" i="81"/>
  <c r="D752" i="81"/>
  <c r="D750" i="81"/>
  <c r="D749" i="81"/>
  <c r="D745" i="81"/>
  <c r="D744" i="81"/>
  <c r="D743" i="81"/>
  <c r="D742" i="81"/>
  <c r="D729" i="81"/>
  <c r="F855" i="81"/>
  <c r="F857" i="81" s="1"/>
  <c r="F856" i="81" s="1"/>
  <c r="D728" i="81"/>
  <c r="H710" i="81"/>
  <c r="K66" i="81" s="1"/>
  <c r="G710" i="81"/>
  <c r="I66" i="81" s="1"/>
  <c r="G709" i="81"/>
  <c r="I65" i="81" s="1"/>
  <c r="G708" i="81"/>
  <c r="I64" i="81" s="1"/>
  <c r="H707" i="81"/>
  <c r="H708" i="81" s="1"/>
  <c r="H709" i="81" s="1"/>
  <c r="K65" i="81" s="1"/>
  <c r="G707" i="81"/>
  <c r="I63" i="81" s="1"/>
  <c r="D678" i="81"/>
  <c r="D677" i="81"/>
  <c r="D648" i="81"/>
  <c r="D642" i="81"/>
  <c r="D637" i="81"/>
  <c r="D626" i="81"/>
  <c r="F710" i="81" s="1"/>
  <c r="H66" i="81" s="1"/>
  <c r="F600" i="81"/>
  <c r="F602" i="81" s="1"/>
  <c r="F603" i="81" s="1"/>
  <c r="E600" i="81"/>
  <c r="E602" i="81" s="1"/>
  <c r="E603" i="81" s="1"/>
  <c r="D603" i="81"/>
  <c r="D606" i="81" s="1"/>
  <c r="F581" i="81"/>
  <c r="E581" i="81"/>
  <c r="D581" i="81"/>
  <c r="F574" i="81"/>
  <c r="E574" i="81"/>
  <c r="D574" i="81"/>
  <c r="F569" i="81"/>
  <c r="E569" i="81"/>
  <c r="D569" i="81"/>
  <c r="F567" i="81"/>
  <c r="E567" i="81"/>
  <c r="D567" i="81"/>
  <c r="G560" i="81"/>
  <c r="G559" i="81"/>
  <c r="G558" i="81"/>
  <c r="F604" i="81"/>
  <c r="G736" i="81"/>
  <c r="G735" i="81"/>
  <c r="G734" i="81"/>
  <c r="G246" i="14"/>
  <c r="G245" i="14"/>
  <c r="G244" i="14"/>
  <c r="D423" i="14"/>
  <c r="D422" i="14"/>
  <c r="D421" i="14"/>
  <c r="G459" i="76"/>
  <c r="G458" i="76"/>
  <c r="G457" i="76"/>
  <c r="G282" i="76"/>
  <c r="G281" i="76"/>
  <c r="G280" i="76"/>
  <c r="I858" i="81"/>
  <c r="I70" i="81" s="1"/>
  <c r="I856" i="81"/>
  <c r="I68" i="81" s="1"/>
  <c r="I855" i="81"/>
  <c r="I67" i="81" s="1"/>
  <c r="E849" i="81"/>
  <c r="D823" i="81"/>
  <c r="D822" i="81"/>
  <c r="D797" i="81"/>
  <c r="D791" i="81"/>
  <c r="D786" i="81"/>
  <c r="D775" i="81"/>
  <c r="H858" i="81" s="1"/>
  <c r="H70" i="81" s="1"/>
  <c r="O766" i="81"/>
  <c r="O770" i="81" s="1"/>
  <c r="I338" i="81"/>
  <c r="I339" i="81"/>
  <c r="I340" i="81"/>
  <c r="I341" i="81"/>
  <c r="T48" i="98" l="1"/>
  <c r="T56" i="98"/>
  <c r="T58" i="98"/>
  <c r="K80" i="84"/>
  <c r="J39" i="84"/>
  <c r="L75" i="84"/>
  <c r="M75" i="84" s="1"/>
  <c r="J59" i="84"/>
  <c r="L77" i="84"/>
  <c r="M77" i="84" s="1"/>
  <c r="J40" i="84"/>
  <c r="J60" i="84"/>
  <c r="J69" i="84"/>
  <c r="J36" i="84"/>
  <c r="AH60" i="84"/>
  <c r="AI60" i="84" s="1"/>
  <c r="J61" i="84"/>
  <c r="J41" i="84"/>
  <c r="J63" i="84"/>
  <c r="J67" i="84"/>
  <c r="J32" i="84"/>
  <c r="J55" i="84"/>
  <c r="L60" i="84"/>
  <c r="M60" i="84" s="1"/>
  <c r="Q60" i="84" s="1"/>
  <c r="R60" i="84" s="1"/>
  <c r="J64" i="84"/>
  <c r="AH40" i="84"/>
  <c r="AI40" i="84" s="1"/>
  <c r="J35" i="84"/>
  <c r="J56" i="84"/>
  <c r="H83" i="51"/>
  <c r="G68" i="51" s="1"/>
  <c r="J51" i="84"/>
  <c r="J68" i="81"/>
  <c r="J41" i="81"/>
  <c r="J66" i="81"/>
  <c r="AC42" i="81"/>
  <c r="J67" i="81"/>
  <c r="J69" i="81"/>
  <c r="Q68" i="84"/>
  <c r="R68" i="84" s="1"/>
  <c r="Q72" i="84"/>
  <c r="R72" i="84" s="1"/>
  <c r="Q28" i="84"/>
  <c r="R28" i="84" s="1"/>
  <c r="AF68" i="99"/>
  <c r="AF71" i="99"/>
  <c r="AF65" i="99"/>
  <c r="Z55" i="87"/>
  <c r="P94" i="87"/>
  <c r="P55" i="87" s="1"/>
  <c r="AM55" i="87" s="1"/>
  <c r="O55" i="87"/>
  <c r="AL55" i="87" s="1"/>
  <c r="AH64" i="84"/>
  <c r="AI64" i="84" s="1"/>
  <c r="L61" i="84"/>
  <c r="M61" i="84" s="1"/>
  <c r="AH61" i="84"/>
  <c r="AI61" i="84" s="1"/>
  <c r="L64" i="84"/>
  <c r="AH55" i="84"/>
  <c r="AI55" i="84" s="1"/>
  <c r="AH56" i="84"/>
  <c r="AI56" i="84" s="1"/>
  <c r="AH63" i="84"/>
  <c r="AI63" i="84" s="1"/>
  <c r="L63" i="84"/>
  <c r="M63" i="84" s="1"/>
  <c r="M62" i="84"/>
  <c r="N62" i="84" s="1"/>
  <c r="AI65" i="84"/>
  <c r="AI59" i="84"/>
  <c r="L40" i="84"/>
  <c r="L56" i="84"/>
  <c r="K54" i="84"/>
  <c r="K53" i="84"/>
  <c r="AH75" i="84"/>
  <c r="AI75" i="84" s="1"/>
  <c r="L55" i="84"/>
  <c r="M55" i="84" s="1"/>
  <c r="L76" i="84"/>
  <c r="K79" i="84"/>
  <c r="AH51" i="84"/>
  <c r="AI51" i="84" s="1"/>
  <c r="L51" i="84"/>
  <c r="M51" i="84" s="1"/>
  <c r="L80" i="84"/>
  <c r="D542" i="84"/>
  <c r="G556" i="84" s="1"/>
  <c r="E504" i="84"/>
  <c r="J75" i="84"/>
  <c r="D504" i="84"/>
  <c r="G51" i="84" s="1"/>
  <c r="D519" i="84"/>
  <c r="J76" i="84"/>
  <c r="L52" i="84"/>
  <c r="AH52" i="84"/>
  <c r="AI52" i="84" s="1"/>
  <c r="AH80" i="84"/>
  <c r="AI80" i="84" s="1"/>
  <c r="AH76" i="84"/>
  <c r="AI76" i="84" s="1"/>
  <c r="D392" i="84"/>
  <c r="D394" i="84" s="1"/>
  <c r="G47" i="84" s="1"/>
  <c r="L35" i="84"/>
  <c r="M35" i="84" s="1"/>
  <c r="AH47" i="84"/>
  <c r="AI47" i="84" s="1"/>
  <c r="AF32" i="84"/>
  <c r="AF33" i="84" s="1"/>
  <c r="AF34" i="84" s="1"/>
  <c r="AF39" i="84"/>
  <c r="AF43" i="84" s="1"/>
  <c r="AH48" i="84"/>
  <c r="AI48" i="84" s="1"/>
  <c r="L48" i="84"/>
  <c r="L41" i="84"/>
  <c r="M41" i="84" s="1"/>
  <c r="AH41" i="84"/>
  <c r="AI41" i="84" s="1"/>
  <c r="D234" i="84"/>
  <c r="D263" i="84" s="1"/>
  <c r="L32" i="84"/>
  <c r="L47" i="84"/>
  <c r="M47" i="84" s="1"/>
  <c r="AH32" i="84"/>
  <c r="AI32" i="84" s="1"/>
  <c r="AH35" i="84"/>
  <c r="AI35" i="84" s="1"/>
  <c r="L39" i="84"/>
  <c r="M39" i="84" s="1"/>
  <c r="D409" i="84"/>
  <c r="D242" i="84"/>
  <c r="D243" i="84" s="1"/>
  <c r="D265" i="84" s="1"/>
  <c r="F277" i="84" s="1"/>
  <c r="AH39" i="84"/>
  <c r="AI39" i="84" s="1"/>
  <c r="L36" i="84"/>
  <c r="AH36" i="84"/>
  <c r="AI36" i="84" s="1"/>
  <c r="D155" i="84"/>
  <c r="D183" i="84" s="1"/>
  <c r="D193" i="84" s="1"/>
  <c r="F211" i="84"/>
  <c r="AH77" i="84"/>
  <c r="AI77" i="84" s="1"/>
  <c r="D300" i="84"/>
  <c r="E300" i="84" s="1"/>
  <c r="M83" i="84"/>
  <c r="W34" i="84"/>
  <c r="X34" i="84" s="1"/>
  <c r="L67" i="84"/>
  <c r="M67" i="84" s="1"/>
  <c r="F709" i="84"/>
  <c r="F328" i="84"/>
  <c r="W50" i="84"/>
  <c r="X50" i="84" s="1"/>
  <c r="L79" i="84"/>
  <c r="M79" i="84" s="1"/>
  <c r="AH67" i="84"/>
  <c r="AI67" i="84" s="1"/>
  <c r="J77" i="84"/>
  <c r="K81" i="84"/>
  <c r="W70" i="84"/>
  <c r="X70" i="84" s="1"/>
  <c r="Y70" i="84" s="1"/>
  <c r="AA70" i="84" s="1"/>
  <c r="L69" i="84"/>
  <c r="M69" i="84" s="1"/>
  <c r="AH69" i="84"/>
  <c r="AI69" i="84" s="1"/>
  <c r="D186" i="84"/>
  <c r="K39" i="81"/>
  <c r="K40" i="81"/>
  <c r="D382" i="81"/>
  <c r="D385" i="81" s="1"/>
  <c r="E407" i="81" s="1"/>
  <c r="G40" i="81" s="1"/>
  <c r="D399" i="81"/>
  <c r="D400" i="81" s="1"/>
  <c r="D402" i="81" s="1"/>
  <c r="K63" i="81"/>
  <c r="K64" i="81"/>
  <c r="D582" i="81"/>
  <c r="D583" i="81" s="1"/>
  <c r="E570" i="81"/>
  <c r="F570" i="81"/>
  <c r="D575" i="81"/>
  <c r="D576" i="81" s="1"/>
  <c r="D753" i="81"/>
  <c r="H757" i="81" s="1"/>
  <c r="F753" i="81"/>
  <c r="H759" i="81" s="1"/>
  <c r="E753" i="81"/>
  <c r="H758" i="81" s="1"/>
  <c r="D757" i="81"/>
  <c r="E575" i="81"/>
  <c r="E576" i="81" s="1"/>
  <c r="F575" i="81"/>
  <c r="F576" i="81" s="1"/>
  <c r="E582" i="81"/>
  <c r="E583" i="81" s="1"/>
  <c r="D570" i="81"/>
  <c r="F559" i="81"/>
  <c r="D559" i="81" s="1"/>
  <c r="E611" i="81" s="1"/>
  <c r="D655" i="81"/>
  <c r="F582" i="81"/>
  <c r="F583" i="81" s="1"/>
  <c r="E604" i="81"/>
  <c r="E606" i="81" s="1"/>
  <c r="D758" i="81" s="1"/>
  <c r="F735" i="81"/>
  <c r="D735" i="81" s="1"/>
  <c r="E758" i="81" s="1"/>
  <c r="D827" i="81"/>
  <c r="F560" i="81"/>
  <c r="D560" i="81" s="1"/>
  <c r="F611" i="81" s="1"/>
  <c r="F558" i="81"/>
  <c r="D558" i="81" s="1"/>
  <c r="D611" i="81" s="1"/>
  <c r="D800" i="81"/>
  <c r="F736" i="81"/>
  <c r="D736" i="81" s="1"/>
  <c r="E759" i="81" s="1"/>
  <c r="D682" i="81"/>
  <c r="G857" i="81"/>
  <c r="F606" i="81"/>
  <c r="D759" i="81" s="1"/>
  <c r="F734" i="81"/>
  <c r="D734" i="81" s="1"/>
  <c r="E757" i="81" s="1"/>
  <c r="H341" i="81"/>
  <c r="I38" i="81" s="1"/>
  <c r="H340" i="81"/>
  <c r="I37" i="81" s="1"/>
  <c r="H339" i="81"/>
  <c r="I36" i="81" s="1"/>
  <c r="H338" i="81"/>
  <c r="I35" i="81" s="1"/>
  <c r="D290" i="81"/>
  <c r="D289" i="81"/>
  <c r="F339" i="81" s="1"/>
  <c r="D285" i="81"/>
  <c r="D283" i="81"/>
  <c r="D268" i="81"/>
  <c r="K31" i="81"/>
  <c r="I31" i="81"/>
  <c r="D239" i="81"/>
  <c r="D240" i="81" s="1"/>
  <c r="D244" i="81"/>
  <c r="D243" i="81"/>
  <c r="E249" i="81"/>
  <c r="E248" i="81"/>
  <c r="E247" i="81"/>
  <c r="D246" i="81"/>
  <c r="E240" i="81"/>
  <c r="E239" i="81"/>
  <c r="P523" i="81"/>
  <c r="I56" i="81"/>
  <c r="I57" i="81"/>
  <c r="I55" i="81"/>
  <c r="N523" i="81"/>
  <c r="N524" i="81" s="1"/>
  <c r="N525" i="81" s="1"/>
  <c r="K57" i="81" s="1"/>
  <c r="E502" i="84" l="1"/>
  <c r="G55" i="84"/>
  <c r="J79" i="84"/>
  <c r="J80" i="84"/>
  <c r="J57" i="81"/>
  <c r="J40" i="81"/>
  <c r="J39" i="81"/>
  <c r="J31" i="81"/>
  <c r="G243" i="81"/>
  <c r="G244" i="81"/>
  <c r="M48" i="84"/>
  <c r="Q48" i="84"/>
  <c r="R48" i="84" s="1"/>
  <c r="M80" i="84"/>
  <c r="Q80" i="84" s="1"/>
  <c r="R80" i="84" s="1"/>
  <c r="M52" i="84"/>
  <c r="Q52" i="84" s="1"/>
  <c r="R52" i="84" s="1"/>
  <c r="M56" i="84"/>
  <c r="Q56" i="84" s="1"/>
  <c r="R56" i="84" s="1"/>
  <c r="M40" i="84"/>
  <c r="Q40" i="84" s="1"/>
  <c r="R40" i="84" s="1"/>
  <c r="M32" i="84"/>
  <c r="Q32" i="84" s="1"/>
  <c r="R32" i="84" s="1"/>
  <c r="M64" i="84"/>
  <c r="Q64" i="84" s="1"/>
  <c r="R64" i="84" s="1"/>
  <c r="M36" i="84"/>
  <c r="Q36" i="84" s="1"/>
  <c r="R36" i="84" s="1"/>
  <c r="M76" i="84"/>
  <c r="Q76" i="84" s="1"/>
  <c r="R76" i="84" s="1"/>
  <c r="J59" i="81"/>
  <c r="L59" i="81"/>
  <c r="M59" i="81" s="1"/>
  <c r="AF69" i="99"/>
  <c r="AF72" i="99"/>
  <c r="AF73" i="99" s="1"/>
  <c r="AF74" i="99" s="1"/>
  <c r="AF66" i="99"/>
  <c r="AF40" i="96"/>
  <c r="AF41" i="96" s="1"/>
  <c r="AF42" i="96" s="1"/>
  <c r="AF43" i="96"/>
  <c r="O62" i="84"/>
  <c r="U62" i="84" s="1"/>
  <c r="W62" i="84" s="1"/>
  <c r="X62" i="84" s="1"/>
  <c r="Y62" i="84" s="1"/>
  <c r="AA62" i="84" s="1"/>
  <c r="AA55" i="87"/>
  <c r="AB55" i="87"/>
  <c r="AH79" i="84"/>
  <c r="AI79" i="84" s="1"/>
  <c r="AH53" i="84"/>
  <c r="AI53" i="84" s="1"/>
  <c r="J53" i="84"/>
  <c r="L53" i="84"/>
  <c r="M53" i="84" s="1"/>
  <c r="J54" i="84"/>
  <c r="L54" i="84"/>
  <c r="M54" i="84" s="1"/>
  <c r="N54" i="84" s="1"/>
  <c r="W58" i="84"/>
  <c r="X58" i="84" s="1"/>
  <c r="Y58" i="84" s="1"/>
  <c r="AA58" i="84" s="1"/>
  <c r="E520" i="84"/>
  <c r="E522" i="84" s="1"/>
  <c r="E533" i="84"/>
  <c r="E534" i="84" s="1"/>
  <c r="E535" i="84" s="1"/>
  <c r="G57" i="84" s="1"/>
  <c r="D502" i="84"/>
  <c r="D423" i="84"/>
  <c r="D424" i="84" s="1"/>
  <c r="D425" i="84" s="1"/>
  <c r="G49" i="84" s="1"/>
  <c r="AF40" i="84"/>
  <c r="AF41" i="84" s="1"/>
  <c r="AF42" i="84" s="1"/>
  <c r="D277" i="84"/>
  <c r="D302" i="84" s="1"/>
  <c r="E277" i="84"/>
  <c r="E302" i="84" s="1"/>
  <c r="D412" i="84"/>
  <c r="E432" i="84" s="1"/>
  <c r="Y50" i="84"/>
  <c r="AA50" i="84" s="1"/>
  <c r="F300" i="84"/>
  <c r="F711" i="84"/>
  <c r="F327" i="84"/>
  <c r="F710" i="84" s="1"/>
  <c r="AF44" i="84"/>
  <c r="AF45" i="84" s="1"/>
  <c r="AF46" i="84" s="1"/>
  <c r="AF47" i="84"/>
  <c r="F302" i="84"/>
  <c r="J81" i="84"/>
  <c r="AH81" i="84"/>
  <c r="AI81" i="84" s="1"/>
  <c r="L81" i="84"/>
  <c r="M81" i="84" s="1"/>
  <c r="D392" i="81"/>
  <c r="D393" i="81"/>
  <c r="F40" i="81" s="1"/>
  <c r="E408" i="81"/>
  <c r="G41" i="81" s="1"/>
  <c r="F584" i="81"/>
  <c r="E584" i="81"/>
  <c r="F577" i="81"/>
  <c r="E577" i="81"/>
  <c r="D577" i="81"/>
  <c r="K670" i="81" s="1"/>
  <c r="D584" i="81"/>
  <c r="E761" i="81"/>
  <c r="P524" i="81"/>
  <c r="K56" i="81"/>
  <c r="K55" i="81"/>
  <c r="D293" i="81"/>
  <c r="X86" i="12"/>
  <c r="X85" i="12"/>
  <c r="X84" i="12"/>
  <c r="X82" i="12"/>
  <c r="X78" i="12"/>
  <c r="X74" i="12"/>
  <c r="X42" i="12"/>
  <c r="X38" i="12"/>
  <c r="X30" i="12"/>
  <c r="X26" i="12"/>
  <c r="X25" i="12"/>
  <c r="X24" i="12"/>
  <c r="X70" i="70"/>
  <c r="X69" i="70"/>
  <c r="X68" i="70"/>
  <c r="X66" i="70"/>
  <c r="X62" i="70"/>
  <c r="X58" i="70"/>
  <c r="X26" i="70"/>
  <c r="X25" i="70"/>
  <c r="X24" i="70"/>
  <c r="W66" i="70"/>
  <c r="W62" i="70"/>
  <c r="W58" i="70"/>
  <c r="V70" i="70"/>
  <c r="V69" i="70"/>
  <c r="V68" i="70"/>
  <c r="V66" i="70"/>
  <c r="V65" i="70"/>
  <c r="V64" i="70"/>
  <c r="V62" i="70"/>
  <c r="V61" i="70"/>
  <c r="V60" i="70"/>
  <c r="V58" i="70"/>
  <c r="V57" i="70"/>
  <c r="V56" i="70"/>
  <c r="V54" i="70"/>
  <c r="V53" i="70"/>
  <c r="V52" i="70"/>
  <c r="V50" i="70"/>
  <c r="V49" i="70"/>
  <c r="V48" i="70"/>
  <c r="V46" i="70"/>
  <c r="V45" i="70"/>
  <c r="V44" i="70"/>
  <c r="V42" i="70"/>
  <c r="V41" i="70"/>
  <c r="V40" i="70"/>
  <c r="V38" i="70"/>
  <c r="V37" i="70"/>
  <c r="V36" i="70"/>
  <c r="V34" i="70"/>
  <c r="V33" i="70"/>
  <c r="V32" i="70"/>
  <c r="V30" i="70"/>
  <c r="V29" i="70"/>
  <c r="V28" i="70"/>
  <c r="V26" i="70"/>
  <c r="V25" i="70"/>
  <c r="V24" i="70"/>
  <c r="W82" i="12"/>
  <c r="W78" i="12"/>
  <c r="W74" i="12"/>
  <c r="W42" i="12"/>
  <c r="W38" i="12"/>
  <c r="W30" i="12"/>
  <c r="V86" i="12"/>
  <c r="V85" i="12"/>
  <c r="V84" i="12"/>
  <c r="V82" i="12"/>
  <c r="V81" i="12"/>
  <c r="V80" i="12"/>
  <c r="V78" i="12"/>
  <c r="V77" i="12"/>
  <c r="V76" i="12"/>
  <c r="V74" i="12"/>
  <c r="V73" i="12"/>
  <c r="V72" i="12"/>
  <c r="V70" i="12"/>
  <c r="V69" i="12"/>
  <c r="V68" i="12"/>
  <c r="V66" i="12"/>
  <c r="V65" i="12"/>
  <c r="V64" i="12"/>
  <c r="V62" i="12"/>
  <c r="V61" i="12"/>
  <c r="V60" i="12"/>
  <c r="V58" i="12"/>
  <c r="V57" i="12"/>
  <c r="V56" i="12"/>
  <c r="V54" i="12"/>
  <c r="V53" i="12"/>
  <c r="V52" i="12"/>
  <c r="V50" i="12"/>
  <c r="V49" i="12"/>
  <c r="V48" i="12"/>
  <c r="V46" i="12"/>
  <c r="V45" i="12"/>
  <c r="V44" i="12"/>
  <c r="V42" i="12"/>
  <c r="V41" i="12"/>
  <c r="V40" i="12"/>
  <c r="V38" i="12"/>
  <c r="V37" i="12"/>
  <c r="V36" i="12"/>
  <c r="V34" i="12"/>
  <c r="V33" i="12"/>
  <c r="V32" i="12"/>
  <c r="V30" i="12"/>
  <c r="V29" i="12"/>
  <c r="V28" i="12"/>
  <c r="V26" i="12"/>
  <c r="V25" i="12"/>
  <c r="V24" i="12"/>
  <c r="X46" i="26"/>
  <c r="X45" i="26"/>
  <c r="X44" i="26"/>
  <c r="X38" i="26"/>
  <c r="X34" i="26"/>
  <c r="X26" i="26"/>
  <c r="X25" i="26"/>
  <c r="X24" i="26"/>
  <c r="W38" i="26"/>
  <c r="W34" i="26"/>
  <c r="V46" i="26"/>
  <c r="V45" i="26"/>
  <c r="V44" i="26"/>
  <c r="V42" i="26"/>
  <c r="V41" i="26"/>
  <c r="V40" i="26"/>
  <c r="V38" i="26"/>
  <c r="V37" i="26"/>
  <c r="V36" i="26"/>
  <c r="V34" i="26"/>
  <c r="V33" i="26"/>
  <c r="V32" i="26"/>
  <c r="V30" i="26"/>
  <c r="V29" i="26"/>
  <c r="V28" i="26"/>
  <c r="V26" i="26"/>
  <c r="V25" i="26"/>
  <c r="V24" i="26"/>
  <c r="W62" i="76"/>
  <c r="W58" i="76"/>
  <c r="W54" i="76"/>
  <c r="W38" i="76"/>
  <c r="W34" i="76"/>
  <c r="W62" i="14"/>
  <c r="W61" i="14"/>
  <c r="W60" i="14"/>
  <c r="W58" i="14"/>
  <c r="W54" i="14"/>
  <c r="W50" i="14"/>
  <c r="W38" i="14"/>
  <c r="W34" i="14"/>
  <c r="W26" i="14"/>
  <c r="W25" i="14"/>
  <c r="W24" i="14"/>
  <c r="V62" i="14"/>
  <c r="V61" i="14"/>
  <c r="V60" i="14"/>
  <c r="V58" i="14"/>
  <c r="V57" i="14"/>
  <c r="V56" i="14"/>
  <c r="V54" i="14"/>
  <c r="V53" i="14"/>
  <c r="V52" i="14"/>
  <c r="V50" i="14"/>
  <c r="V49" i="14"/>
  <c r="V48" i="14"/>
  <c r="V46" i="14"/>
  <c r="V45" i="14"/>
  <c r="V44" i="14"/>
  <c r="V42" i="14"/>
  <c r="V41" i="14"/>
  <c r="V40" i="14"/>
  <c r="V38" i="14"/>
  <c r="V37" i="14"/>
  <c r="V36" i="14"/>
  <c r="V34" i="14"/>
  <c r="V33" i="14"/>
  <c r="V32" i="14"/>
  <c r="V30" i="14"/>
  <c r="V29" i="14"/>
  <c r="V28" i="14"/>
  <c r="V26" i="14"/>
  <c r="V25" i="14"/>
  <c r="V24" i="14"/>
  <c r="V66" i="76"/>
  <c r="V65" i="76"/>
  <c r="V64" i="76"/>
  <c r="V62" i="76"/>
  <c r="V61" i="76"/>
  <c r="V60" i="76"/>
  <c r="V58" i="76"/>
  <c r="V57" i="76"/>
  <c r="V56" i="76"/>
  <c r="V54" i="76"/>
  <c r="V53" i="76"/>
  <c r="V52" i="76"/>
  <c r="V50" i="76"/>
  <c r="V49" i="76"/>
  <c r="V48" i="76"/>
  <c r="V46" i="76"/>
  <c r="V45" i="76"/>
  <c r="V44" i="76"/>
  <c r="V38" i="76"/>
  <c r="V37" i="76"/>
  <c r="V36" i="76"/>
  <c r="V34" i="76"/>
  <c r="V33" i="76"/>
  <c r="V32" i="76"/>
  <c r="V30" i="76"/>
  <c r="V29" i="76"/>
  <c r="V28" i="76"/>
  <c r="J581" i="76"/>
  <c r="J579" i="76"/>
  <c r="J580" i="76"/>
  <c r="J578" i="76"/>
  <c r="X26" i="76"/>
  <c r="V26" i="76"/>
  <c r="X25" i="76"/>
  <c r="V25" i="76"/>
  <c r="X24" i="76"/>
  <c r="V24" i="76"/>
  <c r="X26" i="14"/>
  <c r="X25" i="14"/>
  <c r="X24" i="14"/>
  <c r="J55" i="81" l="1"/>
  <c r="J56" i="81"/>
  <c r="H243" i="81"/>
  <c r="E256" i="81" s="1"/>
  <c r="G32" i="81" s="1"/>
  <c r="BZ65" i="100"/>
  <c r="AF70" i="99"/>
  <c r="AF44" i="96"/>
  <c r="AF47" i="96"/>
  <c r="AF51" i="96" s="1"/>
  <c r="O54" i="84"/>
  <c r="U54" i="84" s="1"/>
  <c r="D520" i="84"/>
  <c r="D522" i="84" s="1"/>
  <c r="D533" i="84"/>
  <c r="D534" i="84" s="1"/>
  <c r="D535" i="84" s="1"/>
  <c r="G53" i="84" s="1"/>
  <c r="E528" i="84"/>
  <c r="D418" i="84"/>
  <c r="G48" i="84" s="1"/>
  <c r="D417" i="84"/>
  <c r="F48" i="84" s="1"/>
  <c r="E433" i="84"/>
  <c r="AA46" i="84"/>
  <c r="AF51" i="84"/>
  <c r="AF55" i="84" s="1"/>
  <c r="AF48" i="84"/>
  <c r="AF49" i="84" s="1"/>
  <c r="AF50" i="84" s="1"/>
  <c r="P525" i="81"/>
  <c r="D587" i="81"/>
  <c r="D592" i="81" s="1"/>
  <c r="D588" i="81"/>
  <c r="F592" i="81" s="1"/>
  <c r="K672" i="81"/>
  <c r="K671" i="81"/>
  <c r="D314" i="81"/>
  <c r="I52" i="81"/>
  <c r="I51" i="81"/>
  <c r="I43" i="81"/>
  <c r="I44" i="81"/>
  <c r="H523" i="81"/>
  <c r="K43" i="81" s="1"/>
  <c r="K523" i="81"/>
  <c r="K51" i="81" s="1"/>
  <c r="E471" i="81"/>
  <c r="D471" i="81"/>
  <c r="D464" i="81"/>
  <c r="C8" i="71"/>
  <c r="J65" i="81"/>
  <c r="J64" i="81"/>
  <c r="J63" i="81"/>
  <c r="E898" i="81"/>
  <c r="E897" i="81"/>
  <c r="E896" i="81"/>
  <c r="E891" i="81"/>
  <c r="E890" i="81"/>
  <c r="D890" i="81"/>
  <c r="D891" i="81" s="1"/>
  <c r="G877" i="81"/>
  <c r="D877" i="81"/>
  <c r="D876" i="81"/>
  <c r="G875" i="81"/>
  <c r="D875" i="81"/>
  <c r="K874" i="81"/>
  <c r="J874" i="81"/>
  <c r="I874" i="81"/>
  <c r="H874" i="81"/>
  <c r="G874" i="81"/>
  <c r="F874" i="81"/>
  <c r="E874" i="81"/>
  <c r="D874" i="81"/>
  <c r="K226" i="81"/>
  <c r="K877" i="81" s="1"/>
  <c r="K225" i="81"/>
  <c r="K876" i="81" s="1"/>
  <c r="L224" i="81"/>
  <c r="K224" i="81"/>
  <c r="K875" i="81" s="1"/>
  <c r="G201" i="81"/>
  <c r="D194" i="81"/>
  <c r="G225" i="81" s="1"/>
  <c r="G876" i="81" s="1"/>
  <c r="D166" i="81"/>
  <c r="D165" i="81"/>
  <c r="E162" i="81"/>
  <c r="D156" i="81"/>
  <c r="D140" i="81"/>
  <c r="D129" i="81"/>
  <c r="E106" i="81"/>
  <c r="E105" i="81"/>
  <c r="E104" i="81"/>
  <c r="D103" i="81"/>
  <c r="E98" i="81"/>
  <c r="E97" i="81"/>
  <c r="D97" i="81"/>
  <c r="AA78" i="81"/>
  <c r="Y78" i="81"/>
  <c r="X78" i="81"/>
  <c r="AA77" i="81"/>
  <c r="Y77" i="81"/>
  <c r="X77" i="81"/>
  <c r="AA76" i="81"/>
  <c r="Y76" i="81"/>
  <c r="X76" i="81"/>
  <c r="K75" i="81"/>
  <c r="I75" i="81"/>
  <c r="AA74" i="81"/>
  <c r="Y74" i="81"/>
  <c r="X74" i="81"/>
  <c r="W74" i="81"/>
  <c r="AA26" i="81"/>
  <c r="Y26" i="81"/>
  <c r="X26" i="81"/>
  <c r="AA25" i="81"/>
  <c r="Y25" i="81"/>
  <c r="X25" i="81"/>
  <c r="AF24" i="81"/>
  <c r="AF25" i="81" s="1"/>
  <c r="AF26" i="81" s="1"/>
  <c r="Y24" i="81"/>
  <c r="AA24" i="81" s="1"/>
  <c r="J23" i="81"/>
  <c r="AH16" i="81"/>
  <c r="X16" i="81"/>
  <c r="W16" i="81"/>
  <c r="V16" i="81"/>
  <c r="U16" i="81"/>
  <c r="L15" i="81"/>
  <c r="S48" i="84" l="1"/>
  <c r="L225" i="81"/>
  <c r="Q60" i="81"/>
  <c r="R60" i="81" s="1"/>
  <c r="Q48" i="81"/>
  <c r="R48" i="81" s="1"/>
  <c r="AC77" i="81"/>
  <c r="J75" i="81"/>
  <c r="J43" i="81"/>
  <c r="AC25" i="81"/>
  <c r="AC78" i="81"/>
  <c r="AC74" i="81"/>
  <c r="AC26" i="81"/>
  <c r="J51" i="81"/>
  <c r="AC76" i="81"/>
  <c r="M52" i="98"/>
  <c r="L52" i="98"/>
  <c r="N52" i="98"/>
  <c r="AF55" i="96"/>
  <c r="AF52" i="96"/>
  <c r="AF53" i="96" s="1"/>
  <c r="AF54" i="96" s="1"/>
  <c r="P9" i="81"/>
  <c r="J47" i="81"/>
  <c r="L47" i="81"/>
  <c r="M47" i="81" s="1"/>
  <c r="D127" i="81"/>
  <c r="D130" i="81" s="1"/>
  <c r="D133" i="81" s="1"/>
  <c r="D141" i="81" s="1"/>
  <c r="D142" i="81" s="1"/>
  <c r="D562" i="84"/>
  <c r="D563" i="84" s="1"/>
  <c r="CB62" i="100"/>
  <c r="AF45" i="96"/>
  <c r="AF48" i="96"/>
  <c r="AF49" i="96" s="1"/>
  <c r="AF50" i="96" s="1"/>
  <c r="W54" i="84"/>
  <c r="X54" i="84" s="1"/>
  <c r="O74" i="81"/>
  <c r="O54" i="81"/>
  <c r="O42" i="81"/>
  <c r="O34" i="81"/>
  <c r="O30" i="81"/>
  <c r="O26" i="81"/>
  <c r="O33" i="81"/>
  <c r="O25" i="81"/>
  <c r="O32" i="81"/>
  <c r="O24" i="81"/>
  <c r="AF56" i="84"/>
  <c r="AF57" i="84" s="1"/>
  <c r="AF58" i="84" s="1"/>
  <c r="AF59" i="84"/>
  <c r="E527" i="84"/>
  <c r="F56" i="84" s="1"/>
  <c r="G56" i="84"/>
  <c r="D528" i="84"/>
  <c r="D423" i="81"/>
  <c r="E438" i="81" s="1"/>
  <c r="D549" i="81"/>
  <c r="D351" i="81"/>
  <c r="D96" i="81"/>
  <c r="D724" i="81"/>
  <c r="D270" i="81"/>
  <c r="D128" i="81"/>
  <c r="AF52" i="84"/>
  <c r="AF53" i="84" s="1"/>
  <c r="AF54" i="84" s="1"/>
  <c r="L40" i="81"/>
  <c r="M40" i="81" s="1"/>
  <c r="L41" i="81"/>
  <c r="M41" i="81" s="1"/>
  <c r="E592" i="81"/>
  <c r="AH39" i="81"/>
  <c r="AI39" i="81" s="1"/>
  <c r="AH42" i="81"/>
  <c r="AH40" i="81"/>
  <c r="AI40" i="81" s="1"/>
  <c r="AH41" i="81"/>
  <c r="L39" i="81"/>
  <c r="L70" i="81"/>
  <c r="M70" i="81" s="1"/>
  <c r="L66" i="81"/>
  <c r="M66" i="81" s="1"/>
  <c r="N66" i="81" s="1"/>
  <c r="O66" i="81" s="1"/>
  <c r="AH69" i="81"/>
  <c r="AI69" i="81" s="1"/>
  <c r="AH67" i="81"/>
  <c r="AH68" i="81"/>
  <c r="AI68" i="81" s="1"/>
  <c r="L67" i="81"/>
  <c r="M67" i="81" s="1"/>
  <c r="L68" i="81"/>
  <c r="L69" i="81"/>
  <c r="M69" i="81" s="1"/>
  <c r="AH31" i="81"/>
  <c r="AI31" i="81" s="1"/>
  <c r="L31" i="81"/>
  <c r="M31" i="81" s="1"/>
  <c r="L57" i="81"/>
  <c r="M57" i="81" s="1"/>
  <c r="L56" i="81"/>
  <c r="L55" i="81"/>
  <c r="M55" i="81" s="1"/>
  <c r="AH58" i="81"/>
  <c r="AH57" i="81"/>
  <c r="AI57" i="81" s="1"/>
  <c r="AH56" i="81"/>
  <c r="AI56" i="81" s="1"/>
  <c r="AH55" i="81"/>
  <c r="H524" i="81"/>
  <c r="K524" i="81"/>
  <c r="AH51" i="81"/>
  <c r="AI51" i="81" s="1"/>
  <c r="L51" i="81"/>
  <c r="AH54" i="81"/>
  <c r="AI54" i="81" s="1"/>
  <c r="AJ54" i="81" s="1"/>
  <c r="K28" i="81"/>
  <c r="D472" i="81"/>
  <c r="K27" i="81"/>
  <c r="D172" i="81"/>
  <c r="E172" i="81" s="1"/>
  <c r="F172" i="81" s="1"/>
  <c r="J72" i="81"/>
  <c r="L65" i="81"/>
  <c r="M65" i="81" s="1"/>
  <c r="AH64" i="81"/>
  <c r="AH43" i="81"/>
  <c r="AI43" i="81" s="1"/>
  <c r="L63" i="81"/>
  <c r="M63" i="81" s="1"/>
  <c r="AH63" i="81"/>
  <c r="AI63" i="81" s="1"/>
  <c r="AH65" i="81"/>
  <c r="AH75" i="81"/>
  <c r="AI75" i="81" s="1"/>
  <c r="L64" i="81"/>
  <c r="L23" i="81"/>
  <c r="M23" i="81" s="1"/>
  <c r="L43" i="81"/>
  <c r="M43" i="81" s="1"/>
  <c r="L75" i="81"/>
  <c r="AH23" i="81"/>
  <c r="AI23" i="81" s="1"/>
  <c r="AH46" i="81"/>
  <c r="AI46" i="81" s="1"/>
  <c r="E905" i="81"/>
  <c r="G75" i="81" s="1"/>
  <c r="S56" i="84" l="1"/>
  <c r="L72" i="81"/>
  <c r="M72" i="81" s="1"/>
  <c r="AH72" i="81"/>
  <c r="AI72" i="81" s="1"/>
  <c r="AQ58" i="87"/>
  <c r="AP58" i="87"/>
  <c r="AQ71" i="87"/>
  <c r="L226" i="81"/>
  <c r="AH73" i="81"/>
  <c r="AI73" i="81" s="1"/>
  <c r="L27" i="81"/>
  <c r="M27" i="81" s="1"/>
  <c r="J71" i="81"/>
  <c r="J28" i="81"/>
  <c r="N54" i="98"/>
  <c r="M54" i="98"/>
  <c r="L54" i="98"/>
  <c r="AF56" i="96"/>
  <c r="AF57" i="96" s="1"/>
  <c r="AF58" i="96" s="1"/>
  <c r="AF59" i="96"/>
  <c r="Q40" i="81"/>
  <c r="R40" i="81" s="1"/>
  <c r="S40" i="81" s="1"/>
  <c r="R62" i="87" s="1"/>
  <c r="E472" i="81"/>
  <c r="F472" i="81" s="1"/>
  <c r="G472" i="81" s="1"/>
  <c r="D555" i="81"/>
  <c r="D641" i="81" s="1"/>
  <c r="D657" i="81" s="1"/>
  <c r="D683" i="81" s="1"/>
  <c r="D551" i="81"/>
  <c r="D612" i="81" s="1"/>
  <c r="D613" i="81" s="1"/>
  <c r="E657" i="84"/>
  <c r="E659" i="84" s="1"/>
  <c r="J672" i="84" s="1"/>
  <c r="D657" i="84"/>
  <c r="D659" i="84" s="1"/>
  <c r="G672" i="84" s="1"/>
  <c r="D600" i="84"/>
  <c r="D617" i="84" s="1"/>
  <c r="Y54" i="84"/>
  <c r="AA54" i="84" s="1"/>
  <c r="AF46" i="96"/>
  <c r="U66" i="81"/>
  <c r="W66" i="81" s="1"/>
  <c r="X66" i="81" s="1"/>
  <c r="Y66" i="81" s="1"/>
  <c r="AA66" i="81" s="1"/>
  <c r="D438" i="81"/>
  <c r="D426" i="81"/>
  <c r="F438" i="81"/>
  <c r="F444" i="81" s="1"/>
  <c r="G438" i="81"/>
  <c r="G444" i="81" s="1"/>
  <c r="G445" i="81" s="1"/>
  <c r="G473" i="81" s="1"/>
  <c r="AF63" i="84"/>
  <c r="AF60" i="84"/>
  <c r="AF61" i="84" s="1"/>
  <c r="AF62" i="84" s="1"/>
  <c r="D527" i="84"/>
  <c r="F52" i="84" s="1"/>
  <c r="G52" i="84"/>
  <c r="D271" i="81"/>
  <c r="D274" i="81" s="1"/>
  <c r="D287" i="81"/>
  <c r="D295" i="81" s="1"/>
  <c r="D726" i="81"/>
  <c r="D730" i="81"/>
  <c r="D790" i="81" s="1"/>
  <c r="AI41" i="81"/>
  <c r="M39" i="81"/>
  <c r="AI42" i="81"/>
  <c r="AJ42" i="81" s="1"/>
  <c r="N70" i="81"/>
  <c r="O70" i="81" s="1"/>
  <c r="M68" i="81"/>
  <c r="Q68" i="81" s="1"/>
  <c r="R68" i="81" s="1"/>
  <c r="AI67" i="81"/>
  <c r="AI58" i="81"/>
  <c r="M56" i="81"/>
  <c r="Q56" i="81" s="1"/>
  <c r="R56" i="81" s="1"/>
  <c r="AI55" i="81"/>
  <c r="E444" i="81"/>
  <c r="L28" i="81"/>
  <c r="K525" i="81"/>
  <c r="K53" i="81" s="1"/>
  <c r="K52" i="81"/>
  <c r="K44" i="81"/>
  <c r="H525" i="81"/>
  <c r="K45" i="81" s="1"/>
  <c r="M51" i="81"/>
  <c r="AH28" i="81"/>
  <c r="AI28" i="81" s="1"/>
  <c r="J27" i="81"/>
  <c r="AH27" i="81"/>
  <c r="AI27" i="81" s="1"/>
  <c r="L73" i="81"/>
  <c r="M73" i="81" s="1"/>
  <c r="D162" i="81"/>
  <c r="AH71" i="81"/>
  <c r="AI71" i="81" s="1"/>
  <c r="L71" i="81"/>
  <c r="M71" i="81" s="1"/>
  <c r="D164" i="81"/>
  <c r="D176" i="81" s="1"/>
  <c r="F224" i="81"/>
  <c r="F875" i="81" s="1"/>
  <c r="D199" i="81"/>
  <c r="E199" i="81" s="1"/>
  <c r="F199" i="81" s="1"/>
  <c r="AI64" i="81"/>
  <c r="J73" i="81"/>
  <c r="M64" i="81"/>
  <c r="Q64" i="81" s="1"/>
  <c r="R64" i="81" s="1"/>
  <c r="AI65" i="81"/>
  <c r="AF28" i="81"/>
  <c r="AF29" i="81" s="1"/>
  <c r="AF30" i="81" s="1"/>
  <c r="AF35" i="81"/>
  <c r="M75" i="81"/>
  <c r="AF64" i="84" l="1"/>
  <c r="AF65" i="84" s="1"/>
  <c r="AF66" i="84" s="1"/>
  <c r="AF67" i="84"/>
  <c r="S52" i="84"/>
  <c r="Q72" i="81"/>
  <c r="R72" i="81" s="1"/>
  <c r="K29" i="81"/>
  <c r="L44" i="81"/>
  <c r="M44" i="81" s="1"/>
  <c r="Q44" i="81" s="1"/>
  <c r="R44" i="81" s="1"/>
  <c r="F501" i="81"/>
  <c r="F502" i="81" s="1"/>
  <c r="L530" i="81" s="1"/>
  <c r="G59" i="81" s="1"/>
  <c r="F453" i="81"/>
  <c r="M523" i="81" s="1"/>
  <c r="H55" i="81" s="1"/>
  <c r="E453" i="81"/>
  <c r="J523" i="81" s="1"/>
  <c r="H51" i="81" s="1"/>
  <c r="AC68" i="87"/>
  <c r="AC69" i="87"/>
  <c r="M53" i="98"/>
  <c r="L53" i="98"/>
  <c r="N53" i="98"/>
  <c r="AF60" i="96"/>
  <c r="AF61" i="96" s="1"/>
  <c r="AF62" i="96" s="1"/>
  <c r="AF63" i="96"/>
  <c r="M28" i="81"/>
  <c r="Q28" i="81" s="1"/>
  <c r="R28" i="81" s="1"/>
  <c r="F445" i="81"/>
  <c r="F473" i="81" s="1"/>
  <c r="F475" i="81" s="1"/>
  <c r="D444" i="81"/>
  <c r="D616" i="81"/>
  <c r="D615" i="81"/>
  <c r="D644" i="81" s="1"/>
  <c r="D621" i="84"/>
  <c r="G59" i="84" s="1"/>
  <c r="E617" i="84"/>
  <c r="E621" i="84" s="1"/>
  <c r="G63" i="84" s="1"/>
  <c r="G453" i="81"/>
  <c r="O523" i="81" s="1"/>
  <c r="U70" i="81"/>
  <c r="F758" i="81"/>
  <c r="F757" i="81"/>
  <c r="F759" i="81"/>
  <c r="E612" i="81"/>
  <c r="E613" i="81" s="1"/>
  <c r="F612" i="81"/>
  <c r="F613" i="81" s="1"/>
  <c r="AF32" i="81"/>
  <c r="AF33" i="81" s="1"/>
  <c r="AF34" i="81" s="1"/>
  <c r="W32" i="81"/>
  <c r="W34" i="81"/>
  <c r="X34" i="81"/>
  <c r="Y34" i="81"/>
  <c r="AA34" i="81" s="1"/>
  <c r="W33" i="81"/>
  <c r="E445" i="81"/>
  <c r="E473" i="81" s="1"/>
  <c r="G475" i="81"/>
  <c r="J44" i="81"/>
  <c r="AH44" i="81"/>
  <c r="AI44" i="81" s="1"/>
  <c r="J52" i="81"/>
  <c r="AH52" i="81"/>
  <c r="AI52" i="81" s="1"/>
  <c r="L52" i="81"/>
  <c r="J45" i="81"/>
  <c r="L45" i="81"/>
  <c r="M45" i="81" s="1"/>
  <c r="AH45" i="81"/>
  <c r="AI45" i="81" s="1"/>
  <c r="J53" i="81"/>
  <c r="L53" i="81"/>
  <c r="M53" i="81" s="1"/>
  <c r="AH53" i="81"/>
  <c r="AI53" i="81" s="1"/>
  <c r="AA54" i="81"/>
  <c r="F176" i="81"/>
  <c r="F201" i="81" s="1"/>
  <c r="E176" i="81"/>
  <c r="D201" i="81"/>
  <c r="F226" i="81"/>
  <c r="J29" i="81" l="1"/>
  <c r="L29" i="81"/>
  <c r="M29" i="81" s="1"/>
  <c r="AH29" i="81"/>
  <c r="AI29" i="81" s="1"/>
  <c r="N55" i="81"/>
  <c r="O55" i="81" s="1"/>
  <c r="U55" i="81" s="1"/>
  <c r="V55" i="81" s="1"/>
  <c r="AC34" i="81"/>
  <c r="F506" i="81"/>
  <c r="AC54" i="81"/>
  <c r="F504" i="81"/>
  <c r="M530" i="81" s="1"/>
  <c r="H59" i="81" s="1"/>
  <c r="AQ65" i="87"/>
  <c r="AJ51" i="81"/>
  <c r="N51" i="81"/>
  <c r="O51" i="81" s="1"/>
  <c r="U51" i="81" s="1"/>
  <c r="F487" i="81"/>
  <c r="F488" i="81" s="1"/>
  <c r="F489" i="81" s="1"/>
  <c r="L524" i="81"/>
  <c r="G56" i="81" s="1"/>
  <c r="D501" i="81"/>
  <c r="D453" i="81"/>
  <c r="G523" i="81" s="1"/>
  <c r="H43" i="81" s="1"/>
  <c r="M52" i="81"/>
  <c r="Q52" i="81" s="1"/>
  <c r="R52" i="81" s="1"/>
  <c r="AF67" i="96"/>
  <c r="AF64" i="96"/>
  <c r="AF65" i="96" s="1"/>
  <c r="AF66" i="96" s="1"/>
  <c r="F479" i="81"/>
  <c r="F480" i="81" s="1"/>
  <c r="F56" i="81" s="1"/>
  <c r="D445" i="81"/>
  <c r="D473" i="81" s="1"/>
  <c r="D475" i="81" s="1"/>
  <c r="AJ55" i="81"/>
  <c r="E619" i="84"/>
  <c r="D619" i="84"/>
  <c r="W70" i="81"/>
  <c r="X70" i="81" s="1"/>
  <c r="Y70" i="81" s="1"/>
  <c r="AA70" i="81" s="1"/>
  <c r="AQ62" i="87"/>
  <c r="F615" i="81"/>
  <c r="D646" i="81" s="1"/>
  <c r="F616" i="81"/>
  <c r="I759" i="81"/>
  <c r="G759" i="81"/>
  <c r="D795" i="81" s="1"/>
  <c r="G757" i="81"/>
  <c r="I757" i="81"/>
  <c r="F761" i="81"/>
  <c r="E615" i="81"/>
  <c r="D645" i="81" s="1"/>
  <c r="E616" i="81"/>
  <c r="I758" i="81"/>
  <c r="G758" i="81"/>
  <c r="X33" i="81"/>
  <c r="Y33" i="81" s="1"/>
  <c r="AA33" i="81" s="1"/>
  <c r="X32" i="81"/>
  <c r="Y32" i="81" s="1"/>
  <c r="AA32" i="81" s="1"/>
  <c r="G479" i="81"/>
  <c r="G487" i="81"/>
  <c r="G488" i="81" s="1"/>
  <c r="G489" i="81" s="1"/>
  <c r="E201" i="81"/>
  <c r="E475" i="81"/>
  <c r="I524" i="81" s="1"/>
  <c r="G52" i="81" s="1"/>
  <c r="F877" i="81"/>
  <c r="F225" i="81"/>
  <c r="F876" i="81" s="1"/>
  <c r="W55" i="81" l="1"/>
  <c r="X55" i="81" s="1"/>
  <c r="AQ59" i="87"/>
  <c r="F511" i="81"/>
  <c r="F512" i="81" s="1"/>
  <c r="F513" i="81" s="1"/>
  <c r="L532" i="81" s="1"/>
  <c r="G61" i="81" s="1"/>
  <c r="L531" i="81"/>
  <c r="G60" i="81" s="1"/>
  <c r="S56" i="81"/>
  <c r="T66" i="87" s="1"/>
  <c r="AC32" i="81"/>
  <c r="AC33" i="81"/>
  <c r="AJ43" i="81"/>
  <c r="F508" i="81"/>
  <c r="F509" i="81" s="1"/>
  <c r="F60" i="81" s="1"/>
  <c r="D506" i="81"/>
  <c r="D502" i="81"/>
  <c r="F530" i="81" s="1"/>
  <c r="G47" i="81" s="1"/>
  <c r="D504" i="81"/>
  <c r="G530" i="81" s="1"/>
  <c r="H47" i="81" s="1"/>
  <c r="F524" i="81"/>
  <c r="G44" i="81" s="1"/>
  <c r="D487" i="81"/>
  <c r="D488" i="81" s="1"/>
  <c r="D489" i="81" s="1"/>
  <c r="L523" i="81"/>
  <c r="G55" i="81" s="1"/>
  <c r="L525" i="81"/>
  <c r="G57" i="81" s="1"/>
  <c r="AF71" i="96"/>
  <c r="AF68" i="96"/>
  <c r="AF69" i="96" s="1"/>
  <c r="AF70" i="96" s="1"/>
  <c r="N43" i="81"/>
  <c r="O43" i="81" s="1"/>
  <c r="U43" i="81" s="1"/>
  <c r="V43" i="81" s="1"/>
  <c r="T67" i="87"/>
  <c r="D659" i="81"/>
  <c r="D650" i="84"/>
  <c r="D651" i="84" s="1"/>
  <c r="D652" i="84" s="1"/>
  <c r="G61" i="84" s="1"/>
  <c r="D637" i="84"/>
  <c r="D639" i="84" s="1"/>
  <c r="E650" i="84"/>
  <c r="E651" i="84" s="1"/>
  <c r="E652" i="84" s="1"/>
  <c r="G65" i="84" s="1"/>
  <c r="E637" i="84"/>
  <c r="E639" i="84" s="1"/>
  <c r="V51" i="81"/>
  <c r="W51" i="81" s="1"/>
  <c r="I761" i="81"/>
  <c r="D767" i="81" s="1"/>
  <c r="D849" i="81" s="1"/>
  <c r="D702" i="81"/>
  <c r="AF71" i="84"/>
  <c r="AF68" i="84"/>
  <c r="E479" i="81"/>
  <c r="E480" i="81" s="1"/>
  <c r="F52" i="81" s="1"/>
  <c r="D794" i="81"/>
  <c r="D793" i="81"/>
  <c r="K36" i="81"/>
  <c r="K38" i="81"/>
  <c r="K37" i="81"/>
  <c r="K35" i="81"/>
  <c r="G480" i="81"/>
  <c r="Y55" i="81"/>
  <c r="AA55" i="81" s="1"/>
  <c r="I45" i="81"/>
  <c r="I53" i="81"/>
  <c r="D479" i="81"/>
  <c r="D480" i="81" s="1"/>
  <c r="E487" i="81"/>
  <c r="F531" i="81" l="1"/>
  <c r="G48" i="81" s="1"/>
  <c r="D511" i="81"/>
  <c r="D512" i="81" s="1"/>
  <c r="D513" i="81" s="1"/>
  <c r="F532" i="81" s="1"/>
  <c r="G49" i="81" s="1"/>
  <c r="S60" i="81"/>
  <c r="S52" i="81"/>
  <c r="S65" i="87" s="1"/>
  <c r="D508" i="81"/>
  <c r="D509" i="81" s="1"/>
  <c r="F48" i="81" s="1"/>
  <c r="F523" i="81"/>
  <c r="G43" i="81" s="1"/>
  <c r="F525" i="81"/>
  <c r="G45" i="81" s="1"/>
  <c r="AF75" i="96"/>
  <c r="AF72" i="96"/>
  <c r="AF73" i="96" s="1"/>
  <c r="AF74" i="96" s="1"/>
  <c r="S64" i="87"/>
  <c r="E645" i="84"/>
  <c r="D645" i="84"/>
  <c r="X51" i="81"/>
  <c r="Y51" i="81" s="1"/>
  <c r="AA51" i="81" s="1"/>
  <c r="D684" i="81"/>
  <c r="D685" i="81" s="1"/>
  <c r="D661" i="81"/>
  <c r="AF69" i="84"/>
  <c r="AF70" i="84" s="1"/>
  <c r="AF75" i="84"/>
  <c r="AF72" i="84"/>
  <c r="G761" i="81"/>
  <c r="D804" i="81"/>
  <c r="J37" i="81"/>
  <c r="L37" i="81"/>
  <c r="M37" i="81" s="1"/>
  <c r="AH37" i="81"/>
  <c r="AI37" i="81" s="1"/>
  <c r="J38" i="81"/>
  <c r="L38" i="81"/>
  <c r="M38" i="81" s="1"/>
  <c r="J36" i="81"/>
  <c r="L36" i="81"/>
  <c r="AH36" i="81"/>
  <c r="AI36" i="81" s="1"/>
  <c r="J35" i="81"/>
  <c r="L35" i="81"/>
  <c r="M35" i="81" s="1"/>
  <c r="AH35" i="81"/>
  <c r="AI35" i="81" s="1"/>
  <c r="E488" i="81"/>
  <c r="E489" i="81" s="1"/>
  <c r="F44" i="81"/>
  <c r="S48" i="81" l="1"/>
  <c r="I523" i="81"/>
  <c r="G51" i="81" s="1"/>
  <c r="I525" i="81"/>
  <c r="G53" i="81" s="1"/>
  <c r="S44" i="81"/>
  <c r="S63" i="87" s="1"/>
  <c r="S73" i="87" s="1"/>
  <c r="AF76" i="96"/>
  <c r="AF77" i="96" s="1"/>
  <c r="AF78" i="96" s="1"/>
  <c r="AF79" i="96"/>
  <c r="M36" i="81"/>
  <c r="Q36" i="81" s="1"/>
  <c r="R36" i="81" s="1"/>
  <c r="D644" i="84"/>
  <c r="F60" i="84" s="1"/>
  <c r="G60" i="84"/>
  <c r="E644" i="84"/>
  <c r="F64" i="84" s="1"/>
  <c r="G64" i="84"/>
  <c r="D663" i="81"/>
  <c r="D696" i="81"/>
  <c r="D697" i="81" s="1"/>
  <c r="D698" i="81" s="1"/>
  <c r="E708" i="81"/>
  <c r="G64" i="81" s="1"/>
  <c r="D690" i="81"/>
  <c r="AF73" i="84"/>
  <c r="AF76" i="84"/>
  <c r="AF79" i="84"/>
  <c r="D829" i="81"/>
  <c r="G341" i="81"/>
  <c r="H38" i="81" s="1"/>
  <c r="D286" i="81"/>
  <c r="W43" i="81"/>
  <c r="X43" i="81" s="1"/>
  <c r="S64" i="84" l="1"/>
  <c r="O56" i="98" s="1"/>
  <c r="S60" i="84"/>
  <c r="O55" i="98" s="1"/>
  <c r="O60" i="98" s="1"/>
  <c r="N38" i="81"/>
  <c r="O38" i="81" s="1"/>
  <c r="U38" i="81" s="1"/>
  <c r="W38" i="81" s="1"/>
  <c r="X38" i="81" s="1"/>
  <c r="Y38" i="81" s="1"/>
  <c r="AA38" i="81" s="1"/>
  <c r="AF83" i="96"/>
  <c r="AF80" i="96"/>
  <c r="AF81" i="96" s="1"/>
  <c r="AF82" i="96" s="1"/>
  <c r="E709" i="81"/>
  <c r="G65" i="81" s="1"/>
  <c r="AF68" i="87"/>
  <c r="D691" i="81"/>
  <c r="F64" i="81" s="1"/>
  <c r="E707" i="81"/>
  <c r="G63" i="81" s="1"/>
  <c r="AF83" i="84"/>
  <c r="AF80" i="84"/>
  <c r="AF77" i="84"/>
  <c r="AF74" i="84"/>
  <c r="D296" i="81"/>
  <c r="D316" i="81" s="1"/>
  <c r="Y43" i="81"/>
  <c r="AA43" i="81" s="1"/>
  <c r="S64" i="81" l="1"/>
  <c r="U68" i="87" s="1"/>
  <c r="AG68" i="87"/>
  <c r="V68" i="87" s="1"/>
  <c r="AJ68" i="87"/>
  <c r="Y68" i="87" s="1"/>
  <c r="AI68" i="87"/>
  <c r="X68" i="87" s="1"/>
  <c r="AK68" i="87"/>
  <c r="Z68" i="87" s="1"/>
  <c r="AH68" i="87"/>
  <c r="W68" i="87" s="1"/>
  <c r="AL68" i="87"/>
  <c r="AM68" i="87"/>
  <c r="AF84" i="96"/>
  <c r="AF85" i="96" s="1"/>
  <c r="AF86" i="96" s="1"/>
  <c r="AF87" i="96"/>
  <c r="W53" i="95"/>
  <c r="W54" i="95"/>
  <c r="AF78" i="84"/>
  <c r="AF84" i="84"/>
  <c r="AF85" i="84" s="1"/>
  <c r="AF86" i="84" s="1"/>
  <c r="AF81" i="84"/>
  <c r="D315" i="81"/>
  <c r="D317" i="81" s="1"/>
  <c r="E339" i="81" s="1"/>
  <c r="G36" i="81" s="1"/>
  <c r="D297" i="81"/>
  <c r="AA68" i="87" l="1"/>
  <c r="AB68" i="87"/>
  <c r="AF88" i="96"/>
  <c r="AF89" i="96" s="1"/>
  <c r="AF90" i="96" s="1"/>
  <c r="AF91" i="96"/>
  <c r="AF82" i="84"/>
  <c r="D329" i="81"/>
  <c r="D330" i="81" s="1"/>
  <c r="D331" i="81" s="1"/>
  <c r="D299" i="81"/>
  <c r="D303" i="81"/>
  <c r="D322" i="81"/>
  <c r="D323" i="81" s="1"/>
  <c r="AF95" i="96" l="1"/>
  <c r="AF92" i="96"/>
  <c r="AF93" i="96" s="1"/>
  <c r="AF94" i="96" s="1"/>
  <c r="D304" i="81"/>
  <c r="F36" i="81" s="1"/>
  <c r="E338" i="81"/>
  <c r="G35" i="81" s="1"/>
  <c r="E340" i="81"/>
  <c r="G37" i="81" s="1"/>
  <c r="S36" i="81" l="1"/>
  <c r="R61" i="87" s="1"/>
  <c r="AF99" i="96"/>
  <c r="AF100" i="96" s="1"/>
  <c r="AF101" i="96" s="1"/>
  <c r="AF102" i="96" s="1"/>
  <c r="AF96" i="96"/>
  <c r="AF97" i="96" s="1"/>
  <c r="AF98" i="96" s="1"/>
  <c r="V54" i="95"/>
  <c r="K70" i="78"/>
  <c r="L70" i="78" s="1"/>
  <c r="K85" i="78"/>
  <c r="K86" i="78"/>
  <c r="K87" i="78"/>
  <c r="K88" i="78"/>
  <c r="K89" i="78"/>
  <c r="K90" i="78"/>
  <c r="K84" i="78"/>
  <c r="J42" i="78" s="1"/>
  <c r="V42" i="78" s="1"/>
  <c r="L80" i="78"/>
  <c r="L79" i="78"/>
  <c r="L78" i="78"/>
  <c r="L77" i="78"/>
  <c r="L76" i="78"/>
  <c r="L75" i="78"/>
  <c r="L74" i="78"/>
  <c r="F730" i="76"/>
  <c r="F731" i="76"/>
  <c r="F732" i="76"/>
  <c r="F733" i="76"/>
  <c r="F734" i="76"/>
  <c r="F735" i="76"/>
  <c r="F729" i="76"/>
  <c r="F459" i="76"/>
  <c r="D459" i="76" s="1"/>
  <c r="F458" i="76"/>
  <c r="D458" i="76" s="1"/>
  <c r="F457" i="76"/>
  <c r="D457" i="76" s="1"/>
  <c r="L42" i="78" l="1"/>
  <c r="X42" i="78" s="1"/>
  <c r="K42" i="78"/>
  <c r="W42" i="78" s="1"/>
  <c r="AI42" i="78"/>
  <c r="M70" i="78"/>
  <c r="M42" i="78" s="1"/>
  <c r="Y42" i="78" s="1"/>
  <c r="AK42" i="78" l="1"/>
  <c r="AJ42" i="78"/>
  <c r="AL42" i="78"/>
  <c r="N70" i="78"/>
  <c r="N42" i="78" s="1"/>
  <c r="AS46" i="78"/>
  <c r="E732" i="76"/>
  <c r="E730" i="76"/>
  <c r="E729" i="76"/>
  <c r="AD43" i="76" s="1"/>
  <c r="E735" i="76"/>
  <c r="E731" i="76"/>
  <c r="E733" i="76"/>
  <c r="E734" i="76"/>
  <c r="Z42" i="78" l="1"/>
  <c r="AM42" i="78"/>
  <c r="O70" i="78"/>
  <c r="O42" i="78" s="1"/>
  <c r="I49" i="76"/>
  <c r="F282" i="76"/>
  <c r="D282" i="76" s="1"/>
  <c r="F281" i="76"/>
  <c r="D281" i="76" s="1"/>
  <c r="E481" i="76" s="1"/>
  <c r="F280" i="76"/>
  <c r="D280" i="76" s="1"/>
  <c r="E480" i="76" s="1"/>
  <c r="K50" i="76"/>
  <c r="I581" i="76"/>
  <c r="I50" i="76" s="1"/>
  <c r="K49" i="76"/>
  <c r="K48" i="76"/>
  <c r="I579" i="76"/>
  <c r="I48" i="76" s="1"/>
  <c r="K47" i="76"/>
  <c r="I578" i="76"/>
  <c r="I47" i="76" s="1"/>
  <c r="E572" i="76"/>
  <c r="D546" i="76"/>
  <c r="D545" i="76"/>
  <c r="D520" i="76"/>
  <c r="D514" i="76"/>
  <c r="D509" i="76"/>
  <c r="D498" i="76"/>
  <c r="H581" i="76" s="1"/>
  <c r="H50" i="76" s="1"/>
  <c r="O489" i="76"/>
  <c r="O493" i="76" s="1"/>
  <c r="F476" i="76"/>
  <c r="E476" i="76"/>
  <c r="D476" i="76"/>
  <c r="D454" i="76"/>
  <c r="F578" i="76"/>
  <c r="F580" i="76" s="1"/>
  <c r="F579" i="76" s="1"/>
  <c r="J432" i="76"/>
  <c r="K46" i="76" s="1"/>
  <c r="I432" i="76"/>
  <c r="I46" i="76" s="1"/>
  <c r="I431" i="76"/>
  <c r="I45" i="76" s="1"/>
  <c r="I430" i="76"/>
  <c r="I44" i="76" s="1"/>
  <c r="J429" i="76"/>
  <c r="I429" i="76"/>
  <c r="I43" i="76" s="1"/>
  <c r="D400" i="76"/>
  <c r="D399" i="76"/>
  <c r="D370" i="76"/>
  <c r="D364" i="76"/>
  <c r="D359" i="76"/>
  <c r="D348" i="76"/>
  <c r="H432" i="76" s="1"/>
  <c r="H46" i="76" s="1"/>
  <c r="F322" i="76"/>
  <c r="F324" i="76" s="1"/>
  <c r="F325" i="76" s="1"/>
  <c r="E322" i="76"/>
  <c r="E324" i="76" s="1"/>
  <c r="E325" i="76" s="1"/>
  <c r="D322" i="76"/>
  <c r="D324" i="76" s="1"/>
  <c r="D325" i="76" s="1"/>
  <c r="F303" i="76"/>
  <c r="E303" i="76"/>
  <c r="D303" i="76"/>
  <c r="F296" i="76"/>
  <c r="E296" i="76"/>
  <c r="D296" i="76"/>
  <c r="F291" i="76"/>
  <c r="E291" i="76"/>
  <c r="D291" i="76"/>
  <c r="F289" i="76"/>
  <c r="E289" i="76"/>
  <c r="D289" i="76"/>
  <c r="D277" i="76"/>
  <c r="D276" i="76"/>
  <c r="D274" i="76"/>
  <c r="F246" i="14"/>
  <c r="D246" i="14" s="1"/>
  <c r="F245" i="14"/>
  <c r="D245" i="14" s="1"/>
  <c r="F244" i="14"/>
  <c r="D244" i="14" s="1"/>
  <c r="E705" i="76"/>
  <c r="E704" i="76"/>
  <c r="E703" i="76"/>
  <c r="E698" i="76"/>
  <c r="E697" i="76"/>
  <c r="D697" i="76"/>
  <c r="D698" i="76" s="1"/>
  <c r="E712" i="76" s="1"/>
  <c r="G63" i="76" s="1"/>
  <c r="K684" i="76"/>
  <c r="K683" i="76"/>
  <c r="L682" i="76"/>
  <c r="L683" i="76" s="1"/>
  <c r="K682" i="76"/>
  <c r="G659" i="76"/>
  <c r="D657" i="76"/>
  <c r="D652" i="76"/>
  <c r="G683" i="76" s="1"/>
  <c r="D626" i="76"/>
  <c r="D625" i="76"/>
  <c r="E622" i="76"/>
  <c r="D616" i="76"/>
  <c r="D604" i="76"/>
  <c r="D596" i="76"/>
  <c r="E593" i="76"/>
  <c r="D593" i="76"/>
  <c r="D592" i="76"/>
  <c r="K226" i="76"/>
  <c r="K225" i="76"/>
  <c r="L224" i="76"/>
  <c r="L225" i="76" s="1"/>
  <c r="L226" i="76" s="1"/>
  <c r="K29" i="76" s="1"/>
  <c r="K224" i="76"/>
  <c r="G201" i="76"/>
  <c r="D199" i="76"/>
  <c r="E199" i="76" s="1"/>
  <c r="D194" i="76"/>
  <c r="G225" i="76" s="1"/>
  <c r="D168" i="76"/>
  <c r="D167" i="76"/>
  <c r="E164" i="76"/>
  <c r="D158" i="76"/>
  <c r="D146" i="76"/>
  <c r="D138" i="76"/>
  <c r="E135" i="76"/>
  <c r="D135" i="76"/>
  <c r="D134" i="76"/>
  <c r="E120" i="76"/>
  <c r="E119" i="76"/>
  <c r="E118" i="76"/>
  <c r="D117" i="76"/>
  <c r="E112" i="76"/>
  <c r="E111" i="76"/>
  <c r="D111" i="76"/>
  <c r="D110" i="76"/>
  <c r="AA66" i="76"/>
  <c r="Y66" i="76"/>
  <c r="X66" i="76"/>
  <c r="AA65" i="76"/>
  <c r="Y65" i="76"/>
  <c r="X65" i="76"/>
  <c r="AA64" i="76"/>
  <c r="Y64" i="76"/>
  <c r="X64" i="76"/>
  <c r="K63" i="76"/>
  <c r="I63" i="76"/>
  <c r="AA62" i="76"/>
  <c r="Y62" i="76"/>
  <c r="X62" i="76"/>
  <c r="AA58" i="76"/>
  <c r="Y58" i="76"/>
  <c r="X58" i="76"/>
  <c r="D55" i="76"/>
  <c r="AA54" i="76"/>
  <c r="Y54" i="76"/>
  <c r="X54" i="76"/>
  <c r="I33" i="76"/>
  <c r="I32" i="76"/>
  <c r="I31" i="76"/>
  <c r="D31" i="76"/>
  <c r="AF27" i="76"/>
  <c r="AF28" i="76" s="1"/>
  <c r="AF29" i="76" s="1"/>
  <c r="AF30" i="76" s="1"/>
  <c r="AA26" i="76"/>
  <c r="Y26" i="76"/>
  <c r="AA25" i="76"/>
  <c r="Y25" i="76"/>
  <c r="AF24" i="76"/>
  <c r="AF25" i="76" s="1"/>
  <c r="AF26" i="76" s="1"/>
  <c r="AA24" i="76"/>
  <c r="Y24" i="76"/>
  <c r="K23" i="76"/>
  <c r="AH16" i="76"/>
  <c r="X16" i="76"/>
  <c r="W16" i="76"/>
  <c r="V16" i="76"/>
  <c r="U16" i="76"/>
  <c r="L15" i="76"/>
  <c r="C689" i="14"/>
  <c r="K59" i="14"/>
  <c r="I59" i="14"/>
  <c r="I45" i="14"/>
  <c r="K23" i="14"/>
  <c r="AA62" i="14"/>
  <c r="Y62" i="14"/>
  <c r="X62" i="14"/>
  <c r="AA61" i="14"/>
  <c r="Y61" i="14"/>
  <c r="X61" i="14"/>
  <c r="AA60" i="14"/>
  <c r="Y60" i="14"/>
  <c r="X60" i="14"/>
  <c r="J59" i="14"/>
  <c r="AA58" i="14"/>
  <c r="Y58" i="14"/>
  <c r="X58" i="14"/>
  <c r="AA54" i="14"/>
  <c r="Y54" i="14"/>
  <c r="X54" i="14"/>
  <c r="D51" i="14"/>
  <c r="AA50" i="14"/>
  <c r="Y50" i="14"/>
  <c r="X50" i="14"/>
  <c r="I33" i="14"/>
  <c r="AF32" i="14"/>
  <c r="AF33" i="14" s="1"/>
  <c r="AF34" i="14" s="1"/>
  <c r="I32" i="14"/>
  <c r="I31" i="14"/>
  <c r="D31" i="14"/>
  <c r="AF27" i="14"/>
  <c r="AF31" i="14" s="1"/>
  <c r="AF35" i="14" s="1"/>
  <c r="AA26" i="14"/>
  <c r="Y26" i="14"/>
  <c r="AA25" i="14"/>
  <c r="Y25" i="14"/>
  <c r="AF24" i="14"/>
  <c r="AF25" i="14" s="1"/>
  <c r="AF26" i="14" s="1"/>
  <c r="AA24" i="14"/>
  <c r="Y24" i="14"/>
  <c r="AH16" i="14"/>
  <c r="X16" i="14"/>
  <c r="W16" i="14"/>
  <c r="V16" i="14"/>
  <c r="U16" i="14"/>
  <c r="L16" i="14"/>
  <c r="L15" i="14"/>
  <c r="D510" i="14"/>
  <c r="D484" i="14"/>
  <c r="D364" i="14"/>
  <c r="D334" i="14"/>
  <c r="E669" i="14"/>
  <c r="E668" i="14"/>
  <c r="E667" i="14"/>
  <c r="E662" i="14"/>
  <c r="E661" i="14"/>
  <c r="D661" i="14"/>
  <c r="D662" i="14" s="1"/>
  <c r="E676" i="14" s="1"/>
  <c r="G59" i="14" s="1"/>
  <c r="K648" i="14"/>
  <c r="K647" i="14"/>
  <c r="L646" i="14"/>
  <c r="L647" i="14" s="1"/>
  <c r="L648" i="14" s="1"/>
  <c r="K49" i="14" s="1"/>
  <c r="K646" i="14"/>
  <c r="G623" i="14"/>
  <c r="D621" i="14"/>
  <c r="D616" i="14"/>
  <c r="D590" i="14"/>
  <c r="D589" i="14"/>
  <c r="E586" i="14"/>
  <c r="D580" i="14"/>
  <c r="D568" i="14"/>
  <c r="D560" i="14"/>
  <c r="E557" i="14"/>
  <c r="D557" i="14"/>
  <c r="D556" i="14"/>
  <c r="E536" i="14"/>
  <c r="D509" i="14"/>
  <c r="D478" i="14"/>
  <c r="D473" i="14"/>
  <c r="D416" i="14"/>
  <c r="J396" i="14"/>
  <c r="K42" i="14" s="1"/>
  <c r="J393" i="14"/>
  <c r="J394" i="14" s="1"/>
  <c r="J395" i="14" s="1"/>
  <c r="K41" i="14" s="1"/>
  <c r="D363" i="14"/>
  <c r="D328" i="14"/>
  <c r="D241" i="14"/>
  <c r="D323" i="14"/>
  <c r="D238" i="14"/>
  <c r="H239" i="14" s="1"/>
  <c r="H241" i="14" s="1"/>
  <c r="H242" i="14" s="1"/>
  <c r="H244" i="14" s="1"/>
  <c r="H245" i="14" s="1"/>
  <c r="E286" i="14"/>
  <c r="E288" i="14" s="1"/>
  <c r="E289" i="14" s="1"/>
  <c r="F286" i="14"/>
  <c r="F288" i="14" s="1"/>
  <c r="F289" i="14" s="1"/>
  <c r="D286" i="14"/>
  <c r="D288" i="14" s="1"/>
  <c r="K222" i="14"/>
  <c r="K221" i="14"/>
  <c r="L220" i="14"/>
  <c r="L221" i="14" s="1"/>
  <c r="L222" i="14" s="1"/>
  <c r="K29" i="14" s="1"/>
  <c r="K220" i="14"/>
  <c r="G197" i="14"/>
  <c r="D190" i="14"/>
  <c r="D164" i="14"/>
  <c r="D163" i="14"/>
  <c r="D195" i="14" s="1"/>
  <c r="E160" i="14"/>
  <c r="D154" i="14"/>
  <c r="D142" i="14"/>
  <c r="D134" i="14"/>
  <c r="E131" i="14"/>
  <c r="D131" i="14"/>
  <c r="D130" i="14"/>
  <c r="E116" i="14"/>
  <c r="E115" i="14"/>
  <c r="E114" i="14"/>
  <c r="D113" i="14"/>
  <c r="E108" i="14"/>
  <c r="E107" i="14"/>
  <c r="D107" i="14"/>
  <c r="D106" i="14"/>
  <c r="H481" i="76" l="1"/>
  <c r="H482" i="76"/>
  <c r="H480" i="76"/>
  <c r="E326" i="76"/>
  <c r="F292" i="76"/>
  <c r="E292" i="76"/>
  <c r="D292" i="76"/>
  <c r="J50" i="76"/>
  <c r="AC60" i="14"/>
  <c r="AC25" i="76"/>
  <c r="AC25" i="14"/>
  <c r="AO45" i="189" s="1"/>
  <c r="AC54" i="14"/>
  <c r="K40" i="14"/>
  <c r="AC62" i="76"/>
  <c r="AC65" i="76"/>
  <c r="AC26" i="76"/>
  <c r="AC54" i="76"/>
  <c r="J47" i="76"/>
  <c r="AH23" i="14"/>
  <c r="AC26" i="14"/>
  <c r="AP45" i="189" s="1"/>
  <c r="AC61" i="14"/>
  <c r="J23" i="76"/>
  <c r="D59" i="76"/>
  <c r="J63" i="76"/>
  <c r="J46" i="76"/>
  <c r="J41" i="14"/>
  <c r="J23" i="14"/>
  <c r="AC58" i="14"/>
  <c r="D35" i="76"/>
  <c r="AC66" i="76"/>
  <c r="J48" i="76"/>
  <c r="J42" i="14"/>
  <c r="AF28" i="14"/>
  <c r="AF29" i="14" s="1"/>
  <c r="AF30" i="14" s="1"/>
  <c r="AC50" i="14"/>
  <c r="AC24" i="76"/>
  <c r="J49" i="76"/>
  <c r="J29" i="14"/>
  <c r="AC24" i="14"/>
  <c r="AN45" i="189" s="1"/>
  <c r="D35" i="14"/>
  <c r="D55" i="14"/>
  <c r="AC62" i="14"/>
  <c r="AC58" i="76"/>
  <c r="AC64" i="76"/>
  <c r="AS47" i="78"/>
  <c r="AH40" i="76"/>
  <c r="AI40" i="76" s="1"/>
  <c r="AH41" i="76"/>
  <c r="AI41" i="76" s="1"/>
  <c r="AJ41" i="76" s="1"/>
  <c r="AH39" i="76"/>
  <c r="AI39" i="76" s="1"/>
  <c r="D523" i="76"/>
  <c r="O54" i="14"/>
  <c r="O38" i="14"/>
  <c r="O30" i="14"/>
  <c r="U30" i="14" s="1"/>
  <c r="W30" i="14" s="1"/>
  <c r="O25" i="14"/>
  <c r="O24" i="14"/>
  <c r="O58" i="14"/>
  <c r="O50" i="14"/>
  <c r="O34" i="14"/>
  <c r="O26" i="14"/>
  <c r="O62" i="76"/>
  <c r="O54" i="76"/>
  <c r="O34" i="76"/>
  <c r="O26" i="76"/>
  <c r="O25" i="76"/>
  <c r="O24" i="76"/>
  <c r="O58" i="76"/>
  <c r="O38" i="76"/>
  <c r="O30" i="76"/>
  <c r="U30" i="76" s="1"/>
  <c r="W30" i="76" s="1"/>
  <c r="D341" i="14"/>
  <c r="D377" i="76"/>
  <c r="AA42" i="78"/>
  <c r="AN42" i="78"/>
  <c r="D174" i="76"/>
  <c r="E174" i="76" s="1"/>
  <c r="F174" i="76" s="1"/>
  <c r="D278" i="76"/>
  <c r="P70" i="78"/>
  <c r="AH46" i="76"/>
  <c r="AI46" i="76" s="1"/>
  <c r="K27" i="76"/>
  <c r="J27" i="76" s="1"/>
  <c r="J430" i="76"/>
  <c r="K43" i="76"/>
  <c r="L46" i="76"/>
  <c r="M46" i="76" s="1"/>
  <c r="K51" i="76"/>
  <c r="F304" i="76"/>
  <c r="F305" i="76" s="1"/>
  <c r="F306" i="76" s="1"/>
  <c r="E297" i="76"/>
  <c r="E298" i="76" s="1"/>
  <c r="E299" i="76" s="1"/>
  <c r="F481" i="76"/>
  <c r="D304" i="76"/>
  <c r="D305" i="76" s="1"/>
  <c r="D404" i="76"/>
  <c r="E328" i="76"/>
  <c r="F297" i="76"/>
  <c r="F298" i="76" s="1"/>
  <c r="F299" i="76" s="1"/>
  <c r="E304" i="76"/>
  <c r="E305" i="76" s="1"/>
  <c r="E306" i="76" s="1"/>
  <c r="F326" i="76"/>
  <c r="F328" i="76" s="1"/>
  <c r="D550" i="76"/>
  <c r="L49" i="76"/>
  <c r="M49" i="76" s="1"/>
  <c r="AH48" i="76"/>
  <c r="AI48" i="76" s="1"/>
  <c r="L47" i="76"/>
  <c r="M47" i="76" s="1"/>
  <c r="AH47" i="76"/>
  <c r="AI47" i="76" s="1"/>
  <c r="L50" i="76"/>
  <c r="M50" i="76" s="1"/>
  <c r="N50" i="76" s="1"/>
  <c r="O50" i="76" s="1"/>
  <c r="G580" i="76"/>
  <c r="AH49" i="76"/>
  <c r="AI49" i="76" s="1"/>
  <c r="L48" i="76"/>
  <c r="F480" i="76"/>
  <c r="E482" i="76"/>
  <c r="F482" i="76" s="1"/>
  <c r="F333" i="76"/>
  <c r="F334" i="76" s="1"/>
  <c r="D297" i="76"/>
  <c r="D298" i="76" s="1"/>
  <c r="D299" i="76" s="1"/>
  <c r="D309" i="76" s="1"/>
  <c r="D333" i="76"/>
  <c r="D334" i="76" s="1"/>
  <c r="E333" i="76"/>
  <c r="D326" i="76"/>
  <c r="D328" i="76" s="1"/>
  <c r="E445" i="14"/>
  <c r="E297" i="14"/>
  <c r="E446" i="14"/>
  <c r="F297" i="14"/>
  <c r="K39" i="14"/>
  <c r="D136" i="76"/>
  <c r="D139" i="76" s="1"/>
  <c r="D164" i="76" s="1"/>
  <c r="D632" i="76"/>
  <c r="E632" i="76" s="1"/>
  <c r="F632" i="76" s="1"/>
  <c r="D594" i="76"/>
  <c r="D597" i="76" s="1"/>
  <c r="D622" i="76" s="1"/>
  <c r="J29" i="76"/>
  <c r="K33" i="76"/>
  <c r="AH23" i="76"/>
  <c r="L63" i="76"/>
  <c r="M63" i="76" s="1"/>
  <c r="K28" i="76"/>
  <c r="AH63" i="76"/>
  <c r="AI63" i="76" s="1"/>
  <c r="AH29" i="76"/>
  <c r="AI29" i="76" s="1"/>
  <c r="AF31" i="76"/>
  <c r="L684" i="76"/>
  <c r="K53" i="76" s="1"/>
  <c r="K52" i="76"/>
  <c r="L29" i="76"/>
  <c r="M29" i="76" s="1"/>
  <c r="L23" i="76"/>
  <c r="F199" i="76"/>
  <c r="E657" i="76"/>
  <c r="K53" i="14"/>
  <c r="J49" i="14"/>
  <c r="K48" i="14"/>
  <c r="K47" i="14"/>
  <c r="K33" i="14"/>
  <c r="K28" i="14"/>
  <c r="D514" i="14"/>
  <c r="K27" i="14"/>
  <c r="AF39" i="14"/>
  <c r="AF36" i="14"/>
  <c r="AF37" i="14" s="1"/>
  <c r="AF38" i="14" s="1"/>
  <c r="L40" i="14"/>
  <c r="M40" i="14" s="1"/>
  <c r="AH48" i="14"/>
  <c r="AI48" i="14" s="1"/>
  <c r="AH41" i="14"/>
  <c r="AI41" i="14" s="1"/>
  <c r="AH39" i="14"/>
  <c r="AI39" i="14" s="1"/>
  <c r="AH40" i="14"/>
  <c r="AI40" i="14" s="1"/>
  <c r="AH59" i="14"/>
  <c r="AH42" i="14"/>
  <c r="AI42" i="14" s="1"/>
  <c r="AH49" i="14"/>
  <c r="AI49" i="14" s="1"/>
  <c r="L42" i="14"/>
  <c r="M42" i="14" s="1"/>
  <c r="L39" i="14"/>
  <c r="M39" i="14" s="1"/>
  <c r="L49" i="14"/>
  <c r="L29" i="14"/>
  <c r="M29" i="14" s="1"/>
  <c r="L59" i="14"/>
  <c r="M59" i="14" s="1"/>
  <c r="L41" i="14"/>
  <c r="M41" i="14" s="1"/>
  <c r="AI23" i="14"/>
  <c r="L23" i="14"/>
  <c r="M23" i="14" s="1"/>
  <c r="AH29" i="14"/>
  <c r="AI29" i="14" s="1"/>
  <c r="D596" i="14"/>
  <c r="E596" i="14" s="1"/>
  <c r="F596" i="14" s="1"/>
  <c r="D558" i="14"/>
  <c r="D569" i="14" s="1"/>
  <c r="D570" i="14" s="1"/>
  <c r="D588" i="14" s="1"/>
  <c r="E621" i="14"/>
  <c r="D242" i="14"/>
  <c r="D170" i="14"/>
  <c r="E170" i="14" s="1"/>
  <c r="F170" i="14" s="1"/>
  <c r="D132" i="14"/>
  <c r="E195" i="14"/>
  <c r="AP48" i="189" l="1"/>
  <c r="L27" i="76"/>
  <c r="M27" i="76" s="1"/>
  <c r="D482" i="76"/>
  <c r="D481" i="76"/>
  <c r="AP49" i="189"/>
  <c r="AN49" i="189"/>
  <c r="AO49" i="189"/>
  <c r="AS51" i="78"/>
  <c r="AR45" i="78"/>
  <c r="AS50" i="78"/>
  <c r="AQ45" i="78"/>
  <c r="AR51" i="78"/>
  <c r="AS45" i="78"/>
  <c r="J33" i="14"/>
  <c r="J39" i="14"/>
  <c r="K51" i="14"/>
  <c r="K55" i="76"/>
  <c r="L55" i="76" s="1"/>
  <c r="M55" i="76" s="1"/>
  <c r="AH53" i="76"/>
  <c r="AI53" i="76" s="1"/>
  <c r="K52" i="14"/>
  <c r="AH33" i="76"/>
  <c r="AI33" i="76" s="1"/>
  <c r="L47" i="14"/>
  <c r="L27" i="14"/>
  <c r="M27" i="14" s="1"/>
  <c r="J43" i="76"/>
  <c r="J53" i="14"/>
  <c r="AH53" i="14"/>
  <c r="AI53" i="14" s="1"/>
  <c r="J48" i="14"/>
  <c r="K31" i="76"/>
  <c r="AQ51" i="78"/>
  <c r="J40" i="14"/>
  <c r="K57" i="14"/>
  <c r="AH47" i="14"/>
  <c r="AI47" i="14" s="1"/>
  <c r="J47" i="14"/>
  <c r="L28" i="76"/>
  <c r="M28" i="76" s="1"/>
  <c r="L28" i="14"/>
  <c r="M28" i="14" s="1"/>
  <c r="AJ40" i="76"/>
  <c r="Q40" i="14"/>
  <c r="R40" i="14" s="1"/>
  <c r="U50" i="76"/>
  <c r="W50" i="76" s="1"/>
  <c r="E334" i="76"/>
  <c r="E335" i="76" s="1"/>
  <c r="E337" i="76" s="1"/>
  <c r="D367" i="76" s="1"/>
  <c r="I481" i="76"/>
  <c r="G481" i="76"/>
  <c r="D517" i="76" s="1"/>
  <c r="D363" i="76"/>
  <c r="D379" i="76" s="1"/>
  <c r="D513" i="76"/>
  <c r="D525" i="76" s="1"/>
  <c r="I482" i="76"/>
  <c r="G482" i="76"/>
  <c r="D518" i="76" s="1"/>
  <c r="G480" i="76"/>
  <c r="D516" i="76" s="1"/>
  <c r="I480" i="76"/>
  <c r="F335" i="76"/>
  <c r="F337" i="76" s="1"/>
  <c r="D368" i="76" s="1"/>
  <c r="L31" i="76"/>
  <c r="M31" i="76" s="1"/>
  <c r="AH27" i="76"/>
  <c r="AI27" i="76" s="1"/>
  <c r="P42" i="78"/>
  <c r="AH51" i="76"/>
  <c r="AI51" i="76" s="1"/>
  <c r="N46" i="76"/>
  <c r="O46" i="76" s="1"/>
  <c r="AJ46" i="76"/>
  <c r="AH43" i="76"/>
  <c r="AI43" i="76" s="1"/>
  <c r="J431" i="76"/>
  <c r="K45" i="76" s="1"/>
  <c r="K44" i="76"/>
  <c r="J55" i="76"/>
  <c r="L51" i="76"/>
  <c r="M51" i="76" s="1"/>
  <c r="J51" i="76"/>
  <c r="L43" i="76"/>
  <c r="M43" i="76" s="1"/>
  <c r="D306" i="76"/>
  <c r="D310" i="76" s="1"/>
  <c r="F314" i="76" s="1"/>
  <c r="D147" i="76"/>
  <c r="D148" i="76" s="1"/>
  <c r="D166" i="76" s="1"/>
  <c r="F178" i="76" s="1"/>
  <c r="F201" i="76" s="1"/>
  <c r="M48" i="76"/>
  <c r="Q48" i="76" s="1"/>
  <c r="R48" i="76" s="1"/>
  <c r="F224" i="76"/>
  <c r="F226" i="76" s="1"/>
  <c r="F225" i="76" s="1"/>
  <c r="E484" i="76"/>
  <c r="D480" i="76"/>
  <c r="F484" i="76"/>
  <c r="D335" i="76"/>
  <c r="D337" i="76" s="1"/>
  <c r="D366" i="76" s="1"/>
  <c r="E444" i="14"/>
  <c r="D297" i="14"/>
  <c r="F682" i="76"/>
  <c r="F684" i="76" s="1"/>
  <c r="F683" i="76" s="1"/>
  <c r="D605" i="76"/>
  <c r="D606" i="76" s="1"/>
  <c r="D624" i="76" s="1"/>
  <c r="F636" i="76" s="1"/>
  <c r="F659" i="76" s="1"/>
  <c r="L48" i="14"/>
  <c r="AH27" i="14"/>
  <c r="AI27" i="14" s="1"/>
  <c r="K31" i="14"/>
  <c r="J52" i="14"/>
  <c r="AH28" i="14"/>
  <c r="AI28" i="14" s="1"/>
  <c r="L33" i="76"/>
  <c r="M33" i="76" s="1"/>
  <c r="L52" i="14"/>
  <c r="L53" i="14"/>
  <c r="M53" i="14" s="1"/>
  <c r="AI23" i="76"/>
  <c r="K32" i="76"/>
  <c r="J28" i="76"/>
  <c r="AF35" i="76"/>
  <c r="AF39" i="76" s="1"/>
  <c r="AF40" i="76" s="1"/>
  <c r="AF41" i="76" s="1"/>
  <c r="AF42" i="76" s="1"/>
  <c r="AF32" i="76"/>
  <c r="AF33" i="76" s="1"/>
  <c r="AF34" i="76" s="1"/>
  <c r="AH28" i="76"/>
  <c r="AI28" i="76" s="1"/>
  <c r="M23" i="76"/>
  <c r="J52" i="76"/>
  <c r="K56" i="76"/>
  <c r="AH52" i="76"/>
  <c r="AI52" i="76" s="1"/>
  <c r="F657" i="76"/>
  <c r="J53" i="76"/>
  <c r="K57" i="76"/>
  <c r="L53" i="76"/>
  <c r="M53" i="76" s="1"/>
  <c r="K37" i="76"/>
  <c r="J33" i="76"/>
  <c r="L52" i="76"/>
  <c r="L33" i="14"/>
  <c r="M33" i="14" s="1"/>
  <c r="J27" i="14"/>
  <c r="L31" i="14"/>
  <c r="M31" i="14" s="1"/>
  <c r="AH33" i="14"/>
  <c r="AI33" i="14" s="1"/>
  <c r="AH57" i="14"/>
  <c r="AI57" i="14" s="1"/>
  <c r="L57" i="14"/>
  <c r="M57" i="14" s="1"/>
  <c r="K37" i="14"/>
  <c r="K32" i="14"/>
  <c r="J28" i="14"/>
  <c r="M49" i="14"/>
  <c r="M47" i="14"/>
  <c r="AI59" i="14"/>
  <c r="AF40" i="14"/>
  <c r="AF41" i="14" s="1"/>
  <c r="AF42" i="14" s="1"/>
  <c r="AF43" i="14"/>
  <c r="AF47" i="14" s="1"/>
  <c r="K35" i="14"/>
  <c r="J31" i="14"/>
  <c r="D561" i="14"/>
  <c r="D586" i="14" s="1"/>
  <c r="F621" i="14"/>
  <c r="D600" i="14"/>
  <c r="D623" i="14" s="1"/>
  <c r="E600" i="14"/>
  <c r="E623" i="14" s="1"/>
  <c r="F600" i="14"/>
  <c r="F623" i="14" s="1"/>
  <c r="D477" i="14"/>
  <c r="D327" i="14"/>
  <c r="D343" i="14" s="1"/>
  <c r="D143" i="14"/>
  <c r="D144" i="14" s="1"/>
  <c r="D162" i="14" s="1"/>
  <c r="E174" i="14" s="1"/>
  <c r="D135" i="14"/>
  <c r="D160" i="14" s="1"/>
  <c r="F195" i="14"/>
  <c r="K59" i="76" l="1"/>
  <c r="Q28" i="14"/>
  <c r="R28" i="14" s="1"/>
  <c r="J59" i="76"/>
  <c r="K35" i="76"/>
  <c r="AH55" i="76"/>
  <c r="AI55" i="76" s="1"/>
  <c r="J31" i="76"/>
  <c r="Q28" i="76"/>
  <c r="R28" i="76" s="1"/>
  <c r="J57" i="14"/>
  <c r="AH51" i="14"/>
  <c r="AI51" i="14" s="1"/>
  <c r="L51" i="14"/>
  <c r="M51" i="14" s="1"/>
  <c r="J51" i="14"/>
  <c r="K55" i="14"/>
  <c r="AH31" i="14"/>
  <c r="AI31" i="14" s="1"/>
  <c r="AH31" i="76"/>
  <c r="AI31" i="76" s="1"/>
  <c r="K56" i="14"/>
  <c r="AH52" i="14"/>
  <c r="AI52" i="14" s="1"/>
  <c r="AC49" i="78"/>
  <c r="M52" i="14"/>
  <c r="Q52" i="14" s="1"/>
  <c r="R52" i="14" s="1"/>
  <c r="M52" i="76"/>
  <c r="Q52" i="76" s="1"/>
  <c r="R52" i="76" s="1"/>
  <c r="M48" i="14"/>
  <c r="Q48" i="14" s="1"/>
  <c r="R48" i="14" s="1"/>
  <c r="U46" i="76"/>
  <c r="I484" i="76"/>
  <c r="D490" i="76" s="1"/>
  <c r="D572" i="76" s="1"/>
  <c r="F338" i="76"/>
  <c r="AB42" i="78"/>
  <c r="AO42" i="78"/>
  <c r="K393" i="76"/>
  <c r="L59" i="76"/>
  <c r="M59" i="76" s="1"/>
  <c r="E178" i="76"/>
  <c r="E201" i="76" s="1"/>
  <c r="AH59" i="76"/>
  <c r="AI59" i="76" s="1"/>
  <c r="K394" i="76"/>
  <c r="J44" i="76"/>
  <c r="AH44" i="76"/>
  <c r="AI44" i="76" s="1"/>
  <c r="L44" i="76"/>
  <c r="J45" i="76"/>
  <c r="AH45" i="76"/>
  <c r="AI45" i="76" s="1"/>
  <c r="L45" i="76"/>
  <c r="M45" i="76" s="1"/>
  <c r="K392" i="76"/>
  <c r="D178" i="76"/>
  <c r="D201" i="76" s="1"/>
  <c r="X50" i="76"/>
  <c r="Y50" i="76" s="1"/>
  <c r="AA50" i="76" s="1"/>
  <c r="D551" i="76"/>
  <c r="D314" i="76"/>
  <c r="E314" i="76"/>
  <c r="D405" i="76"/>
  <c r="D636" i="76"/>
  <c r="D659" i="76" s="1"/>
  <c r="D381" i="76"/>
  <c r="D406" i="76" s="1"/>
  <c r="G484" i="76"/>
  <c r="D527" i="76"/>
  <c r="D552" i="76" s="1"/>
  <c r="E636" i="76"/>
  <c r="E659" i="76" s="1"/>
  <c r="K36" i="76"/>
  <c r="J32" i="76"/>
  <c r="L32" i="76"/>
  <c r="AH32" i="76"/>
  <c r="AI32" i="76" s="1"/>
  <c r="J37" i="76"/>
  <c r="L37" i="76"/>
  <c r="M37" i="76" s="1"/>
  <c r="AH37" i="76"/>
  <c r="AI37" i="76" s="1"/>
  <c r="J57" i="76"/>
  <c r="K61" i="76"/>
  <c r="AH57" i="76"/>
  <c r="AI57" i="76" s="1"/>
  <c r="L57" i="76"/>
  <c r="M57" i="76" s="1"/>
  <c r="AF36" i="76"/>
  <c r="AF37" i="76" s="1"/>
  <c r="AF38" i="76" s="1"/>
  <c r="J56" i="76"/>
  <c r="K60" i="76"/>
  <c r="L56" i="76"/>
  <c r="AH56" i="76"/>
  <c r="AI56" i="76" s="1"/>
  <c r="K36" i="14"/>
  <c r="J32" i="14"/>
  <c r="AH32" i="14"/>
  <c r="AI32" i="14" s="1"/>
  <c r="L32" i="14"/>
  <c r="J37" i="14"/>
  <c r="AH37" i="14"/>
  <c r="AI37" i="14" s="1"/>
  <c r="L37" i="14"/>
  <c r="M37" i="14" s="1"/>
  <c r="AF44" i="14"/>
  <c r="AF45" i="14" s="1"/>
  <c r="AF46" i="14" s="1"/>
  <c r="J35" i="14"/>
  <c r="AH35" i="14"/>
  <c r="L35" i="14"/>
  <c r="D174" i="14"/>
  <c r="D197" i="14" s="1"/>
  <c r="F174" i="14"/>
  <c r="F197" i="14" s="1"/>
  <c r="E197" i="14"/>
  <c r="R48" i="73"/>
  <c r="D51" i="73"/>
  <c r="K43" i="26"/>
  <c r="I43" i="26"/>
  <c r="AF27" i="26"/>
  <c r="D31" i="26"/>
  <c r="E338" i="76" l="1"/>
  <c r="D338" i="76"/>
  <c r="J55" i="14"/>
  <c r="AH55" i="14"/>
  <c r="AI55" i="14" s="1"/>
  <c r="L55" i="14"/>
  <c r="M55" i="14" s="1"/>
  <c r="D35" i="26"/>
  <c r="J56" i="14"/>
  <c r="L56" i="14"/>
  <c r="AH56" i="14"/>
  <c r="AI56" i="14" s="1"/>
  <c r="AH35" i="76"/>
  <c r="AI35" i="76" s="1"/>
  <c r="J35" i="76"/>
  <c r="L35" i="76"/>
  <c r="M35" i="76" s="1"/>
  <c r="M32" i="76"/>
  <c r="Q32" i="76"/>
  <c r="R32" i="76" s="1"/>
  <c r="M44" i="76"/>
  <c r="Q44" i="76"/>
  <c r="R44" i="76" s="1"/>
  <c r="M32" i="14"/>
  <c r="Q32" i="14"/>
  <c r="R32" i="14" s="1"/>
  <c r="M56" i="76"/>
  <c r="Q56" i="76" s="1"/>
  <c r="R56" i="76" s="1"/>
  <c r="W46" i="76"/>
  <c r="X46" i="76" s="1"/>
  <c r="Y46" i="76" s="1"/>
  <c r="AA46" i="76" s="1"/>
  <c r="D407" i="76"/>
  <c r="D424" i="76"/>
  <c r="D529" i="76"/>
  <c r="D553" i="76"/>
  <c r="D558" i="76" s="1"/>
  <c r="D383" i="76"/>
  <c r="J61" i="76"/>
  <c r="L61" i="76"/>
  <c r="M61" i="76" s="1"/>
  <c r="AH61" i="76"/>
  <c r="AI61" i="76" s="1"/>
  <c r="J36" i="76"/>
  <c r="L36" i="76"/>
  <c r="AH36" i="76"/>
  <c r="AI36" i="76" s="1"/>
  <c r="J60" i="76"/>
  <c r="L60" i="76"/>
  <c r="AH60" i="76"/>
  <c r="AI60" i="76" s="1"/>
  <c r="J36" i="14"/>
  <c r="AH36" i="14"/>
  <c r="AI36" i="14" s="1"/>
  <c r="L36" i="14"/>
  <c r="M35" i="14"/>
  <c r="AI35" i="14"/>
  <c r="K23" i="26"/>
  <c r="AA46" i="26"/>
  <c r="Y46" i="26"/>
  <c r="AA45" i="26"/>
  <c r="Y45" i="26"/>
  <c r="AA44" i="26"/>
  <c r="Y44" i="26"/>
  <c r="J43" i="26"/>
  <c r="I33" i="26"/>
  <c r="I32" i="26"/>
  <c r="I31" i="26"/>
  <c r="AF28" i="26"/>
  <c r="AF29" i="26" s="1"/>
  <c r="AF30" i="26" s="1"/>
  <c r="AA26" i="26"/>
  <c r="Y26" i="26"/>
  <c r="AA25" i="26"/>
  <c r="Y25" i="26"/>
  <c r="AF24" i="26"/>
  <c r="AF25" i="26" s="1"/>
  <c r="AF26" i="26" s="1"/>
  <c r="AA24" i="26"/>
  <c r="Y24" i="26"/>
  <c r="AH16" i="26"/>
  <c r="X16" i="26"/>
  <c r="W16" i="26"/>
  <c r="V16" i="26"/>
  <c r="U16" i="26"/>
  <c r="L16" i="26"/>
  <c r="L15" i="26"/>
  <c r="C337" i="26"/>
  <c r="E323" i="26"/>
  <c r="E322" i="26"/>
  <c r="E321" i="26"/>
  <c r="E316" i="26"/>
  <c r="E315" i="26"/>
  <c r="D315" i="26"/>
  <c r="D316" i="26" s="1"/>
  <c r="E330" i="26" s="1"/>
  <c r="G43" i="26" s="1"/>
  <c r="D141" i="26"/>
  <c r="D140" i="26"/>
  <c r="D249" i="26"/>
  <c r="D248" i="26"/>
  <c r="D238" i="26"/>
  <c r="D222" i="26"/>
  <c r="D246" i="26" s="1"/>
  <c r="E79" i="26"/>
  <c r="E78" i="26"/>
  <c r="D78" i="26"/>
  <c r="D79" i="26" s="1"/>
  <c r="E94" i="26" s="1"/>
  <c r="G23" i="26" s="1"/>
  <c r="D116" i="26"/>
  <c r="D642" i="12"/>
  <c r="D478" i="12"/>
  <c r="D233" i="12"/>
  <c r="D534" i="70"/>
  <c r="D416" i="70"/>
  <c r="D287" i="70"/>
  <c r="D142" i="70"/>
  <c r="D104" i="26"/>
  <c r="AC44" i="26" l="1"/>
  <c r="AC45" i="26"/>
  <c r="AC26" i="26"/>
  <c r="AC24" i="26"/>
  <c r="AC46" i="26"/>
  <c r="AC25" i="26"/>
  <c r="M56" i="14"/>
  <c r="Q56" i="14" s="1"/>
  <c r="R56" i="14" s="1"/>
  <c r="M36" i="76"/>
  <c r="Q36" i="76"/>
  <c r="R36" i="76" s="1"/>
  <c r="M36" i="14"/>
  <c r="Q36" i="14" s="1"/>
  <c r="R36" i="14" s="1"/>
  <c r="AC48" i="78"/>
  <c r="M60" i="76"/>
  <c r="Q60" i="76" s="1"/>
  <c r="R60" i="76" s="1"/>
  <c r="O24" i="26"/>
  <c r="O34" i="26"/>
  <c r="O38" i="26"/>
  <c r="O30" i="26"/>
  <c r="U30" i="26" s="1"/>
  <c r="O25" i="26"/>
  <c r="O26" i="26"/>
  <c r="AF44" i="76"/>
  <c r="AF45" i="76" s="1"/>
  <c r="AF46" i="76" s="1"/>
  <c r="AF47" i="76"/>
  <c r="E430" i="76"/>
  <c r="G44" i="76" s="1"/>
  <c r="D412" i="76"/>
  <c r="D418" i="76"/>
  <c r="D419" i="76" s="1"/>
  <c r="D420" i="76" s="1"/>
  <c r="D385" i="76"/>
  <c r="E579" i="76"/>
  <c r="G48" i="76" s="1"/>
  <c r="D566" i="76"/>
  <c r="D567" i="76" s="1"/>
  <c r="D568" i="76" s="1"/>
  <c r="D531" i="76"/>
  <c r="J23" i="26"/>
  <c r="AF31" i="26"/>
  <c r="L23" i="26"/>
  <c r="M23" i="26" s="1"/>
  <c r="AH43" i="26"/>
  <c r="AI43" i="26" s="1"/>
  <c r="AH23" i="26"/>
  <c r="AI23" i="26" s="1"/>
  <c r="L43" i="26"/>
  <c r="D223" i="26"/>
  <c r="E133" i="26"/>
  <c r="E117" i="26"/>
  <c r="D112" i="26"/>
  <c r="D139" i="26"/>
  <c r="D102" i="26"/>
  <c r="D106" i="26" s="1"/>
  <c r="D135" i="26" s="1"/>
  <c r="P50" i="73" l="1"/>
  <c r="R50" i="73"/>
  <c r="Q50" i="73"/>
  <c r="P47" i="73"/>
  <c r="R47" i="73"/>
  <c r="Q47" i="73"/>
  <c r="W30" i="26"/>
  <c r="X30" i="26" s="1"/>
  <c r="AF51" i="76"/>
  <c r="AF55" i="76" s="1"/>
  <c r="AF48" i="76"/>
  <c r="AF49" i="76" s="1"/>
  <c r="AF50" i="76" s="1"/>
  <c r="D559" i="76"/>
  <c r="F48" i="76" s="1"/>
  <c r="AH49" i="78"/>
  <c r="D413" i="76"/>
  <c r="F44" i="76" s="1"/>
  <c r="AH48" i="78"/>
  <c r="E580" i="76"/>
  <c r="G49" i="76" s="1"/>
  <c r="E429" i="76"/>
  <c r="G43" i="76" s="1"/>
  <c r="E578" i="76"/>
  <c r="G47" i="76" s="1"/>
  <c r="E431" i="76"/>
  <c r="G45" i="76" s="1"/>
  <c r="M43" i="26"/>
  <c r="AF35" i="26"/>
  <c r="AF32" i="26"/>
  <c r="AF33" i="26" s="1"/>
  <c r="AF34" i="26" s="1"/>
  <c r="D117" i="26"/>
  <c r="D118" i="26" s="1"/>
  <c r="D136" i="26" s="1"/>
  <c r="D105" i="26"/>
  <c r="AF52" i="76" l="1"/>
  <c r="AF53" i="76" s="1"/>
  <c r="AF54" i="76" s="1"/>
  <c r="S44" i="76"/>
  <c r="U48" i="78" s="1"/>
  <c r="D113" i="26"/>
  <c r="D114" i="26" s="1"/>
  <c r="D133" i="26" s="1"/>
  <c r="D132" i="26"/>
  <c r="S48" i="76"/>
  <c r="U49" i="78" s="1"/>
  <c r="AI49" i="78"/>
  <c r="V49" i="78" s="1"/>
  <c r="AN49" i="78"/>
  <c r="AA49" i="78" s="1"/>
  <c r="AK49" i="78"/>
  <c r="X49" i="78" s="1"/>
  <c r="AM49" i="78"/>
  <c r="Z49" i="78" s="1"/>
  <c r="AL49" i="78"/>
  <c r="Y49" i="78" s="1"/>
  <c r="AJ49" i="78"/>
  <c r="W49" i="78" s="1"/>
  <c r="AO49" i="78"/>
  <c r="AB49" i="78" s="1"/>
  <c r="AN48" i="78"/>
  <c r="AA48" i="78" s="1"/>
  <c r="AJ48" i="78"/>
  <c r="W48" i="78" s="1"/>
  <c r="AL48" i="78"/>
  <c r="Y48" i="78" s="1"/>
  <c r="AM48" i="78"/>
  <c r="Z48" i="78" s="1"/>
  <c r="AK48" i="78"/>
  <c r="X48" i="78" s="1"/>
  <c r="AI48" i="78"/>
  <c r="V48" i="78" s="1"/>
  <c r="AO48" i="78"/>
  <c r="AB48" i="78" s="1"/>
  <c r="AF59" i="76"/>
  <c r="AF56" i="76"/>
  <c r="AF57" i="76" s="1"/>
  <c r="AF58" i="76" s="1"/>
  <c r="AF51" i="14"/>
  <c r="AF48" i="14"/>
  <c r="AF36" i="26"/>
  <c r="AF37" i="26" s="1"/>
  <c r="AF38" i="26" s="1"/>
  <c r="AF39" i="26"/>
  <c r="F154" i="26"/>
  <c r="E154" i="26"/>
  <c r="D154" i="26"/>
  <c r="E87" i="26"/>
  <c r="E86" i="26"/>
  <c r="E85" i="26"/>
  <c r="D84" i="26"/>
  <c r="D77" i="26"/>
  <c r="T56" i="72"/>
  <c r="T57" i="72"/>
  <c r="W53" i="78" l="1"/>
  <c r="AJ53" i="78"/>
  <c r="Z53" i="78"/>
  <c r="AM53" i="78"/>
  <c r="AA53" i="78"/>
  <c r="AN53" i="78"/>
  <c r="X53" i="78"/>
  <c r="AK53" i="78"/>
  <c r="Y53" i="78"/>
  <c r="AL53" i="78"/>
  <c r="AO53" i="78"/>
  <c r="AI53" i="78"/>
  <c r="V53" i="78"/>
  <c r="AF60" i="76"/>
  <c r="AF61" i="76" s="1"/>
  <c r="AF62" i="76" s="1"/>
  <c r="AF63" i="76"/>
  <c r="AF49" i="14"/>
  <c r="AF55" i="14"/>
  <c r="AF52" i="14"/>
  <c r="AF40" i="26"/>
  <c r="AF41" i="26" s="1"/>
  <c r="AF42" i="26" s="1"/>
  <c r="E151" i="26"/>
  <c r="F151" i="26"/>
  <c r="D151" i="26"/>
  <c r="D65" i="72"/>
  <c r="M13" i="71"/>
  <c r="M14" i="71"/>
  <c r="M15" i="71"/>
  <c r="K23" i="12"/>
  <c r="I83" i="12"/>
  <c r="K83" i="12"/>
  <c r="AD47" i="12"/>
  <c r="W16" i="12"/>
  <c r="K72" i="12"/>
  <c r="K73" i="12"/>
  <c r="K71" i="12"/>
  <c r="J743" i="12"/>
  <c r="K67" i="12" s="1"/>
  <c r="K76" i="12" l="1"/>
  <c r="K75" i="12"/>
  <c r="K77" i="12"/>
  <c r="M16" i="71"/>
  <c r="C16" i="71" s="1"/>
  <c r="AB53" i="78"/>
  <c r="AF64" i="76"/>
  <c r="AF65" i="76" s="1"/>
  <c r="AF66" i="76" s="1"/>
  <c r="AF50" i="14"/>
  <c r="AF53" i="14"/>
  <c r="AF56" i="14"/>
  <c r="AF59" i="14"/>
  <c r="J744" i="12"/>
  <c r="K68" i="12" s="1"/>
  <c r="I64" i="12"/>
  <c r="L722" i="12"/>
  <c r="K81" i="12" l="1"/>
  <c r="K79" i="12"/>
  <c r="K80" i="12"/>
  <c r="AF54" i="14"/>
  <c r="AF57" i="14"/>
  <c r="AF60" i="14"/>
  <c r="AF61" i="14" s="1"/>
  <c r="AF62" i="14" s="1"/>
  <c r="J745" i="12"/>
  <c r="K69" i="12" s="1"/>
  <c r="K59" i="12"/>
  <c r="K63" i="12"/>
  <c r="L723" i="12"/>
  <c r="K55" i="12"/>
  <c r="I60" i="12"/>
  <c r="I56" i="12"/>
  <c r="I623" i="12"/>
  <c r="I624" i="12" s="1"/>
  <c r="I549" i="12"/>
  <c r="K47" i="12" s="1"/>
  <c r="K46" i="12"/>
  <c r="K43" i="12"/>
  <c r="I45" i="12"/>
  <c r="I46" i="12"/>
  <c r="L325" i="12"/>
  <c r="K35" i="12" s="1"/>
  <c r="J212" i="12"/>
  <c r="K28" i="12" s="1"/>
  <c r="J213" i="12"/>
  <c r="K29" i="12" s="1"/>
  <c r="J211" i="12"/>
  <c r="K27" i="12" s="1"/>
  <c r="J67" i="12"/>
  <c r="AF27" i="12"/>
  <c r="AF28" i="12" s="1"/>
  <c r="AF29" i="12" s="1"/>
  <c r="AF30" i="12" s="1"/>
  <c r="J28" i="12" l="1"/>
  <c r="J47" i="12"/>
  <c r="J27" i="12"/>
  <c r="J29" i="12"/>
  <c r="AF58" i="14"/>
  <c r="K51" i="12"/>
  <c r="L724" i="12"/>
  <c r="K56" i="12"/>
  <c r="K64" i="12"/>
  <c r="K60" i="12"/>
  <c r="I625" i="12"/>
  <c r="K53" i="12" s="1"/>
  <c r="K52" i="12"/>
  <c r="I550" i="12"/>
  <c r="L326" i="12"/>
  <c r="K39" i="12"/>
  <c r="AF31" i="12"/>
  <c r="AF35" i="12" s="1"/>
  <c r="AF39" i="12" s="1"/>
  <c r="K31" i="12"/>
  <c r="J51" i="12" l="1"/>
  <c r="K61" i="12"/>
  <c r="K57" i="12"/>
  <c r="K65" i="12"/>
  <c r="I551" i="12"/>
  <c r="K49" i="12" s="1"/>
  <c r="K48" i="12"/>
  <c r="K32" i="12"/>
  <c r="K40" i="12"/>
  <c r="L327" i="12"/>
  <c r="K36" i="12"/>
  <c r="K37" i="12" l="1"/>
  <c r="K33" i="12"/>
  <c r="K41" i="12"/>
  <c r="AA86" i="12" l="1"/>
  <c r="Y86" i="12"/>
  <c r="AA85" i="12"/>
  <c r="Y85" i="12"/>
  <c r="AA84" i="12"/>
  <c r="Y84" i="12"/>
  <c r="J83" i="12"/>
  <c r="AA82" i="12"/>
  <c r="Y82" i="12"/>
  <c r="J81" i="12"/>
  <c r="J80" i="12"/>
  <c r="J79" i="12"/>
  <c r="AA78" i="12"/>
  <c r="Y78" i="12"/>
  <c r="J77" i="12"/>
  <c r="J76" i="12"/>
  <c r="J75" i="12"/>
  <c r="AA74" i="12"/>
  <c r="Y74" i="12"/>
  <c r="J73" i="12"/>
  <c r="J72" i="12"/>
  <c r="J71" i="12"/>
  <c r="J64" i="12"/>
  <c r="J61" i="12"/>
  <c r="J60" i="12"/>
  <c r="J59" i="12"/>
  <c r="J57" i="12"/>
  <c r="J56" i="12"/>
  <c r="J55" i="12"/>
  <c r="J46" i="12"/>
  <c r="AF43" i="12"/>
  <c r="J41" i="12"/>
  <c r="AF40" i="12"/>
  <c r="AF41" i="12" s="1"/>
  <c r="AF42" i="12" s="1"/>
  <c r="J40" i="12"/>
  <c r="J39" i="12"/>
  <c r="J37" i="12"/>
  <c r="I37" i="12"/>
  <c r="AF36" i="12"/>
  <c r="AF37" i="12" s="1"/>
  <c r="AF38" i="12" s="1"/>
  <c r="J36" i="12"/>
  <c r="I36" i="12"/>
  <c r="J35" i="12"/>
  <c r="I35" i="12"/>
  <c r="J33" i="12"/>
  <c r="AF32" i="12"/>
  <c r="AF33" i="12" s="1"/>
  <c r="AF34" i="12" s="1"/>
  <c r="J32" i="12"/>
  <c r="J31" i="12"/>
  <c r="AA26" i="12"/>
  <c r="Y26" i="12"/>
  <c r="AA25" i="12"/>
  <c r="Y25" i="12"/>
  <c r="AF24" i="12"/>
  <c r="AF25" i="12" s="1"/>
  <c r="AF26" i="12" s="1"/>
  <c r="AA24" i="12"/>
  <c r="Y24" i="12"/>
  <c r="AH16" i="12"/>
  <c r="X16" i="12"/>
  <c r="V16" i="12"/>
  <c r="U16" i="12"/>
  <c r="L16" i="12"/>
  <c r="L15" i="12"/>
  <c r="C796" i="12"/>
  <c r="E783" i="12"/>
  <c r="E782" i="12"/>
  <c r="E781" i="12"/>
  <c r="E776" i="12"/>
  <c r="E775" i="12"/>
  <c r="D775" i="12"/>
  <c r="D776" i="12" s="1"/>
  <c r="D509" i="12"/>
  <c r="D659" i="12"/>
  <c r="D658" i="12"/>
  <c r="D641" i="12"/>
  <c r="D295" i="12"/>
  <c r="G326" i="12" s="1"/>
  <c r="G761" i="12" s="1"/>
  <c r="D238" i="70"/>
  <c r="D237" i="70"/>
  <c r="D267" i="12"/>
  <c r="D266" i="12"/>
  <c r="D210" i="70"/>
  <c r="D209" i="70"/>
  <c r="K327" i="12"/>
  <c r="K762" i="12" s="1"/>
  <c r="K326" i="12"/>
  <c r="K761" i="12" s="1"/>
  <c r="K325" i="12"/>
  <c r="K760" i="12" s="1"/>
  <c r="G302" i="12"/>
  <c r="E263" i="12"/>
  <c r="D257" i="12"/>
  <c r="D241" i="12"/>
  <c r="E230" i="12"/>
  <c r="D230" i="12"/>
  <c r="D229" i="12"/>
  <c r="D576" i="12"/>
  <c r="D575" i="12"/>
  <c r="D571" i="12"/>
  <c r="E520" i="12"/>
  <c r="E521" i="12"/>
  <c r="E519" i="12"/>
  <c r="D483" i="12"/>
  <c r="D482" i="12"/>
  <c r="D480" i="12"/>
  <c r="D479" i="12"/>
  <c r="D477" i="12"/>
  <c r="D484" i="12" s="1"/>
  <c r="D476" i="12"/>
  <c r="D399" i="12"/>
  <c r="D371" i="12"/>
  <c r="D370" i="12"/>
  <c r="D369" i="12"/>
  <c r="D368" i="12"/>
  <c r="E368" i="12"/>
  <c r="E369" i="12"/>
  <c r="E370" i="12"/>
  <c r="E371" i="12"/>
  <c r="E372" i="12"/>
  <c r="D367" i="12"/>
  <c r="D362" i="12"/>
  <c r="J344" i="12"/>
  <c r="AC82" i="12" l="1"/>
  <c r="AC26" i="12"/>
  <c r="AC78" i="12"/>
  <c r="AC84" i="12"/>
  <c r="AC24" i="12"/>
  <c r="AC85" i="12"/>
  <c r="AC74" i="12"/>
  <c r="AC25" i="12"/>
  <c r="AC86" i="12"/>
  <c r="D643" i="12"/>
  <c r="D669" i="12" s="1"/>
  <c r="E669" i="12" s="1"/>
  <c r="D650" i="12"/>
  <c r="J52" i="12"/>
  <c r="J48" i="12"/>
  <c r="J69" i="12"/>
  <c r="J53" i="12"/>
  <c r="J68" i="12"/>
  <c r="J49" i="12"/>
  <c r="AF44" i="12"/>
  <c r="AF45" i="12" s="1"/>
  <c r="AF46" i="12" s="1"/>
  <c r="AF47" i="12"/>
  <c r="AH67" i="12"/>
  <c r="AI67" i="12" s="1"/>
  <c r="AH69" i="12"/>
  <c r="AI69" i="12" s="1"/>
  <c r="L67" i="12"/>
  <c r="M67" i="12" s="1"/>
  <c r="L68" i="12"/>
  <c r="AH52" i="12"/>
  <c r="AI52" i="12" s="1"/>
  <c r="AH51" i="12"/>
  <c r="AI51" i="12" s="1"/>
  <c r="AH53" i="12"/>
  <c r="AI53" i="12" s="1"/>
  <c r="L53" i="12"/>
  <c r="M53" i="12" s="1"/>
  <c r="L52" i="12"/>
  <c r="L51" i="12"/>
  <c r="M51" i="12" s="1"/>
  <c r="AH47" i="12"/>
  <c r="L47" i="12"/>
  <c r="M47" i="12" s="1"/>
  <c r="L48" i="12"/>
  <c r="L35" i="12"/>
  <c r="M35" i="12" s="1"/>
  <c r="L27" i="12"/>
  <c r="M27" i="12" s="1"/>
  <c r="L29" i="12"/>
  <c r="L28" i="12"/>
  <c r="AH29" i="12"/>
  <c r="AI29" i="12" s="1"/>
  <c r="AH28" i="12"/>
  <c r="AI28" i="12" s="1"/>
  <c r="AH27" i="12"/>
  <c r="L39" i="12"/>
  <c r="M39" i="12" s="1"/>
  <c r="J43" i="12"/>
  <c r="L81" i="12"/>
  <c r="M81" i="12" s="1"/>
  <c r="L36" i="12"/>
  <c r="M36" i="12" s="1"/>
  <c r="L33" i="12"/>
  <c r="M33" i="12" s="1"/>
  <c r="L80" i="12"/>
  <c r="M80" i="12" s="1"/>
  <c r="L79" i="12"/>
  <c r="M79" i="12" s="1"/>
  <c r="L61" i="12"/>
  <c r="M61" i="12" s="1"/>
  <c r="L77" i="12"/>
  <c r="M77" i="12" s="1"/>
  <c r="L64" i="12"/>
  <c r="M64" i="12" s="1"/>
  <c r="L55" i="12"/>
  <c r="M55" i="12" s="1"/>
  <c r="L32" i="12"/>
  <c r="M32" i="12" s="1"/>
  <c r="L76" i="12"/>
  <c r="L75" i="12"/>
  <c r="L60" i="12"/>
  <c r="M60" i="12" s="1"/>
  <c r="L73" i="12"/>
  <c r="M73" i="12" s="1"/>
  <c r="L57" i="12"/>
  <c r="M57" i="12" s="1"/>
  <c r="L72" i="12"/>
  <c r="L71" i="12"/>
  <c r="M71" i="12" s="1"/>
  <c r="L59" i="12"/>
  <c r="M59" i="12" s="1"/>
  <c r="L41" i="12"/>
  <c r="M41" i="12" s="1"/>
  <c r="L37" i="12"/>
  <c r="L83" i="12"/>
  <c r="M83" i="12" s="1"/>
  <c r="U66" i="12"/>
  <c r="U62" i="12"/>
  <c r="L46" i="12"/>
  <c r="M46" i="12" s="1"/>
  <c r="L43" i="12"/>
  <c r="M43" i="12" s="1"/>
  <c r="L56" i="12"/>
  <c r="AH73" i="12"/>
  <c r="AI73" i="12" s="1"/>
  <c r="AH57" i="12"/>
  <c r="AI57" i="12" s="1"/>
  <c r="AH39" i="12"/>
  <c r="AI39" i="12" s="1"/>
  <c r="AH79" i="12"/>
  <c r="AH72" i="12"/>
  <c r="AI72" i="12" s="1"/>
  <c r="AH55" i="12"/>
  <c r="AI55" i="12" s="1"/>
  <c r="AH41" i="12"/>
  <c r="AI41" i="12" s="1"/>
  <c r="AH37" i="12"/>
  <c r="AH56" i="12"/>
  <c r="AI56" i="12" s="1"/>
  <c r="AH46" i="12"/>
  <c r="AH35" i="12"/>
  <c r="AH75" i="12"/>
  <c r="AI75" i="12" s="1"/>
  <c r="AH40" i="12"/>
  <c r="AI40" i="12" s="1"/>
  <c r="AH81" i="12"/>
  <c r="AI81" i="12" s="1"/>
  <c r="AH36" i="12"/>
  <c r="AH33" i="12"/>
  <c r="AH80" i="12"/>
  <c r="AI80" i="12" s="1"/>
  <c r="AH71" i="12"/>
  <c r="AI71" i="12" s="1"/>
  <c r="AH61" i="12"/>
  <c r="AI61" i="12" s="1"/>
  <c r="AH59" i="12"/>
  <c r="AI59" i="12" s="1"/>
  <c r="AH77" i="12"/>
  <c r="AI77" i="12" s="1"/>
  <c r="AH64" i="12"/>
  <c r="AH43" i="12"/>
  <c r="AI43" i="12" s="1"/>
  <c r="AH32" i="12"/>
  <c r="AI32" i="12" s="1"/>
  <c r="AH83" i="12"/>
  <c r="AI83" i="12" s="1"/>
  <c r="AH76" i="12"/>
  <c r="AH60" i="12"/>
  <c r="L31" i="12"/>
  <c r="AH31" i="12"/>
  <c r="L40" i="12"/>
  <c r="M40" i="12" s="1"/>
  <c r="E790" i="12"/>
  <c r="G84" i="12" s="1"/>
  <c r="D674" i="12"/>
  <c r="E674" i="12" s="1"/>
  <c r="F674" i="12" s="1"/>
  <c r="F700" i="12" s="1"/>
  <c r="D668" i="12"/>
  <c r="E668" i="12" s="1"/>
  <c r="F668" i="12" s="1"/>
  <c r="D375" i="12"/>
  <c r="D273" i="12"/>
  <c r="D231" i="12"/>
  <c r="D242" i="12" s="1"/>
  <c r="D243" i="12" s="1"/>
  <c r="D265" i="12" s="1"/>
  <c r="D491" i="12"/>
  <c r="D520" i="12" s="1"/>
  <c r="D490" i="12"/>
  <c r="D606" i="70"/>
  <c r="D607" i="70" s="1"/>
  <c r="E621" i="70" s="1"/>
  <c r="G67" i="70" s="1"/>
  <c r="D517" i="70"/>
  <c r="D356" i="70"/>
  <c r="D292" i="70"/>
  <c r="D291" i="70"/>
  <c r="D289" i="70"/>
  <c r="D288" i="70"/>
  <c r="D286" i="70"/>
  <c r="D285" i="70"/>
  <c r="E206" i="70"/>
  <c r="D200" i="70"/>
  <c r="D128" i="12"/>
  <c r="D106" i="70"/>
  <c r="D176" i="12"/>
  <c r="E186" i="12"/>
  <c r="E187" i="12"/>
  <c r="E188" i="12"/>
  <c r="D104" i="12"/>
  <c r="E147" i="12"/>
  <c r="D147" i="12"/>
  <c r="D150" i="12"/>
  <c r="D149" i="12"/>
  <c r="D148" i="12"/>
  <c r="E144" i="12"/>
  <c r="D144" i="12"/>
  <c r="D143" i="12"/>
  <c r="C81" i="71"/>
  <c r="E139" i="70"/>
  <c r="D139" i="70"/>
  <c r="E114" i="12"/>
  <c r="E113" i="12"/>
  <c r="E112" i="12"/>
  <c r="D111" i="12"/>
  <c r="E106" i="12"/>
  <c r="E105" i="12"/>
  <c r="D105" i="12"/>
  <c r="C72" i="71"/>
  <c r="D89" i="51" s="1"/>
  <c r="D92" i="51" s="1"/>
  <c r="D113" i="70"/>
  <c r="X16" i="70"/>
  <c r="W16" i="70"/>
  <c r="V16" i="70"/>
  <c r="AH16" i="70"/>
  <c r="U16" i="70"/>
  <c r="C177" i="71"/>
  <c r="C174" i="71" s="1"/>
  <c r="D191" i="71"/>
  <c r="I188" i="71"/>
  <c r="C188" i="71"/>
  <c r="H188" i="71" s="1"/>
  <c r="C128" i="71"/>
  <c r="R131" i="71"/>
  <c r="R132" i="71" s="1"/>
  <c r="C126" i="71"/>
  <c r="C127" i="71" s="1"/>
  <c r="R115" i="71"/>
  <c r="R119" i="71" s="1"/>
  <c r="R125" i="71" s="1"/>
  <c r="C118" i="71"/>
  <c r="C117" i="71"/>
  <c r="C116" i="71"/>
  <c r="C93" i="71"/>
  <c r="C88" i="71"/>
  <c r="C89" i="71" s="1"/>
  <c r="C181" i="71" s="1"/>
  <c r="C76" i="71"/>
  <c r="D90" i="51" s="1"/>
  <c r="D93" i="51" s="1"/>
  <c r="I55" i="71"/>
  <c r="L55" i="71" s="1"/>
  <c r="C55" i="71"/>
  <c r="J54" i="71"/>
  <c r="I54" i="71"/>
  <c r="C54" i="71"/>
  <c r="I53" i="71"/>
  <c r="L53" i="71" s="1"/>
  <c r="C53" i="71"/>
  <c r="C7" i="71"/>
  <c r="D493" i="99" s="1"/>
  <c r="D504" i="99" s="1"/>
  <c r="D506" i="99" s="1"/>
  <c r="M270" i="70"/>
  <c r="D652" i="12" l="1"/>
  <c r="D655" i="12" s="1"/>
  <c r="D688" i="12"/>
  <c r="F95" i="51"/>
  <c r="H68" i="51" s="1"/>
  <c r="H181" i="71"/>
  <c r="B181" i="71"/>
  <c r="R55" i="72"/>
  <c r="S64" i="72"/>
  <c r="S55" i="72"/>
  <c r="T55" i="72"/>
  <c r="T64" i="72"/>
  <c r="R64" i="72"/>
  <c r="T63" i="72"/>
  <c r="D293" i="70"/>
  <c r="D300" i="70" s="1"/>
  <c r="D299" i="70"/>
  <c r="D252" i="76"/>
  <c r="D256" i="76" s="1"/>
  <c r="D820" i="179"/>
  <c r="D253" i="76"/>
  <c r="D257" i="76" s="1"/>
  <c r="D821" i="179"/>
  <c r="D263" i="150"/>
  <c r="F284" i="150" s="1"/>
  <c r="F287" i="150" s="1"/>
  <c r="F293" i="150" s="1"/>
  <c r="F295" i="150" s="1"/>
  <c r="D230" i="171"/>
  <c r="F241" i="171" s="1"/>
  <c r="F245" i="171" s="1"/>
  <c r="D206" i="171"/>
  <c r="D365" i="169"/>
  <c r="F377" i="169" s="1"/>
  <c r="F381" i="169" s="1"/>
  <c r="D154" i="169"/>
  <c r="F170" i="169" s="1"/>
  <c r="F174" i="169" s="1"/>
  <c r="D465" i="169"/>
  <c r="F477" i="169" s="1"/>
  <c r="F481" i="169" s="1"/>
  <c r="D193" i="165"/>
  <c r="D217" i="165"/>
  <c r="F228" i="165" s="1"/>
  <c r="F232" i="165" s="1"/>
  <c r="D118" i="152"/>
  <c r="D142" i="152"/>
  <c r="F153" i="152" s="1"/>
  <c r="F157" i="152" s="1"/>
  <c r="C201" i="71"/>
  <c r="D636" i="150"/>
  <c r="D512" i="150"/>
  <c r="D500" i="179"/>
  <c r="D529" i="179" s="1"/>
  <c r="F571" i="179" s="1"/>
  <c r="D198" i="179"/>
  <c r="D219" i="179" s="1"/>
  <c r="G255" i="179" s="1"/>
  <c r="D852" i="179"/>
  <c r="D863" i="179" s="1"/>
  <c r="D865" i="179" s="1"/>
  <c r="H907" i="179" s="1"/>
  <c r="D750" i="179"/>
  <c r="D756" i="179" s="1"/>
  <c r="D757" i="179" s="1"/>
  <c r="F760" i="179" s="1"/>
  <c r="H798" i="179" s="1"/>
  <c r="D88" i="179"/>
  <c r="D118" i="179"/>
  <c r="D131" i="179" s="1"/>
  <c r="D133" i="179" s="1"/>
  <c r="H175" i="179" s="1"/>
  <c r="D932" i="179"/>
  <c r="D653" i="179"/>
  <c r="D678" i="179" s="1"/>
  <c r="H723" i="179" s="1"/>
  <c r="D322" i="171"/>
  <c r="D375" i="171"/>
  <c r="D396" i="171" s="1"/>
  <c r="G432" i="171" s="1"/>
  <c r="D451" i="171"/>
  <c r="D110" i="171"/>
  <c r="D80" i="171"/>
  <c r="D351" i="171"/>
  <c r="D225" i="171"/>
  <c r="D109" i="169"/>
  <c r="D150" i="169"/>
  <c r="D461" i="169"/>
  <c r="D360" i="169"/>
  <c r="D261" i="169"/>
  <c r="D542" i="169"/>
  <c r="D337" i="165"/>
  <c r="D310" i="165"/>
  <c r="D97" i="165"/>
  <c r="D68" i="165"/>
  <c r="D212" i="165"/>
  <c r="D61" i="163"/>
  <c r="D65" i="163" s="1"/>
  <c r="D234" i="152"/>
  <c r="D503" i="152"/>
  <c r="D88" i="152"/>
  <c r="D401" i="152"/>
  <c r="D424" i="152" s="1"/>
  <c r="G461" i="152" s="1"/>
  <c r="D288" i="152"/>
  <c r="D137" i="152"/>
  <c r="D74" i="171"/>
  <c r="D62" i="165"/>
  <c r="D82" i="152"/>
  <c r="E97" i="152" s="1"/>
  <c r="G23" i="152" s="1"/>
  <c r="M188" i="71"/>
  <c r="L188" i="71"/>
  <c r="D752" i="179"/>
  <c r="D90" i="179"/>
  <c r="D934" i="179"/>
  <c r="D353" i="171"/>
  <c r="D453" i="171"/>
  <c r="D324" i="171"/>
  <c r="D328" i="171" s="1"/>
  <c r="D82" i="171"/>
  <c r="D544" i="169"/>
  <c r="D111" i="169"/>
  <c r="D70" i="165"/>
  <c r="D63" i="163"/>
  <c r="D67" i="163" s="1"/>
  <c r="D339" i="165"/>
  <c r="D312" i="165"/>
  <c r="D316" i="165" s="1"/>
  <c r="D236" i="152"/>
  <c r="D240" i="152" s="1"/>
  <c r="D505" i="152"/>
  <c r="D90" i="152"/>
  <c r="M181" i="71"/>
  <c r="L181" i="71"/>
  <c r="D257" i="150"/>
  <c r="D751" i="179"/>
  <c r="D89" i="179"/>
  <c r="F97" i="179" s="1"/>
  <c r="H23" i="179" s="1"/>
  <c r="D933" i="179"/>
  <c r="F941" i="179" s="1"/>
  <c r="D81" i="171"/>
  <c r="D323" i="171"/>
  <c r="D327" i="171" s="1"/>
  <c r="D352" i="171"/>
  <c r="D452" i="171"/>
  <c r="F460" i="171" s="1"/>
  <c r="D543" i="169"/>
  <c r="D110" i="169"/>
  <c r="D311" i="165"/>
  <c r="D315" i="165" s="1"/>
  <c r="D319" i="165" s="1"/>
  <c r="F322" i="165" s="1"/>
  <c r="H39" i="165" s="1"/>
  <c r="D69" i="165"/>
  <c r="D62" i="163"/>
  <c r="D66" i="163" s="1"/>
  <c r="D338" i="165"/>
  <c r="F346" i="165" s="1"/>
  <c r="D235" i="152"/>
  <c r="D239" i="152" s="1"/>
  <c r="D89" i="152"/>
  <c r="D504" i="152"/>
  <c r="F512" i="152" s="1"/>
  <c r="H59" i="152" s="1"/>
  <c r="D262" i="150"/>
  <c r="E284" i="150" s="1"/>
  <c r="E287" i="150" s="1"/>
  <c r="E293" i="150" s="1"/>
  <c r="E295" i="150" s="1"/>
  <c r="D205" i="171"/>
  <c r="D229" i="171"/>
  <c r="E241" i="171" s="1"/>
  <c r="E245" i="171" s="1"/>
  <c r="D464" i="169"/>
  <c r="E477" i="169" s="1"/>
  <c r="E481" i="169" s="1"/>
  <c r="D364" i="169"/>
  <c r="E377" i="169" s="1"/>
  <c r="E381" i="169" s="1"/>
  <c r="D153" i="169"/>
  <c r="E170" i="169" s="1"/>
  <c r="E174" i="169" s="1"/>
  <c r="D192" i="165"/>
  <c r="D216" i="165"/>
  <c r="E228" i="165" s="1"/>
  <c r="E232" i="165" s="1"/>
  <c r="D141" i="152"/>
  <c r="E153" i="152" s="1"/>
  <c r="E157" i="152" s="1"/>
  <c r="D117" i="152"/>
  <c r="D548" i="150"/>
  <c r="D309" i="150"/>
  <c r="D672" i="150"/>
  <c r="D875" i="179"/>
  <c r="D888" i="179" s="1"/>
  <c r="D890" i="179" s="1"/>
  <c r="H908" i="179" s="1"/>
  <c r="H60" i="179" s="1"/>
  <c r="D689" i="179"/>
  <c r="D701" i="179" s="1"/>
  <c r="H724" i="179" s="1"/>
  <c r="H48" i="179" s="1"/>
  <c r="D320" i="179"/>
  <c r="D540" i="179"/>
  <c r="D552" i="179" s="1"/>
  <c r="F572" i="179" s="1"/>
  <c r="H44" i="179" s="1"/>
  <c r="D143" i="179"/>
  <c r="D156" i="179" s="1"/>
  <c r="D158" i="179" s="1"/>
  <c r="H176" i="179" s="1"/>
  <c r="H28" i="179" s="1"/>
  <c r="D767" i="179"/>
  <c r="D780" i="179" s="1"/>
  <c r="D782" i="179" s="1"/>
  <c r="H799" i="179" s="1"/>
  <c r="H52" i="179" s="1"/>
  <c r="D227" i="179"/>
  <c r="D238" i="179" s="1"/>
  <c r="G256" i="179" s="1"/>
  <c r="H32" i="179" s="1"/>
  <c r="D263" i="171"/>
  <c r="D404" i="171"/>
  <c r="D415" i="171" s="1"/>
  <c r="G433" i="171" s="1"/>
  <c r="H52" i="171" s="1"/>
  <c r="D496" i="169"/>
  <c r="D401" i="169"/>
  <c r="D192" i="169"/>
  <c r="D250" i="165"/>
  <c r="D175" i="152"/>
  <c r="D434" i="152"/>
  <c r="D443" i="152" s="1"/>
  <c r="G462" i="152" s="1"/>
  <c r="H44" i="152" s="1"/>
  <c r="D324" i="152"/>
  <c r="D652" i="150"/>
  <c r="D528" i="150"/>
  <c r="D277" i="150"/>
  <c r="D319" i="179"/>
  <c r="D122" i="179"/>
  <c r="D171" i="179" s="1"/>
  <c r="H177" i="179" s="1"/>
  <c r="H29" i="179" s="1"/>
  <c r="D856" i="179"/>
  <c r="D903" i="179" s="1"/>
  <c r="H909" i="179" s="1"/>
  <c r="H61" i="179" s="1"/>
  <c r="D666" i="179"/>
  <c r="D715" i="179" s="1"/>
  <c r="H725" i="179" s="1"/>
  <c r="H49" i="179" s="1"/>
  <c r="D748" i="179"/>
  <c r="D795" i="179" s="1"/>
  <c r="H800" i="179" s="1"/>
  <c r="H53" i="179" s="1"/>
  <c r="D513" i="179"/>
  <c r="D564" i="179" s="1"/>
  <c r="F573" i="179" s="1"/>
  <c r="H45" i="179" s="1"/>
  <c r="D209" i="179"/>
  <c r="D250" i="179" s="1"/>
  <c r="G257" i="179" s="1"/>
  <c r="H33" i="179" s="1"/>
  <c r="D111" i="171"/>
  <c r="D386" i="171"/>
  <c r="D237" i="171"/>
  <c r="D473" i="169"/>
  <c r="D262" i="169"/>
  <c r="D374" i="169"/>
  <c r="D166" i="169"/>
  <c r="D98" i="165"/>
  <c r="D224" i="165"/>
  <c r="D149" i="152"/>
  <c r="D304" i="152"/>
  <c r="D414" i="152"/>
  <c r="D456" i="152" s="1"/>
  <c r="G463" i="152" s="1"/>
  <c r="H45" i="152" s="1"/>
  <c r="D261" i="150"/>
  <c r="D284" i="150" s="1"/>
  <c r="D287" i="150" s="1"/>
  <c r="D293" i="150" s="1"/>
  <c r="D295" i="150" s="1"/>
  <c r="D204" i="171"/>
  <c r="D228" i="171"/>
  <c r="D241" i="171" s="1"/>
  <c r="D245" i="171" s="1"/>
  <c r="D463" i="169"/>
  <c r="D477" i="169" s="1"/>
  <c r="D481" i="169" s="1"/>
  <c r="D363" i="169"/>
  <c r="D377" i="169" s="1"/>
  <c r="D381" i="169" s="1"/>
  <c r="D152" i="169"/>
  <c r="D170" i="169" s="1"/>
  <c r="D174" i="169" s="1"/>
  <c r="D191" i="165"/>
  <c r="D215" i="165"/>
  <c r="D228" i="165" s="1"/>
  <c r="D232" i="165" s="1"/>
  <c r="D140" i="152"/>
  <c r="D153" i="152" s="1"/>
  <c r="D157" i="152" s="1"/>
  <c r="D116" i="152"/>
  <c r="Q36" i="12"/>
  <c r="R36" i="12" s="1"/>
  <c r="Q60" i="12"/>
  <c r="R60" i="12" s="1"/>
  <c r="Q64" i="12"/>
  <c r="R64" i="12" s="1"/>
  <c r="Q80" i="12"/>
  <c r="R80" i="12" s="1"/>
  <c r="Q32" i="12"/>
  <c r="R32" i="12" s="1"/>
  <c r="Q40" i="12"/>
  <c r="R40" i="12" s="1"/>
  <c r="D145" i="150"/>
  <c r="D169" i="150"/>
  <c r="E181" i="150" s="1"/>
  <c r="E185" i="150" s="1"/>
  <c r="D320" i="107"/>
  <c r="E342" i="107" s="1"/>
  <c r="E346" i="107" s="1"/>
  <c r="E352" i="107" s="1"/>
  <c r="E353" i="107" s="1"/>
  <c r="D140" i="107"/>
  <c r="D679" i="107"/>
  <c r="E697" i="107" s="1"/>
  <c r="E701" i="107" s="1"/>
  <c r="E703" i="107" s="1"/>
  <c r="D164" i="107"/>
  <c r="E176" i="107" s="1"/>
  <c r="E180" i="107" s="1"/>
  <c r="D419" i="96"/>
  <c r="E437" i="96" s="1"/>
  <c r="E441" i="96" s="1"/>
  <c r="E443" i="96" s="1"/>
  <c r="D301" i="96"/>
  <c r="E319" i="96" s="1"/>
  <c r="E323" i="96" s="1"/>
  <c r="E325" i="96" s="1"/>
  <c r="D248" i="99"/>
  <c r="E260" i="99" s="1"/>
  <c r="E264" i="99" s="1"/>
  <c r="D224" i="99"/>
  <c r="D637" i="96"/>
  <c r="E645" i="96" s="1"/>
  <c r="E648" i="96" s="1"/>
  <c r="D551" i="96"/>
  <c r="E559" i="96" s="1"/>
  <c r="E562" i="96" s="1"/>
  <c r="D177" i="96"/>
  <c r="E189" i="96" s="1"/>
  <c r="E193" i="96" s="1"/>
  <c r="D153" i="96"/>
  <c r="D750" i="150"/>
  <c r="F758" i="150" s="1"/>
  <c r="H87" i="150" s="1"/>
  <c r="D117" i="150"/>
  <c r="D781" i="107"/>
  <c r="F789" i="107" s="1"/>
  <c r="H83" i="107" s="1"/>
  <c r="D672" i="107"/>
  <c r="D113" i="107"/>
  <c r="D294" i="96"/>
  <c r="D412" i="96"/>
  <c r="D101" i="99"/>
  <c r="D808" i="99"/>
  <c r="F816" i="99" s="1"/>
  <c r="H71" i="99" s="1"/>
  <c r="D732" i="96"/>
  <c r="F740" i="96" s="1"/>
  <c r="H99" i="96" s="1"/>
  <c r="D125" i="96"/>
  <c r="D146" i="150"/>
  <c r="D170" i="150"/>
  <c r="F181" i="150" s="1"/>
  <c r="F185" i="150" s="1"/>
  <c r="D141" i="107"/>
  <c r="D680" i="107"/>
  <c r="F697" i="107" s="1"/>
  <c r="F701" i="107" s="1"/>
  <c r="F703" i="107" s="1"/>
  <c r="D165" i="107"/>
  <c r="F176" i="107" s="1"/>
  <c r="F180" i="107" s="1"/>
  <c r="D321" i="107"/>
  <c r="F342" i="107" s="1"/>
  <c r="F346" i="107" s="1"/>
  <c r="F352" i="107" s="1"/>
  <c r="F353" i="107" s="1"/>
  <c r="D613" i="99"/>
  <c r="D647" i="99" s="1"/>
  <c r="D660" i="99" s="1"/>
  <c r="D664" i="99" s="1"/>
  <c r="D420" i="96"/>
  <c r="F437" i="96" s="1"/>
  <c r="F441" i="96" s="1"/>
  <c r="F443" i="96" s="1"/>
  <c r="D302" i="96"/>
  <c r="F319" i="96" s="1"/>
  <c r="F323" i="96" s="1"/>
  <c r="F325" i="96" s="1"/>
  <c r="D225" i="99"/>
  <c r="D249" i="99"/>
  <c r="F260" i="99" s="1"/>
  <c r="F264" i="99" s="1"/>
  <c r="D552" i="96"/>
  <c r="F559" i="96" s="1"/>
  <c r="F562" i="96" s="1"/>
  <c r="D638" i="96"/>
  <c r="F645" i="96" s="1"/>
  <c r="F648" i="96" s="1"/>
  <c r="D154" i="96"/>
  <c r="D178" i="96"/>
  <c r="F189" i="96" s="1"/>
  <c r="F193" i="96" s="1"/>
  <c r="D177" i="150"/>
  <c r="D405" i="150"/>
  <c r="D569" i="107"/>
  <c r="D628" i="107" s="1"/>
  <c r="G635" i="107" s="1"/>
  <c r="H57" i="107" s="1"/>
  <c r="D172" i="107"/>
  <c r="D690" i="107"/>
  <c r="D340" i="107"/>
  <c r="D448" i="107"/>
  <c r="D507" i="107" s="1"/>
  <c r="G514" i="107" s="1"/>
  <c r="H53" i="107" s="1"/>
  <c r="D656" i="99"/>
  <c r="D487" i="99"/>
  <c r="D430" i="96"/>
  <c r="D312" i="96"/>
  <c r="D421" i="99"/>
  <c r="D462" i="99" s="1"/>
  <c r="G469" i="99" s="1"/>
  <c r="H45" i="99" s="1"/>
  <c r="D130" i="99"/>
  <c r="D256" i="99"/>
  <c r="D556" i="96"/>
  <c r="D642" i="96"/>
  <c r="D185" i="96"/>
  <c r="D611" i="84"/>
  <c r="D203" i="150"/>
  <c r="D425" i="150"/>
  <c r="D605" i="107"/>
  <c r="D616" i="107" s="1"/>
  <c r="G634" i="107" s="1"/>
  <c r="H56" i="107" s="1"/>
  <c r="D198" i="107"/>
  <c r="D714" i="107"/>
  <c r="D368" i="107"/>
  <c r="D484" i="107"/>
  <c r="D495" i="107" s="1"/>
  <c r="G513" i="107" s="1"/>
  <c r="H52" i="107" s="1"/>
  <c r="D702" i="99"/>
  <c r="D595" i="12"/>
  <c r="D439" i="99"/>
  <c r="D450" i="99" s="1"/>
  <c r="G468" i="99" s="1"/>
  <c r="H44" i="99" s="1"/>
  <c r="D336" i="96"/>
  <c r="D454" i="96"/>
  <c r="D282" i="99"/>
  <c r="D664" i="96"/>
  <c r="D578" i="96"/>
  <c r="D211" i="96"/>
  <c r="D631" i="84"/>
  <c r="D514" i="84"/>
  <c r="M38" i="108"/>
  <c r="D533" i="99"/>
  <c r="D116" i="150"/>
  <c r="D165" i="150"/>
  <c r="D389" i="150"/>
  <c r="D749" i="150"/>
  <c r="D551" i="107"/>
  <c r="D580" i="107" s="1"/>
  <c r="G633" i="107" s="1"/>
  <c r="D112" i="107"/>
  <c r="C221" i="71"/>
  <c r="D780" i="107"/>
  <c r="D160" i="107"/>
  <c r="D430" i="107"/>
  <c r="D459" i="107" s="1"/>
  <c r="G512" i="107" s="1"/>
  <c r="D332" i="107"/>
  <c r="D644" i="99"/>
  <c r="D486" i="99"/>
  <c r="D414" i="99"/>
  <c r="D431" i="99" s="1"/>
  <c r="G467" i="99" s="1"/>
  <c r="D129" i="99"/>
  <c r="D244" i="99"/>
  <c r="D100" i="99"/>
  <c r="D807" i="99"/>
  <c r="D630" i="96"/>
  <c r="D544" i="96"/>
  <c r="D124" i="96"/>
  <c r="D731" i="96"/>
  <c r="D173" i="96"/>
  <c r="D599" i="84"/>
  <c r="D110" i="150"/>
  <c r="E125" i="150" s="1"/>
  <c r="G23" i="150" s="1"/>
  <c r="D106" i="107"/>
  <c r="E121" i="107" s="1"/>
  <c r="D118" i="96"/>
  <c r="D168" i="150"/>
  <c r="D181" i="150" s="1"/>
  <c r="D185" i="150" s="1"/>
  <c r="D144" i="150"/>
  <c r="D678" i="107"/>
  <c r="D697" i="107" s="1"/>
  <c r="D701" i="107" s="1"/>
  <c r="D703" i="107" s="1"/>
  <c r="D163" i="107"/>
  <c r="D176" i="107" s="1"/>
  <c r="D180" i="107" s="1"/>
  <c r="D319" i="107"/>
  <c r="D342" i="107" s="1"/>
  <c r="D346" i="107" s="1"/>
  <c r="D139" i="107"/>
  <c r="D418" i="96"/>
  <c r="D437" i="96" s="1"/>
  <c r="D441" i="96" s="1"/>
  <c r="D443" i="96" s="1"/>
  <c r="D300" i="96"/>
  <c r="D319" i="96" s="1"/>
  <c r="D323" i="96" s="1"/>
  <c r="D325" i="96" s="1"/>
  <c r="D247" i="99"/>
  <c r="D260" i="99" s="1"/>
  <c r="D264" i="99" s="1"/>
  <c r="D223" i="99"/>
  <c r="D550" i="96"/>
  <c r="D559" i="96" s="1"/>
  <c r="D562" i="96" s="1"/>
  <c r="D636" i="96"/>
  <c r="D645" i="96" s="1"/>
  <c r="D648" i="96" s="1"/>
  <c r="D176" i="96"/>
  <c r="D189" i="96" s="1"/>
  <c r="D193" i="96" s="1"/>
  <c r="D152" i="96"/>
  <c r="D352" i="84"/>
  <c r="D751" i="150"/>
  <c r="D118" i="150"/>
  <c r="D114" i="107"/>
  <c r="D782" i="107"/>
  <c r="D809" i="99"/>
  <c r="D102" i="99"/>
  <c r="D126" i="96"/>
  <c r="D733" i="96"/>
  <c r="O69" i="70"/>
  <c r="O68" i="70"/>
  <c r="O70" i="70"/>
  <c r="O66" i="70"/>
  <c r="O58" i="70"/>
  <c r="O62" i="70"/>
  <c r="D351" i="84"/>
  <c r="D478" i="84"/>
  <c r="D350" i="84"/>
  <c r="D494" i="84"/>
  <c r="D142" i="84"/>
  <c r="D268" i="84"/>
  <c r="D386" i="84"/>
  <c r="D649" i="81"/>
  <c r="D700" i="81" s="1"/>
  <c r="F709" i="81" s="1"/>
  <c r="H65" i="81" s="1"/>
  <c r="D798" i="81"/>
  <c r="D357" i="81"/>
  <c r="D403" i="81" s="1"/>
  <c r="H408" i="81" s="1"/>
  <c r="H41" i="81" s="1"/>
  <c r="D291" i="81"/>
  <c r="D333" i="81" s="1"/>
  <c r="G340" i="81" s="1"/>
  <c r="H37" i="81" s="1"/>
  <c r="D167" i="81"/>
  <c r="D466" i="81"/>
  <c r="D591" i="14"/>
  <c r="D485" i="14"/>
  <c r="D521" i="76"/>
  <c r="D570" i="76" s="1"/>
  <c r="H580" i="76" s="1"/>
  <c r="H49" i="76" s="1"/>
  <c r="D165" i="14"/>
  <c r="D627" i="76"/>
  <c r="D169" i="76"/>
  <c r="D335" i="14"/>
  <c r="D371" i="76"/>
  <c r="D422" i="76" s="1"/>
  <c r="H431" i="76" s="1"/>
  <c r="H45" i="76" s="1"/>
  <c r="D142" i="26"/>
  <c r="D250" i="26"/>
  <c r="D86" i="26"/>
  <c r="D91" i="26" s="1"/>
  <c r="D731" i="84"/>
  <c r="F739" i="84" s="1"/>
  <c r="H83" i="84" s="1"/>
  <c r="D113" i="84"/>
  <c r="D360" i="81"/>
  <c r="D248" i="81"/>
  <c r="D897" i="81"/>
  <c r="F905" i="81" s="1"/>
  <c r="H75" i="81" s="1"/>
  <c r="D105" i="81"/>
  <c r="D119" i="76"/>
  <c r="D668" i="14"/>
  <c r="F676" i="14" s="1"/>
  <c r="H59" i="14" s="1"/>
  <c r="D115" i="14"/>
  <c r="D704" i="76"/>
  <c r="F712" i="76" s="1"/>
  <c r="H63" i="76" s="1"/>
  <c r="D322" i="26"/>
  <c r="D481" i="12"/>
  <c r="D141" i="84"/>
  <c r="D112" i="84"/>
  <c r="D730" i="84"/>
  <c r="D375" i="84"/>
  <c r="D396" i="84" s="1"/>
  <c r="G432" i="84" s="1"/>
  <c r="H47" i="84" s="1"/>
  <c r="D256" i="84"/>
  <c r="D785" i="81"/>
  <c r="D359" i="81"/>
  <c r="D364" i="81" s="1"/>
  <c r="D365" i="81" s="1"/>
  <c r="F368" i="81" s="1"/>
  <c r="H406" i="81" s="1"/>
  <c r="D636" i="81"/>
  <c r="D665" i="81" s="1"/>
  <c r="F707" i="81" s="1"/>
  <c r="D247" i="81"/>
  <c r="D282" i="81"/>
  <c r="D301" i="81" s="1"/>
  <c r="G338" i="81" s="1"/>
  <c r="D896" i="81"/>
  <c r="D155" i="81"/>
  <c r="D104" i="81"/>
  <c r="D579" i="14"/>
  <c r="D322" i="14"/>
  <c r="D114" i="14"/>
  <c r="D118" i="76"/>
  <c r="D472" i="14"/>
  <c r="D358" i="76"/>
  <c r="D387" i="76" s="1"/>
  <c r="H429" i="76" s="1"/>
  <c r="D615" i="76"/>
  <c r="D153" i="14"/>
  <c r="D157" i="76"/>
  <c r="D667" i="14"/>
  <c r="D508" i="76"/>
  <c r="D533" i="76" s="1"/>
  <c r="H578" i="76" s="1"/>
  <c r="D703" i="76"/>
  <c r="D237" i="26"/>
  <c r="D321" i="26"/>
  <c r="D106" i="12"/>
  <c r="E121" i="12" s="1"/>
  <c r="G23" i="12" s="1"/>
  <c r="D106" i="84"/>
  <c r="D98" i="81"/>
  <c r="D108" i="14"/>
  <c r="D112" i="76"/>
  <c r="D128" i="26"/>
  <c r="D146" i="26" s="1"/>
  <c r="D150" i="26" s="1"/>
  <c r="D171" i="26" s="1"/>
  <c r="D259" i="84"/>
  <c r="D272" i="84" s="1"/>
  <c r="D276" i="84" s="1"/>
  <c r="D235" i="84"/>
  <c r="D158" i="81"/>
  <c r="D171" i="81" s="1"/>
  <c r="D175" i="81" s="1"/>
  <c r="D427" i="81"/>
  <c r="D802" i="81" s="1"/>
  <c r="D134" i="81"/>
  <c r="D140" i="76"/>
  <c r="D156" i="14"/>
  <c r="D169" i="14" s="1"/>
  <c r="D173" i="14" s="1"/>
  <c r="D582" i="14"/>
  <c r="D595" i="14" s="1"/>
  <c r="D599" i="14" s="1"/>
  <c r="D618" i="76"/>
  <c r="D631" i="76" s="1"/>
  <c r="D635" i="76" s="1"/>
  <c r="D160" i="76"/>
  <c r="D173" i="76" s="1"/>
  <c r="D177" i="76" s="1"/>
  <c r="D562" i="14"/>
  <c r="D136" i="14"/>
  <c r="D598" i="76"/>
  <c r="D129" i="26"/>
  <c r="E146" i="26" s="1"/>
  <c r="E150" i="26" s="1"/>
  <c r="E171" i="26" s="1"/>
  <c r="D260" i="84"/>
  <c r="E272" i="84" s="1"/>
  <c r="E276" i="84" s="1"/>
  <c r="D236" i="84"/>
  <c r="D159" i="81"/>
  <c r="E171" i="81" s="1"/>
  <c r="E175" i="81" s="1"/>
  <c r="D428" i="81"/>
  <c r="D135" i="81"/>
  <c r="D619" i="76"/>
  <c r="E631" i="76" s="1"/>
  <c r="E635" i="76" s="1"/>
  <c r="D157" i="14"/>
  <c r="E169" i="14" s="1"/>
  <c r="E173" i="14" s="1"/>
  <c r="D161" i="76"/>
  <c r="E173" i="76" s="1"/>
  <c r="E177" i="76" s="1"/>
  <c r="D137" i="14"/>
  <c r="D563" i="14"/>
  <c r="D583" i="14"/>
  <c r="E595" i="14" s="1"/>
  <c r="E599" i="14" s="1"/>
  <c r="D599" i="76"/>
  <c r="D141" i="76"/>
  <c r="D294" i="84"/>
  <c r="D404" i="84"/>
  <c r="D375" i="81"/>
  <c r="D388" i="81" s="1"/>
  <c r="D390" i="81" s="1"/>
  <c r="H407" i="81" s="1"/>
  <c r="H40" i="81" s="1"/>
  <c r="D676" i="81"/>
  <c r="D688" i="81" s="1"/>
  <c r="F708" i="81" s="1"/>
  <c r="H64" i="81" s="1"/>
  <c r="D821" i="81"/>
  <c r="D311" i="81"/>
  <c r="D320" i="81" s="1"/>
  <c r="G339" i="81" s="1"/>
  <c r="H36" i="81" s="1"/>
  <c r="D467" i="81"/>
  <c r="D478" i="81" s="1"/>
  <c r="D193" i="81"/>
  <c r="D508" i="14"/>
  <c r="D544" i="76"/>
  <c r="D556" i="76" s="1"/>
  <c r="H579" i="76" s="1"/>
  <c r="H48" i="76" s="1"/>
  <c r="D189" i="14"/>
  <c r="D362" i="14"/>
  <c r="D651" i="76"/>
  <c r="D615" i="14"/>
  <c r="D193" i="76"/>
  <c r="D398" i="76"/>
  <c r="D410" i="76" s="1"/>
  <c r="H430" i="76" s="1"/>
  <c r="H44" i="76" s="1"/>
  <c r="D270" i="26"/>
  <c r="D168" i="26"/>
  <c r="D130" i="26"/>
  <c r="F146" i="26" s="1"/>
  <c r="F150" i="26" s="1"/>
  <c r="F171" i="26" s="1"/>
  <c r="D261" i="84"/>
  <c r="F272" i="84" s="1"/>
  <c r="F276" i="84" s="1"/>
  <c r="D237" i="84"/>
  <c r="D429" i="81"/>
  <c r="D160" i="81"/>
  <c r="F171" i="81" s="1"/>
  <c r="F175" i="81" s="1"/>
  <c r="D136" i="81"/>
  <c r="D162" i="76"/>
  <c r="F173" i="76" s="1"/>
  <c r="F177" i="76" s="1"/>
  <c r="D564" i="14"/>
  <c r="D584" i="14"/>
  <c r="F595" i="14" s="1"/>
  <c r="F599" i="14" s="1"/>
  <c r="D158" i="14"/>
  <c r="F169" i="14" s="1"/>
  <c r="F173" i="14" s="1"/>
  <c r="D600" i="76"/>
  <c r="D138" i="14"/>
  <c r="D142" i="76"/>
  <c r="D620" i="76"/>
  <c r="F631" i="76" s="1"/>
  <c r="F635" i="76" s="1"/>
  <c r="D114" i="84"/>
  <c r="D732" i="84"/>
  <c r="D361" i="81"/>
  <c r="D249" i="81"/>
  <c r="D106" i="81"/>
  <c r="D898" i="81"/>
  <c r="D669" i="14"/>
  <c r="D705" i="76"/>
  <c r="D116" i="14"/>
  <c r="D120" i="76"/>
  <c r="D323" i="26"/>
  <c r="W62" i="12"/>
  <c r="X62" i="12" s="1"/>
  <c r="Y62" i="12" s="1"/>
  <c r="AA62" i="12" s="1"/>
  <c r="W66" i="12"/>
  <c r="X66" i="12" s="1"/>
  <c r="D300" i="12"/>
  <c r="E300" i="12" s="1"/>
  <c r="F300" i="12" s="1"/>
  <c r="E273" i="12"/>
  <c r="F273" i="12" s="1"/>
  <c r="D283" i="70"/>
  <c r="D126" i="26"/>
  <c r="D85" i="26"/>
  <c r="D284" i="70"/>
  <c r="D114" i="12"/>
  <c r="D87" i="26"/>
  <c r="U45" i="69"/>
  <c r="C77" i="71"/>
  <c r="D783" i="12"/>
  <c r="D290" i="70"/>
  <c r="D301" i="70" s="1"/>
  <c r="C73" i="71"/>
  <c r="D640" i="12"/>
  <c r="D782" i="12"/>
  <c r="F790" i="12" s="1"/>
  <c r="H83" i="12" s="1"/>
  <c r="D359" i="12"/>
  <c r="D199" i="70"/>
  <c r="D645" i="12"/>
  <c r="E667" i="12" s="1"/>
  <c r="E670" i="12" s="1"/>
  <c r="E676" i="12" s="1"/>
  <c r="D145" i="70"/>
  <c r="D260" i="12"/>
  <c r="E272" i="12" s="1"/>
  <c r="D236" i="12"/>
  <c r="D294" i="12"/>
  <c r="D236" i="70"/>
  <c r="D695" i="12"/>
  <c r="D112" i="12"/>
  <c r="J23" i="12" s="1"/>
  <c r="C100" i="71"/>
  <c r="C69" i="71"/>
  <c r="D474" i="12"/>
  <c r="D256" i="12"/>
  <c r="D570" i="12"/>
  <c r="D781" i="12"/>
  <c r="D259" i="12"/>
  <c r="D272" i="12" s="1"/>
  <c r="D644" i="12"/>
  <c r="D667" i="12" s="1"/>
  <c r="D670" i="12" s="1"/>
  <c r="D144" i="70"/>
  <c r="D235" i="12"/>
  <c r="D211" i="70"/>
  <c r="D577" i="12"/>
  <c r="D660" i="12"/>
  <c r="D475" i="12"/>
  <c r="D268" i="12"/>
  <c r="D360" i="12"/>
  <c r="D646" i="12"/>
  <c r="F667" i="12" s="1"/>
  <c r="D146" i="70"/>
  <c r="D237" i="12"/>
  <c r="D261" i="12"/>
  <c r="F272" i="12" s="1"/>
  <c r="D113" i="12"/>
  <c r="D141" i="12"/>
  <c r="D142" i="12"/>
  <c r="D440" i="70"/>
  <c r="D656" i="12"/>
  <c r="D653" i="12"/>
  <c r="L69" i="12"/>
  <c r="M69" i="12" s="1"/>
  <c r="F669" i="12"/>
  <c r="AH68" i="12"/>
  <c r="AI68" i="12" s="1"/>
  <c r="AH48" i="12"/>
  <c r="AI48" i="12" s="1"/>
  <c r="L49" i="12"/>
  <c r="M49" i="12" s="1"/>
  <c r="AH49" i="12"/>
  <c r="AI49" i="12" s="1"/>
  <c r="AF48" i="12"/>
  <c r="AF49" i="12" s="1"/>
  <c r="AF50" i="12" s="1"/>
  <c r="AF51" i="12"/>
  <c r="M68" i="12"/>
  <c r="Q68" i="12" s="1"/>
  <c r="R68" i="12" s="1"/>
  <c r="M52" i="12"/>
  <c r="Q52" i="12" s="1"/>
  <c r="R52" i="12" s="1"/>
  <c r="U50" i="12"/>
  <c r="M48" i="12"/>
  <c r="Q48" i="12" s="1"/>
  <c r="R48" i="12" s="1"/>
  <c r="AI47" i="12"/>
  <c r="M28" i="12"/>
  <c r="Q28" i="12" s="1"/>
  <c r="R28" i="12" s="1"/>
  <c r="AI27" i="12"/>
  <c r="E700" i="12"/>
  <c r="M29" i="12"/>
  <c r="AI31" i="12"/>
  <c r="AI64" i="12"/>
  <c r="M72" i="12"/>
  <c r="Q72" i="12" s="1"/>
  <c r="R72" i="12" s="1"/>
  <c r="AI33" i="12"/>
  <c r="U34" i="12"/>
  <c r="U58" i="12"/>
  <c r="AI35" i="12"/>
  <c r="AI76" i="12"/>
  <c r="AI36" i="12"/>
  <c r="AI79" i="12"/>
  <c r="M37" i="12"/>
  <c r="M31" i="12"/>
  <c r="M75" i="12"/>
  <c r="AI60" i="12"/>
  <c r="AI46" i="12"/>
  <c r="AI37" i="12"/>
  <c r="M76" i="12"/>
  <c r="Q76" i="12" s="1"/>
  <c r="R76" i="12" s="1"/>
  <c r="M56" i="12"/>
  <c r="Q56" i="12" s="1"/>
  <c r="R56" i="12" s="1"/>
  <c r="F325" i="12"/>
  <c r="F760" i="12" s="1"/>
  <c r="D234" i="12"/>
  <c r="D263" i="12" s="1"/>
  <c r="F277" i="12"/>
  <c r="E277" i="12"/>
  <c r="D277" i="12"/>
  <c r="D492" i="12"/>
  <c r="D521" i="12" s="1"/>
  <c r="D519" i="12"/>
  <c r="D130" i="12"/>
  <c r="D153" i="12"/>
  <c r="D145" i="12"/>
  <c r="R126" i="71"/>
  <c r="R127" i="71" s="1"/>
  <c r="L54" i="71"/>
  <c r="R117" i="71"/>
  <c r="AA55" i="69"/>
  <c r="D448" i="70"/>
  <c r="D393" i="70"/>
  <c r="N68" i="51" l="1"/>
  <c r="O68" i="51" s="1"/>
  <c r="AJ68" i="51"/>
  <c r="AK68" i="51" s="1"/>
  <c r="E718" i="12"/>
  <c r="F718" i="12"/>
  <c r="D718" i="12"/>
  <c r="D676" i="12"/>
  <c r="AJ83" i="12"/>
  <c r="AK83" i="12" s="1"/>
  <c r="D352" i="107"/>
  <c r="D353" i="107" s="1"/>
  <c r="F121" i="107"/>
  <c r="H23" i="107" s="1"/>
  <c r="G23" i="107"/>
  <c r="N181" i="71"/>
  <c r="O181" i="71" s="1"/>
  <c r="C183" i="71" s="1"/>
  <c r="D308" i="70"/>
  <c r="D243" i="152"/>
  <c r="F246" i="152" s="1"/>
  <c r="H39" i="152" s="1"/>
  <c r="F360" i="171"/>
  <c r="H47" i="171" s="1"/>
  <c r="F828" i="179"/>
  <c r="H55" i="179" s="1"/>
  <c r="D260" i="76"/>
  <c r="F263" i="76" s="1"/>
  <c r="H39" i="76" s="1"/>
  <c r="D331" i="171"/>
  <c r="F334" i="171" s="1"/>
  <c r="H43" i="171" s="1"/>
  <c r="H221" i="71"/>
  <c r="O45" i="179"/>
  <c r="P45" i="179" s="1"/>
  <c r="W45" i="179" s="1"/>
  <c r="AO45" i="179"/>
  <c r="D695" i="150"/>
  <c r="G713" i="150" s="1"/>
  <c r="G709" i="150" s="1"/>
  <c r="H69" i="150" s="1"/>
  <c r="E695" i="150"/>
  <c r="J713" i="150" s="1"/>
  <c r="J709" i="150" s="1"/>
  <c r="H73" i="150" s="1"/>
  <c r="E502" i="169"/>
  <c r="D502" i="169"/>
  <c r="F502" i="169"/>
  <c r="O48" i="179"/>
  <c r="P48" i="179" s="1"/>
  <c r="W48" i="179" s="1"/>
  <c r="AO48" i="179"/>
  <c r="H55" i="171"/>
  <c r="I55" i="171"/>
  <c r="F89" i="171"/>
  <c r="H23" i="171" s="1"/>
  <c r="E89" i="171"/>
  <c r="G23" i="171" s="1"/>
  <c r="D239" i="165"/>
  <c r="D238" i="165"/>
  <c r="D240" i="165" s="1"/>
  <c r="H282" i="165" s="1"/>
  <c r="F239" i="165"/>
  <c r="F238" i="165"/>
  <c r="E239" i="165"/>
  <c r="E238" i="165"/>
  <c r="H59" i="179"/>
  <c r="H912" i="179"/>
  <c r="F234" i="165"/>
  <c r="F257" i="165"/>
  <c r="D120" i="171"/>
  <c r="D128" i="171" s="1"/>
  <c r="D135" i="171" s="1"/>
  <c r="D271" i="169"/>
  <c r="D278" i="169" s="1"/>
  <c r="D107" i="165"/>
  <c r="D115" i="165" s="1"/>
  <c r="D182" i="152"/>
  <c r="D185" i="152" s="1"/>
  <c r="D159" i="152"/>
  <c r="D315" i="150"/>
  <c r="D297" i="150"/>
  <c r="O53" i="179"/>
  <c r="P53" i="179" s="1"/>
  <c r="W53" i="179" s="1"/>
  <c r="AO53" i="179"/>
  <c r="D335" i="152"/>
  <c r="G360" i="152" s="1"/>
  <c r="E335" i="152"/>
  <c r="J360" i="152" s="1"/>
  <c r="AJ52" i="171"/>
  <c r="N52" i="171"/>
  <c r="O52" i="171" s="1"/>
  <c r="U52" i="171" s="1"/>
  <c r="W52" i="171" s="1"/>
  <c r="X52" i="171" s="1"/>
  <c r="Y52" i="171" s="1"/>
  <c r="AA52" i="171" s="1"/>
  <c r="O60" i="179"/>
  <c r="P60" i="179" s="1"/>
  <c r="W60" i="179" s="1"/>
  <c r="Y60" i="179" s="1"/>
  <c r="Z60" i="179" s="1"/>
  <c r="AA60" i="179" s="1"/>
  <c r="AD60" i="179" s="1"/>
  <c r="AF60" i="179" s="1"/>
  <c r="AO60" i="179"/>
  <c r="E180" i="169"/>
  <c r="E195" i="169"/>
  <c r="E197" i="169" s="1"/>
  <c r="E205" i="169" s="1"/>
  <c r="AJ39" i="152"/>
  <c r="AK39" i="152" s="1"/>
  <c r="N39" i="152"/>
  <c r="O39" i="152" s="1"/>
  <c r="N47" i="171"/>
  <c r="O47" i="171" s="1"/>
  <c r="AJ47" i="171"/>
  <c r="AK47" i="171" s="1"/>
  <c r="D163" i="152"/>
  <c r="F164" i="152"/>
  <c r="E163" i="152"/>
  <c r="E164" i="152"/>
  <c r="D164" i="152"/>
  <c r="F163" i="152"/>
  <c r="H51" i="171"/>
  <c r="H31" i="179"/>
  <c r="G258" i="179"/>
  <c r="D257" i="165"/>
  <c r="D234" i="165"/>
  <c r="N45" i="152"/>
  <c r="O45" i="152" s="1"/>
  <c r="U45" i="152" s="1"/>
  <c r="AJ45" i="152"/>
  <c r="O49" i="179"/>
  <c r="P49" i="179" s="1"/>
  <c r="W49" i="179" s="1"/>
  <c r="AO49" i="179"/>
  <c r="AJ44" i="152"/>
  <c r="N44" i="152"/>
  <c r="O44" i="152" s="1"/>
  <c r="U44" i="152" s="1"/>
  <c r="E277" i="171"/>
  <c r="D277" i="171"/>
  <c r="F277" i="171"/>
  <c r="D683" i="150"/>
  <c r="G708" i="150" s="1"/>
  <c r="H68" i="150" s="1"/>
  <c r="E683" i="150"/>
  <c r="J708" i="150" s="1"/>
  <c r="H72" i="150" s="1"/>
  <c r="E405" i="169"/>
  <c r="E407" i="169" s="1"/>
  <c r="E414" i="169" s="1"/>
  <c r="E386" i="169"/>
  <c r="E388" i="169" s="1"/>
  <c r="G47" i="169" s="1"/>
  <c r="N43" i="171"/>
  <c r="O43" i="171" s="1"/>
  <c r="D316" i="152"/>
  <c r="G359" i="152" s="1"/>
  <c r="E316" i="152"/>
  <c r="J359" i="152" s="1"/>
  <c r="D120" i="165"/>
  <c r="D121" i="165"/>
  <c r="D122" i="165"/>
  <c r="H43" i="179"/>
  <c r="F575" i="179"/>
  <c r="F499" i="169"/>
  <c r="F500" i="169" s="1"/>
  <c r="F507" i="169" s="1"/>
  <c r="F484" i="169"/>
  <c r="D347" i="152"/>
  <c r="G365" i="152" s="1"/>
  <c r="G361" i="152" s="1"/>
  <c r="E347" i="152"/>
  <c r="J365" i="152" s="1"/>
  <c r="J361" i="152" s="1"/>
  <c r="O61" i="179"/>
  <c r="P61" i="179" s="1"/>
  <c r="W61" i="179" s="1"/>
  <c r="AO61" i="179"/>
  <c r="D189" i="152"/>
  <c r="F189" i="152"/>
  <c r="E189" i="152"/>
  <c r="O32" i="179"/>
  <c r="P32" i="179" s="1"/>
  <c r="W32" i="179" s="1"/>
  <c r="AO32" i="179"/>
  <c r="E499" i="169"/>
  <c r="E500" i="169" s="1"/>
  <c r="E507" i="169" s="1"/>
  <c r="E484" i="169"/>
  <c r="N188" i="71"/>
  <c r="O188" i="71" s="1"/>
  <c r="C190" i="71" s="1"/>
  <c r="C186" i="71" s="1"/>
  <c r="H43" i="152"/>
  <c r="G466" i="152"/>
  <c r="H47" i="179"/>
  <c r="H727" i="179"/>
  <c r="D540" i="150"/>
  <c r="G583" i="150" s="1"/>
  <c r="E540" i="150"/>
  <c r="J583" i="150" s="1"/>
  <c r="F180" i="169"/>
  <c r="F195" i="169"/>
  <c r="D180" i="169"/>
  <c r="D195" i="169"/>
  <c r="D197" i="169" s="1"/>
  <c r="AO29" i="179"/>
  <c r="O29" i="179"/>
  <c r="P29" i="179" s="1"/>
  <c r="W29" i="179" s="1"/>
  <c r="E264" i="165"/>
  <c r="D264" i="165"/>
  <c r="F264" i="165"/>
  <c r="AO52" i="179"/>
  <c r="O52" i="179"/>
  <c r="P52" i="179" s="1"/>
  <c r="W52" i="179" s="1"/>
  <c r="Y52" i="179" s="1"/>
  <c r="Z52" i="179" s="1"/>
  <c r="AA52" i="179" s="1"/>
  <c r="AD52" i="179" s="1"/>
  <c r="AF52" i="179" s="1"/>
  <c r="D559" i="150"/>
  <c r="G584" i="150" s="1"/>
  <c r="H60" i="150" s="1"/>
  <c r="E559" i="150"/>
  <c r="J584" i="150" s="1"/>
  <c r="H64" i="150" s="1"/>
  <c r="E251" i="171"/>
  <c r="E270" i="171"/>
  <c r="E273" i="171" s="1"/>
  <c r="E247" i="171"/>
  <c r="I63" i="179"/>
  <c r="H63" i="179"/>
  <c r="E252" i="171"/>
  <c r="F252" i="171"/>
  <c r="D252" i="171"/>
  <c r="F251" i="171"/>
  <c r="D664" i="150"/>
  <c r="G707" i="150" s="1"/>
  <c r="E664" i="150"/>
  <c r="J707" i="150" s="1"/>
  <c r="F405" i="169"/>
  <c r="F386" i="169"/>
  <c r="F388" i="169" s="1"/>
  <c r="G51" i="169" s="1"/>
  <c r="D386" i="169"/>
  <c r="D388" i="169" s="1"/>
  <c r="G43" i="169" s="1"/>
  <c r="D405" i="169"/>
  <c r="D407" i="169" s="1"/>
  <c r="F361" i="179"/>
  <c r="F342" i="179"/>
  <c r="I373" i="179" s="1"/>
  <c r="H41" i="179" s="1"/>
  <c r="D342" i="179"/>
  <c r="G373" i="179" s="1"/>
  <c r="H37" i="179" s="1"/>
  <c r="E199" i="169"/>
  <c r="F199" i="169"/>
  <c r="D199" i="169"/>
  <c r="O28" i="179"/>
  <c r="P28" i="179" s="1"/>
  <c r="W28" i="179" s="1"/>
  <c r="AO28" i="179"/>
  <c r="AJ39" i="165"/>
  <c r="AK39" i="165" s="1"/>
  <c r="N39" i="165"/>
  <c r="O39" i="165" s="1"/>
  <c r="AO23" i="179"/>
  <c r="AP23" i="179" s="1"/>
  <c r="O23" i="179"/>
  <c r="P23" i="179" s="1"/>
  <c r="H180" i="179"/>
  <c r="H27" i="179"/>
  <c r="M201" i="71"/>
  <c r="H201" i="71"/>
  <c r="L201" i="71"/>
  <c r="K201" i="71"/>
  <c r="D484" i="169"/>
  <c r="D499" i="169"/>
  <c r="D500" i="169" s="1"/>
  <c r="D409" i="169"/>
  <c r="E409" i="169"/>
  <c r="F409" i="169"/>
  <c r="E410" i="169"/>
  <c r="D411" i="169"/>
  <c r="E411" i="169"/>
  <c r="F411" i="169"/>
  <c r="O44" i="179"/>
  <c r="P44" i="179" s="1"/>
  <c r="W44" i="179" s="1"/>
  <c r="Y44" i="179" s="1"/>
  <c r="Z44" i="179" s="1"/>
  <c r="AA44" i="179" s="1"/>
  <c r="AD44" i="179" s="1"/>
  <c r="AF44" i="179" s="1"/>
  <c r="AO44" i="179"/>
  <c r="E182" i="152"/>
  <c r="E159" i="152"/>
  <c r="E297" i="150"/>
  <c r="E315" i="150"/>
  <c r="D115" i="169"/>
  <c r="F118" i="169"/>
  <c r="H23" i="169" s="1"/>
  <c r="F97" i="152"/>
  <c r="H23" i="152" s="1"/>
  <c r="F159" i="152"/>
  <c r="F182" i="152"/>
  <c r="F270" i="171"/>
  <c r="F247" i="171"/>
  <c r="D251" i="171"/>
  <c r="D247" i="171"/>
  <c r="D270" i="171"/>
  <c r="D273" i="171" s="1"/>
  <c r="O33" i="179"/>
  <c r="P33" i="179" s="1"/>
  <c r="W33" i="179" s="1"/>
  <c r="AO33" i="179"/>
  <c r="D571" i="150"/>
  <c r="G589" i="150" s="1"/>
  <c r="G585" i="150" s="1"/>
  <c r="H61" i="150" s="1"/>
  <c r="E571" i="150"/>
  <c r="J589" i="150" s="1"/>
  <c r="J585" i="150" s="1"/>
  <c r="H65" i="150" s="1"/>
  <c r="D331" i="179"/>
  <c r="G372" i="179" s="1"/>
  <c r="H36" i="179" s="1"/>
  <c r="F331" i="179"/>
  <c r="I372" i="179" s="1"/>
  <c r="H40" i="179" s="1"/>
  <c r="F354" i="179"/>
  <c r="E234" i="165"/>
  <c r="E257" i="165"/>
  <c r="E260" i="165" s="1"/>
  <c r="F283" i="165" s="1"/>
  <c r="G32" i="165" s="1"/>
  <c r="AJ59" i="152"/>
  <c r="AK59" i="152" s="1"/>
  <c r="N59" i="152"/>
  <c r="O59" i="152" s="1"/>
  <c r="D548" i="169"/>
  <c r="F551" i="169"/>
  <c r="H67" i="169" s="1"/>
  <c r="F77" i="165"/>
  <c r="H23" i="165" s="1"/>
  <c r="E77" i="165"/>
  <c r="G23" i="165" s="1"/>
  <c r="D70" i="163"/>
  <c r="F73" i="163" s="1"/>
  <c r="H23" i="163" s="1"/>
  <c r="D390" i="169"/>
  <c r="F390" i="169"/>
  <c r="E390" i="169"/>
  <c r="E391" i="169"/>
  <c r="D391" i="169"/>
  <c r="D392" i="169"/>
  <c r="F391" i="169"/>
  <c r="E392" i="169"/>
  <c r="F392" i="169"/>
  <c r="D133" i="171"/>
  <c r="D134" i="171"/>
  <c r="H51" i="179"/>
  <c r="H803" i="179"/>
  <c r="F315" i="150"/>
  <c r="F297" i="150"/>
  <c r="F125" i="150"/>
  <c r="H23" i="150" s="1"/>
  <c r="F514" i="81"/>
  <c r="M532" i="81" s="1"/>
  <c r="H61" i="81" s="1"/>
  <c r="D514" i="81"/>
  <c r="G532" i="81" s="1"/>
  <c r="H49" i="81" s="1"/>
  <c r="F507" i="81"/>
  <c r="M531" i="81" s="1"/>
  <c r="H60" i="81" s="1"/>
  <c r="D507" i="81"/>
  <c r="G531" i="81" s="1"/>
  <c r="H48" i="81" s="1"/>
  <c r="AJ44" i="99"/>
  <c r="N44" i="99"/>
  <c r="O44" i="99" s="1"/>
  <c r="U44" i="99" s="1"/>
  <c r="F650" i="96"/>
  <c r="F668" i="96"/>
  <c r="F670" i="96" s="1"/>
  <c r="G692" i="96" s="1"/>
  <c r="G84" i="96" s="1"/>
  <c r="D582" i="96"/>
  <c r="D584" i="96" s="1"/>
  <c r="E606" i="96" s="1"/>
  <c r="G64" i="96" s="1"/>
  <c r="D564" i="96"/>
  <c r="D705" i="107"/>
  <c r="D720" i="107"/>
  <c r="H51" i="107"/>
  <c r="G516" i="107"/>
  <c r="F192" i="150"/>
  <c r="E191" i="150"/>
  <c r="F191" i="150"/>
  <c r="E192" i="150"/>
  <c r="D192" i="150"/>
  <c r="D191" i="150"/>
  <c r="E642" i="84"/>
  <c r="J667" i="84" s="1"/>
  <c r="H64" i="84" s="1"/>
  <c r="D642" i="84"/>
  <c r="G667" i="84" s="1"/>
  <c r="H60" i="84" s="1"/>
  <c r="AJ53" i="107"/>
  <c r="N53" i="107"/>
  <c r="O53" i="107" s="1"/>
  <c r="U53" i="107" s="1"/>
  <c r="F582" i="96"/>
  <c r="F584" i="96" s="1"/>
  <c r="G606" i="96" s="1"/>
  <c r="G72" i="96" s="1"/>
  <c r="F564" i="96"/>
  <c r="F705" i="107"/>
  <c r="F720" i="107"/>
  <c r="AJ99" i="96"/>
  <c r="AK99" i="96" s="1"/>
  <c r="N99" i="96"/>
  <c r="O99" i="96" s="1"/>
  <c r="E582" i="96"/>
  <c r="E584" i="96" s="1"/>
  <c r="F606" i="96" s="1"/>
  <c r="G68" i="96" s="1"/>
  <c r="E564" i="96"/>
  <c r="F205" i="107"/>
  <c r="F182" i="107"/>
  <c r="D186" i="107"/>
  <c r="F187" i="107"/>
  <c r="D187" i="107"/>
  <c r="E187" i="107"/>
  <c r="F186" i="107"/>
  <c r="E186" i="107"/>
  <c r="F225" i="96"/>
  <c r="E225" i="96"/>
  <c r="D225" i="96"/>
  <c r="D716" i="99"/>
  <c r="E448" i="150"/>
  <c r="J467" i="150" s="1"/>
  <c r="J463" i="150" s="1"/>
  <c r="D448" i="150"/>
  <c r="G467" i="150" s="1"/>
  <c r="G463" i="150" s="1"/>
  <c r="F289" i="99"/>
  <c r="F266" i="99"/>
  <c r="AJ71" i="99"/>
  <c r="AK71" i="99" s="1"/>
  <c r="N71" i="99"/>
  <c r="O71" i="99" s="1"/>
  <c r="E650" i="96"/>
  <c r="E668" i="96"/>
  <c r="E670" i="96" s="1"/>
  <c r="F692" i="96" s="1"/>
  <c r="G80" i="96" s="1"/>
  <c r="E355" i="107"/>
  <c r="E387" i="107"/>
  <c r="E388" i="107" s="1"/>
  <c r="E389" i="107" s="1"/>
  <c r="E377" i="107"/>
  <c r="F395" i="107" s="1"/>
  <c r="G44" i="107" s="1"/>
  <c r="N23" i="107"/>
  <c r="O23" i="107" s="1"/>
  <c r="AJ23" i="107"/>
  <c r="AK23" i="107" s="1"/>
  <c r="AJ83" i="107"/>
  <c r="AK83" i="107" s="1"/>
  <c r="N83" i="107"/>
  <c r="O83" i="107" s="1"/>
  <c r="D289" i="99"/>
  <c r="D292" i="99" s="1"/>
  <c r="D266" i="99"/>
  <c r="E623" i="84"/>
  <c r="J666" i="84" s="1"/>
  <c r="D623" i="84"/>
  <c r="G666" i="84" s="1"/>
  <c r="F270" i="99"/>
  <c r="D271" i="99"/>
  <c r="E271" i="99"/>
  <c r="D270" i="99"/>
  <c r="E270" i="99"/>
  <c r="F271" i="99"/>
  <c r="AJ52" i="107"/>
  <c r="N52" i="107"/>
  <c r="O52" i="107" s="1"/>
  <c r="U52" i="107" s="1"/>
  <c r="W52" i="107" s="1"/>
  <c r="X52" i="107" s="1"/>
  <c r="Y52" i="107" s="1"/>
  <c r="AA52" i="107" s="1"/>
  <c r="E436" i="150"/>
  <c r="J462" i="150" s="1"/>
  <c r="D436" i="150"/>
  <c r="G462" i="150" s="1"/>
  <c r="D106" i="99"/>
  <c r="F109" i="99"/>
  <c r="H23" i="99" s="1"/>
  <c r="D668" i="96"/>
  <c r="D670" i="96" s="1"/>
  <c r="E692" i="96" s="1"/>
  <c r="G76" i="96" s="1"/>
  <c r="D650" i="96"/>
  <c r="E525" i="84"/>
  <c r="J550" i="84" s="1"/>
  <c r="H56" i="84" s="1"/>
  <c r="D525" i="84"/>
  <c r="G550" i="84" s="1"/>
  <c r="H52" i="84" s="1"/>
  <c r="D139" i="99"/>
  <c r="D147" i="99" s="1"/>
  <c r="D154" i="99" s="1"/>
  <c r="D342" i="96"/>
  <c r="D327" i="96"/>
  <c r="F199" i="96"/>
  <c r="E199" i="96"/>
  <c r="D199" i="96"/>
  <c r="F200" i="96"/>
  <c r="E200" i="96"/>
  <c r="D200" i="96"/>
  <c r="D152" i="99"/>
  <c r="D153" i="99"/>
  <c r="D540" i="99"/>
  <c r="D541" i="99" s="1"/>
  <c r="G594" i="99" s="1"/>
  <c r="H48" i="99" s="1"/>
  <c r="D535" i="99"/>
  <c r="D217" i="150"/>
  <c r="F217" i="150"/>
  <c r="E217" i="150"/>
  <c r="AJ45" i="99"/>
  <c r="N45" i="99"/>
  <c r="O45" i="99" s="1"/>
  <c r="U45" i="99" s="1"/>
  <c r="F327" i="96"/>
  <c r="F342" i="96"/>
  <c r="E289" i="99"/>
  <c r="E292" i="99" s="1"/>
  <c r="E266" i="99"/>
  <c r="E218" i="96"/>
  <c r="E221" i="96" s="1"/>
  <c r="F243" i="96" s="1"/>
  <c r="E195" i="96"/>
  <c r="D460" i="96"/>
  <c r="D445" i="96"/>
  <c r="H43" i="99"/>
  <c r="G473" i="99"/>
  <c r="G471" i="99"/>
  <c r="D553" i="99"/>
  <c r="D508" i="99"/>
  <c r="G47" i="99" s="1"/>
  <c r="D551" i="99"/>
  <c r="D552" i="99"/>
  <c r="F296" i="99"/>
  <c r="D296" i="99"/>
  <c r="E296" i="99"/>
  <c r="D295" i="99"/>
  <c r="N57" i="107"/>
  <c r="O57" i="107" s="1"/>
  <c r="U57" i="107" s="1"/>
  <c r="AJ57" i="107"/>
  <c r="F445" i="96"/>
  <c r="F460" i="96"/>
  <c r="F187" i="150"/>
  <c r="F210" i="150"/>
  <c r="N87" i="150"/>
  <c r="O87" i="150" s="1"/>
  <c r="AJ87" i="150"/>
  <c r="AK87" i="150" s="1"/>
  <c r="E342" i="96"/>
  <c r="E327" i="96"/>
  <c r="E187" i="150"/>
  <c r="E210" i="150"/>
  <c r="E720" i="107"/>
  <c r="E705" i="107"/>
  <c r="D187" i="150"/>
  <c r="D210" i="150"/>
  <c r="D587" i="99"/>
  <c r="D589" i="99" s="1"/>
  <c r="D509" i="99"/>
  <c r="D510" i="99"/>
  <c r="D511" i="99"/>
  <c r="E212" i="107"/>
  <c r="D212" i="107"/>
  <c r="F212" i="107"/>
  <c r="E654" i="84"/>
  <c r="J671" i="84" s="1"/>
  <c r="J668" i="84" s="1"/>
  <c r="H65" i="84" s="1"/>
  <c r="D654" i="84"/>
  <c r="G671" i="84" s="1"/>
  <c r="G668" i="84" s="1"/>
  <c r="H61" i="84" s="1"/>
  <c r="F218" i="96"/>
  <c r="F195" i="96"/>
  <c r="D709" i="99"/>
  <c r="D712" i="99" s="1"/>
  <c r="D666" i="99"/>
  <c r="E460" i="96"/>
  <c r="E445" i="96"/>
  <c r="D182" i="107"/>
  <c r="D205" i="107"/>
  <c r="D208" i="107" s="1"/>
  <c r="D417" i="150"/>
  <c r="G461" i="150" s="1"/>
  <c r="E417" i="150"/>
  <c r="J461" i="150" s="1"/>
  <c r="D218" i="96"/>
  <c r="D221" i="96" s="1"/>
  <c r="D195" i="96"/>
  <c r="E133" i="96"/>
  <c r="G23" i="96" s="1"/>
  <c r="F133" i="96"/>
  <c r="H23" i="96" s="1"/>
  <c r="D670" i="99"/>
  <c r="D671" i="99"/>
  <c r="H55" i="107"/>
  <c r="G637" i="107"/>
  <c r="AJ56" i="107"/>
  <c r="N56" i="107"/>
  <c r="O56" i="107" s="1"/>
  <c r="U56" i="107" s="1"/>
  <c r="F377" i="107"/>
  <c r="G395" i="107" s="1"/>
  <c r="G48" i="107" s="1"/>
  <c r="F355" i="107"/>
  <c r="F387" i="107"/>
  <c r="F388" i="107" s="1"/>
  <c r="F389" i="107" s="1"/>
  <c r="E205" i="107"/>
  <c r="E182" i="107"/>
  <c r="F121" i="12"/>
  <c r="H23" i="12" s="1"/>
  <c r="E537" i="84"/>
  <c r="J555" i="84" s="1"/>
  <c r="J551" i="84" s="1"/>
  <c r="H57" i="84" s="1"/>
  <c r="D537" i="84"/>
  <c r="G555" i="84" s="1"/>
  <c r="E506" i="84"/>
  <c r="J549" i="84" s="1"/>
  <c r="D506" i="84"/>
  <c r="G549" i="84" s="1"/>
  <c r="H51" i="84" s="1"/>
  <c r="F94" i="26"/>
  <c r="H23" i="26" s="1"/>
  <c r="F359" i="84"/>
  <c r="H43" i="84" s="1"/>
  <c r="F256" i="81"/>
  <c r="H31" i="81" s="1"/>
  <c r="D427" i="84"/>
  <c r="G434" i="84" s="1"/>
  <c r="H49" i="84" s="1"/>
  <c r="D415" i="84"/>
  <c r="G433" i="84" s="1"/>
  <c r="H48" i="84" s="1"/>
  <c r="F196" i="14"/>
  <c r="F199" i="14" s="1"/>
  <c r="G221" i="14" s="1"/>
  <c r="G36" i="14" s="1"/>
  <c r="F175" i="14"/>
  <c r="F278" i="84"/>
  <c r="F301" i="84"/>
  <c r="N44" i="76"/>
  <c r="O44" i="76" s="1"/>
  <c r="AJ44" i="76"/>
  <c r="D207" i="81"/>
  <c r="F207" i="81"/>
  <c r="E207" i="81"/>
  <c r="E308" i="84"/>
  <c r="F308" i="84"/>
  <c r="D308" i="84"/>
  <c r="E200" i="76"/>
  <c r="E203" i="76" s="1"/>
  <c r="E179" i="76"/>
  <c r="E301" i="84"/>
  <c r="E278" i="84"/>
  <c r="D658" i="76"/>
  <c r="D661" i="76" s="1"/>
  <c r="D637" i="76"/>
  <c r="F601" i="14"/>
  <c r="F622" i="14"/>
  <c r="F625" i="14" s="1"/>
  <c r="G647" i="14" s="1"/>
  <c r="G56" i="14" s="1"/>
  <c r="F478" i="81"/>
  <c r="M524" i="81" s="1"/>
  <c r="H56" i="81" s="1"/>
  <c r="G478" i="81"/>
  <c r="O524" i="81" s="1"/>
  <c r="E478" i="81"/>
  <c r="J524" i="81" s="1"/>
  <c r="H52" i="81" s="1"/>
  <c r="E175" i="14"/>
  <c r="E196" i="14"/>
  <c r="E199" i="14" s="1"/>
  <c r="F221" i="14" s="1"/>
  <c r="G32" i="14" s="1"/>
  <c r="D622" i="14"/>
  <c r="D625" i="14" s="1"/>
  <c r="D601" i="14"/>
  <c r="D301" i="84"/>
  <c r="D304" i="84" s="1"/>
  <c r="D311" i="84" s="1"/>
  <c r="G32" i="84" s="1"/>
  <c r="D278" i="84"/>
  <c r="D327" i="26"/>
  <c r="F330" i="26"/>
  <c r="H43" i="26" s="1"/>
  <c r="N49" i="76"/>
  <c r="O49" i="76" s="1"/>
  <c r="AJ49" i="76"/>
  <c r="N65" i="81"/>
  <c r="O65" i="81" s="1"/>
  <c r="AJ65" i="81"/>
  <c r="N36" i="81"/>
  <c r="O36" i="81" s="1"/>
  <c r="AJ36" i="81"/>
  <c r="E658" i="76"/>
  <c r="E661" i="76" s="1"/>
  <c r="E637" i="76"/>
  <c r="D196" i="14"/>
  <c r="D199" i="14" s="1"/>
  <c r="D175" i="14"/>
  <c r="D181" i="81"/>
  <c r="D182" i="81"/>
  <c r="F181" i="81"/>
  <c r="E182" i="81"/>
  <c r="F182" i="81"/>
  <c r="E283" i="84"/>
  <c r="F283" i="84"/>
  <c r="F282" i="84"/>
  <c r="D282" i="84"/>
  <c r="E282" i="84"/>
  <c r="D283" i="84"/>
  <c r="N63" i="76"/>
  <c r="O63" i="76" s="1"/>
  <c r="AJ63" i="76"/>
  <c r="AK63" i="76" s="1"/>
  <c r="F179" i="76"/>
  <c r="F200" i="76"/>
  <c r="F203" i="76" s="1"/>
  <c r="E127" i="76"/>
  <c r="G23" i="76" s="1"/>
  <c r="F127" i="76"/>
  <c r="H23" i="76" s="1"/>
  <c r="H43" i="76"/>
  <c r="H433" i="76"/>
  <c r="F637" i="76"/>
  <c r="F658" i="76"/>
  <c r="F661" i="76" s="1"/>
  <c r="N64" i="81"/>
  <c r="O64" i="81" s="1"/>
  <c r="AJ64" i="81"/>
  <c r="F123" i="14"/>
  <c r="H23" i="14" s="1"/>
  <c r="E123" i="14"/>
  <c r="G23" i="14" s="1"/>
  <c r="G343" i="81"/>
  <c r="H35" i="81"/>
  <c r="N59" i="14"/>
  <c r="O59" i="14" s="1"/>
  <c r="AJ59" i="14"/>
  <c r="AK59" i="14" s="1"/>
  <c r="N45" i="76"/>
  <c r="O45" i="76" s="1"/>
  <c r="AJ45" i="76"/>
  <c r="F491" i="81"/>
  <c r="M525" i="81" s="1"/>
  <c r="H57" i="81" s="1"/>
  <c r="G491" i="81"/>
  <c r="O525" i="81" s="1"/>
  <c r="D491" i="81"/>
  <c r="G525" i="81" s="1"/>
  <c r="H45" i="81" s="1"/>
  <c r="E491" i="81"/>
  <c r="J525" i="81" s="1"/>
  <c r="H53" i="81" s="1"/>
  <c r="D151" i="84"/>
  <c r="D159" i="84" s="1"/>
  <c r="D166" i="84" s="1"/>
  <c r="F200" i="81"/>
  <c r="F177" i="81"/>
  <c r="N40" i="81"/>
  <c r="O40" i="81" s="1"/>
  <c r="AJ40" i="81"/>
  <c r="E601" i="14"/>
  <c r="E622" i="14"/>
  <c r="E625" i="14" s="1"/>
  <c r="F647" i="14" s="1"/>
  <c r="G52" i="14" s="1"/>
  <c r="E181" i="81"/>
  <c r="E200" i="81"/>
  <c r="E177" i="81"/>
  <c r="D828" i="81"/>
  <c r="D830" i="81" s="1"/>
  <c r="D806" i="81"/>
  <c r="E113" i="81"/>
  <c r="G23" i="81" s="1"/>
  <c r="F113" i="81"/>
  <c r="H23" i="81" s="1"/>
  <c r="AJ83" i="84"/>
  <c r="AK83" i="84" s="1"/>
  <c r="N83" i="84"/>
  <c r="O83" i="84" s="1"/>
  <c r="AJ48" i="76"/>
  <c r="N48" i="76"/>
  <c r="O48" i="76" s="1"/>
  <c r="D200" i="81"/>
  <c r="D203" i="81" s="1"/>
  <c r="D177" i="81"/>
  <c r="F121" i="84"/>
  <c r="H23" i="84" s="1"/>
  <c r="E121" i="84"/>
  <c r="G23" i="84" s="1"/>
  <c r="H47" i="76"/>
  <c r="H582" i="76"/>
  <c r="H63" i="81"/>
  <c r="F711" i="81"/>
  <c r="D164" i="84"/>
  <c r="D165" i="84"/>
  <c r="N37" i="81"/>
  <c r="O37" i="81" s="1"/>
  <c r="AJ37" i="81"/>
  <c r="D200" i="76"/>
  <c r="D203" i="76" s="1"/>
  <c r="D179" i="76"/>
  <c r="H39" i="81"/>
  <c r="H411" i="81"/>
  <c r="AJ75" i="81"/>
  <c r="AK75" i="81" s="1"/>
  <c r="N75" i="81"/>
  <c r="O75" i="81" s="1"/>
  <c r="N41" i="81"/>
  <c r="O41" i="81" s="1"/>
  <c r="AJ41" i="81"/>
  <c r="W70" i="12"/>
  <c r="X70" i="12" s="1"/>
  <c r="W34" i="12"/>
  <c r="X34" i="12" s="1"/>
  <c r="W58" i="12"/>
  <c r="X58" i="12" s="1"/>
  <c r="W50" i="12"/>
  <c r="E276" i="12"/>
  <c r="E278" i="12" s="1"/>
  <c r="F276" i="12"/>
  <c r="F301" i="12" s="1"/>
  <c r="F307" i="12" s="1"/>
  <c r="D276" i="12"/>
  <c r="D278" i="12" s="1"/>
  <c r="N83" i="12"/>
  <c r="AH23" i="12"/>
  <c r="AI23" i="12" s="1"/>
  <c r="L23" i="12"/>
  <c r="M23" i="12" s="1"/>
  <c r="D372" i="12"/>
  <c r="D151" i="12"/>
  <c r="F670" i="12"/>
  <c r="F676" i="12" s="1"/>
  <c r="E671" i="12"/>
  <c r="E677" i="12" s="1"/>
  <c r="E678" i="12" s="1"/>
  <c r="E701" i="12" s="1"/>
  <c r="E703" i="12" s="1"/>
  <c r="D671" i="12"/>
  <c r="D677" i="12" s="1"/>
  <c r="F671" i="12"/>
  <c r="F677" i="12" s="1"/>
  <c r="AF52" i="12"/>
  <c r="AF53" i="12" s="1"/>
  <c r="AF54" i="12" s="1"/>
  <c r="AF55" i="12"/>
  <c r="Y66" i="12"/>
  <c r="AA66" i="12" s="1"/>
  <c r="F327" i="12"/>
  <c r="F762" i="12" s="1"/>
  <c r="D283" i="12"/>
  <c r="D302" i="12"/>
  <c r="D308" i="12" s="1"/>
  <c r="E302" i="12"/>
  <c r="E308" i="12" s="1"/>
  <c r="E283" i="12"/>
  <c r="F302" i="12"/>
  <c r="F308" i="12" s="1"/>
  <c r="F283" i="12"/>
  <c r="AF39" i="70"/>
  <c r="G472" i="99" l="1"/>
  <c r="H473" i="99"/>
  <c r="E447" i="96"/>
  <c r="I482" i="96" s="1"/>
  <c r="F482" i="96"/>
  <c r="G55" i="96" s="1"/>
  <c r="G595" i="99"/>
  <c r="H49" i="99" s="1"/>
  <c r="G49" i="99"/>
  <c r="N57" i="84"/>
  <c r="D707" i="107"/>
  <c r="H742" i="107" s="1"/>
  <c r="E742" i="107"/>
  <c r="G59" i="107" s="1"/>
  <c r="F447" i="96"/>
  <c r="J482" i="96" s="1"/>
  <c r="G482" i="96"/>
  <c r="G59" i="96" s="1"/>
  <c r="E707" i="107"/>
  <c r="I742" i="107" s="1"/>
  <c r="F742" i="107"/>
  <c r="G63" i="107" s="1"/>
  <c r="F329" i="96"/>
  <c r="J364" i="96" s="1"/>
  <c r="H47" i="96" s="1"/>
  <c r="G364" i="96"/>
  <c r="G47" i="96" s="1"/>
  <c r="F707" i="107"/>
  <c r="J742" i="107" s="1"/>
  <c r="G742" i="107"/>
  <c r="G67" i="107" s="1"/>
  <c r="D447" i="96"/>
  <c r="H482" i="96" s="1"/>
  <c r="E482" i="96"/>
  <c r="G51" i="96" s="1"/>
  <c r="AJ23" i="150"/>
  <c r="AK23" i="150" s="1"/>
  <c r="AJ43" i="171"/>
  <c r="AK43" i="171" s="1"/>
  <c r="G72" i="84"/>
  <c r="AJ23" i="26"/>
  <c r="AK23" i="26" s="1"/>
  <c r="D329" i="96"/>
  <c r="H364" i="96" s="1"/>
  <c r="E364" i="96"/>
  <c r="G39" i="96" s="1"/>
  <c r="N56" i="84"/>
  <c r="P68" i="51"/>
  <c r="U68" i="51"/>
  <c r="V68" i="51" s="1"/>
  <c r="E329" i="96"/>
  <c r="I364" i="96" s="1"/>
  <c r="F364" i="96"/>
  <c r="G43" i="96" s="1"/>
  <c r="G32" i="96"/>
  <c r="F711" i="96"/>
  <c r="G92" i="96" s="1"/>
  <c r="N49" i="81"/>
  <c r="O49" i="81" s="1"/>
  <c r="U49" i="81" s="1"/>
  <c r="AJ31" i="81"/>
  <c r="AK31" i="81" s="1"/>
  <c r="N61" i="81"/>
  <c r="O61" i="81" s="1"/>
  <c r="U61" i="81" s="1"/>
  <c r="N48" i="81"/>
  <c r="O48" i="81" s="1"/>
  <c r="U48" i="81" s="1"/>
  <c r="N60" i="81"/>
  <c r="O60" i="81" s="1"/>
  <c r="U60" i="81" s="1"/>
  <c r="F299" i="150"/>
  <c r="J341" i="150" s="1"/>
  <c r="H47" i="150" s="1"/>
  <c r="G341" i="150"/>
  <c r="G47" i="150" s="1"/>
  <c r="D299" i="150"/>
  <c r="H341" i="150" s="1"/>
  <c r="E341" i="150"/>
  <c r="G39" i="150" s="1"/>
  <c r="E299" i="150"/>
  <c r="I341" i="150" s="1"/>
  <c r="H43" i="150" s="1"/>
  <c r="F341" i="150"/>
  <c r="G43" i="150" s="1"/>
  <c r="D387" i="107"/>
  <c r="D388" i="107" s="1"/>
  <c r="D389" i="107" s="1"/>
  <c r="D377" i="107"/>
  <c r="E395" i="107" s="1"/>
  <c r="G40" i="107" s="1"/>
  <c r="D355" i="107"/>
  <c r="E357" i="107"/>
  <c r="I394" i="107" s="1"/>
  <c r="F394" i="107"/>
  <c r="G43" i="107" s="1"/>
  <c r="F391" i="107"/>
  <c r="J396" i="107" s="1"/>
  <c r="H49" i="107" s="1"/>
  <c r="G396" i="107"/>
  <c r="G49" i="107" s="1"/>
  <c r="F357" i="107"/>
  <c r="J394" i="107" s="1"/>
  <c r="G394" i="107"/>
  <c r="G47" i="107" s="1"/>
  <c r="E391" i="107"/>
  <c r="I396" i="107" s="1"/>
  <c r="H45" i="107" s="1"/>
  <c r="F396" i="107"/>
  <c r="G45" i="107" s="1"/>
  <c r="E708" i="12"/>
  <c r="F723" i="12"/>
  <c r="G60" i="12" s="1"/>
  <c r="F253" i="171"/>
  <c r="J295" i="171" s="1"/>
  <c r="D47" i="78"/>
  <c r="D53" i="78" s="1"/>
  <c r="N39" i="76"/>
  <c r="O39" i="76" s="1"/>
  <c r="AJ39" i="76"/>
  <c r="AK39" i="76" s="1"/>
  <c r="AO55" i="179"/>
  <c r="AP55" i="179" s="1"/>
  <c r="O55" i="179"/>
  <c r="P55" i="179" s="1"/>
  <c r="M221" i="71"/>
  <c r="L221" i="71"/>
  <c r="K221" i="71"/>
  <c r="D188" i="152"/>
  <c r="D253" i="171"/>
  <c r="H295" i="171" s="1"/>
  <c r="D410" i="169"/>
  <c r="J50" i="172"/>
  <c r="J36" i="170"/>
  <c r="N45" i="69"/>
  <c r="K41" i="98"/>
  <c r="K48" i="72"/>
  <c r="E201" i="96"/>
  <c r="I242" i="96" s="1"/>
  <c r="H31" i="96" s="1"/>
  <c r="F193" i="150"/>
  <c r="J234" i="150" s="1"/>
  <c r="F517" i="81"/>
  <c r="N59" i="81" s="1"/>
  <c r="O59" i="81" s="1"/>
  <c r="U59" i="81" s="1"/>
  <c r="E200" i="169"/>
  <c r="E203" i="169" s="1"/>
  <c r="I220" i="169" s="1"/>
  <c r="H32" i="169" s="1"/>
  <c r="E240" i="165"/>
  <c r="I282" i="165" s="1"/>
  <c r="H31" i="165" s="1"/>
  <c r="N201" i="71"/>
  <c r="O201" i="71" s="1"/>
  <c r="C203" i="71" s="1"/>
  <c r="C205" i="71" s="1"/>
  <c r="C200" i="71" s="1"/>
  <c r="G363" i="152"/>
  <c r="E253" i="171"/>
  <c r="I295" i="171" s="1"/>
  <c r="F165" i="152"/>
  <c r="J206" i="152" s="1"/>
  <c r="H35" i="152" s="1"/>
  <c r="AO51" i="179"/>
  <c r="AP51" i="179" s="1"/>
  <c r="O51" i="179"/>
  <c r="P51" i="179" s="1"/>
  <c r="N67" i="169"/>
  <c r="O67" i="169" s="1"/>
  <c r="AJ67" i="169"/>
  <c r="AK67" i="169" s="1"/>
  <c r="O36" i="179"/>
  <c r="P36" i="179" s="1"/>
  <c r="AO36" i="179"/>
  <c r="F249" i="171"/>
  <c r="G39" i="171" s="1"/>
  <c r="F287" i="171"/>
  <c r="F288" i="171" s="1"/>
  <c r="F290" i="171" s="1"/>
  <c r="W23" i="179"/>
  <c r="Q23" i="179"/>
  <c r="F394" i="169"/>
  <c r="J428" i="169" s="1"/>
  <c r="F420" i="169"/>
  <c r="F421" i="169" s="1"/>
  <c r="O63" i="179"/>
  <c r="P63" i="179" s="1"/>
  <c r="AO63" i="179"/>
  <c r="AP63" i="179" s="1"/>
  <c r="D211" i="169"/>
  <c r="D212" i="169" s="1"/>
  <c r="D214" i="169" s="1"/>
  <c r="D182" i="169"/>
  <c r="G27" i="169" s="1"/>
  <c r="AJ43" i="152"/>
  <c r="AK43" i="152" s="1"/>
  <c r="N43" i="152"/>
  <c r="O43" i="152" s="1"/>
  <c r="N68" i="150"/>
  <c r="O68" i="150" s="1"/>
  <c r="U68" i="150" s="1"/>
  <c r="AJ68" i="150"/>
  <c r="D321" i="150"/>
  <c r="D317" i="150"/>
  <c r="F263" i="165"/>
  <c r="F265" i="165" s="1"/>
  <c r="J283" i="165" s="1"/>
  <c r="H36" i="165" s="1"/>
  <c r="F260" i="165"/>
  <c r="G283" i="165" s="1"/>
  <c r="G36" i="165" s="1"/>
  <c r="Y48" i="179"/>
  <c r="Z48" i="179" s="1"/>
  <c r="AJ69" i="150"/>
  <c r="N69" i="150"/>
  <c r="O69" i="150" s="1"/>
  <c r="U69" i="150" s="1"/>
  <c r="D137" i="171"/>
  <c r="H180" i="171" s="1"/>
  <c r="F276" i="171"/>
  <c r="F278" i="171" s="1"/>
  <c r="J296" i="171" s="1"/>
  <c r="H40" i="171" s="1"/>
  <c r="F273" i="171"/>
  <c r="E161" i="152"/>
  <c r="E199" i="152"/>
  <c r="E200" i="152" s="1"/>
  <c r="E202" i="152" s="1"/>
  <c r="F410" i="169"/>
  <c r="F412" i="169" s="1"/>
  <c r="J429" i="169" s="1"/>
  <c r="H52" i="169" s="1"/>
  <c r="F407" i="169"/>
  <c r="F414" i="169" s="1"/>
  <c r="E263" i="165"/>
  <c r="E265" i="165" s="1"/>
  <c r="I283" i="165" s="1"/>
  <c r="H32" i="165" s="1"/>
  <c r="F200" i="169"/>
  <c r="F203" i="169" s="1"/>
  <c r="J220" i="169" s="1"/>
  <c r="H36" i="169" s="1"/>
  <c r="F197" i="169"/>
  <c r="F205" i="169" s="1"/>
  <c r="J363" i="152"/>
  <c r="D276" i="171"/>
  <c r="D278" i="171" s="1"/>
  <c r="H296" i="171" s="1"/>
  <c r="H32" i="171" s="1"/>
  <c r="Y49" i="179"/>
  <c r="Z49" i="179" s="1"/>
  <c r="AA49" i="179" s="1"/>
  <c r="AD49" i="179" s="1"/>
  <c r="AF49" i="179" s="1"/>
  <c r="AJ51" i="171"/>
  <c r="N51" i="171"/>
  <c r="O51" i="171" s="1"/>
  <c r="P47" i="171"/>
  <c r="U47" i="171"/>
  <c r="D161" i="152"/>
  <c r="E206" i="152" s="1"/>
  <c r="D199" i="152"/>
  <c r="D200" i="152" s="1"/>
  <c r="D202" i="152" s="1"/>
  <c r="F274" i="165"/>
  <c r="F275" i="165" s="1"/>
  <c r="F277" i="165" s="1"/>
  <c r="F236" i="165"/>
  <c r="G282" i="165" s="1"/>
  <c r="G35" i="165" s="1"/>
  <c r="H27" i="165"/>
  <c r="E503" i="169"/>
  <c r="E505" i="169" s="1"/>
  <c r="I522" i="169" s="1"/>
  <c r="H60" i="169" s="1"/>
  <c r="E272" i="99"/>
  <c r="I313" i="99" s="1"/>
  <c r="I786" i="99" s="1"/>
  <c r="U59" i="152"/>
  <c r="P59" i="152"/>
  <c r="F188" i="152"/>
  <c r="F190" i="152" s="1"/>
  <c r="J207" i="152" s="1"/>
  <c r="F185" i="152"/>
  <c r="G207" i="152" s="1"/>
  <c r="E188" i="152"/>
  <c r="E190" i="152" s="1"/>
  <c r="I207" i="152" s="1"/>
  <c r="E185" i="152"/>
  <c r="F207" i="152" s="1"/>
  <c r="P39" i="165"/>
  <c r="U39" i="165"/>
  <c r="H71" i="150"/>
  <c r="J711" i="150"/>
  <c r="E287" i="171"/>
  <c r="E288" i="171" s="1"/>
  <c r="E290" i="171" s="1"/>
  <c r="E249" i="171"/>
  <c r="G35" i="171" s="1"/>
  <c r="F182" i="169"/>
  <c r="F211" i="169"/>
  <c r="F212" i="169" s="1"/>
  <c r="F214" i="169" s="1"/>
  <c r="F215" i="169" s="1"/>
  <c r="J221" i="169" s="1"/>
  <c r="H37" i="169" s="1"/>
  <c r="E513" i="169"/>
  <c r="E514" i="169" s="1"/>
  <c r="E486" i="169"/>
  <c r="F486" i="169"/>
  <c r="F513" i="169"/>
  <c r="F514" i="169" s="1"/>
  <c r="U39" i="152"/>
  <c r="P39" i="152"/>
  <c r="D193" i="152"/>
  <c r="F28" i="152" s="1"/>
  <c r="E207" i="152"/>
  <c r="G28" i="152" s="1"/>
  <c r="D192" i="152"/>
  <c r="D503" i="169"/>
  <c r="D505" i="169" s="1"/>
  <c r="H522" i="169" s="1"/>
  <c r="H56" i="169" s="1"/>
  <c r="Y45" i="179"/>
  <c r="Z45" i="179" s="1"/>
  <c r="AA45" i="179" s="1"/>
  <c r="AD45" i="179" s="1"/>
  <c r="AF45" i="179" s="1"/>
  <c r="F199" i="152"/>
  <c r="F200" i="152" s="1"/>
  <c r="F202" i="152" s="1"/>
  <c r="F161" i="152"/>
  <c r="E412" i="169"/>
  <c r="I429" i="169" s="1"/>
  <c r="H48" i="169" s="1"/>
  <c r="O37" i="179"/>
  <c r="P37" i="179" s="1"/>
  <c r="W37" i="179" s="1"/>
  <c r="Y37" i="179" s="1"/>
  <c r="Z37" i="179" s="1"/>
  <c r="AA37" i="179" s="1"/>
  <c r="AD37" i="179" s="1"/>
  <c r="AF37" i="179" s="1"/>
  <c r="AO37" i="179"/>
  <c r="H67" i="150"/>
  <c r="G711" i="150"/>
  <c r="E280" i="171"/>
  <c r="G36" i="171" s="1"/>
  <c r="E281" i="171"/>
  <c r="F36" i="171" s="1"/>
  <c r="H63" i="150"/>
  <c r="J587" i="150"/>
  <c r="G60" i="169"/>
  <c r="E508" i="169"/>
  <c r="F60" i="169" s="1"/>
  <c r="Y61" i="179"/>
  <c r="Z61" i="179" s="1"/>
  <c r="AA61" i="179" s="1"/>
  <c r="AD61" i="179" s="1"/>
  <c r="AF61" i="179" s="1"/>
  <c r="F508" i="169"/>
  <c r="F64" i="169" s="1"/>
  <c r="G64" i="169"/>
  <c r="W45" i="152"/>
  <c r="X45" i="152" s="1"/>
  <c r="D165" i="152"/>
  <c r="H206" i="152" s="1"/>
  <c r="D160" i="165"/>
  <c r="D117" i="165"/>
  <c r="D144" i="165"/>
  <c r="AO59" i="179"/>
  <c r="AP59" i="179" s="1"/>
  <c r="O59" i="179"/>
  <c r="P59" i="179" s="1"/>
  <c r="F503" i="169"/>
  <c r="F505" i="169" s="1"/>
  <c r="J522" i="169" s="1"/>
  <c r="H64" i="169" s="1"/>
  <c r="E268" i="165"/>
  <c r="F32" i="165" s="1"/>
  <c r="E267" i="165"/>
  <c r="Y33" i="179"/>
  <c r="Z33" i="179" s="1"/>
  <c r="N23" i="152"/>
  <c r="O23" i="152" s="1"/>
  <c r="AJ23" i="152"/>
  <c r="AK23" i="152" s="1"/>
  <c r="O41" i="179"/>
  <c r="P41" i="179" s="1"/>
  <c r="W41" i="179" s="1"/>
  <c r="AO41" i="179"/>
  <c r="H39" i="171"/>
  <c r="H35" i="171"/>
  <c r="H59" i="150"/>
  <c r="G587" i="150"/>
  <c r="P43" i="171"/>
  <c r="U43" i="171"/>
  <c r="E276" i="171"/>
  <c r="E278" i="171" s="1"/>
  <c r="I296" i="171" s="1"/>
  <c r="H36" i="171" s="1"/>
  <c r="D274" i="165"/>
  <c r="D275" i="165" s="1"/>
  <c r="D277" i="165" s="1"/>
  <c r="D236" i="165"/>
  <c r="E282" i="165" s="1"/>
  <c r="G27" i="165" s="1"/>
  <c r="G32" i="169"/>
  <c r="E206" i="169"/>
  <c r="F32" i="169" s="1"/>
  <c r="D303" i="169"/>
  <c r="D305" i="169" s="1"/>
  <c r="D307" i="169" s="1"/>
  <c r="D309" i="169" s="1"/>
  <c r="G327" i="169" s="1"/>
  <c r="H40" i="169" s="1"/>
  <c r="D281" i="169"/>
  <c r="N23" i="171"/>
  <c r="O23" i="171" s="1"/>
  <c r="AJ23" i="171"/>
  <c r="AK23" i="171" s="1"/>
  <c r="AJ23" i="163"/>
  <c r="AK23" i="163" s="1"/>
  <c r="N23" i="163"/>
  <c r="O23" i="163" s="1"/>
  <c r="E236" i="165"/>
  <c r="F282" i="165" s="1"/>
  <c r="G31" i="165" s="1"/>
  <c r="E274" i="165"/>
  <c r="E275" i="165" s="1"/>
  <c r="E277" i="165" s="1"/>
  <c r="D280" i="171"/>
  <c r="G32" i="171" s="1"/>
  <c r="D281" i="171"/>
  <c r="E296" i="171"/>
  <c r="AJ23" i="169"/>
  <c r="AK23" i="169" s="1"/>
  <c r="N23" i="169"/>
  <c r="O23" i="169" s="1"/>
  <c r="AO27" i="179"/>
  <c r="AP27" i="179" s="1"/>
  <c r="O27" i="179"/>
  <c r="P27" i="179" s="1"/>
  <c r="Y28" i="179"/>
  <c r="Z28" i="179" s="1"/>
  <c r="Y29" i="179"/>
  <c r="Z29" i="179" s="1"/>
  <c r="Y32" i="179"/>
  <c r="Z32" i="179" s="1"/>
  <c r="AA32" i="179" s="1"/>
  <c r="AD32" i="179" s="1"/>
  <c r="AF32" i="179" s="1"/>
  <c r="O43" i="179"/>
  <c r="P43" i="179" s="1"/>
  <c r="AO43" i="179"/>
  <c r="AP43" i="179" s="1"/>
  <c r="E394" i="169"/>
  <c r="I428" i="169" s="1"/>
  <c r="E420" i="169"/>
  <c r="E421" i="169" s="1"/>
  <c r="D263" i="165"/>
  <c r="D265" i="165" s="1"/>
  <c r="H283" i="165" s="1"/>
  <c r="H28" i="165" s="1"/>
  <c r="D260" i="165"/>
  <c r="E165" i="152"/>
  <c r="I206" i="152" s="1"/>
  <c r="E211" i="169"/>
  <c r="E212" i="169" s="1"/>
  <c r="E214" i="169" s="1"/>
  <c r="E215" i="169" s="1"/>
  <c r="I221" i="169" s="1"/>
  <c r="H33" i="169" s="1"/>
  <c r="E182" i="169"/>
  <c r="Y53" i="179"/>
  <c r="Z53" i="179" s="1"/>
  <c r="D130" i="171"/>
  <c r="D157" i="171"/>
  <c r="D173" i="171"/>
  <c r="N23" i="150"/>
  <c r="O23" i="150" s="1"/>
  <c r="U23" i="150" s="1"/>
  <c r="F321" i="150"/>
  <c r="F317" i="150"/>
  <c r="G342" i="150" s="1"/>
  <c r="G48" i="150" s="1"/>
  <c r="F364" i="179"/>
  <c r="I375" i="179" s="1"/>
  <c r="D249" i="171"/>
  <c r="D287" i="171"/>
  <c r="D288" i="171" s="1"/>
  <c r="D290" i="171" s="1"/>
  <c r="G33" i="171" s="1"/>
  <c r="D507" i="169"/>
  <c r="E522" i="169"/>
  <c r="D200" i="169"/>
  <c r="D203" i="169" s="1"/>
  <c r="H220" i="169" s="1"/>
  <c r="H28" i="169" s="1"/>
  <c r="E429" i="169"/>
  <c r="D414" i="169"/>
  <c r="AO47" i="179"/>
  <c r="AP47" i="179" s="1"/>
  <c r="O47" i="179"/>
  <c r="P47" i="179" s="1"/>
  <c r="D124" i="165"/>
  <c r="H167" i="165" s="1"/>
  <c r="E415" i="169"/>
  <c r="F48" i="169" s="1"/>
  <c r="G48" i="169"/>
  <c r="W44" i="152"/>
  <c r="X44" i="152" s="1"/>
  <c r="L180" i="71"/>
  <c r="M180" i="71"/>
  <c r="K180" i="71"/>
  <c r="N55" i="171"/>
  <c r="O55" i="171" s="1"/>
  <c r="AJ55" i="171"/>
  <c r="AK55" i="171" s="1"/>
  <c r="AJ23" i="165"/>
  <c r="AK23" i="165" s="1"/>
  <c r="N23" i="165"/>
  <c r="O23" i="165" s="1"/>
  <c r="AO40" i="179"/>
  <c r="O40" i="179"/>
  <c r="P40" i="179" s="1"/>
  <c r="H31" i="171"/>
  <c r="E321" i="150"/>
  <c r="E317" i="150"/>
  <c r="F342" i="150" s="1"/>
  <c r="G44" i="150" s="1"/>
  <c r="D412" i="169"/>
  <c r="H429" i="169" s="1"/>
  <c r="H44" i="169" s="1"/>
  <c r="D513" i="169"/>
  <c r="D514" i="169" s="1"/>
  <c r="D486" i="169"/>
  <c r="G55" i="169" s="1"/>
  <c r="D420" i="169"/>
  <c r="D421" i="169" s="1"/>
  <c r="D394" i="169"/>
  <c r="H428" i="169" s="1"/>
  <c r="E428" i="169"/>
  <c r="E220" i="169"/>
  <c r="D205" i="169"/>
  <c r="D190" i="152"/>
  <c r="H207" i="152" s="1"/>
  <c r="AJ72" i="150"/>
  <c r="N72" i="150"/>
  <c r="O72" i="150" s="1"/>
  <c r="U72" i="150" s="1"/>
  <c r="O31" i="179"/>
  <c r="P31" i="179" s="1"/>
  <c r="AO31" i="179"/>
  <c r="AP31" i="179" s="1"/>
  <c r="H39" i="150"/>
  <c r="F240" i="165"/>
  <c r="J282" i="165" s="1"/>
  <c r="N73" i="150"/>
  <c r="O73" i="150" s="1"/>
  <c r="U73" i="150" s="1"/>
  <c r="AJ73" i="150"/>
  <c r="D193" i="150"/>
  <c r="H234" i="150" s="1"/>
  <c r="H27" i="150" s="1"/>
  <c r="E188" i="107"/>
  <c r="I229" i="107" s="1"/>
  <c r="H31" i="107" s="1"/>
  <c r="D517" i="81"/>
  <c r="N47" i="81" s="1"/>
  <c r="O47" i="81" s="1"/>
  <c r="H52" i="150"/>
  <c r="H56" i="150"/>
  <c r="H53" i="150"/>
  <c r="H57" i="150"/>
  <c r="D272" i="99"/>
  <c r="H313" i="99" s="1"/>
  <c r="H786" i="99" s="1"/>
  <c r="F188" i="107"/>
  <c r="J229" i="107" s="1"/>
  <c r="H35" i="107" s="1"/>
  <c r="G524" i="81"/>
  <c r="H44" i="81" s="1"/>
  <c r="N23" i="26"/>
  <c r="O23" i="26" s="1"/>
  <c r="J465" i="150"/>
  <c r="H55" i="150"/>
  <c r="G465" i="150"/>
  <c r="H51" i="150"/>
  <c r="D672" i="99"/>
  <c r="H743" i="99" s="1"/>
  <c r="H51" i="99" s="1"/>
  <c r="D559" i="99"/>
  <c r="N23" i="96"/>
  <c r="O23" i="96" s="1"/>
  <c r="AJ23" i="96"/>
  <c r="AK23" i="96" s="1"/>
  <c r="H43" i="96"/>
  <c r="D201" i="96"/>
  <c r="H242" i="96" s="1"/>
  <c r="E381" i="107"/>
  <c r="F44" i="107" s="1"/>
  <c r="E382" i="107"/>
  <c r="E380" i="107"/>
  <c r="I395" i="107" s="1"/>
  <c r="H44" i="107" s="1"/>
  <c r="F306" i="99"/>
  <c r="F307" i="99" s="1"/>
  <c r="F309" i="99" s="1"/>
  <c r="F268" i="99"/>
  <c r="G39" i="99" s="1"/>
  <c r="U99" i="96"/>
  <c r="P99" i="96"/>
  <c r="W53" i="107"/>
  <c r="X53" i="107" s="1"/>
  <c r="D722" i="107"/>
  <c r="D726" i="107"/>
  <c r="D216" i="107"/>
  <c r="F28" i="107" s="1"/>
  <c r="D215" i="107"/>
  <c r="E230" i="107"/>
  <c r="D681" i="99"/>
  <c r="D680" i="99" s="1"/>
  <c r="D685" i="99" s="1"/>
  <c r="D687" i="99" s="1"/>
  <c r="D668" i="99"/>
  <c r="D726" i="99"/>
  <c r="D727" i="99" s="1"/>
  <c r="D729" i="99" s="1"/>
  <c r="G53" i="99" s="1"/>
  <c r="E348" i="96"/>
  <c r="E344" i="96"/>
  <c r="F365" i="96" s="1"/>
  <c r="G44" i="96" s="1"/>
  <c r="H51" i="96"/>
  <c r="W45" i="99"/>
  <c r="X45" i="99" s="1"/>
  <c r="Y45" i="99" s="1"/>
  <c r="AA45" i="99" s="1"/>
  <c r="N23" i="99"/>
  <c r="O23" i="99" s="1"/>
  <c r="AJ23" i="99"/>
  <c r="AK23" i="99" s="1"/>
  <c r="H59" i="84"/>
  <c r="G670" i="84"/>
  <c r="N45" i="107"/>
  <c r="O45" i="107" s="1"/>
  <c r="U45" i="107" s="1"/>
  <c r="W45" i="107" s="1"/>
  <c r="X45" i="107" s="1"/>
  <c r="Y45" i="107" s="1"/>
  <c r="AA45" i="107" s="1"/>
  <c r="AJ45" i="107"/>
  <c r="F295" i="99"/>
  <c r="F297" i="99" s="1"/>
  <c r="J314" i="99" s="1"/>
  <c r="F292" i="99"/>
  <c r="J728" i="150"/>
  <c r="H35" i="150"/>
  <c r="H59" i="107"/>
  <c r="E222" i="107"/>
  <c r="E223" i="107" s="1"/>
  <c r="E225" i="107" s="1"/>
  <c r="E184" i="107"/>
  <c r="F229" i="107" s="1"/>
  <c r="F759" i="107" s="1"/>
  <c r="G75" i="107" s="1"/>
  <c r="W56" i="107"/>
  <c r="X56" i="107" s="1"/>
  <c r="Y56" i="107" s="1"/>
  <c r="AA56" i="107" s="1"/>
  <c r="D184" i="107"/>
  <c r="E229" i="107" s="1"/>
  <c r="D222" i="107"/>
  <c r="D223" i="107" s="1"/>
  <c r="D225" i="107" s="1"/>
  <c r="D720" i="99"/>
  <c r="F52" i="99" s="1"/>
  <c r="D719" i="99"/>
  <c r="G52" i="99" s="1"/>
  <c r="E744" i="99"/>
  <c r="D211" i="107"/>
  <c r="D213" i="107" s="1"/>
  <c r="H230" i="107" s="1"/>
  <c r="H28" i="107" s="1"/>
  <c r="D216" i="150"/>
  <c r="D218" i="150" s="1"/>
  <c r="H235" i="150" s="1"/>
  <c r="D213" i="150"/>
  <c r="W57" i="107"/>
  <c r="X57" i="107" s="1"/>
  <c r="Y57" i="107" s="1"/>
  <c r="AA57" i="107" s="1"/>
  <c r="D466" i="96"/>
  <c r="D462" i="96"/>
  <c r="D156" i="99"/>
  <c r="H199" i="99" s="1"/>
  <c r="H63" i="84"/>
  <c r="J670" i="84"/>
  <c r="H43" i="107"/>
  <c r="D224" i="96"/>
  <c r="D226" i="96" s="1"/>
  <c r="H243" i="96" s="1"/>
  <c r="F184" i="107"/>
  <c r="G229" i="107" s="1"/>
  <c r="G759" i="107" s="1"/>
  <c r="G79" i="107" s="1"/>
  <c r="F222" i="107"/>
  <c r="F223" i="107" s="1"/>
  <c r="F225" i="107" s="1"/>
  <c r="F722" i="107"/>
  <c r="G743" i="107" s="1"/>
  <c r="G68" i="107" s="1"/>
  <c r="F726" i="107"/>
  <c r="E193" i="150"/>
  <c r="I234" i="150" s="1"/>
  <c r="D596" i="96"/>
  <c r="D597" i="96" s="1"/>
  <c r="D598" i="96" s="1"/>
  <c r="D566" i="96"/>
  <c r="E211" i="107"/>
  <c r="E213" i="107" s="1"/>
  <c r="I230" i="107" s="1"/>
  <c r="E208" i="107"/>
  <c r="F230" i="107" s="1"/>
  <c r="F760" i="107" s="1"/>
  <c r="G76" i="107" s="1"/>
  <c r="D382" i="107"/>
  <c r="D381" i="107"/>
  <c r="F40" i="107" s="1"/>
  <c r="D380" i="107"/>
  <c r="H395" i="107" s="1"/>
  <c r="H40" i="107" s="1"/>
  <c r="F235" i="96"/>
  <c r="F236" i="96" s="1"/>
  <c r="F238" i="96" s="1"/>
  <c r="F197" i="96"/>
  <c r="G242" i="96" s="1"/>
  <c r="D189" i="150"/>
  <c r="E234" i="150" s="1"/>
  <c r="D227" i="150"/>
  <c r="D228" i="150" s="1"/>
  <c r="D230" i="150" s="1"/>
  <c r="P87" i="150"/>
  <c r="U87" i="150"/>
  <c r="E295" i="99"/>
  <c r="E297" i="99" s="1"/>
  <c r="I314" i="99" s="1"/>
  <c r="E235" i="96"/>
  <c r="E236" i="96" s="1"/>
  <c r="E238" i="96" s="1"/>
  <c r="E197" i="96"/>
  <c r="F242" i="96" s="1"/>
  <c r="E268" i="99"/>
  <c r="G35" i="99" s="1"/>
  <c r="E306" i="99"/>
  <c r="E307" i="99" s="1"/>
  <c r="E309" i="99" s="1"/>
  <c r="H39" i="96"/>
  <c r="F272" i="99"/>
  <c r="J313" i="99" s="1"/>
  <c r="D268" i="99"/>
  <c r="D306" i="99"/>
  <c r="D307" i="99" s="1"/>
  <c r="D309" i="99" s="1"/>
  <c r="G33" i="99" s="1"/>
  <c r="E673" i="96"/>
  <c r="I692" i="96" s="1"/>
  <c r="H80" i="96" s="1"/>
  <c r="E675" i="96"/>
  <c r="F211" i="107"/>
  <c r="F213" i="107" s="1"/>
  <c r="J230" i="107" s="1"/>
  <c r="F208" i="107"/>
  <c r="G230" i="107" s="1"/>
  <c r="G760" i="107" s="1"/>
  <c r="G80" i="107" s="1"/>
  <c r="H67" i="107"/>
  <c r="D589" i="96"/>
  <c r="D587" i="96"/>
  <c r="H606" i="96" s="1"/>
  <c r="H64" i="96" s="1"/>
  <c r="AJ49" i="107"/>
  <c r="N49" i="107"/>
  <c r="O49" i="107" s="1"/>
  <c r="U49" i="107" s="1"/>
  <c r="W49" i="107" s="1"/>
  <c r="X49" i="107" s="1"/>
  <c r="Y49" i="107" s="1"/>
  <c r="AA49" i="107" s="1"/>
  <c r="F224" i="96"/>
  <c r="F226" i="96" s="1"/>
  <c r="J243" i="96" s="1"/>
  <c r="F221" i="96"/>
  <c r="G243" i="96" s="1"/>
  <c r="H63" i="107"/>
  <c r="F216" i="150"/>
  <c r="F218" i="150" s="1"/>
  <c r="J235" i="150" s="1"/>
  <c r="F213" i="150"/>
  <c r="G235" i="150" s="1"/>
  <c r="G729" i="150" s="1"/>
  <c r="G84" i="150" s="1"/>
  <c r="D297" i="99"/>
  <c r="H314" i="99" s="1"/>
  <c r="E229" i="96"/>
  <c r="F32" i="96" s="1"/>
  <c r="E228" i="96"/>
  <c r="E300" i="99"/>
  <c r="F36" i="99" s="1"/>
  <c r="E299" i="99"/>
  <c r="G36" i="99" s="1"/>
  <c r="D348" i="96"/>
  <c r="D344" i="96"/>
  <c r="D299" i="99"/>
  <c r="G32" i="99" s="1"/>
  <c r="D300" i="99"/>
  <c r="F32" i="99" s="1"/>
  <c r="E314" i="99"/>
  <c r="E787" i="99" s="1"/>
  <c r="G81" i="99" s="1"/>
  <c r="U83" i="107"/>
  <c r="V83" i="107" s="1"/>
  <c r="P83" i="107"/>
  <c r="E652" i="96"/>
  <c r="E682" i="96"/>
  <c r="E683" i="96" s="1"/>
  <c r="E684" i="96" s="1"/>
  <c r="E224" i="96"/>
  <c r="E226" i="96" s="1"/>
  <c r="I243" i="96" s="1"/>
  <c r="E596" i="96"/>
  <c r="E597" i="96" s="1"/>
  <c r="E598" i="96" s="1"/>
  <c r="E566" i="96"/>
  <c r="F566" i="96"/>
  <c r="F596" i="96"/>
  <c r="F597" i="96" s="1"/>
  <c r="F598" i="96" s="1"/>
  <c r="AJ60" i="84"/>
  <c r="N60" i="84"/>
  <c r="O60" i="84" s="1"/>
  <c r="U60" i="84" s="1"/>
  <c r="W60" i="84" s="1"/>
  <c r="X60" i="84" s="1"/>
  <c r="Y60" i="84" s="1"/>
  <c r="AA60" i="84" s="1"/>
  <c r="F675" i="96"/>
  <c r="F673" i="96"/>
  <c r="J692" i="96" s="1"/>
  <c r="H84" i="96" s="1"/>
  <c r="H47" i="107"/>
  <c r="N55" i="107"/>
  <c r="O55" i="107" s="1"/>
  <c r="AJ55" i="107"/>
  <c r="AK55" i="107" s="1"/>
  <c r="D235" i="96"/>
  <c r="D236" i="96" s="1"/>
  <c r="D238" i="96" s="1"/>
  <c r="D197" i="96"/>
  <c r="E242" i="96" s="1"/>
  <c r="H55" i="96"/>
  <c r="E726" i="107"/>
  <c r="E722" i="107"/>
  <c r="F743" i="107" s="1"/>
  <c r="G64" i="107" s="1"/>
  <c r="F227" i="150"/>
  <c r="F228" i="150" s="1"/>
  <c r="F230" i="150" s="1"/>
  <c r="F189" i="150"/>
  <c r="G234" i="150" s="1"/>
  <c r="G728" i="150" s="1"/>
  <c r="G83" i="150" s="1"/>
  <c r="D176" i="99"/>
  <c r="D149" i="99"/>
  <c r="D192" i="99"/>
  <c r="D652" i="96"/>
  <c r="D682" i="96"/>
  <c r="D683" i="96" s="1"/>
  <c r="D684" i="96" s="1"/>
  <c r="D188" i="107"/>
  <c r="H229" i="107" s="1"/>
  <c r="H27" i="107" s="1"/>
  <c r="E587" i="96"/>
  <c r="I606" i="96" s="1"/>
  <c r="H68" i="96" s="1"/>
  <c r="E589" i="96"/>
  <c r="F587" i="96"/>
  <c r="J606" i="96" s="1"/>
  <c r="H72" i="96" s="1"/>
  <c r="F589" i="96"/>
  <c r="N64" i="84"/>
  <c r="O64" i="84" s="1"/>
  <c r="U64" i="84" s="1"/>
  <c r="W64" i="84" s="1"/>
  <c r="X64" i="84" s="1"/>
  <c r="Y64" i="84" s="1"/>
  <c r="AA64" i="84" s="1"/>
  <c r="AJ64" i="84"/>
  <c r="AJ51" i="107"/>
  <c r="AK51" i="107" s="1"/>
  <c r="N51" i="107"/>
  <c r="O51" i="107" s="1"/>
  <c r="F652" i="96"/>
  <c r="F682" i="96"/>
  <c r="F683" i="96" s="1"/>
  <c r="F684" i="96" s="1"/>
  <c r="F382" i="107"/>
  <c r="F381" i="107"/>
  <c r="F48" i="107" s="1"/>
  <c r="F380" i="107"/>
  <c r="J395" i="107" s="1"/>
  <c r="H48" i="107" s="1"/>
  <c r="D229" i="96"/>
  <c r="F28" i="96" s="1"/>
  <c r="E243" i="96"/>
  <c r="D228" i="96"/>
  <c r="E466" i="96"/>
  <c r="E462" i="96"/>
  <c r="F483" i="96" s="1"/>
  <c r="G56" i="96" s="1"/>
  <c r="N61" i="84"/>
  <c r="O61" i="84" s="1"/>
  <c r="U61" i="84" s="1"/>
  <c r="W61" i="84" s="1"/>
  <c r="X61" i="84" s="1"/>
  <c r="Y61" i="84" s="1"/>
  <c r="AA61" i="84" s="1"/>
  <c r="AJ61" i="84"/>
  <c r="D513" i="99"/>
  <c r="G593" i="99" s="1"/>
  <c r="E216" i="150"/>
  <c r="E218" i="150" s="1"/>
  <c r="I235" i="150" s="1"/>
  <c r="E213" i="150"/>
  <c r="F235" i="150" s="1"/>
  <c r="F729" i="150" s="1"/>
  <c r="G80" i="150" s="1"/>
  <c r="F466" i="96"/>
  <c r="F462" i="96"/>
  <c r="G483" i="96" s="1"/>
  <c r="G60" i="96" s="1"/>
  <c r="AJ43" i="99"/>
  <c r="AK43" i="99" s="1"/>
  <c r="N43" i="99"/>
  <c r="O43" i="99" s="1"/>
  <c r="D536" i="99"/>
  <c r="D543" i="99"/>
  <c r="F48" i="99" s="1"/>
  <c r="D544" i="99"/>
  <c r="G48" i="99" s="1"/>
  <c r="D675" i="96"/>
  <c r="D673" i="96"/>
  <c r="H692" i="96" s="1"/>
  <c r="H76" i="96" s="1"/>
  <c r="U71" i="99"/>
  <c r="P71" i="99"/>
  <c r="D715" i="99"/>
  <c r="D717" i="99" s="1"/>
  <c r="H744" i="99" s="1"/>
  <c r="H52" i="99" s="1"/>
  <c r="W44" i="99"/>
  <c r="X44" i="99" s="1"/>
  <c r="N65" i="84"/>
  <c r="O65" i="84" s="1"/>
  <c r="U65" i="84" s="1"/>
  <c r="W65" i="84" s="1"/>
  <c r="X65" i="84" s="1"/>
  <c r="Y65" i="84" s="1"/>
  <c r="AA65" i="84" s="1"/>
  <c r="AJ65" i="84"/>
  <c r="E189" i="150"/>
  <c r="F234" i="150" s="1"/>
  <c r="F728" i="150" s="1"/>
  <c r="G79" i="150" s="1"/>
  <c r="E227" i="150"/>
  <c r="E228" i="150" s="1"/>
  <c r="E230" i="150" s="1"/>
  <c r="H59" i="96"/>
  <c r="F348" i="96"/>
  <c r="F344" i="96"/>
  <c r="G365" i="96" s="1"/>
  <c r="G48" i="96" s="1"/>
  <c r="N48" i="99"/>
  <c r="O48" i="99" s="1"/>
  <c r="U48" i="99" s="1"/>
  <c r="W48" i="99" s="1"/>
  <c r="X48" i="99" s="1"/>
  <c r="Y48" i="99" s="1"/>
  <c r="AA48" i="99" s="1"/>
  <c r="AJ48" i="99"/>
  <c r="F201" i="96"/>
  <c r="J242" i="96" s="1"/>
  <c r="P23" i="107"/>
  <c r="U23" i="107"/>
  <c r="O83" i="12"/>
  <c r="P83" i="12" s="1"/>
  <c r="U65" i="81"/>
  <c r="W65" i="81" s="1"/>
  <c r="X65" i="81" s="1"/>
  <c r="Y65" i="81" s="1"/>
  <c r="AA65" i="81" s="1"/>
  <c r="U41" i="81"/>
  <c r="W41" i="81" s="1"/>
  <c r="X41" i="81" s="1"/>
  <c r="Y41" i="81" s="1"/>
  <c r="AA41" i="81" s="1"/>
  <c r="U64" i="81"/>
  <c r="W64" i="81" s="1"/>
  <c r="X64" i="81" s="1"/>
  <c r="Y64" i="81" s="1"/>
  <c r="AA64" i="81" s="1"/>
  <c r="U36" i="81"/>
  <c r="W36" i="81" s="1"/>
  <c r="X36" i="81" s="1"/>
  <c r="Y36" i="81" s="1"/>
  <c r="AA36" i="81" s="1"/>
  <c r="U40" i="81"/>
  <c r="W40" i="81" s="1"/>
  <c r="X40" i="81" s="1"/>
  <c r="Y40" i="81" s="1"/>
  <c r="AA40" i="81" s="1"/>
  <c r="U37" i="81"/>
  <c r="W37" i="81" s="1"/>
  <c r="X37" i="81" s="1"/>
  <c r="Y37" i="81" s="1"/>
  <c r="AA37" i="81" s="1"/>
  <c r="U45" i="76"/>
  <c r="W45" i="76" s="1"/>
  <c r="X45" i="76" s="1"/>
  <c r="U49" i="76"/>
  <c r="W49" i="76" s="1"/>
  <c r="X49" i="76" s="1"/>
  <c r="U44" i="76"/>
  <c r="W44" i="76" s="1"/>
  <c r="X44" i="76" s="1"/>
  <c r="U48" i="76"/>
  <c r="W48" i="76" s="1"/>
  <c r="X48" i="76" s="1"/>
  <c r="Y48" i="76" s="1"/>
  <c r="AA48" i="76" s="1"/>
  <c r="J553" i="84"/>
  <c r="H55" i="84"/>
  <c r="AJ57" i="84"/>
  <c r="G551" i="84"/>
  <c r="H53" i="84" s="1"/>
  <c r="N31" i="81"/>
  <c r="O31" i="81" s="1"/>
  <c r="U31" i="81" s="1"/>
  <c r="G435" i="84"/>
  <c r="D168" i="84"/>
  <c r="H211" i="84" s="1"/>
  <c r="H27" i="84" s="1"/>
  <c r="N23" i="14"/>
  <c r="O23" i="14" s="1"/>
  <c r="AJ23" i="14"/>
  <c r="AK23" i="14" s="1"/>
  <c r="D204" i="14"/>
  <c r="H221" i="14" s="1"/>
  <c r="H28" i="14" s="1"/>
  <c r="D206" i="14"/>
  <c r="D207" i="14"/>
  <c r="F28" i="14" s="1"/>
  <c r="E221" i="14"/>
  <c r="G28" i="14" s="1"/>
  <c r="D318" i="84"/>
  <c r="D319" i="84" s="1"/>
  <c r="D321" i="84" s="1"/>
  <c r="G33" i="84" s="1"/>
  <c r="D280" i="84"/>
  <c r="N23" i="76"/>
  <c r="O23" i="76" s="1"/>
  <c r="AJ23" i="76"/>
  <c r="AK23" i="76" s="1"/>
  <c r="E675" i="76"/>
  <c r="E676" i="76" s="1"/>
  <c r="E678" i="76" s="1"/>
  <c r="E639" i="76"/>
  <c r="D312" i="84"/>
  <c r="F32" i="84" s="1"/>
  <c r="E327" i="84"/>
  <c r="E710" i="84" s="1"/>
  <c r="E208" i="76"/>
  <c r="I225" i="76" s="1"/>
  <c r="H32" i="76" s="1"/>
  <c r="E210" i="76"/>
  <c r="E211" i="76"/>
  <c r="F32" i="76" s="1"/>
  <c r="D206" i="81"/>
  <c r="D208" i="81" s="1"/>
  <c r="H225" i="81" s="1"/>
  <c r="D217" i="81"/>
  <c r="D218" i="81" s="1"/>
  <c r="D220" i="81" s="1"/>
  <c r="D179" i="81"/>
  <c r="E224" i="81" s="1"/>
  <c r="E633" i="14"/>
  <c r="F52" i="14" s="1"/>
  <c r="E632" i="14"/>
  <c r="E630" i="14"/>
  <c r="I647" i="14" s="1"/>
  <c r="H52" i="14" s="1"/>
  <c r="E669" i="76"/>
  <c r="F56" i="76" s="1"/>
  <c r="E666" i="76"/>
  <c r="I683" i="76" s="1"/>
  <c r="H56" i="76" s="1"/>
  <c r="E668" i="76"/>
  <c r="D639" i="14"/>
  <c r="D640" i="14" s="1"/>
  <c r="D642" i="14" s="1"/>
  <c r="D603" i="14"/>
  <c r="P75" i="81"/>
  <c r="U75" i="81"/>
  <c r="E217" i="76"/>
  <c r="E218" i="76" s="1"/>
  <c r="E220" i="76" s="1"/>
  <c r="E181" i="76"/>
  <c r="E225" i="81"/>
  <c r="D210" i="81"/>
  <c r="D211" i="81"/>
  <c r="AJ23" i="81"/>
  <c r="AK23" i="81" s="1"/>
  <c r="N23" i="81"/>
  <c r="O23" i="81" s="1"/>
  <c r="U23" i="81" s="1"/>
  <c r="E603" i="14"/>
  <c r="E639" i="14"/>
  <c r="E640" i="14" s="1"/>
  <c r="E642" i="14" s="1"/>
  <c r="F668" i="76"/>
  <c r="F666" i="76"/>
  <c r="J683" i="76" s="1"/>
  <c r="H60" i="76" s="1"/>
  <c r="F669" i="76"/>
  <c r="F60" i="76" s="1"/>
  <c r="U63" i="76"/>
  <c r="P63" i="76"/>
  <c r="E183" i="81"/>
  <c r="I224" i="81" s="1"/>
  <c r="AJ43" i="26"/>
  <c r="AK43" i="26" s="1"/>
  <c r="N43" i="26"/>
  <c r="O43" i="26" s="1"/>
  <c r="E647" i="14"/>
  <c r="G48" i="14" s="1"/>
  <c r="D632" i="14"/>
  <c r="D633" i="14"/>
  <c r="F48" i="14" s="1"/>
  <c r="D630" i="14"/>
  <c r="H647" i="14" s="1"/>
  <c r="H48" i="14" s="1"/>
  <c r="AJ56" i="81"/>
  <c r="N56" i="81"/>
  <c r="O56" i="81" s="1"/>
  <c r="P83" i="84"/>
  <c r="U83" i="84"/>
  <c r="U59" i="14"/>
  <c r="P59" i="14"/>
  <c r="F639" i="76"/>
  <c r="F675" i="76"/>
  <c r="F676" i="76" s="1"/>
  <c r="F678" i="76" s="1"/>
  <c r="F183" i="81"/>
  <c r="J224" i="81" s="1"/>
  <c r="E204" i="14"/>
  <c r="I221" i="14" s="1"/>
  <c r="H32" i="14" s="1"/>
  <c r="E207" i="14"/>
  <c r="F32" i="14" s="1"/>
  <c r="E206" i="14"/>
  <c r="D675" i="76"/>
  <c r="D676" i="76" s="1"/>
  <c r="D678" i="76" s="1"/>
  <c r="G53" i="76" s="1"/>
  <c r="D639" i="76"/>
  <c r="G51" i="76" s="1"/>
  <c r="D307" i="84"/>
  <c r="D309" i="84" s="1"/>
  <c r="H327" i="84" s="1"/>
  <c r="F307" i="84"/>
  <c r="F309" i="84" s="1"/>
  <c r="J327" i="84" s="1"/>
  <c r="F304" i="84"/>
  <c r="AJ23" i="84"/>
  <c r="AK23" i="84" s="1"/>
  <c r="N23" i="84"/>
  <c r="O23" i="84" s="1"/>
  <c r="AJ39" i="81"/>
  <c r="AK39" i="81" s="1"/>
  <c r="N39" i="81"/>
  <c r="O39" i="81" s="1"/>
  <c r="P39" i="81" s="1"/>
  <c r="AJ63" i="81"/>
  <c r="AK63" i="81" s="1"/>
  <c r="N63" i="81"/>
  <c r="O63" i="81" s="1"/>
  <c r="D808" i="81"/>
  <c r="D843" i="81"/>
  <c r="D844" i="81" s="1"/>
  <c r="D845" i="81" s="1"/>
  <c r="N53" i="81"/>
  <c r="O53" i="81" s="1"/>
  <c r="U53" i="81" s="1"/>
  <c r="AJ53" i="81"/>
  <c r="AJ35" i="81"/>
  <c r="AK35" i="81" s="1"/>
  <c r="N35" i="81"/>
  <c r="O35" i="81" s="1"/>
  <c r="N51" i="84"/>
  <c r="O51" i="84" s="1"/>
  <c r="AJ51" i="84"/>
  <c r="F208" i="76"/>
  <c r="J225" i="76" s="1"/>
  <c r="H36" i="76" s="1"/>
  <c r="F211" i="76"/>
  <c r="F36" i="76" s="1"/>
  <c r="F210" i="76"/>
  <c r="E284" i="84"/>
  <c r="I326" i="84" s="1"/>
  <c r="E177" i="14"/>
  <c r="E213" i="14"/>
  <c r="E214" i="14" s="1"/>
  <c r="E216" i="14" s="1"/>
  <c r="D666" i="76"/>
  <c r="H683" i="76" s="1"/>
  <c r="H52" i="76" s="1"/>
  <c r="D669" i="76"/>
  <c r="F52" i="76" s="1"/>
  <c r="E683" i="76"/>
  <c r="D668" i="76"/>
  <c r="G52" i="76" s="1"/>
  <c r="F280" i="84"/>
  <c r="G39" i="84" s="1"/>
  <c r="F318" i="84"/>
  <c r="F319" i="84" s="1"/>
  <c r="F321" i="84" s="1"/>
  <c r="E206" i="81"/>
  <c r="E208" i="81" s="1"/>
  <c r="I225" i="81" s="1"/>
  <c r="E203" i="81"/>
  <c r="N43" i="76"/>
  <c r="O43" i="76" s="1"/>
  <c r="AJ43" i="76"/>
  <c r="AK43" i="76" s="1"/>
  <c r="N52" i="81"/>
  <c r="O52" i="81" s="1"/>
  <c r="U52" i="81" s="1"/>
  <c r="AJ52" i="81"/>
  <c r="D188" i="84"/>
  <c r="D161" i="84"/>
  <c r="D204" i="84"/>
  <c r="D181" i="76"/>
  <c r="G27" i="76" s="1"/>
  <c r="D217" i="76"/>
  <c r="D218" i="76" s="1"/>
  <c r="D220" i="76" s="1"/>
  <c r="G29" i="76" s="1"/>
  <c r="D835" i="81"/>
  <c r="D833" i="81"/>
  <c r="H856" i="81" s="1"/>
  <c r="H68" i="81" s="1"/>
  <c r="E856" i="81"/>
  <c r="G68" i="81" s="1"/>
  <c r="F217" i="81"/>
  <c r="F218" i="81" s="1"/>
  <c r="F220" i="81" s="1"/>
  <c r="F221" i="81" s="1"/>
  <c r="J226" i="81" s="1"/>
  <c r="F179" i="81"/>
  <c r="N45" i="81"/>
  <c r="O45" i="81" s="1"/>
  <c r="AJ45" i="81"/>
  <c r="F181" i="76"/>
  <c r="F217" i="76"/>
  <c r="F218" i="76" s="1"/>
  <c r="F220" i="76" s="1"/>
  <c r="D284" i="84"/>
  <c r="H326" i="84" s="1"/>
  <c r="D183" i="81"/>
  <c r="H224" i="81" s="1"/>
  <c r="F632" i="14"/>
  <c r="F633" i="14"/>
  <c r="F56" i="14" s="1"/>
  <c r="F630" i="14"/>
  <c r="J647" i="14" s="1"/>
  <c r="H56" i="14" s="1"/>
  <c r="E280" i="84"/>
  <c r="G35" i="84" s="1"/>
  <c r="E318" i="84"/>
  <c r="E319" i="84" s="1"/>
  <c r="E321" i="84" s="1"/>
  <c r="F177" i="14"/>
  <c r="F213" i="14"/>
  <c r="F214" i="14" s="1"/>
  <c r="F216" i="14" s="1"/>
  <c r="AJ57" i="81"/>
  <c r="N57" i="81"/>
  <c r="O57" i="81" s="1"/>
  <c r="D208" i="76"/>
  <c r="H225" i="76" s="1"/>
  <c r="H28" i="76" s="1"/>
  <c r="D211" i="76"/>
  <c r="F28" i="76" s="1"/>
  <c r="E225" i="76"/>
  <c r="D210" i="76"/>
  <c r="AJ47" i="76"/>
  <c r="AK47" i="76" s="1"/>
  <c r="N47" i="76"/>
  <c r="O47" i="76" s="1"/>
  <c r="E179" i="81"/>
  <c r="E217" i="81"/>
  <c r="E218" i="81" s="1"/>
  <c r="E220" i="81" s="1"/>
  <c r="E221" i="81" s="1"/>
  <c r="I226" i="81" s="1"/>
  <c r="F206" i="81"/>
  <c r="F208" i="81" s="1"/>
  <c r="J225" i="81" s="1"/>
  <c r="F203" i="81"/>
  <c r="F284" i="84"/>
  <c r="J326" i="84" s="1"/>
  <c r="D177" i="14"/>
  <c r="D213" i="14"/>
  <c r="D214" i="14" s="1"/>
  <c r="D216" i="14" s="1"/>
  <c r="F603" i="14"/>
  <c r="F639" i="14"/>
  <c r="F640" i="14" s="1"/>
  <c r="F642" i="14" s="1"/>
  <c r="E307" i="84"/>
  <c r="E309" i="84" s="1"/>
  <c r="I327" i="84" s="1"/>
  <c r="E304" i="84"/>
  <c r="F204" i="14"/>
  <c r="J221" i="14" s="1"/>
  <c r="H36" i="14" s="1"/>
  <c r="F206" i="14"/>
  <c r="F207" i="14"/>
  <c r="F36" i="14" s="1"/>
  <c r="X50" i="12"/>
  <c r="Y50" i="12" s="1"/>
  <c r="AA50" i="12" s="1"/>
  <c r="AF44" i="26"/>
  <c r="AF45" i="26" s="1"/>
  <c r="AF46" i="26" s="1"/>
  <c r="U23" i="26"/>
  <c r="V23" i="26" s="1"/>
  <c r="P23" i="26"/>
  <c r="F60" i="12"/>
  <c r="N23" i="12"/>
  <c r="AJ23" i="12"/>
  <c r="AK23" i="12" s="1"/>
  <c r="E282" i="12"/>
  <c r="E284" i="12" s="1"/>
  <c r="I325" i="12" s="1"/>
  <c r="I760" i="12" s="1"/>
  <c r="E301" i="12"/>
  <c r="F678" i="12"/>
  <c r="F701" i="12" s="1"/>
  <c r="E707" i="12"/>
  <c r="E680" i="12"/>
  <c r="Y70" i="12"/>
  <c r="AA70" i="12" s="1"/>
  <c r="AF59" i="12"/>
  <c r="AF56" i="12"/>
  <c r="AF57" i="12" s="1"/>
  <c r="AF58" i="12" s="1"/>
  <c r="Y58" i="12"/>
  <c r="AA58" i="12" s="1"/>
  <c r="F326" i="12"/>
  <c r="F761" i="12" s="1"/>
  <c r="E706" i="12"/>
  <c r="I723" i="12" s="1"/>
  <c r="H60" i="12" s="1"/>
  <c r="E713" i="12"/>
  <c r="E714" i="12" s="1"/>
  <c r="E715" i="12" s="1"/>
  <c r="F282" i="12"/>
  <c r="F284" i="12" s="1"/>
  <c r="J325" i="12" s="1"/>
  <c r="J760" i="12" s="1"/>
  <c r="F278" i="12"/>
  <c r="F280" i="12" s="1"/>
  <c r="G39" i="12" s="1"/>
  <c r="D282" i="12"/>
  <c r="D284" i="12" s="1"/>
  <c r="H325" i="12" s="1"/>
  <c r="H760" i="12" s="1"/>
  <c r="D301" i="12"/>
  <c r="F309" i="12"/>
  <c r="J326" i="12" s="1"/>
  <c r="J761" i="12" s="1"/>
  <c r="F304" i="12"/>
  <c r="G40" i="12" s="1"/>
  <c r="D280" i="12"/>
  <c r="D318" i="12"/>
  <c r="D319" i="12" s="1"/>
  <c r="D321" i="12" s="1"/>
  <c r="G33" i="12" s="1"/>
  <c r="E318" i="12"/>
  <c r="E319" i="12" s="1"/>
  <c r="E321" i="12" s="1"/>
  <c r="E280" i="12"/>
  <c r="G35" i="12" s="1"/>
  <c r="S36" i="76" l="1"/>
  <c r="T46" i="78" s="1"/>
  <c r="E643" i="76"/>
  <c r="I682" i="76" s="1"/>
  <c r="G55" i="76"/>
  <c r="E654" i="96"/>
  <c r="I691" i="96" s="1"/>
  <c r="F691" i="96"/>
  <c r="G79" i="96" s="1"/>
  <c r="AJ63" i="150"/>
  <c r="F291" i="171"/>
  <c r="J297" i="171" s="1"/>
  <c r="G41" i="171"/>
  <c r="F607" i="14"/>
  <c r="J646" i="14" s="1"/>
  <c r="G646" i="14"/>
  <c r="G55" i="14" s="1"/>
  <c r="F217" i="14"/>
  <c r="J222" i="14" s="1"/>
  <c r="H37" i="14" s="1"/>
  <c r="G222" i="14"/>
  <c r="G37" i="14" s="1"/>
  <c r="F679" i="76"/>
  <c r="J684" i="76" s="1"/>
  <c r="H61" i="76" s="1"/>
  <c r="G61" i="76"/>
  <c r="E679" i="76"/>
  <c r="I684" i="76" s="1"/>
  <c r="H57" i="76" s="1"/>
  <c r="G57" i="76"/>
  <c r="N55" i="84"/>
  <c r="H728" i="150"/>
  <c r="S28" i="96"/>
  <c r="E710" i="96"/>
  <c r="G87" i="96" s="1"/>
  <c r="G27" i="96"/>
  <c r="S36" i="99"/>
  <c r="F710" i="96"/>
  <c r="G91" i="96" s="1"/>
  <c r="G31" i="96"/>
  <c r="D568" i="96"/>
  <c r="H605" i="96" s="1"/>
  <c r="E605" i="96"/>
  <c r="G63" i="96" s="1"/>
  <c r="S32" i="165"/>
  <c r="L58" i="166" s="1"/>
  <c r="L61" i="166" s="1"/>
  <c r="S36" i="171"/>
  <c r="L59" i="172" s="1"/>
  <c r="L63" i="172" s="1"/>
  <c r="J482" i="152"/>
  <c r="G483" i="152"/>
  <c r="G36" i="152"/>
  <c r="F278" i="165"/>
  <c r="J284" i="165" s="1"/>
  <c r="H37" i="165" s="1"/>
  <c r="G284" i="165"/>
  <c r="G37" i="165" s="1"/>
  <c r="F643" i="14"/>
  <c r="J648" i="14" s="1"/>
  <c r="H57" i="14" s="1"/>
  <c r="G648" i="14"/>
  <c r="G57" i="14" s="1"/>
  <c r="F181" i="14"/>
  <c r="J220" i="14" s="1"/>
  <c r="G220" i="14"/>
  <c r="G35" i="14" s="1"/>
  <c r="F221" i="76"/>
  <c r="J226" i="76" s="1"/>
  <c r="H37" i="76" s="1"/>
  <c r="G37" i="76"/>
  <c r="S52" i="76"/>
  <c r="R50" i="78" s="1"/>
  <c r="F643" i="76"/>
  <c r="J682" i="76" s="1"/>
  <c r="G59" i="76"/>
  <c r="S48" i="14"/>
  <c r="S60" i="76"/>
  <c r="T50" i="78" s="1"/>
  <c r="G56" i="76"/>
  <c r="D686" i="96"/>
  <c r="H693" i="96" s="1"/>
  <c r="H77" i="96" s="1"/>
  <c r="E693" i="96"/>
  <c r="G77" i="96" s="1"/>
  <c r="F600" i="96"/>
  <c r="J607" i="96" s="1"/>
  <c r="H73" i="96" s="1"/>
  <c r="G607" i="96"/>
  <c r="G73" i="96" s="1"/>
  <c r="E239" i="96"/>
  <c r="I244" i="96" s="1"/>
  <c r="F244" i="96"/>
  <c r="G35" i="96"/>
  <c r="G710" i="96"/>
  <c r="G95" i="96" s="1"/>
  <c r="D600" i="96"/>
  <c r="H607" i="96" s="1"/>
  <c r="H65" i="96" s="1"/>
  <c r="E607" i="96"/>
  <c r="G65" i="96" s="1"/>
  <c r="N57" i="150"/>
  <c r="O57" i="150" s="1"/>
  <c r="U57" i="150" s="1"/>
  <c r="E295" i="171"/>
  <c r="G31" i="171"/>
  <c r="E291" i="171"/>
  <c r="I297" i="171" s="1"/>
  <c r="H37" i="171" s="1"/>
  <c r="G37" i="171"/>
  <c r="G36" i="96"/>
  <c r="G711" i="96"/>
  <c r="G96" i="96" s="1"/>
  <c r="S32" i="76"/>
  <c r="S46" i="78" s="1"/>
  <c r="S48" i="107"/>
  <c r="L47" i="108" s="1"/>
  <c r="D654" i="96"/>
  <c r="H691" i="96" s="1"/>
  <c r="E691" i="96"/>
  <c r="G75" i="96" s="1"/>
  <c r="F568" i="96"/>
  <c r="J605" i="96" s="1"/>
  <c r="G605" i="96"/>
  <c r="G71" i="96" s="1"/>
  <c r="S32" i="96"/>
  <c r="G61" i="99"/>
  <c r="N49" i="99"/>
  <c r="O49" i="99" s="1"/>
  <c r="U49" i="99" s="1"/>
  <c r="W49" i="99" s="1"/>
  <c r="X49" i="99" s="1"/>
  <c r="Y49" i="99" s="1"/>
  <c r="AA49" i="99" s="1"/>
  <c r="F239" i="96"/>
  <c r="J244" i="96" s="1"/>
  <c r="G244" i="96"/>
  <c r="S28" i="107"/>
  <c r="J46" i="108" s="1"/>
  <c r="G67" i="99"/>
  <c r="AJ53" i="150"/>
  <c r="S64" i="169"/>
  <c r="F516" i="169"/>
  <c r="F517" i="169" s="1"/>
  <c r="J523" i="169" s="1"/>
  <c r="H65" i="169" s="1"/>
  <c r="G65" i="169"/>
  <c r="G64" i="99"/>
  <c r="G63" i="99"/>
  <c r="G60" i="76"/>
  <c r="E568" i="96"/>
  <c r="I605" i="96" s="1"/>
  <c r="F605" i="96"/>
  <c r="G67" i="96" s="1"/>
  <c r="S32" i="99"/>
  <c r="E313" i="99"/>
  <c r="E786" i="99" s="1"/>
  <c r="G80" i="99" s="1"/>
  <c r="G31" i="99"/>
  <c r="AJ49" i="99"/>
  <c r="BP62" i="100"/>
  <c r="F310" i="99"/>
  <c r="J315" i="99" s="1"/>
  <c r="G41" i="99"/>
  <c r="N56" i="150"/>
  <c r="O56" i="150" s="1"/>
  <c r="U56" i="150" s="1"/>
  <c r="X68" i="51"/>
  <c r="Y68" i="51" s="1"/>
  <c r="AA68" i="51" s="1"/>
  <c r="S48" i="169"/>
  <c r="S36" i="14"/>
  <c r="G28" i="76"/>
  <c r="F185" i="76"/>
  <c r="J224" i="76" s="1"/>
  <c r="H35" i="76" s="1"/>
  <c r="G35" i="76"/>
  <c r="E217" i="14"/>
  <c r="I222" i="14" s="1"/>
  <c r="H33" i="14" s="1"/>
  <c r="F222" i="14"/>
  <c r="G33" i="14" s="1"/>
  <c r="S56" i="76"/>
  <c r="S50" i="78" s="1"/>
  <c r="S53" i="78" s="1"/>
  <c r="E326" i="84"/>
  <c r="E709" i="84" s="1"/>
  <c r="G31" i="84"/>
  <c r="S28" i="76"/>
  <c r="R46" i="78" s="1"/>
  <c r="R53" i="78" s="1"/>
  <c r="E181" i="14"/>
  <c r="I220" i="14" s="1"/>
  <c r="F220" i="14"/>
  <c r="G31" i="14" s="1"/>
  <c r="E643" i="14"/>
  <c r="I648" i="14" s="1"/>
  <c r="H53" i="14" s="1"/>
  <c r="F648" i="14"/>
  <c r="G53" i="14" s="1"/>
  <c r="E221" i="76"/>
  <c r="I226" i="76" s="1"/>
  <c r="H33" i="76" s="1"/>
  <c r="G33" i="76"/>
  <c r="G73" i="84"/>
  <c r="I710" i="96"/>
  <c r="F686" i="96"/>
  <c r="J693" i="96" s="1"/>
  <c r="H85" i="96" s="1"/>
  <c r="G693" i="96"/>
  <c r="G85" i="96" s="1"/>
  <c r="E600" i="96"/>
  <c r="I607" i="96" s="1"/>
  <c r="H69" i="96" s="1"/>
  <c r="F607" i="96"/>
  <c r="G69" i="96" s="1"/>
  <c r="G60" i="99"/>
  <c r="S40" i="107"/>
  <c r="J47" i="108" s="1"/>
  <c r="S52" i="99"/>
  <c r="AJ52" i="150"/>
  <c r="S60" i="169"/>
  <c r="S48" i="99"/>
  <c r="E711" i="96"/>
  <c r="G88" i="96" s="1"/>
  <c r="G28" i="96"/>
  <c r="E322" i="84"/>
  <c r="I328" i="84" s="1"/>
  <c r="H37" i="84" s="1"/>
  <c r="G37" i="84"/>
  <c r="F322" i="84"/>
  <c r="J328" i="84" s="1"/>
  <c r="G41" i="84"/>
  <c r="S32" i="14"/>
  <c r="E607" i="14"/>
  <c r="I646" i="14" s="1"/>
  <c r="F646" i="14"/>
  <c r="G51" i="14" s="1"/>
  <c r="F654" i="96"/>
  <c r="J691" i="96" s="1"/>
  <c r="H83" i="96" s="1"/>
  <c r="G691" i="96"/>
  <c r="G83" i="96" s="1"/>
  <c r="E278" i="165"/>
  <c r="I284" i="165" s="1"/>
  <c r="H33" i="165" s="1"/>
  <c r="F284" i="165"/>
  <c r="G33" i="165" s="1"/>
  <c r="F48" i="152"/>
  <c r="E516" i="169"/>
  <c r="E517" i="169" s="1"/>
  <c r="I523" i="169" s="1"/>
  <c r="H61" i="169" s="1"/>
  <c r="G61" i="169"/>
  <c r="N221" i="71"/>
  <c r="O221" i="71" s="1"/>
  <c r="C223" i="71" s="1"/>
  <c r="C225" i="71" s="1"/>
  <c r="C220" i="71" s="1"/>
  <c r="AE50" i="78"/>
  <c r="D516" i="169"/>
  <c r="G57" i="169"/>
  <c r="G75" i="84"/>
  <c r="E185" i="76"/>
  <c r="I224" i="76" s="1"/>
  <c r="G31" i="76"/>
  <c r="AF46" i="78"/>
  <c r="G32" i="76"/>
  <c r="S56" i="14"/>
  <c r="G79" i="84"/>
  <c r="G36" i="76"/>
  <c r="S52" i="14"/>
  <c r="S32" i="84"/>
  <c r="L50" i="98" s="1"/>
  <c r="S28" i="14"/>
  <c r="N53" i="84"/>
  <c r="BP61" i="100"/>
  <c r="BW61" i="100" s="1"/>
  <c r="E686" i="96"/>
  <c r="I693" i="96" s="1"/>
  <c r="H81" i="96" s="1"/>
  <c r="F693" i="96"/>
  <c r="G81" i="96" s="1"/>
  <c r="E310" i="99"/>
  <c r="I315" i="99" s="1"/>
  <c r="G37" i="99"/>
  <c r="E743" i="99"/>
  <c r="G51" i="99"/>
  <c r="S44" i="107"/>
  <c r="K47" i="108" s="1"/>
  <c r="S32" i="169"/>
  <c r="AJ59" i="150"/>
  <c r="F483" i="152"/>
  <c r="G32" i="152"/>
  <c r="P47" i="81"/>
  <c r="U47" i="81"/>
  <c r="V59" i="81"/>
  <c r="W59" i="81" s="1"/>
  <c r="W61" i="81"/>
  <c r="X61" i="81" s="1"/>
  <c r="W52" i="81"/>
  <c r="X52" i="81" s="1"/>
  <c r="W60" i="81"/>
  <c r="X60" i="81" s="1"/>
  <c r="Y60" i="81" s="1"/>
  <c r="AA60" i="81" s="1"/>
  <c r="W49" i="81"/>
  <c r="X49" i="81" s="1"/>
  <c r="W48" i="81"/>
  <c r="X48" i="81" s="1"/>
  <c r="W53" i="81"/>
  <c r="X53" i="81" s="1"/>
  <c r="Y53" i="81" s="1"/>
  <c r="AA53" i="81" s="1"/>
  <c r="G36" i="150"/>
  <c r="G32" i="150"/>
  <c r="E728" i="150"/>
  <c r="G75" i="150" s="1"/>
  <c r="G27" i="150"/>
  <c r="E231" i="150"/>
  <c r="I236" i="150" s="1"/>
  <c r="F236" i="150"/>
  <c r="F730" i="150" s="1"/>
  <c r="G81" i="150" s="1"/>
  <c r="G35" i="150"/>
  <c r="G31" i="150"/>
  <c r="F231" i="150"/>
  <c r="J236" i="150" s="1"/>
  <c r="G236" i="150"/>
  <c r="G730" i="150" s="1"/>
  <c r="G85" i="150" s="1"/>
  <c r="N59" i="150"/>
  <c r="O59" i="150" s="1"/>
  <c r="P23" i="150"/>
  <c r="S60" i="12"/>
  <c r="N61" i="72" s="1"/>
  <c r="G75" i="12"/>
  <c r="G73" i="12"/>
  <c r="G80" i="12"/>
  <c r="G79" i="12"/>
  <c r="G36" i="107"/>
  <c r="G32" i="107"/>
  <c r="G35" i="107"/>
  <c r="E759" i="107"/>
  <c r="G71" i="107" s="1"/>
  <c r="G27" i="107"/>
  <c r="G31" i="107"/>
  <c r="E760" i="107"/>
  <c r="G72" i="107" s="1"/>
  <c r="G28" i="107"/>
  <c r="E226" i="107"/>
  <c r="I231" i="107" s="1"/>
  <c r="F231" i="107"/>
  <c r="F761" i="107" s="1"/>
  <c r="G77" i="107" s="1"/>
  <c r="D357" i="107"/>
  <c r="H394" i="107" s="1"/>
  <c r="H39" i="107" s="1"/>
  <c r="E394" i="107"/>
  <c r="G39" i="107" s="1"/>
  <c r="F226" i="107"/>
  <c r="J231" i="107" s="1"/>
  <c r="G231" i="107"/>
  <c r="G761" i="107" s="1"/>
  <c r="G81" i="107" s="1"/>
  <c r="D391" i="107"/>
  <c r="H396" i="107" s="1"/>
  <c r="H41" i="107" s="1"/>
  <c r="E396" i="107"/>
  <c r="G41" i="107" s="1"/>
  <c r="E682" i="12"/>
  <c r="I722" i="12" s="1"/>
  <c r="H59" i="12" s="1"/>
  <c r="F722" i="12"/>
  <c r="G59" i="12" s="1"/>
  <c r="E717" i="12"/>
  <c r="F724" i="12"/>
  <c r="G61" i="12" s="1"/>
  <c r="E322" i="12"/>
  <c r="I327" i="12" s="1"/>
  <c r="I762" i="12" s="1"/>
  <c r="G37" i="12"/>
  <c r="E325" i="12"/>
  <c r="E760" i="12" s="1"/>
  <c r="G31" i="12"/>
  <c r="E875" i="81"/>
  <c r="G71" i="81" s="1"/>
  <c r="G27" i="81"/>
  <c r="E876" i="81"/>
  <c r="G72" i="81" s="1"/>
  <c r="G28" i="81"/>
  <c r="AJ58" i="81"/>
  <c r="P59" i="81"/>
  <c r="E424" i="169"/>
  <c r="I430" i="169" s="1"/>
  <c r="H49" i="169" s="1"/>
  <c r="G49" i="169"/>
  <c r="F424" i="169"/>
  <c r="J430" i="169" s="1"/>
  <c r="H53" i="169" s="1"/>
  <c r="G53" i="169"/>
  <c r="D424" i="169"/>
  <c r="H430" i="169" s="1"/>
  <c r="H45" i="169" s="1"/>
  <c r="G45" i="169"/>
  <c r="F185" i="169"/>
  <c r="J219" i="169" s="1"/>
  <c r="J223" i="169" s="1"/>
  <c r="G35" i="169"/>
  <c r="E185" i="169"/>
  <c r="I219" i="169" s="1"/>
  <c r="G31" i="169"/>
  <c r="F489" i="169"/>
  <c r="J521" i="169" s="1"/>
  <c r="G63" i="169"/>
  <c r="E489" i="169"/>
  <c r="I521" i="169" s="1"/>
  <c r="G59" i="169"/>
  <c r="E203" i="152"/>
  <c r="I208" i="152" s="1"/>
  <c r="F208" i="152"/>
  <c r="F203" i="152"/>
  <c r="J208" i="152" s="1"/>
  <c r="J484" i="152" s="1"/>
  <c r="H57" i="152" s="1"/>
  <c r="G208" i="152"/>
  <c r="F206" i="152"/>
  <c r="G206" i="152"/>
  <c r="E482" i="152"/>
  <c r="G27" i="152"/>
  <c r="E483" i="152"/>
  <c r="G48" i="152"/>
  <c r="J759" i="107"/>
  <c r="H31" i="99"/>
  <c r="BG50" i="100"/>
  <c r="AW50" i="100"/>
  <c r="Q55" i="179"/>
  <c r="W55" i="179"/>
  <c r="U39" i="76"/>
  <c r="P39" i="76"/>
  <c r="N63" i="150"/>
  <c r="O63" i="150" s="1"/>
  <c r="U63" i="150" s="1"/>
  <c r="AA33" i="179"/>
  <c r="AD33" i="179" s="1"/>
  <c r="AF33" i="179" s="1"/>
  <c r="N32" i="169"/>
  <c r="O32" i="169" s="1"/>
  <c r="U32" i="169" s="1"/>
  <c r="W32" i="169" s="1"/>
  <c r="X32" i="169" s="1"/>
  <c r="AJ32" i="169"/>
  <c r="H35" i="99"/>
  <c r="Y45" i="152"/>
  <c r="AA45" i="152" s="1"/>
  <c r="I759" i="107"/>
  <c r="W72" i="150"/>
  <c r="X72" i="150" s="1"/>
  <c r="Y72" i="150" s="1"/>
  <c r="AA72" i="150" s="1"/>
  <c r="N180" i="71"/>
  <c r="O180" i="71" s="1"/>
  <c r="C182" i="71" s="1"/>
  <c r="C184" i="71" s="1"/>
  <c r="C179" i="71" s="1"/>
  <c r="W47" i="179"/>
  <c r="Q47" i="179"/>
  <c r="E283" i="165"/>
  <c r="G28" i="165" s="1"/>
  <c r="D268" i="165"/>
  <c r="F28" i="165" s="1"/>
  <c r="D267" i="165"/>
  <c r="AA29" i="179"/>
  <c r="AD29" i="179" s="1"/>
  <c r="AF29" i="179" s="1"/>
  <c r="AJ35" i="171"/>
  <c r="N35" i="171"/>
  <c r="O35" i="171" s="1"/>
  <c r="V39" i="152"/>
  <c r="N37" i="169"/>
  <c r="O37" i="169" s="1"/>
  <c r="U37" i="169" s="1"/>
  <c r="W37" i="169" s="1"/>
  <c r="X37" i="169" s="1"/>
  <c r="Y37" i="169" s="1"/>
  <c r="AA37" i="169" s="1"/>
  <c r="AJ37" i="169"/>
  <c r="N60" i="169"/>
  <c r="O60" i="169" s="1"/>
  <c r="U60" i="169" s="1"/>
  <c r="AJ60" i="169"/>
  <c r="AJ36" i="169"/>
  <c r="N36" i="169"/>
  <c r="O36" i="169" s="1"/>
  <c r="U36" i="169" s="1"/>
  <c r="W36" i="169" s="1"/>
  <c r="X36" i="169" s="1"/>
  <c r="Y36" i="169" s="1"/>
  <c r="AA36" i="169" s="1"/>
  <c r="H27" i="171"/>
  <c r="W73" i="150"/>
  <c r="X73" i="150" s="1"/>
  <c r="AJ31" i="171"/>
  <c r="N31" i="171"/>
  <c r="O31" i="171" s="1"/>
  <c r="D163" i="171"/>
  <c r="D164" i="171" s="1"/>
  <c r="H181" i="171" s="1"/>
  <c r="H28" i="171" s="1"/>
  <c r="D159" i="171"/>
  <c r="AJ28" i="165"/>
  <c r="N28" i="165"/>
  <c r="O28" i="165" s="1"/>
  <c r="U28" i="165" s="1"/>
  <c r="AJ47" i="150"/>
  <c r="N47" i="150"/>
  <c r="O47" i="150" s="1"/>
  <c r="E284" i="165"/>
  <c r="G29" i="165" s="1"/>
  <c r="D278" i="165"/>
  <c r="H284" i="165" s="1"/>
  <c r="H29" i="165" s="1"/>
  <c r="P23" i="152"/>
  <c r="U23" i="152"/>
  <c r="D150" i="165"/>
  <c r="D151" i="165" s="1"/>
  <c r="H168" i="165" s="1"/>
  <c r="D146" i="165"/>
  <c r="H55" i="152"/>
  <c r="H35" i="169"/>
  <c r="E193" i="152"/>
  <c r="F32" i="152" s="1"/>
  <c r="E192" i="152"/>
  <c r="G52" i="152" s="1"/>
  <c r="U51" i="171"/>
  <c r="AJ32" i="165"/>
  <c r="N32" i="165"/>
  <c r="O32" i="165" s="1"/>
  <c r="U32" i="165" s="1"/>
  <c r="W32" i="165" s="1"/>
  <c r="X32" i="165" s="1"/>
  <c r="Y32" i="165" s="1"/>
  <c r="AA32" i="165" s="1"/>
  <c r="W69" i="150"/>
  <c r="X69" i="150" s="1"/>
  <c r="Y69" i="150" s="1"/>
  <c r="AA69" i="150" s="1"/>
  <c r="Q63" i="179"/>
  <c r="W63" i="179"/>
  <c r="H35" i="165"/>
  <c r="J287" i="165"/>
  <c r="H483" i="152"/>
  <c r="H48" i="152" s="1"/>
  <c r="H28" i="152"/>
  <c r="W40" i="179"/>
  <c r="Q39" i="179"/>
  <c r="D415" i="169"/>
  <c r="F44" i="169" s="1"/>
  <c r="G44" i="169"/>
  <c r="F327" i="150"/>
  <c r="F328" i="150" s="1"/>
  <c r="F329" i="150" s="1"/>
  <c r="F322" i="150"/>
  <c r="F48" i="150" s="1"/>
  <c r="F320" i="150"/>
  <c r="J342" i="150" s="1"/>
  <c r="D174" i="171"/>
  <c r="D131" i="171"/>
  <c r="D175" i="171"/>
  <c r="N49" i="169"/>
  <c r="O49" i="169" s="1"/>
  <c r="U49" i="169" s="1"/>
  <c r="AJ49" i="169"/>
  <c r="AA28" i="179"/>
  <c r="AD28" i="179" s="1"/>
  <c r="AF28" i="179" s="1"/>
  <c r="D427" i="171"/>
  <c r="G434" i="171" s="1"/>
  <c r="F32" i="171"/>
  <c r="AJ36" i="171"/>
  <c r="N36" i="171"/>
  <c r="O36" i="171" s="1"/>
  <c r="U36" i="171" s="1"/>
  <c r="AJ39" i="171"/>
  <c r="N39" i="171"/>
  <c r="O39" i="171" s="1"/>
  <c r="D162" i="165"/>
  <c r="D118" i="165"/>
  <c r="E167" i="165" s="1"/>
  <c r="D161" i="165"/>
  <c r="AJ67" i="150"/>
  <c r="AK67" i="150" s="1"/>
  <c r="N67" i="150"/>
  <c r="O67" i="150" s="1"/>
  <c r="I483" i="152"/>
  <c r="H52" i="152" s="1"/>
  <c r="H32" i="152"/>
  <c r="N27" i="165"/>
  <c r="O27" i="165" s="1"/>
  <c r="AJ27" i="165"/>
  <c r="F415" i="169"/>
  <c r="F52" i="169" s="1"/>
  <c r="G52" i="169"/>
  <c r="N53" i="169"/>
  <c r="O53" i="169" s="1"/>
  <c r="U53" i="169" s="1"/>
  <c r="W53" i="169" s="1"/>
  <c r="X53" i="169" s="1"/>
  <c r="Y53" i="169" s="1"/>
  <c r="AA53" i="169" s="1"/>
  <c r="AP35" i="179"/>
  <c r="G28" i="169"/>
  <c r="D206" i="169"/>
  <c r="F28" i="169" s="1"/>
  <c r="E521" i="169"/>
  <c r="D489" i="169"/>
  <c r="H521" i="169" s="1"/>
  <c r="Y44" i="152"/>
  <c r="AA44" i="152" s="1"/>
  <c r="AA53" i="179"/>
  <c r="AD53" i="179" s="1"/>
  <c r="AF53" i="179" s="1"/>
  <c r="H47" i="169"/>
  <c r="I432" i="169"/>
  <c r="U23" i="171"/>
  <c r="P23" i="171"/>
  <c r="V43" i="171"/>
  <c r="X43" i="171" s="1"/>
  <c r="Y43" i="171" s="1"/>
  <c r="AA43" i="171" s="1"/>
  <c r="AP39" i="179"/>
  <c r="AJ56" i="169"/>
  <c r="N56" i="169"/>
  <c r="O56" i="169" s="1"/>
  <c r="U56" i="169" s="1"/>
  <c r="W56" i="169" s="1"/>
  <c r="X56" i="169" s="1"/>
  <c r="Y56" i="169" s="1"/>
  <c r="AA56" i="169" s="1"/>
  <c r="AJ35" i="152"/>
  <c r="N35" i="152"/>
  <c r="O35" i="152" s="1"/>
  <c r="N37" i="171"/>
  <c r="O37" i="171" s="1"/>
  <c r="U37" i="171" s="1"/>
  <c r="F193" i="152"/>
  <c r="F36" i="152" s="1"/>
  <c r="F192" i="152"/>
  <c r="AA48" i="179"/>
  <c r="AD48" i="179" s="1"/>
  <c r="AF48" i="179" s="1"/>
  <c r="W68" i="150"/>
  <c r="X68" i="150" s="1"/>
  <c r="J432" i="169"/>
  <c r="H51" i="169"/>
  <c r="W36" i="179"/>
  <c r="Y36" i="179" s="1"/>
  <c r="Q35" i="179"/>
  <c r="N39" i="150"/>
  <c r="O39" i="150" s="1"/>
  <c r="AJ39" i="150"/>
  <c r="E523" i="169"/>
  <c r="D517" i="169"/>
  <c r="H523" i="169" s="1"/>
  <c r="H57" i="169" s="1"/>
  <c r="U23" i="165"/>
  <c r="P23" i="165"/>
  <c r="N28" i="169"/>
  <c r="O28" i="169" s="1"/>
  <c r="U28" i="169" s="1"/>
  <c r="W28" i="169" s="1"/>
  <c r="X28" i="169" s="1"/>
  <c r="Y28" i="169" s="1"/>
  <c r="AA28" i="169" s="1"/>
  <c r="AJ28" i="169"/>
  <c r="W27" i="179"/>
  <c r="Q27" i="179"/>
  <c r="AJ33" i="165"/>
  <c r="N33" i="165"/>
  <c r="O33" i="165" s="1"/>
  <c r="U33" i="165" s="1"/>
  <c r="D320" i="169"/>
  <c r="D283" i="169"/>
  <c r="G39" i="169" s="1"/>
  <c r="Y41" i="179"/>
  <c r="Z41" i="179" s="1"/>
  <c r="AA41" i="179" s="1"/>
  <c r="AD41" i="179" s="1"/>
  <c r="AF41" i="179" s="1"/>
  <c r="H482" i="152"/>
  <c r="H27" i="152"/>
  <c r="N65" i="169"/>
  <c r="O65" i="169" s="1"/>
  <c r="U65" i="169" s="1"/>
  <c r="W65" i="169" s="1"/>
  <c r="X65" i="169" s="1"/>
  <c r="Y65" i="169" s="1"/>
  <c r="AA65" i="169" s="1"/>
  <c r="AJ65" i="169"/>
  <c r="J483" i="152"/>
  <c r="H56" i="152" s="1"/>
  <c r="H36" i="152"/>
  <c r="AJ37" i="165"/>
  <c r="N37" i="165"/>
  <c r="O37" i="165" s="1"/>
  <c r="U37" i="165" s="1"/>
  <c r="H33" i="152"/>
  <c r="I484" i="152"/>
  <c r="H53" i="152" s="1"/>
  <c r="P43" i="152"/>
  <c r="U43" i="152"/>
  <c r="AJ44" i="169"/>
  <c r="N44" i="169"/>
  <c r="O44" i="169" s="1"/>
  <c r="U44" i="169" s="1"/>
  <c r="W44" i="169" s="1"/>
  <c r="X44" i="169" s="1"/>
  <c r="Y44" i="169" s="1"/>
  <c r="AA44" i="169" s="1"/>
  <c r="I223" i="169"/>
  <c r="H31" i="169"/>
  <c r="Q43" i="179"/>
  <c r="W43" i="179"/>
  <c r="AJ40" i="169"/>
  <c r="N40" i="169"/>
  <c r="O40" i="169" s="1"/>
  <c r="U40" i="169" s="1"/>
  <c r="W40" i="169" s="1"/>
  <c r="X40" i="169" s="1"/>
  <c r="Y40" i="169" s="1"/>
  <c r="AA40" i="169" s="1"/>
  <c r="AJ48" i="169"/>
  <c r="N48" i="169"/>
  <c r="O48" i="169" s="1"/>
  <c r="U48" i="169" s="1"/>
  <c r="W48" i="169" s="1"/>
  <c r="X48" i="169" s="1"/>
  <c r="Y48" i="169" s="1"/>
  <c r="AA48" i="169" s="1"/>
  <c r="H63" i="169"/>
  <c r="J525" i="169"/>
  <c r="N71" i="150"/>
  <c r="O71" i="150" s="1"/>
  <c r="AJ71" i="150"/>
  <c r="AK71" i="150" s="1"/>
  <c r="E208" i="152"/>
  <c r="G29" i="152" s="1"/>
  <c r="D203" i="152"/>
  <c r="H208" i="152" s="1"/>
  <c r="N32" i="171"/>
  <c r="O32" i="171" s="1"/>
  <c r="U32" i="171" s="1"/>
  <c r="AJ32" i="171"/>
  <c r="F267" i="165"/>
  <c r="F268" i="165"/>
  <c r="F36" i="165" s="1"/>
  <c r="X23" i="179"/>
  <c r="Z23" i="179" s="1"/>
  <c r="AA23" i="179" s="1"/>
  <c r="AD23" i="179" s="1"/>
  <c r="AF23" i="179" s="1"/>
  <c r="U67" i="169"/>
  <c r="P67" i="169"/>
  <c r="E327" i="150"/>
  <c r="E328" i="150" s="1"/>
  <c r="E329" i="150" s="1"/>
  <c r="E320" i="150"/>
  <c r="I342" i="150" s="1"/>
  <c r="E322" i="150"/>
  <c r="F44" i="150" s="1"/>
  <c r="G56" i="169"/>
  <c r="D508" i="169"/>
  <c r="F56" i="169" s="1"/>
  <c r="I287" i="165"/>
  <c r="AJ33" i="169"/>
  <c r="N33" i="169"/>
  <c r="O33" i="169" s="1"/>
  <c r="U33" i="169" s="1"/>
  <c r="AJ52" i="169"/>
  <c r="N52" i="169"/>
  <c r="O52" i="169" s="1"/>
  <c r="U52" i="169" s="1"/>
  <c r="W52" i="169" s="1"/>
  <c r="X52" i="169" s="1"/>
  <c r="Y52" i="169" s="1"/>
  <c r="AA52" i="169" s="1"/>
  <c r="U23" i="163"/>
  <c r="P23" i="163"/>
  <c r="N64" i="169"/>
  <c r="O64" i="169" s="1"/>
  <c r="U64" i="169" s="1"/>
  <c r="W64" i="169" s="1"/>
  <c r="X64" i="169" s="1"/>
  <c r="Y64" i="169" s="1"/>
  <c r="AA64" i="169" s="1"/>
  <c r="AJ64" i="169"/>
  <c r="S28" i="152"/>
  <c r="S48" i="152"/>
  <c r="H59" i="169"/>
  <c r="V39" i="165"/>
  <c r="X39" i="165" s="1"/>
  <c r="Y39" i="165" s="1"/>
  <c r="AA39" i="165" s="1"/>
  <c r="V59" i="152"/>
  <c r="X59" i="152" s="1"/>
  <c r="Y59" i="152" s="1"/>
  <c r="AA59" i="152" s="1"/>
  <c r="F281" i="171"/>
  <c r="F40" i="171" s="1"/>
  <c r="F280" i="171"/>
  <c r="G40" i="171" s="1"/>
  <c r="AJ36" i="165"/>
  <c r="N36" i="165"/>
  <c r="O36" i="165" s="1"/>
  <c r="U36" i="165" s="1"/>
  <c r="E219" i="169"/>
  <c r="D185" i="169"/>
  <c r="H219" i="169" s="1"/>
  <c r="W51" i="179"/>
  <c r="Q51" i="179"/>
  <c r="W31" i="179"/>
  <c r="Q31" i="179"/>
  <c r="H432" i="169"/>
  <c r="H43" i="169"/>
  <c r="U55" i="171"/>
  <c r="P55" i="171"/>
  <c r="D291" i="171"/>
  <c r="H297" i="171" s="1"/>
  <c r="E297" i="171"/>
  <c r="AJ31" i="165"/>
  <c r="AK31" i="165" s="1"/>
  <c r="N31" i="165"/>
  <c r="O31" i="165" s="1"/>
  <c r="H31" i="152"/>
  <c r="I482" i="152"/>
  <c r="I211" i="152"/>
  <c r="U23" i="169"/>
  <c r="P23" i="169"/>
  <c r="W59" i="179"/>
  <c r="Q59" i="179"/>
  <c r="V47" i="171"/>
  <c r="F206" i="169"/>
  <c r="F36" i="169" s="1"/>
  <c r="G36" i="169"/>
  <c r="N40" i="171"/>
  <c r="O40" i="171" s="1"/>
  <c r="U40" i="171" s="1"/>
  <c r="AJ40" i="171"/>
  <c r="D322" i="150"/>
  <c r="F40" i="150" s="1"/>
  <c r="E342" i="150"/>
  <c r="G40" i="150" s="1"/>
  <c r="D327" i="150"/>
  <c r="D328" i="150" s="1"/>
  <c r="D329" i="150" s="1"/>
  <c r="D320" i="150"/>
  <c r="H342" i="150" s="1"/>
  <c r="E221" i="169"/>
  <c r="D215" i="169"/>
  <c r="H221" i="169" s="1"/>
  <c r="H29" i="169" s="1"/>
  <c r="N43" i="150"/>
  <c r="O43" i="150" s="1"/>
  <c r="AJ43" i="150"/>
  <c r="U83" i="12"/>
  <c r="H398" i="107"/>
  <c r="I234" i="107"/>
  <c r="AJ57" i="150"/>
  <c r="N48" i="95"/>
  <c r="Q48" i="95"/>
  <c r="M48" i="95"/>
  <c r="P48" i="95"/>
  <c r="AJ56" i="150"/>
  <c r="AJ46" i="81"/>
  <c r="N53" i="150"/>
  <c r="O53" i="150" s="1"/>
  <c r="U53" i="150" s="1"/>
  <c r="W53" i="150" s="1"/>
  <c r="X53" i="150" s="1"/>
  <c r="Y53" i="150" s="1"/>
  <c r="AA53" i="150" s="1"/>
  <c r="N52" i="150"/>
  <c r="O52" i="150" s="1"/>
  <c r="U52" i="150" s="1"/>
  <c r="W52" i="150" s="1"/>
  <c r="X52" i="150" s="1"/>
  <c r="Y52" i="150" s="1"/>
  <c r="AA52" i="150" s="1"/>
  <c r="AJ61" i="150"/>
  <c r="N61" i="150"/>
  <c r="O61" i="150" s="1"/>
  <c r="U61" i="150" s="1"/>
  <c r="AJ64" i="150"/>
  <c r="N64" i="150"/>
  <c r="O64" i="150" s="1"/>
  <c r="U64" i="150" s="1"/>
  <c r="U59" i="150"/>
  <c r="N60" i="150"/>
  <c r="O60" i="150" s="1"/>
  <c r="U60" i="150" s="1"/>
  <c r="AJ60" i="150"/>
  <c r="AJ65" i="150"/>
  <c r="N65" i="150"/>
  <c r="O65" i="150" s="1"/>
  <c r="U65" i="150" s="1"/>
  <c r="I247" i="96"/>
  <c r="V23" i="81"/>
  <c r="AJ44" i="81"/>
  <c r="N44" i="81"/>
  <c r="O44" i="81" s="1"/>
  <c r="P43" i="81" s="1"/>
  <c r="W56" i="150"/>
  <c r="X56" i="150" s="1"/>
  <c r="N51" i="150"/>
  <c r="O51" i="150" s="1"/>
  <c r="AJ51" i="150"/>
  <c r="AK51" i="150" s="1"/>
  <c r="W57" i="150"/>
  <c r="X57" i="150" s="1"/>
  <c r="Y57" i="150" s="1"/>
  <c r="AA57" i="150" s="1"/>
  <c r="AJ55" i="150"/>
  <c r="N55" i="150"/>
  <c r="O55" i="150" s="1"/>
  <c r="J239" i="150"/>
  <c r="Y44" i="99"/>
  <c r="AA44" i="99" s="1"/>
  <c r="P55" i="107"/>
  <c r="U55" i="107"/>
  <c r="I730" i="150"/>
  <c r="H81" i="150" s="1"/>
  <c r="H33" i="150"/>
  <c r="D676" i="96"/>
  <c r="F76" i="96" s="1"/>
  <c r="E220" i="150"/>
  <c r="E221" i="150"/>
  <c r="F32" i="150" s="1"/>
  <c r="N68" i="96"/>
  <c r="O68" i="96" s="1"/>
  <c r="U68" i="96" s="1"/>
  <c r="W68" i="96" s="1"/>
  <c r="X68" i="96" s="1"/>
  <c r="Y68" i="96" s="1"/>
  <c r="AA68" i="96" s="1"/>
  <c r="AJ68" i="96"/>
  <c r="AJ55" i="96"/>
  <c r="N55" i="96"/>
  <c r="O55" i="96" s="1"/>
  <c r="F676" i="96"/>
  <c r="F84" i="96" s="1"/>
  <c r="N81" i="96"/>
  <c r="O81" i="96" s="1"/>
  <c r="U81" i="96" s="1"/>
  <c r="AJ81" i="96"/>
  <c r="AJ35" i="99"/>
  <c r="N35" i="99"/>
  <c r="O35" i="99" s="1"/>
  <c r="H787" i="99"/>
  <c r="H60" i="99" s="1"/>
  <c r="H32" i="99"/>
  <c r="N67" i="107"/>
  <c r="O67" i="107" s="1"/>
  <c r="AJ67" i="107"/>
  <c r="H36" i="99"/>
  <c r="I787" i="99"/>
  <c r="H64" i="99" s="1"/>
  <c r="I728" i="150"/>
  <c r="I239" i="150"/>
  <c r="H31" i="150"/>
  <c r="AJ43" i="107"/>
  <c r="N43" i="107"/>
  <c r="O43" i="107" s="1"/>
  <c r="D221" i="150"/>
  <c r="F28" i="150" s="1"/>
  <c r="E235" i="150"/>
  <c r="D220" i="150"/>
  <c r="N35" i="150"/>
  <c r="O35" i="150" s="1"/>
  <c r="AJ35" i="150"/>
  <c r="N35" i="107"/>
  <c r="O35" i="107" s="1"/>
  <c r="AJ35" i="107"/>
  <c r="P23" i="99"/>
  <c r="U23" i="99"/>
  <c r="AJ51" i="96"/>
  <c r="N51" i="96"/>
  <c r="O51" i="96" s="1"/>
  <c r="F72" i="107"/>
  <c r="F349" i="96"/>
  <c r="F48" i="96" s="1"/>
  <c r="F347" i="96"/>
  <c r="J365" i="96" s="1"/>
  <c r="F354" i="96"/>
  <c r="F355" i="96" s="1"/>
  <c r="F356" i="96" s="1"/>
  <c r="V23" i="150"/>
  <c r="X23" i="150" s="1"/>
  <c r="Y23" i="150" s="1"/>
  <c r="AA23" i="150" s="1"/>
  <c r="I729" i="150"/>
  <c r="H80" i="150" s="1"/>
  <c r="H32" i="150"/>
  <c r="F88" i="96"/>
  <c r="U51" i="107"/>
  <c r="P51" i="107"/>
  <c r="H759" i="107"/>
  <c r="H75" i="96"/>
  <c r="H79" i="96"/>
  <c r="I696" i="96"/>
  <c r="H63" i="99"/>
  <c r="F220" i="150"/>
  <c r="F221" i="150"/>
  <c r="F36" i="150" s="1"/>
  <c r="F216" i="107"/>
  <c r="F36" i="107" s="1"/>
  <c r="F215" i="107"/>
  <c r="N39" i="96"/>
  <c r="O39" i="96" s="1"/>
  <c r="AJ39" i="96"/>
  <c r="V87" i="150"/>
  <c r="N40" i="107"/>
  <c r="O40" i="107" s="1"/>
  <c r="U40" i="107" s="1"/>
  <c r="AJ40" i="107"/>
  <c r="H729" i="150"/>
  <c r="H76" i="150" s="1"/>
  <c r="H28" i="150"/>
  <c r="F300" i="99"/>
  <c r="F40" i="99" s="1"/>
  <c r="F299" i="99"/>
  <c r="G40" i="99" s="1"/>
  <c r="E347" i="96"/>
  <c r="I365" i="96" s="1"/>
  <c r="E349" i="96"/>
  <c r="F44" i="96" s="1"/>
  <c r="E354" i="96"/>
  <c r="E355" i="96" s="1"/>
  <c r="E356" i="96" s="1"/>
  <c r="N31" i="107"/>
  <c r="O31" i="107" s="1"/>
  <c r="AJ31" i="107"/>
  <c r="AJ43" i="96"/>
  <c r="N43" i="96"/>
  <c r="O43" i="96" s="1"/>
  <c r="H75" i="150"/>
  <c r="H71" i="96"/>
  <c r="J610" i="96"/>
  <c r="H47" i="99"/>
  <c r="G597" i="99"/>
  <c r="H37" i="150"/>
  <c r="J730" i="150"/>
  <c r="H85" i="150" s="1"/>
  <c r="D239" i="96"/>
  <c r="H244" i="96" s="1"/>
  <c r="H247" i="96" s="1"/>
  <c r="E244" i="96"/>
  <c r="D347" i="96"/>
  <c r="H365" i="96" s="1"/>
  <c r="D349" i="96"/>
  <c r="F40" i="96" s="1"/>
  <c r="D354" i="96"/>
  <c r="D355" i="96" s="1"/>
  <c r="D356" i="96" s="1"/>
  <c r="E365" i="96"/>
  <c r="G40" i="96" s="1"/>
  <c r="J729" i="150"/>
  <c r="H84" i="150" s="1"/>
  <c r="H36" i="150"/>
  <c r="N39" i="107"/>
  <c r="O39" i="107" s="1"/>
  <c r="AJ39" i="107"/>
  <c r="J760" i="107"/>
  <c r="H80" i="107" s="1"/>
  <c r="H36" i="107"/>
  <c r="H37" i="99"/>
  <c r="I788" i="99"/>
  <c r="H65" i="99" s="1"/>
  <c r="AJ63" i="84"/>
  <c r="AK63" i="84" s="1"/>
  <c r="N63" i="84"/>
  <c r="O63" i="84" s="1"/>
  <c r="H760" i="107"/>
  <c r="H72" i="107" s="1"/>
  <c r="H83" i="150"/>
  <c r="H40" i="99"/>
  <c r="J787" i="99"/>
  <c r="H68" i="99" s="1"/>
  <c r="D725" i="107"/>
  <c r="H743" i="107" s="1"/>
  <c r="D732" i="107"/>
  <c r="D733" i="107" s="1"/>
  <c r="D734" i="107" s="1"/>
  <c r="E743" i="107"/>
  <c r="G60" i="107" s="1"/>
  <c r="D727" i="107"/>
  <c r="F60" i="107" s="1"/>
  <c r="H75" i="107"/>
  <c r="N52" i="99"/>
  <c r="O52" i="99" s="1"/>
  <c r="U52" i="99" s="1"/>
  <c r="AJ52" i="99"/>
  <c r="N51" i="99"/>
  <c r="O51" i="99" s="1"/>
  <c r="AJ51" i="99"/>
  <c r="D194" i="99"/>
  <c r="G29" i="99" s="1"/>
  <c r="D150" i="99"/>
  <c r="D193" i="99"/>
  <c r="E732" i="107"/>
  <c r="E733" i="107" s="1"/>
  <c r="E734" i="107" s="1"/>
  <c r="E727" i="107"/>
  <c r="F64" i="107" s="1"/>
  <c r="E725" i="107"/>
  <c r="I743" i="107" s="1"/>
  <c r="N73" i="96"/>
  <c r="O73" i="96" s="1"/>
  <c r="U73" i="96" s="1"/>
  <c r="AJ73" i="96"/>
  <c r="X83" i="107"/>
  <c r="Y83" i="107" s="1"/>
  <c r="AA83" i="107" s="1"/>
  <c r="E676" i="96"/>
  <c r="F80" i="96" s="1"/>
  <c r="E236" i="150"/>
  <c r="D231" i="150"/>
  <c r="H236" i="150" s="1"/>
  <c r="F732" i="107"/>
  <c r="F733" i="107" s="1"/>
  <c r="F734" i="107" s="1"/>
  <c r="F725" i="107"/>
  <c r="J743" i="107" s="1"/>
  <c r="F727" i="107"/>
  <c r="F68" i="107" s="1"/>
  <c r="H769" i="99"/>
  <c r="H55" i="99" s="1"/>
  <c r="H27" i="99"/>
  <c r="D730" i="99"/>
  <c r="H745" i="99" s="1"/>
  <c r="H53" i="99" s="1"/>
  <c r="E745" i="99"/>
  <c r="Y53" i="107"/>
  <c r="AA53" i="107" s="1"/>
  <c r="H710" i="96"/>
  <c r="H27" i="96"/>
  <c r="U43" i="99"/>
  <c r="P43" i="99"/>
  <c r="N48" i="107"/>
  <c r="O48" i="107" s="1"/>
  <c r="U48" i="107" s="1"/>
  <c r="W48" i="107" s="1"/>
  <c r="X48" i="107" s="1"/>
  <c r="Y48" i="107" s="1"/>
  <c r="AA48" i="107" s="1"/>
  <c r="AJ48" i="107"/>
  <c r="BN64" i="100"/>
  <c r="BN59" i="100"/>
  <c r="AJ63" i="107"/>
  <c r="N63" i="107"/>
  <c r="O63" i="107" s="1"/>
  <c r="AJ80" i="96"/>
  <c r="N80" i="96"/>
  <c r="O80" i="96" s="1"/>
  <c r="U80" i="96" s="1"/>
  <c r="E215" i="107"/>
  <c r="E216" i="107"/>
  <c r="F32" i="107" s="1"/>
  <c r="J761" i="107"/>
  <c r="H81" i="107" s="1"/>
  <c r="H37" i="107"/>
  <c r="D467" i="96"/>
  <c r="F52" i="96" s="1"/>
  <c r="D472" i="96"/>
  <c r="D473" i="96" s="1"/>
  <c r="D474" i="96" s="1"/>
  <c r="D465" i="96"/>
  <c r="H483" i="96" s="1"/>
  <c r="E483" i="96"/>
  <c r="G52" i="96" s="1"/>
  <c r="BQ62" i="100"/>
  <c r="BW62" i="100"/>
  <c r="BU62" i="100"/>
  <c r="BC62" i="100" s="1"/>
  <c r="BT62" i="100"/>
  <c r="BX62" i="100"/>
  <c r="BS62" i="100"/>
  <c r="BR62" i="100"/>
  <c r="BV62" i="100"/>
  <c r="AJ27" i="150"/>
  <c r="N27" i="150"/>
  <c r="O27" i="150" s="1"/>
  <c r="V71" i="99"/>
  <c r="X71" i="99" s="1"/>
  <c r="Y71" i="99" s="1"/>
  <c r="AA71" i="99" s="1"/>
  <c r="H91" i="96"/>
  <c r="E472" i="96"/>
  <c r="E473" i="96" s="1"/>
  <c r="E474" i="96" s="1"/>
  <c r="E465" i="96"/>
  <c r="I483" i="96" s="1"/>
  <c r="E467" i="96"/>
  <c r="F56" i="96" s="1"/>
  <c r="F590" i="96"/>
  <c r="F72" i="96" s="1"/>
  <c r="J398" i="107"/>
  <c r="H67" i="96"/>
  <c r="I610" i="96"/>
  <c r="F60" i="99"/>
  <c r="F64" i="99"/>
  <c r="F229" i="96"/>
  <c r="F36" i="96" s="1"/>
  <c r="F228" i="96"/>
  <c r="AJ64" i="96"/>
  <c r="N64" i="96"/>
  <c r="O64" i="96" s="1"/>
  <c r="U64" i="96" s="1"/>
  <c r="W64" i="96" s="1"/>
  <c r="X64" i="96" s="1"/>
  <c r="Y64" i="96" s="1"/>
  <c r="AA64" i="96" s="1"/>
  <c r="D310" i="99"/>
  <c r="H315" i="99" s="1"/>
  <c r="E315" i="99"/>
  <c r="E788" i="99" s="1"/>
  <c r="G82" i="99" s="1"/>
  <c r="I712" i="96"/>
  <c r="H93" i="96" s="1"/>
  <c r="H33" i="96"/>
  <c r="H32" i="107"/>
  <c r="I760" i="107"/>
  <c r="H76" i="107" s="1"/>
  <c r="H33" i="107"/>
  <c r="I761" i="107"/>
  <c r="H77" i="107" s="1"/>
  <c r="J788" i="99"/>
  <c r="H69" i="99" s="1"/>
  <c r="H41" i="99"/>
  <c r="AJ47" i="96"/>
  <c r="N47" i="96"/>
  <c r="O47" i="96" s="1"/>
  <c r="U23" i="96"/>
  <c r="P23" i="96"/>
  <c r="D182" i="99"/>
  <c r="D183" i="99" s="1"/>
  <c r="H200" i="99" s="1"/>
  <c r="D178" i="99"/>
  <c r="J247" i="96"/>
  <c r="H35" i="96"/>
  <c r="J710" i="96"/>
  <c r="N31" i="96"/>
  <c r="O31" i="96" s="1"/>
  <c r="AJ31" i="96"/>
  <c r="F465" i="96"/>
  <c r="J483" i="96" s="1"/>
  <c r="F472" i="96"/>
  <c r="F473" i="96" s="1"/>
  <c r="F474" i="96" s="1"/>
  <c r="F467" i="96"/>
  <c r="F60" i="96" s="1"/>
  <c r="N72" i="96"/>
  <c r="O72" i="96" s="1"/>
  <c r="U72" i="96" s="1"/>
  <c r="W72" i="96" s="1"/>
  <c r="X72" i="96" s="1"/>
  <c r="Y72" i="96" s="1"/>
  <c r="AA72" i="96" s="1"/>
  <c r="AJ72" i="96"/>
  <c r="AJ31" i="99"/>
  <c r="N31" i="99"/>
  <c r="O31" i="99" s="1"/>
  <c r="AJ47" i="107"/>
  <c r="N47" i="107"/>
  <c r="O47" i="107" s="1"/>
  <c r="AJ69" i="96"/>
  <c r="N69" i="96"/>
  <c r="O69" i="96" s="1"/>
  <c r="U69" i="96" s="1"/>
  <c r="W69" i="96" s="1"/>
  <c r="X69" i="96" s="1"/>
  <c r="Y69" i="96" s="1"/>
  <c r="AA69" i="96" s="1"/>
  <c r="BM64" i="100"/>
  <c r="BM59" i="100"/>
  <c r="J711" i="96"/>
  <c r="H96" i="96" s="1"/>
  <c r="H36" i="96"/>
  <c r="D590" i="96"/>
  <c r="F64" i="96" s="1"/>
  <c r="J712" i="96"/>
  <c r="H97" i="96" s="1"/>
  <c r="H37" i="96"/>
  <c r="H63" i="96"/>
  <c r="H711" i="96"/>
  <c r="H88" i="96" s="1"/>
  <c r="H28" i="96"/>
  <c r="D226" i="107"/>
  <c r="H231" i="107" s="1"/>
  <c r="H29" i="107" s="1"/>
  <c r="E231" i="107"/>
  <c r="J234" i="107"/>
  <c r="N59" i="84"/>
  <c r="O59" i="84" s="1"/>
  <c r="AJ59" i="84"/>
  <c r="AK59" i="84" s="1"/>
  <c r="V99" i="96"/>
  <c r="X99" i="96" s="1"/>
  <c r="Y99" i="96" s="1"/>
  <c r="AA99" i="96" s="1"/>
  <c r="N44" i="107"/>
  <c r="O44" i="107" s="1"/>
  <c r="U44" i="107" s="1"/>
  <c r="AJ44" i="107"/>
  <c r="V23" i="107"/>
  <c r="AJ59" i="96"/>
  <c r="N59" i="96"/>
  <c r="O59" i="96" s="1"/>
  <c r="N76" i="96"/>
  <c r="O76" i="96" s="1"/>
  <c r="U76" i="96" s="1"/>
  <c r="AJ76" i="96"/>
  <c r="N85" i="96"/>
  <c r="O85" i="96" s="1"/>
  <c r="U85" i="96" s="1"/>
  <c r="AJ85" i="96"/>
  <c r="E590" i="96"/>
  <c r="F68" i="96" s="1"/>
  <c r="H59" i="99"/>
  <c r="N84" i="96"/>
  <c r="O84" i="96" s="1"/>
  <c r="U84" i="96" s="1"/>
  <c r="AJ84" i="96"/>
  <c r="I711" i="96"/>
  <c r="H92" i="96" s="1"/>
  <c r="H32" i="96"/>
  <c r="I318" i="99"/>
  <c r="F92" i="96"/>
  <c r="H39" i="99"/>
  <c r="J318" i="99"/>
  <c r="J786" i="99"/>
  <c r="I398" i="107"/>
  <c r="AJ59" i="107"/>
  <c r="N59" i="107"/>
  <c r="O59" i="107" s="1"/>
  <c r="H79" i="107"/>
  <c r="AJ53" i="84"/>
  <c r="F72" i="84"/>
  <c r="G553" i="84"/>
  <c r="O23" i="12"/>
  <c r="U23" i="12" s="1"/>
  <c r="O53" i="84"/>
  <c r="U53" i="84" s="1"/>
  <c r="W53" i="84" s="1"/>
  <c r="X53" i="84" s="1"/>
  <c r="Y53" i="84" s="1"/>
  <c r="AA53" i="84" s="1"/>
  <c r="O57" i="84"/>
  <c r="U57" i="84" s="1"/>
  <c r="W57" i="84" s="1"/>
  <c r="P55" i="81"/>
  <c r="P31" i="81"/>
  <c r="U45" i="81"/>
  <c r="W45" i="81" s="1"/>
  <c r="X45" i="81" s="1"/>
  <c r="AJ55" i="84"/>
  <c r="O55" i="84"/>
  <c r="AJ56" i="84"/>
  <c r="H692" i="84"/>
  <c r="H67" i="84" s="1"/>
  <c r="AJ52" i="84"/>
  <c r="N52" i="84"/>
  <c r="H35" i="14"/>
  <c r="J225" i="14"/>
  <c r="E226" i="76"/>
  <c r="D221" i="76"/>
  <c r="H226" i="76" s="1"/>
  <c r="H29" i="76" s="1"/>
  <c r="P43" i="76"/>
  <c r="U43" i="76"/>
  <c r="AJ52" i="76"/>
  <c r="N52" i="76"/>
  <c r="O52" i="76" s="1"/>
  <c r="H55" i="14"/>
  <c r="J651" i="14"/>
  <c r="E224" i="76"/>
  <c r="D185" i="76"/>
  <c r="H224" i="76" s="1"/>
  <c r="E210" i="81"/>
  <c r="E211" i="81"/>
  <c r="F28" i="81" s="1"/>
  <c r="D847" i="81"/>
  <c r="H857" i="81" s="1"/>
  <c r="H69" i="81" s="1"/>
  <c r="E857" i="81"/>
  <c r="G69" i="81" s="1"/>
  <c r="F312" i="84"/>
  <c r="F40" i="84" s="1"/>
  <c r="F311" i="84"/>
  <c r="G40" i="84" s="1"/>
  <c r="V59" i="14"/>
  <c r="U43" i="26"/>
  <c r="P43" i="26"/>
  <c r="N60" i="76"/>
  <c r="O60" i="76" s="1"/>
  <c r="AJ60" i="76"/>
  <c r="AJ32" i="76"/>
  <c r="N32" i="76"/>
  <c r="O32" i="76" s="1"/>
  <c r="H55" i="76"/>
  <c r="I687" i="76"/>
  <c r="D322" i="84"/>
  <c r="H328" i="84" s="1"/>
  <c r="E328" i="84"/>
  <c r="E711" i="84" s="1"/>
  <c r="AJ57" i="14"/>
  <c r="N57" i="14"/>
  <c r="F211" i="81"/>
  <c r="F210" i="81"/>
  <c r="J877" i="81"/>
  <c r="H28" i="81"/>
  <c r="I876" i="81"/>
  <c r="H72" i="81" s="1"/>
  <c r="AJ36" i="76"/>
  <c r="N36" i="76"/>
  <c r="O36" i="76" s="1"/>
  <c r="E855" i="81"/>
  <c r="G67" i="81" s="1"/>
  <c r="D810" i="81"/>
  <c r="H855" i="81" s="1"/>
  <c r="J331" i="84"/>
  <c r="J710" i="84"/>
  <c r="H80" i="84" s="1"/>
  <c r="H40" i="84"/>
  <c r="N32" i="14"/>
  <c r="AJ32" i="14"/>
  <c r="N56" i="76"/>
  <c r="O56" i="76" s="1"/>
  <c r="AJ56" i="76"/>
  <c r="AJ57" i="76"/>
  <c r="N57" i="76"/>
  <c r="O57" i="76" s="1"/>
  <c r="J876" i="81"/>
  <c r="N28" i="76"/>
  <c r="O28" i="76" s="1"/>
  <c r="AJ28" i="76"/>
  <c r="N56" i="14"/>
  <c r="AJ56" i="14"/>
  <c r="H875" i="81"/>
  <c r="D206" i="84"/>
  <c r="D162" i="84"/>
  <c r="D205" i="84"/>
  <c r="H41" i="84"/>
  <c r="J711" i="84"/>
  <c r="H81" i="84" s="1"/>
  <c r="AJ33" i="14"/>
  <c r="N33" i="14"/>
  <c r="P23" i="84"/>
  <c r="U23" i="84"/>
  <c r="H32" i="84"/>
  <c r="H710" i="84"/>
  <c r="H72" i="84" s="1"/>
  <c r="J229" i="81"/>
  <c r="J875" i="81"/>
  <c r="U56" i="81"/>
  <c r="W56" i="81" s="1"/>
  <c r="I875" i="81"/>
  <c r="H27" i="81"/>
  <c r="I229" i="81"/>
  <c r="AJ53" i="14"/>
  <c r="N53" i="14"/>
  <c r="N48" i="84"/>
  <c r="AJ48" i="84"/>
  <c r="AJ52" i="14"/>
  <c r="N52" i="14"/>
  <c r="H709" i="84"/>
  <c r="H31" i="84"/>
  <c r="AJ68" i="81"/>
  <c r="N68" i="81"/>
  <c r="O68" i="81" s="1"/>
  <c r="D190" i="84"/>
  <c r="E212" i="84" s="1"/>
  <c r="D194" i="84"/>
  <c r="D195" i="84" s="1"/>
  <c r="H212" i="84" s="1"/>
  <c r="H31" i="14"/>
  <c r="I225" i="14"/>
  <c r="U51" i="84"/>
  <c r="D643" i="76"/>
  <c r="H682" i="76" s="1"/>
  <c r="E682" i="76"/>
  <c r="V83" i="84"/>
  <c r="AK55" i="81"/>
  <c r="H51" i="14"/>
  <c r="I651" i="14"/>
  <c r="H31" i="76"/>
  <c r="I229" i="76"/>
  <c r="D607" i="14"/>
  <c r="H646" i="14" s="1"/>
  <c r="E646" i="14"/>
  <c r="G47" i="14" s="1"/>
  <c r="U23" i="76"/>
  <c r="V23" i="76" s="1"/>
  <c r="P23" i="76"/>
  <c r="E222" i="14"/>
  <c r="G29" i="14" s="1"/>
  <c r="D217" i="14"/>
  <c r="H222" i="14" s="1"/>
  <c r="H29" i="14" s="1"/>
  <c r="N36" i="14"/>
  <c r="AJ36" i="14"/>
  <c r="D181" i="14"/>
  <c r="H220" i="14" s="1"/>
  <c r="E220" i="14"/>
  <c r="G27" i="14" s="1"/>
  <c r="AJ37" i="76"/>
  <c r="N37" i="76"/>
  <c r="O37" i="76" s="1"/>
  <c r="D836" i="81"/>
  <c r="F68" i="81" s="1"/>
  <c r="AF69" i="87"/>
  <c r="U35" i="81"/>
  <c r="P35" i="81"/>
  <c r="U63" i="81"/>
  <c r="P63" i="81"/>
  <c r="D679" i="76"/>
  <c r="H684" i="76" s="1"/>
  <c r="H53" i="76" s="1"/>
  <c r="E684" i="76"/>
  <c r="N48" i="14"/>
  <c r="AJ48" i="14"/>
  <c r="V63" i="76"/>
  <c r="X63" i="76" s="1"/>
  <c r="Y63" i="76" s="1"/>
  <c r="AA63" i="76" s="1"/>
  <c r="P23" i="81"/>
  <c r="AJ33" i="76"/>
  <c r="N33" i="76"/>
  <c r="O33" i="76" s="1"/>
  <c r="E648" i="14"/>
  <c r="G49" i="14" s="1"/>
  <c r="D643" i="14"/>
  <c r="H648" i="14" s="1"/>
  <c r="H49" i="14" s="1"/>
  <c r="AJ28" i="14"/>
  <c r="N28" i="14"/>
  <c r="H29" i="81"/>
  <c r="I877" i="81"/>
  <c r="H73" i="81" s="1"/>
  <c r="E312" i="84"/>
  <c r="F36" i="84" s="1"/>
  <c r="E311" i="84"/>
  <c r="G36" i="84" s="1"/>
  <c r="H39" i="84"/>
  <c r="J709" i="84"/>
  <c r="U47" i="76"/>
  <c r="P47" i="76"/>
  <c r="P51" i="81"/>
  <c r="N61" i="76"/>
  <c r="O61" i="76" s="1"/>
  <c r="Y44" i="76"/>
  <c r="AA44" i="76" s="1"/>
  <c r="V75" i="81"/>
  <c r="X75" i="81" s="1"/>
  <c r="Z75" i="81" s="1"/>
  <c r="F88" i="87" s="1"/>
  <c r="Y49" i="76"/>
  <c r="AA49" i="76" s="1"/>
  <c r="Y45" i="76"/>
  <c r="AA45" i="76" s="1"/>
  <c r="H876" i="81"/>
  <c r="H36" i="84"/>
  <c r="I710" i="84"/>
  <c r="H76" i="84" s="1"/>
  <c r="AJ37" i="14"/>
  <c r="N37" i="14"/>
  <c r="I709" i="84"/>
  <c r="H35" i="84"/>
  <c r="AK51" i="81"/>
  <c r="U39" i="81"/>
  <c r="H59" i="76"/>
  <c r="E226" i="81"/>
  <c r="D221" i="81"/>
  <c r="H226" i="81" s="1"/>
  <c r="AJ27" i="84"/>
  <c r="N27" i="84"/>
  <c r="O27" i="84" s="1"/>
  <c r="P23" i="14"/>
  <c r="U23" i="14"/>
  <c r="V83" i="12"/>
  <c r="X83" i="12" s="1"/>
  <c r="Z83" i="12" s="1"/>
  <c r="D307" i="12"/>
  <c r="D309" i="12" s="1"/>
  <c r="H326" i="12" s="1"/>
  <c r="H761" i="12" s="1"/>
  <c r="E307" i="12"/>
  <c r="E309" i="12" s="1"/>
  <c r="I326" i="12" s="1"/>
  <c r="I761" i="12" s="1"/>
  <c r="I765" i="12" s="1"/>
  <c r="X23" i="26"/>
  <c r="Y23" i="26" s="1"/>
  <c r="AA23" i="26" s="1"/>
  <c r="E304" i="12"/>
  <c r="F680" i="12"/>
  <c r="N59" i="12"/>
  <c r="H80" i="12"/>
  <c r="H40" i="12"/>
  <c r="H79" i="12"/>
  <c r="H39" i="12"/>
  <c r="AF63" i="12"/>
  <c r="AF60" i="12"/>
  <c r="AF61" i="12" s="1"/>
  <c r="AF62" i="12" s="1"/>
  <c r="N60" i="12"/>
  <c r="AJ60" i="12"/>
  <c r="H71" i="12"/>
  <c r="H31" i="12"/>
  <c r="H77" i="12"/>
  <c r="H37" i="12"/>
  <c r="H75" i="12"/>
  <c r="H35" i="12"/>
  <c r="F318" i="12"/>
  <c r="F319" i="12" s="1"/>
  <c r="F321" i="12" s="1"/>
  <c r="F703" i="12"/>
  <c r="F707" i="12"/>
  <c r="D304" i="12"/>
  <c r="F311" i="12"/>
  <c r="F312" i="12"/>
  <c r="F40" i="12" s="1"/>
  <c r="E327" i="12"/>
  <c r="E762" i="12" s="1"/>
  <c r="D322" i="12"/>
  <c r="H327" i="12" s="1"/>
  <c r="H762" i="12" s="1"/>
  <c r="G670" i="70"/>
  <c r="G669" i="70"/>
  <c r="C628" i="70"/>
  <c r="C643" i="70" s="1"/>
  <c r="AD39" i="70" s="1"/>
  <c r="E614" i="70"/>
  <c r="E613" i="70"/>
  <c r="E612" i="70"/>
  <c r="E607" i="70"/>
  <c r="E606" i="70"/>
  <c r="K596" i="70"/>
  <c r="K595" i="70"/>
  <c r="K594" i="70"/>
  <c r="G573" i="70"/>
  <c r="E569" i="70"/>
  <c r="D567" i="70"/>
  <c r="D565" i="70"/>
  <c r="D541" i="70"/>
  <c r="D540" i="70"/>
  <c r="D535" i="70"/>
  <c r="D533" i="70"/>
  <c r="E523" i="70"/>
  <c r="E522" i="70"/>
  <c r="E521" i="70"/>
  <c r="K498" i="70"/>
  <c r="K497" i="70"/>
  <c r="K496" i="70"/>
  <c r="I48" i="70" s="1"/>
  <c r="K495" i="70"/>
  <c r="I47" i="70" s="1"/>
  <c r="D471" i="70"/>
  <c r="D469" i="70"/>
  <c r="G449" i="70"/>
  <c r="D439" i="70"/>
  <c r="D435" i="70"/>
  <c r="D433" i="70"/>
  <c r="D436" i="70"/>
  <c r="K499" i="70"/>
  <c r="I50" i="70" s="1"/>
  <c r="H499" i="70"/>
  <c r="H46" i="70" s="1"/>
  <c r="D397" i="70"/>
  <c r="I380" i="70"/>
  <c r="I42" i="70" s="1"/>
  <c r="H380" i="70"/>
  <c r="H42" i="70" s="1"/>
  <c r="I379" i="70"/>
  <c r="I378" i="70"/>
  <c r="I377" i="70"/>
  <c r="I40" i="70" s="1"/>
  <c r="I376" i="70"/>
  <c r="I39" i="70" s="1"/>
  <c r="D366" i="70"/>
  <c r="D368" i="70" s="1"/>
  <c r="D360" i="70"/>
  <c r="D361" i="70" s="1"/>
  <c r="D318" i="70"/>
  <c r="D328" i="70"/>
  <c r="K30" i="70"/>
  <c r="L269" i="70"/>
  <c r="L268" i="70"/>
  <c r="L267" i="70"/>
  <c r="G244" i="70"/>
  <c r="D150" i="70"/>
  <c r="E204" i="70"/>
  <c r="E203" i="70"/>
  <c r="E202" i="70"/>
  <c r="D138" i="70"/>
  <c r="D140" i="70" s="1"/>
  <c r="E116" i="70"/>
  <c r="E115" i="70"/>
  <c r="E114" i="70"/>
  <c r="E108" i="70"/>
  <c r="E107" i="70"/>
  <c r="D107" i="70"/>
  <c r="AA70" i="70"/>
  <c r="Y70" i="70"/>
  <c r="AA69" i="70"/>
  <c r="Y69" i="70"/>
  <c r="AA68" i="70"/>
  <c r="Y68" i="70"/>
  <c r="K67" i="70"/>
  <c r="L67" i="70" s="1"/>
  <c r="M67" i="70" s="1"/>
  <c r="I67" i="70"/>
  <c r="AA66" i="70"/>
  <c r="Y66" i="70"/>
  <c r="L65" i="70"/>
  <c r="M65" i="70" s="1"/>
  <c r="AH65" i="70"/>
  <c r="AI65" i="70" s="1"/>
  <c r="J65" i="70"/>
  <c r="L64" i="70"/>
  <c r="AH64" i="70"/>
  <c r="AI64" i="70" s="1"/>
  <c r="J64" i="70"/>
  <c r="L63" i="70"/>
  <c r="M63" i="70" s="1"/>
  <c r="AH63" i="70"/>
  <c r="AI63" i="70" s="1"/>
  <c r="J63" i="70"/>
  <c r="AA62" i="70"/>
  <c r="Y62" i="70"/>
  <c r="L61" i="70"/>
  <c r="M61" i="70" s="1"/>
  <c r="AH61" i="70"/>
  <c r="AI61" i="70" s="1"/>
  <c r="J61" i="70"/>
  <c r="L60" i="70"/>
  <c r="AH60" i="70"/>
  <c r="AI60" i="70" s="1"/>
  <c r="J60" i="70"/>
  <c r="L59" i="70"/>
  <c r="M59" i="70" s="1"/>
  <c r="AH59" i="70"/>
  <c r="AI59" i="70" s="1"/>
  <c r="J59" i="70"/>
  <c r="AA58" i="70"/>
  <c r="Y58" i="70"/>
  <c r="L57" i="70"/>
  <c r="M57" i="70" s="1"/>
  <c r="AH57" i="70"/>
  <c r="AI57" i="70" s="1"/>
  <c r="J57" i="70"/>
  <c r="L56" i="70"/>
  <c r="AH56" i="70"/>
  <c r="AI56" i="70" s="1"/>
  <c r="J56" i="70"/>
  <c r="L55" i="70"/>
  <c r="M55" i="70" s="1"/>
  <c r="AH55" i="70"/>
  <c r="AI55" i="70" s="1"/>
  <c r="J55" i="70"/>
  <c r="K54" i="70"/>
  <c r="J54" i="70" s="1"/>
  <c r="K53" i="70"/>
  <c r="J53" i="70" s="1"/>
  <c r="K52" i="70"/>
  <c r="L52" i="70" s="1"/>
  <c r="K51" i="70"/>
  <c r="L51" i="70" s="1"/>
  <c r="M51" i="70" s="1"/>
  <c r="K50" i="70"/>
  <c r="K49" i="70"/>
  <c r="K48" i="70"/>
  <c r="J48" i="70" s="1"/>
  <c r="K47" i="70"/>
  <c r="L47" i="70" s="1"/>
  <c r="M47" i="70" s="1"/>
  <c r="K46" i="70"/>
  <c r="AH46" i="70" s="1"/>
  <c r="AI46" i="70" s="1"/>
  <c r="K45" i="70"/>
  <c r="L45" i="70" s="1"/>
  <c r="M45" i="70" s="1"/>
  <c r="K44" i="70"/>
  <c r="AH44" i="70" s="1"/>
  <c r="AI44" i="70" s="1"/>
  <c r="K43" i="70"/>
  <c r="AH43" i="70" s="1"/>
  <c r="AI43" i="70" s="1"/>
  <c r="K42" i="70"/>
  <c r="J42" i="70" s="1"/>
  <c r="K39" i="70"/>
  <c r="K41" i="70" s="1"/>
  <c r="AH41" i="70" s="1"/>
  <c r="AI41" i="70" s="1"/>
  <c r="K37" i="70"/>
  <c r="AH37" i="70" s="1"/>
  <c r="AI37" i="70" s="1"/>
  <c r="K36" i="70"/>
  <c r="J36" i="70" s="1"/>
  <c r="K35" i="70"/>
  <c r="AH35" i="70" s="1"/>
  <c r="AI35" i="70" s="1"/>
  <c r="K33" i="70"/>
  <c r="AH33" i="70" s="1"/>
  <c r="AI33" i="70" s="1"/>
  <c r="I33" i="70"/>
  <c r="K32" i="70"/>
  <c r="L32" i="70" s="1"/>
  <c r="I32" i="70"/>
  <c r="K31" i="70"/>
  <c r="AH31" i="70" s="1"/>
  <c r="AI31" i="70" s="1"/>
  <c r="I31" i="70"/>
  <c r="I30" i="70"/>
  <c r="I34" i="70" s="1"/>
  <c r="K29" i="70"/>
  <c r="L29" i="70" s="1"/>
  <c r="M29" i="70" s="1"/>
  <c r="K28" i="70"/>
  <c r="L28" i="70" s="1"/>
  <c r="AF27" i="70"/>
  <c r="AF28" i="70" s="1"/>
  <c r="AF29" i="70" s="1"/>
  <c r="AF30" i="70" s="1"/>
  <c r="L27" i="70"/>
  <c r="M27" i="70" s="1"/>
  <c r="AA26" i="70"/>
  <c r="Y26" i="70"/>
  <c r="AA25" i="70"/>
  <c r="Y25" i="70"/>
  <c r="AF24" i="70"/>
  <c r="AF25" i="70" s="1"/>
  <c r="AF26" i="70" s="1"/>
  <c r="AA24" i="70"/>
  <c r="Y24" i="70"/>
  <c r="K23" i="70"/>
  <c r="AH23" i="70" s="1"/>
  <c r="AI23" i="70" s="1"/>
  <c r="D58" i="69"/>
  <c r="T53" i="78" l="1"/>
  <c r="BU61" i="100"/>
  <c r="AK61" i="100" s="1"/>
  <c r="AK66" i="100" s="1"/>
  <c r="BT61" i="100"/>
  <c r="AJ61" i="100" s="1"/>
  <c r="AJ66" i="100" s="1"/>
  <c r="BR61" i="100"/>
  <c r="BR66" i="100" s="1"/>
  <c r="BS61" i="100"/>
  <c r="BS66" i="100" s="1"/>
  <c r="BV61" i="100"/>
  <c r="AL61" i="100" s="1"/>
  <c r="AL66" i="100" s="1"/>
  <c r="BQ61" i="100"/>
  <c r="AG61" i="100" s="1"/>
  <c r="AG66" i="100" s="1"/>
  <c r="BX61" i="100"/>
  <c r="AN61" i="100" s="1"/>
  <c r="AN66" i="100" s="1"/>
  <c r="G59" i="99"/>
  <c r="I331" i="84"/>
  <c r="J229" i="76"/>
  <c r="S72" i="84"/>
  <c r="L58" i="98" s="1"/>
  <c r="S64" i="96"/>
  <c r="P51" i="95" s="1"/>
  <c r="F476" i="96"/>
  <c r="J484" i="96" s="1"/>
  <c r="H61" i="96" s="1"/>
  <c r="G484" i="96"/>
  <c r="G61" i="96" s="1"/>
  <c r="S36" i="96"/>
  <c r="S72" i="96"/>
  <c r="R51" i="95" s="1"/>
  <c r="S28" i="150"/>
  <c r="M48" i="151" s="1"/>
  <c r="S84" i="96"/>
  <c r="R52" i="95" s="1"/>
  <c r="N61" i="169"/>
  <c r="O61" i="169" s="1"/>
  <c r="U61" i="169" s="1"/>
  <c r="W61" i="169" s="1"/>
  <c r="X61" i="169" s="1"/>
  <c r="Y61" i="169" s="1"/>
  <c r="AA61" i="169" s="1"/>
  <c r="S48" i="150"/>
  <c r="F482" i="152"/>
  <c r="G31" i="152"/>
  <c r="AC59" i="100"/>
  <c r="M47" i="170"/>
  <c r="S28" i="169"/>
  <c r="G47" i="152"/>
  <c r="AC68" i="70"/>
  <c r="S64" i="99"/>
  <c r="S68" i="107"/>
  <c r="L50" i="108" s="1"/>
  <c r="J696" i="96"/>
  <c r="AJ61" i="169"/>
  <c r="I525" i="169"/>
  <c r="S52" i="169"/>
  <c r="F52" i="152"/>
  <c r="S28" i="165"/>
  <c r="K58" i="166" s="1"/>
  <c r="K61" i="166" s="1"/>
  <c r="J211" i="152"/>
  <c r="I724" i="12"/>
  <c r="I725" i="12" s="1"/>
  <c r="G65" i="99"/>
  <c r="G81" i="84"/>
  <c r="G712" i="96"/>
  <c r="G97" i="96" s="1"/>
  <c r="G37" i="96"/>
  <c r="AD59" i="100"/>
  <c r="S36" i="107"/>
  <c r="L46" i="108" s="1"/>
  <c r="AC26" i="70"/>
  <c r="AC62" i="70"/>
  <c r="N65" i="96"/>
  <c r="O65" i="96" s="1"/>
  <c r="U65" i="96" s="1"/>
  <c r="S60" i="99"/>
  <c r="D476" i="96"/>
  <c r="H484" i="96" s="1"/>
  <c r="H53" i="96" s="1"/>
  <c r="E484" i="96"/>
  <c r="G53" i="96" s="1"/>
  <c r="E712" i="96"/>
  <c r="G89" i="96" s="1"/>
  <c r="G29" i="96"/>
  <c r="G68" i="99"/>
  <c r="H696" i="96"/>
  <c r="S40" i="150"/>
  <c r="O49" i="151" s="1"/>
  <c r="H37" i="152"/>
  <c r="J51" i="153"/>
  <c r="G56" i="152"/>
  <c r="L46" i="170"/>
  <c r="H41" i="171"/>
  <c r="J300" i="171"/>
  <c r="E736" i="107"/>
  <c r="I744" i="107" s="1"/>
  <c r="H65" i="107" s="1"/>
  <c r="F744" i="107"/>
  <c r="G65" i="107" s="1"/>
  <c r="AC24" i="70"/>
  <c r="AC69" i="70"/>
  <c r="J687" i="76"/>
  <c r="AJ67" i="84"/>
  <c r="AJ65" i="96"/>
  <c r="E476" i="96"/>
  <c r="I484" i="96" s="1"/>
  <c r="H57" i="96" s="1"/>
  <c r="F484" i="96"/>
  <c r="G57" i="96" s="1"/>
  <c r="F736" i="107"/>
  <c r="J744" i="107" s="1"/>
  <c r="H69" i="107" s="1"/>
  <c r="G744" i="107"/>
  <c r="G69" i="107" s="1"/>
  <c r="S64" i="107"/>
  <c r="K50" i="108" s="1"/>
  <c r="S40" i="99"/>
  <c r="S32" i="150"/>
  <c r="J48" i="153"/>
  <c r="F56" i="152"/>
  <c r="S44" i="169"/>
  <c r="G484" i="152"/>
  <c r="G37" i="152"/>
  <c r="AJ53" i="169"/>
  <c r="L44" i="170"/>
  <c r="AG46" i="78"/>
  <c r="G77" i="84"/>
  <c r="L47" i="170"/>
  <c r="Z68" i="51"/>
  <c r="AB68" i="51"/>
  <c r="AC68" i="51"/>
  <c r="AJ61" i="76"/>
  <c r="G76" i="84"/>
  <c r="G80" i="84"/>
  <c r="I711" i="84"/>
  <c r="H77" i="84" s="1"/>
  <c r="H610" i="96"/>
  <c r="E358" i="96"/>
  <c r="I366" i="96" s="1"/>
  <c r="H45" i="96" s="1"/>
  <c r="F366" i="96"/>
  <c r="G45" i="96" s="1"/>
  <c r="S36" i="150"/>
  <c r="S72" i="107"/>
  <c r="J51" i="108" s="1"/>
  <c r="N77" i="96"/>
  <c r="O77" i="96" s="1"/>
  <c r="U77" i="96" s="1"/>
  <c r="S76" i="96"/>
  <c r="P52" i="95" s="1"/>
  <c r="S40" i="171"/>
  <c r="M59" i="172" s="1"/>
  <c r="M63" i="172" s="1"/>
  <c r="S56" i="169"/>
  <c r="S36" i="165"/>
  <c r="M58" i="166" s="1"/>
  <c r="M61" i="166" s="1"/>
  <c r="AJ37" i="171"/>
  <c r="E180" i="171"/>
  <c r="G27" i="171"/>
  <c r="L48" i="72"/>
  <c r="F484" i="152"/>
  <c r="G33" i="152"/>
  <c r="G71" i="84"/>
  <c r="G69" i="99"/>
  <c r="AG50" i="78"/>
  <c r="S60" i="107"/>
  <c r="J50" i="108" s="1"/>
  <c r="AC70" i="70"/>
  <c r="AC25" i="70"/>
  <c r="S36" i="84"/>
  <c r="M50" i="98" s="1"/>
  <c r="E211" i="84"/>
  <c r="E692" i="84" s="1"/>
  <c r="G67" i="84" s="1"/>
  <c r="G27" i="84"/>
  <c r="S40" i="84"/>
  <c r="N50" i="98" s="1"/>
  <c r="S32" i="107"/>
  <c r="K46" i="108" s="1"/>
  <c r="S80" i="96"/>
  <c r="Q52" i="95" s="1"/>
  <c r="E199" i="99"/>
  <c r="E769" i="99" s="1"/>
  <c r="G27" i="99"/>
  <c r="D736" i="107"/>
  <c r="H744" i="107" s="1"/>
  <c r="H61" i="107" s="1"/>
  <c r="E744" i="107"/>
  <c r="G61" i="107" s="1"/>
  <c r="F358" i="96"/>
  <c r="J366" i="96" s="1"/>
  <c r="H49" i="96" s="1"/>
  <c r="G366" i="96"/>
  <c r="G49" i="96" s="1"/>
  <c r="AJ77" i="96"/>
  <c r="S36" i="169"/>
  <c r="I300" i="171"/>
  <c r="N45" i="169"/>
  <c r="O45" i="169" s="1"/>
  <c r="U45" i="169" s="1"/>
  <c r="G482" i="152"/>
  <c r="G35" i="152"/>
  <c r="AE46" i="78"/>
  <c r="AC66" i="70"/>
  <c r="AC58" i="70"/>
  <c r="S92" i="96"/>
  <c r="S68" i="96"/>
  <c r="Q51" i="95" s="1"/>
  <c r="S60" i="96"/>
  <c r="O50" i="95" s="1"/>
  <c r="G57" i="99"/>
  <c r="D358" i="96"/>
  <c r="H366" i="96" s="1"/>
  <c r="H41" i="96" s="1"/>
  <c r="E366" i="96"/>
  <c r="G41" i="96" s="1"/>
  <c r="S88" i="96"/>
  <c r="AA13" i="165"/>
  <c r="S44" i="150"/>
  <c r="S32" i="171"/>
  <c r="K59" i="172" s="1"/>
  <c r="K63" i="172" s="1"/>
  <c r="AJ45" i="169"/>
  <c r="F712" i="96"/>
  <c r="G93" i="96" s="1"/>
  <c r="G33" i="96"/>
  <c r="AF50" i="78"/>
  <c r="X59" i="81"/>
  <c r="Y59" i="81" s="1"/>
  <c r="AA59" i="81" s="1"/>
  <c r="H229" i="81"/>
  <c r="S28" i="81"/>
  <c r="R59" i="87" s="1"/>
  <c r="Y48" i="81"/>
  <c r="AA48" i="81" s="1"/>
  <c r="Y61" i="81"/>
  <c r="AA61" i="81" s="1"/>
  <c r="Y49" i="81"/>
  <c r="AA49" i="81" s="1"/>
  <c r="S68" i="81"/>
  <c r="U69" i="87" s="1"/>
  <c r="V47" i="81"/>
  <c r="W47" i="81" s="1"/>
  <c r="D331" i="150"/>
  <c r="E343" i="150"/>
  <c r="G41" i="150" s="1"/>
  <c r="E331" i="150"/>
  <c r="F343" i="150"/>
  <c r="G45" i="150" s="1"/>
  <c r="F331" i="150"/>
  <c r="G343" i="150"/>
  <c r="G49" i="150" s="1"/>
  <c r="G33" i="150"/>
  <c r="G37" i="150"/>
  <c r="E730" i="150"/>
  <c r="G77" i="150" s="1"/>
  <c r="G29" i="150"/>
  <c r="E729" i="150"/>
  <c r="G76" i="150" s="1"/>
  <c r="G28" i="150"/>
  <c r="AB23" i="150"/>
  <c r="AJ59" i="12"/>
  <c r="G71" i="12"/>
  <c r="S40" i="12"/>
  <c r="O57" i="72" s="1"/>
  <c r="G77" i="12"/>
  <c r="H765" i="12"/>
  <c r="G33" i="107"/>
  <c r="E761" i="107"/>
  <c r="G73" i="107" s="1"/>
  <c r="G29" i="107"/>
  <c r="N41" i="107"/>
  <c r="O41" i="107" s="1"/>
  <c r="U41" i="107" s="1"/>
  <c r="W41" i="107" s="1"/>
  <c r="X41" i="107" s="1"/>
  <c r="AJ41" i="107"/>
  <c r="AK39" i="107" s="1"/>
  <c r="G37" i="107"/>
  <c r="F708" i="12"/>
  <c r="G723" i="12"/>
  <c r="G64" i="12" s="1"/>
  <c r="F322" i="12"/>
  <c r="J327" i="12" s="1"/>
  <c r="J762" i="12" s="1"/>
  <c r="J765" i="12" s="1"/>
  <c r="G41" i="12"/>
  <c r="F682" i="12"/>
  <c r="J722" i="12" s="1"/>
  <c r="H63" i="12" s="1"/>
  <c r="G722" i="12"/>
  <c r="G63" i="12" s="1"/>
  <c r="D312" i="12"/>
  <c r="F32" i="12" s="1"/>
  <c r="G32" i="12"/>
  <c r="E311" i="12"/>
  <c r="G36" i="12"/>
  <c r="E877" i="81"/>
  <c r="G73" i="81" s="1"/>
  <c r="G29" i="81"/>
  <c r="E484" i="152"/>
  <c r="G49" i="152"/>
  <c r="AK43" i="107"/>
  <c r="V39" i="76"/>
  <c r="X39" i="76" s="1"/>
  <c r="Y39" i="76" s="1"/>
  <c r="AA39" i="76" s="1"/>
  <c r="X55" i="179"/>
  <c r="J764" i="107"/>
  <c r="P23" i="12"/>
  <c r="U44" i="81"/>
  <c r="Y32" i="169"/>
  <c r="AA32" i="169" s="1"/>
  <c r="Y73" i="150"/>
  <c r="AA73" i="150" s="1"/>
  <c r="AB59" i="152"/>
  <c r="X47" i="171"/>
  <c r="Z47" i="171" s="1"/>
  <c r="D71" i="172" s="1"/>
  <c r="H33" i="171"/>
  <c r="H300" i="171"/>
  <c r="AE23" i="179"/>
  <c r="V43" i="152"/>
  <c r="W43" i="152" s="1"/>
  <c r="X43" i="152" s="1"/>
  <c r="Y43" i="152" s="1"/>
  <c r="AA43" i="152" s="1"/>
  <c r="V23" i="165"/>
  <c r="X23" i="165" s="1"/>
  <c r="Y23" i="165" s="1"/>
  <c r="AA23" i="165" s="1"/>
  <c r="U35" i="152"/>
  <c r="V23" i="171"/>
  <c r="X23" i="171" s="1"/>
  <c r="Z23" i="171" s="1"/>
  <c r="U27" i="165"/>
  <c r="N48" i="152"/>
  <c r="O48" i="152" s="1"/>
  <c r="U48" i="152" s="1"/>
  <c r="W48" i="152" s="1"/>
  <c r="X48" i="152" s="1"/>
  <c r="Y48" i="152" s="1"/>
  <c r="AA48" i="152" s="1"/>
  <c r="AJ48" i="152"/>
  <c r="J487" i="152"/>
  <c r="N29" i="165"/>
  <c r="O29" i="165" s="1"/>
  <c r="U29" i="165" s="1"/>
  <c r="AJ29" i="165"/>
  <c r="AK27" i="165" s="1"/>
  <c r="U31" i="171"/>
  <c r="X47" i="179"/>
  <c r="V23" i="169"/>
  <c r="X23" i="169" s="1"/>
  <c r="Y23" i="169" s="1"/>
  <c r="AA23" i="169" s="1"/>
  <c r="X51" i="179"/>
  <c r="Y51" i="179" s="1"/>
  <c r="Z51" i="179" s="1"/>
  <c r="AA51" i="179" s="1"/>
  <c r="AD51" i="179" s="1"/>
  <c r="AF51" i="179" s="1"/>
  <c r="Z59" i="152"/>
  <c r="AB23" i="179"/>
  <c r="AC23" i="179" s="1"/>
  <c r="F68" i="180" s="1"/>
  <c r="U71" i="150"/>
  <c r="P71" i="150"/>
  <c r="X43" i="179"/>
  <c r="Y43" i="179" s="1"/>
  <c r="Z43" i="179" s="1"/>
  <c r="W33" i="165"/>
  <c r="X33" i="165" s="1"/>
  <c r="N57" i="169"/>
  <c r="O57" i="169" s="1"/>
  <c r="U57" i="169" s="1"/>
  <c r="W57" i="169" s="1"/>
  <c r="X57" i="169" s="1"/>
  <c r="Y57" i="169" s="1"/>
  <c r="AA57" i="169" s="1"/>
  <c r="AJ57" i="169"/>
  <c r="Y68" i="150"/>
  <c r="AA68" i="150" s="1"/>
  <c r="N32" i="152"/>
  <c r="O32" i="152" s="1"/>
  <c r="U32" i="152" s="1"/>
  <c r="AJ32" i="152"/>
  <c r="AJ55" i="152"/>
  <c r="N55" i="152"/>
  <c r="O55" i="152" s="1"/>
  <c r="P35" i="171"/>
  <c r="U35" i="171"/>
  <c r="K36" i="170"/>
  <c r="AC50" i="100"/>
  <c r="K50" i="166"/>
  <c r="L41" i="98"/>
  <c r="J40" i="153"/>
  <c r="M40" i="95"/>
  <c r="V38" i="78"/>
  <c r="M48" i="72"/>
  <c r="P45" i="180"/>
  <c r="M40" i="151"/>
  <c r="V51" i="87"/>
  <c r="R38" i="78"/>
  <c r="K50" i="172"/>
  <c r="R51" i="87"/>
  <c r="J40" i="73"/>
  <c r="S51" i="87"/>
  <c r="J38" i="108"/>
  <c r="T51" i="87"/>
  <c r="AY50" i="100"/>
  <c r="O41" i="98"/>
  <c r="AO50" i="100"/>
  <c r="H223" i="169"/>
  <c r="H27" i="169"/>
  <c r="AB39" i="165"/>
  <c r="AJ53" i="152"/>
  <c r="N53" i="152"/>
  <c r="O53" i="152" s="1"/>
  <c r="U53" i="152" s="1"/>
  <c r="N47" i="169"/>
  <c r="O47" i="169" s="1"/>
  <c r="AJ47" i="169"/>
  <c r="AK47" i="169" s="1"/>
  <c r="AJ52" i="152"/>
  <c r="N52" i="152"/>
  <c r="O52" i="152" s="1"/>
  <c r="U52" i="152" s="1"/>
  <c r="U39" i="171"/>
  <c r="W49" i="169"/>
  <c r="X49" i="169" s="1"/>
  <c r="AJ35" i="165"/>
  <c r="AK35" i="165" s="1"/>
  <c r="N35" i="165"/>
  <c r="O35" i="165" s="1"/>
  <c r="V51" i="171"/>
  <c r="U47" i="150"/>
  <c r="AK35" i="171"/>
  <c r="W45" i="169"/>
  <c r="X45" i="169" s="1"/>
  <c r="Y45" i="169" s="1"/>
  <c r="AA45" i="169" s="1"/>
  <c r="U43" i="150"/>
  <c r="N37" i="152"/>
  <c r="O37" i="152" s="1"/>
  <c r="U37" i="152" s="1"/>
  <c r="AJ37" i="152"/>
  <c r="I487" i="152"/>
  <c r="H51" i="152"/>
  <c r="V55" i="171"/>
  <c r="X55" i="171" s="1"/>
  <c r="Z55" i="171" s="1"/>
  <c r="Z39" i="165"/>
  <c r="D67" i="166" s="1"/>
  <c r="D69" i="166" s="1"/>
  <c r="V23" i="163"/>
  <c r="X23" i="163" s="1"/>
  <c r="AJ63" i="169"/>
  <c r="AK63" i="169" s="1"/>
  <c r="N63" i="169"/>
  <c r="O63" i="169" s="1"/>
  <c r="N31" i="169"/>
  <c r="O31" i="169" s="1"/>
  <c r="AJ31" i="169"/>
  <c r="AK31" i="169" s="1"/>
  <c r="AJ33" i="152"/>
  <c r="N33" i="152"/>
  <c r="O33" i="152" s="1"/>
  <c r="U33" i="152" s="1"/>
  <c r="W33" i="152" s="1"/>
  <c r="X33" i="152" s="1"/>
  <c r="Y33" i="152" s="1"/>
  <c r="AA33" i="152" s="1"/>
  <c r="AJ27" i="152"/>
  <c r="N27" i="152"/>
  <c r="O27" i="152" s="1"/>
  <c r="P67" i="150"/>
  <c r="U67" i="150"/>
  <c r="E182" i="171"/>
  <c r="D177" i="171"/>
  <c r="H182" i="171" s="1"/>
  <c r="X63" i="179"/>
  <c r="Z63" i="179" s="1"/>
  <c r="AA63" i="179" s="1"/>
  <c r="AD63" i="179" s="1"/>
  <c r="AF63" i="179" s="1"/>
  <c r="H287" i="165"/>
  <c r="W60" i="169"/>
  <c r="X60" i="169" s="1"/>
  <c r="Y60" i="169" s="1"/>
  <c r="AA60" i="169" s="1"/>
  <c r="AJ29" i="169"/>
  <c r="N29" i="169"/>
  <c r="O29" i="169" s="1"/>
  <c r="U29" i="169" s="1"/>
  <c r="W29" i="169" s="1"/>
  <c r="X29" i="169" s="1"/>
  <c r="Y29" i="169" s="1"/>
  <c r="AA29" i="169" s="1"/>
  <c r="W40" i="171"/>
  <c r="X40" i="171" s="1"/>
  <c r="N57" i="152"/>
  <c r="O57" i="152" s="1"/>
  <c r="U57" i="152" s="1"/>
  <c r="AJ57" i="152"/>
  <c r="AJ31" i="152"/>
  <c r="N31" i="152"/>
  <c r="O31" i="152" s="1"/>
  <c r="AJ43" i="169"/>
  <c r="AK43" i="169" s="1"/>
  <c r="N43" i="169"/>
  <c r="O43" i="169" s="1"/>
  <c r="W36" i="165"/>
  <c r="X36" i="165" s="1"/>
  <c r="AJ59" i="169"/>
  <c r="AK59" i="169" s="1"/>
  <c r="N59" i="169"/>
  <c r="O59" i="169" s="1"/>
  <c r="H44" i="150"/>
  <c r="W37" i="165"/>
  <c r="X37" i="165" s="1"/>
  <c r="Y37" i="165" s="1"/>
  <c r="AA37" i="165" s="1"/>
  <c r="H47" i="152"/>
  <c r="X27" i="179"/>
  <c r="Y27" i="179" s="1"/>
  <c r="U39" i="150"/>
  <c r="W36" i="171"/>
  <c r="X36" i="171" s="1"/>
  <c r="Y36" i="171" s="1"/>
  <c r="AA36" i="171" s="1"/>
  <c r="Y40" i="179"/>
  <c r="D147" i="165"/>
  <c r="E168" i="165" s="1"/>
  <c r="D153" i="165"/>
  <c r="D154" i="165"/>
  <c r="W28" i="165"/>
  <c r="X28" i="165" s="1"/>
  <c r="Y28" i="165" s="1"/>
  <c r="AA28" i="165" s="1"/>
  <c r="U31" i="165"/>
  <c r="P31" i="165"/>
  <c r="W32" i="171"/>
  <c r="X32" i="171" s="1"/>
  <c r="S36" i="152"/>
  <c r="S56" i="152"/>
  <c r="AB43" i="171"/>
  <c r="H525" i="169"/>
  <c r="H55" i="169"/>
  <c r="S32" i="152"/>
  <c r="S52" i="152"/>
  <c r="H40" i="150"/>
  <c r="X59" i="179"/>
  <c r="Y59" i="179" s="1"/>
  <c r="Z59" i="179" s="1"/>
  <c r="AB59" i="179" s="1"/>
  <c r="AC59" i="179" s="1"/>
  <c r="F77" i="180" s="1"/>
  <c r="W33" i="169"/>
  <c r="X33" i="169" s="1"/>
  <c r="Y33" i="169" s="1"/>
  <c r="AA33" i="169" s="1"/>
  <c r="H211" i="152"/>
  <c r="H29" i="152"/>
  <c r="H484" i="152"/>
  <c r="H49" i="152" s="1"/>
  <c r="N36" i="152"/>
  <c r="O36" i="152" s="1"/>
  <c r="U36" i="152" s="1"/>
  <c r="AJ36" i="152"/>
  <c r="Z36" i="179"/>
  <c r="AA36" i="179" s="1"/>
  <c r="AD36" i="179" s="1"/>
  <c r="AF36" i="179" s="1"/>
  <c r="W37" i="171"/>
  <c r="X37" i="171" s="1"/>
  <c r="Z43" i="171"/>
  <c r="D70" i="172" s="1"/>
  <c r="H48" i="150"/>
  <c r="AJ35" i="169"/>
  <c r="AK35" i="169" s="1"/>
  <c r="N35" i="169"/>
  <c r="O35" i="169" s="1"/>
  <c r="V23" i="152"/>
  <c r="X23" i="152" s="1"/>
  <c r="Z23" i="152" s="1"/>
  <c r="D167" i="171"/>
  <c r="F28" i="171" s="1"/>
  <c r="D166" i="171"/>
  <c r="G28" i="171" s="1"/>
  <c r="D160" i="171"/>
  <c r="E181" i="171" s="1"/>
  <c r="AK43" i="81"/>
  <c r="AK59" i="150"/>
  <c r="X31" i="179"/>
  <c r="Y31" i="179" s="1"/>
  <c r="Z31" i="179" s="1"/>
  <c r="AA31" i="179" s="1"/>
  <c r="AD31" i="179" s="1"/>
  <c r="AF31" i="179" s="1"/>
  <c r="J53" i="153"/>
  <c r="V67" i="169"/>
  <c r="N56" i="152"/>
  <c r="O56" i="152" s="1"/>
  <c r="U56" i="152" s="1"/>
  <c r="AJ56" i="152"/>
  <c r="E326" i="169"/>
  <c r="D285" i="169"/>
  <c r="G326" i="169" s="1"/>
  <c r="E327" i="169"/>
  <c r="D306" i="169"/>
  <c r="D311" i="169" s="1"/>
  <c r="D319" i="169"/>
  <c r="D321" i="169" s="1"/>
  <c r="G41" i="169" s="1"/>
  <c r="AJ51" i="169"/>
  <c r="AK51" i="169" s="1"/>
  <c r="N51" i="169"/>
  <c r="O51" i="169" s="1"/>
  <c r="D164" i="165"/>
  <c r="H169" i="165" s="1"/>
  <c r="H172" i="165" s="1"/>
  <c r="E169" i="165"/>
  <c r="H53" i="171"/>
  <c r="G435" i="171"/>
  <c r="N28" i="152"/>
  <c r="O28" i="152" s="1"/>
  <c r="U28" i="152" s="1"/>
  <c r="W28" i="152" s="1"/>
  <c r="X28" i="152" s="1"/>
  <c r="Y28" i="152" s="1"/>
  <c r="AA28" i="152" s="1"/>
  <c r="AJ28" i="152"/>
  <c r="N28" i="171"/>
  <c r="O28" i="171" s="1"/>
  <c r="U28" i="171" s="1"/>
  <c r="AJ28" i="171"/>
  <c r="N27" i="171"/>
  <c r="O27" i="171" s="1"/>
  <c r="AJ27" i="171"/>
  <c r="X39" i="152"/>
  <c r="Z39" i="152" s="1"/>
  <c r="D59" i="153" s="1"/>
  <c r="D63" i="153" s="1"/>
  <c r="AK63" i="150"/>
  <c r="AK51" i="84"/>
  <c r="M60" i="70"/>
  <c r="M64" i="70"/>
  <c r="M32" i="70"/>
  <c r="Q53" i="95"/>
  <c r="N53" i="95"/>
  <c r="M28" i="70"/>
  <c r="M52" i="70"/>
  <c r="M56" i="70"/>
  <c r="AG69" i="87"/>
  <c r="AG73" i="87" s="1"/>
  <c r="AJ69" i="87"/>
  <c r="AJ73" i="87" s="1"/>
  <c r="AI69" i="87"/>
  <c r="AI73" i="87" s="1"/>
  <c r="AK69" i="87"/>
  <c r="AK73" i="87" s="1"/>
  <c r="AH69" i="87"/>
  <c r="AH73" i="87" s="1"/>
  <c r="AL69" i="87"/>
  <c r="AL73" i="87" s="1"/>
  <c r="AM69" i="87"/>
  <c r="AM73" i="87" s="1"/>
  <c r="O48" i="95"/>
  <c r="R48" i="95"/>
  <c r="M53" i="95"/>
  <c r="P53" i="95"/>
  <c r="AK55" i="150"/>
  <c r="P63" i="150"/>
  <c r="P59" i="150"/>
  <c r="W60" i="150"/>
  <c r="X60" i="150" s="1"/>
  <c r="Y60" i="150" s="1"/>
  <c r="AA60" i="150" s="1"/>
  <c r="V59" i="150"/>
  <c r="W59" i="150" s="1"/>
  <c r="V63" i="150"/>
  <c r="W63" i="150" s="1"/>
  <c r="W64" i="150"/>
  <c r="W65" i="150"/>
  <c r="X65" i="150" s="1"/>
  <c r="W61" i="150"/>
  <c r="N48" i="151"/>
  <c r="M49" i="151"/>
  <c r="O48" i="151"/>
  <c r="N49" i="151"/>
  <c r="AM61" i="100"/>
  <c r="AM66" i="100" s="1"/>
  <c r="BE62" i="100"/>
  <c r="BE66" i="100" s="1"/>
  <c r="BD62" i="100"/>
  <c r="BD66" i="100" s="1"/>
  <c r="AZ62" i="100"/>
  <c r="AZ66" i="100" s="1"/>
  <c r="BA62" i="100"/>
  <c r="BA66" i="100" s="1"/>
  <c r="BF62" i="100"/>
  <c r="BF66" i="100" s="1"/>
  <c r="BB62" i="100"/>
  <c r="BB66" i="100" s="1"/>
  <c r="AY62" i="100"/>
  <c r="AY66" i="100" s="1"/>
  <c r="S56" i="96"/>
  <c r="N50" i="95" s="1"/>
  <c r="S48" i="96"/>
  <c r="O49" i="95" s="1"/>
  <c r="S52" i="96"/>
  <c r="M50" i="95" s="1"/>
  <c r="S44" i="96"/>
  <c r="N49" i="95" s="1"/>
  <c r="S40" i="96"/>
  <c r="M49" i="95" s="1"/>
  <c r="X23" i="81"/>
  <c r="Y23" i="81" s="1"/>
  <c r="AA23" i="81" s="1"/>
  <c r="Z83" i="107"/>
  <c r="F64" i="108" s="1"/>
  <c r="J733" i="150"/>
  <c r="BW66" i="100"/>
  <c r="U55" i="150"/>
  <c r="P55" i="150"/>
  <c r="P51" i="150"/>
  <c r="U51" i="150"/>
  <c r="Y56" i="150"/>
  <c r="AA56" i="150" s="1"/>
  <c r="I791" i="99"/>
  <c r="AB71" i="99"/>
  <c r="AB99" i="96"/>
  <c r="U59" i="84"/>
  <c r="V59" i="84" s="1"/>
  <c r="P59" i="84"/>
  <c r="AJ61" i="96"/>
  <c r="N61" i="96"/>
  <c r="O61" i="96" s="1"/>
  <c r="U61" i="96" s="1"/>
  <c r="V43" i="99"/>
  <c r="W43" i="99" s="1"/>
  <c r="X43" i="99" s="1"/>
  <c r="AJ53" i="99"/>
  <c r="AK51" i="99" s="1"/>
  <c r="N53" i="99"/>
  <c r="O53" i="99" s="1"/>
  <c r="U53" i="99" s="1"/>
  <c r="H64" i="107"/>
  <c r="I745" i="107"/>
  <c r="U51" i="99"/>
  <c r="I764" i="107"/>
  <c r="N37" i="99"/>
  <c r="O37" i="99" s="1"/>
  <c r="U37" i="99" s="1"/>
  <c r="W37" i="99" s="1"/>
  <c r="X37" i="99" s="1"/>
  <c r="Y37" i="99" s="1"/>
  <c r="AA37" i="99" s="1"/>
  <c r="AJ37" i="99"/>
  <c r="AJ41" i="96"/>
  <c r="N41" i="96"/>
  <c r="O41" i="96" s="1"/>
  <c r="U41" i="96" s="1"/>
  <c r="AJ37" i="150"/>
  <c r="N37" i="150"/>
  <c r="O37" i="150" s="1"/>
  <c r="U37" i="150" s="1"/>
  <c r="W40" i="107"/>
  <c r="X40" i="107" s="1"/>
  <c r="Y40" i="107" s="1"/>
  <c r="AA40" i="107" s="1"/>
  <c r="H71" i="107"/>
  <c r="AJ80" i="150"/>
  <c r="N80" i="150"/>
  <c r="O80" i="150" s="1"/>
  <c r="U80" i="150" s="1"/>
  <c r="H48" i="96"/>
  <c r="J367" i="96"/>
  <c r="U43" i="107"/>
  <c r="P43" i="107"/>
  <c r="U67" i="107"/>
  <c r="W81" i="96"/>
  <c r="X81" i="96" s="1"/>
  <c r="U59" i="107"/>
  <c r="N32" i="96"/>
  <c r="O32" i="96" s="1"/>
  <c r="U32" i="96" s="1"/>
  <c r="W32" i="96" s="1"/>
  <c r="X32" i="96" s="1"/>
  <c r="Y32" i="96" s="1"/>
  <c r="AA32" i="96" s="1"/>
  <c r="AJ32" i="96"/>
  <c r="W76" i="96"/>
  <c r="X76" i="96" s="1"/>
  <c r="AJ37" i="96"/>
  <c r="N37" i="96"/>
  <c r="O37" i="96" s="1"/>
  <c r="U37" i="96" s="1"/>
  <c r="H60" i="96"/>
  <c r="J485" i="96"/>
  <c r="H788" i="99"/>
  <c r="H33" i="99"/>
  <c r="Z71" i="99"/>
  <c r="AJ53" i="96"/>
  <c r="N53" i="96"/>
  <c r="O53" i="96" s="1"/>
  <c r="U53" i="96" s="1"/>
  <c r="U63" i="107"/>
  <c r="AJ83" i="150"/>
  <c r="N83" i="150"/>
  <c r="O83" i="150" s="1"/>
  <c r="N36" i="107"/>
  <c r="O36" i="107" s="1"/>
  <c r="U36" i="107" s="1"/>
  <c r="AJ36" i="107"/>
  <c r="H748" i="99"/>
  <c r="N71" i="96"/>
  <c r="O71" i="96" s="1"/>
  <c r="AJ71" i="96"/>
  <c r="AK71" i="96" s="1"/>
  <c r="BO59" i="100"/>
  <c r="BO64" i="100"/>
  <c r="AJ27" i="107"/>
  <c r="N27" i="107"/>
  <c r="O27" i="107" s="1"/>
  <c r="AJ33" i="150"/>
  <c r="N33" i="150"/>
  <c r="O33" i="150" s="1"/>
  <c r="U33" i="150" s="1"/>
  <c r="W33" i="150" s="1"/>
  <c r="X33" i="150" s="1"/>
  <c r="Y33" i="150" s="1"/>
  <c r="AA33" i="150" s="1"/>
  <c r="H67" i="99"/>
  <c r="J791" i="99"/>
  <c r="N92" i="96"/>
  <c r="O92" i="96" s="1"/>
  <c r="U92" i="96" s="1"/>
  <c r="AJ92" i="96"/>
  <c r="W44" i="107"/>
  <c r="X44" i="107" s="1"/>
  <c r="Y44" i="107" s="1"/>
  <c r="AA44" i="107" s="1"/>
  <c r="AJ97" i="96"/>
  <c r="N97" i="96"/>
  <c r="O97" i="96" s="1"/>
  <c r="U97" i="96" s="1"/>
  <c r="D179" i="99"/>
  <c r="E200" i="99" s="1"/>
  <c r="E770" i="99" s="1"/>
  <c r="D186" i="99"/>
  <c r="F28" i="99" s="1"/>
  <c r="D185" i="99"/>
  <c r="G28" i="99" s="1"/>
  <c r="V23" i="96"/>
  <c r="X23" i="96" s="1"/>
  <c r="Y23" i="96" s="1"/>
  <c r="AA23" i="96" s="1"/>
  <c r="N77" i="107"/>
  <c r="O77" i="107" s="1"/>
  <c r="U77" i="107" s="1"/>
  <c r="W77" i="107" s="1"/>
  <c r="X77" i="107" s="1"/>
  <c r="Y77" i="107" s="1"/>
  <c r="AA77" i="107" s="1"/>
  <c r="AJ77" i="107"/>
  <c r="U27" i="150"/>
  <c r="N27" i="99"/>
  <c r="O27" i="99" s="1"/>
  <c r="AJ27" i="99"/>
  <c r="N65" i="107"/>
  <c r="O65" i="107" s="1"/>
  <c r="U65" i="107" s="1"/>
  <c r="AJ65" i="107"/>
  <c r="AJ80" i="107"/>
  <c r="N80" i="107"/>
  <c r="O80" i="107" s="1"/>
  <c r="U80" i="107" s="1"/>
  <c r="W80" i="107" s="1"/>
  <c r="X80" i="107" s="1"/>
  <c r="Y80" i="107" s="1"/>
  <c r="AA80" i="107" s="1"/>
  <c r="H40" i="96"/>
  <c r="H367" i="96"/>
  <c r="F68" i="99"/>
  <c r="X87" i="150"/>
  <c r="Z87" i="150" s="1"/>
  <c r="AJ63" i="99"/>
  <c r="N63" i="99"/>
  <c r="O63" i="99" s="1"/>
  <c r="U35" i="107"/>
  <c r="AJ31" i="150"/>
  <c r="N31" i="150"/>
  <c r="O31" i="150" s="1"/>
  <c r="AJ81" i="150"/>
  <c r="N81" i="150"/>
  <c r="O81" i="150" s="1"/>
  <c r="U81" i="150" s="1"/>
  <c r="W85" i="96"/>
  <c r="X85" i="96" s="1"/>
  <c r="H234" i="107"/>
  <c r="H761" i="107"/>
  <c r="H73" i="107" s="1"/>
  <c r="U31" i="99"/>
  <c r="U31" i="96"/>
  <c r="H770" i="99"/>
  <c r="H56" i="99" s="1"/>
  <c r="H28" i="99"/>
  <c r="U47" i="96"/>
  <c r="N33" i="107"/>
  <c r="O33" i="107" s="1"/>
  <c r="U33" i="107" s="1"/>
  <c r="AJ33" i="107"/>
  <c r="AJ67" i="96"/>
  <c r="AK67" i="96" s="1"/>
  <c r="N67" i="96"/>
  <c r="O67" i="96" s="1"/>
  <c r="AJ37" i="107"/>
  <c r="N37" i="107"/>
  <c r="O37" i="107" s="1"/>
  <c r="U37" i="107" s="1"/>
  <c r="W37" i="107" s="1"/>
  <c r="X37" i="107" s="1"/>
  <c r="Y37" i="107" s="1"/>
  <c r="AA37" i="107" s="1"/>
  <c r="N55" i="99"/>
  <c r="O55" i="99" s="1"/>
  <c r="AJ55" i="99"/>
  <c r="AJ61" i="107"/>
  <c r="N61" i="107"/>
  <c r="O61" i="107" s="1"/>
  <c r="U61" i="107" s="1"/>
  <c r="W61" i="107" s="1"/>
  <c r="X61" i="107" s="1"/>
  <c r="Y61" i="107" s="1"/>
  <c r="AA61" i="107" s="1"/>
  <c r="AJ28" i="107"/>
  <c r="N28" i="107"/>
  <c r="O28" i="107" s="1"/>
  <c r="U28" i="107" s="1"/>
  <c r="W28" i="107" s="1"/>
  <c r="X28" i="107" s="1"/>
  <c r="Y28" i="107" s="1"/>
  <c r="AA28" i="107" s="1"/>
  <c r="AJ47" i="99"/>
  <c r="AK47" i="99" s="1"/>
  <c r="N47" i="99"/>
  <c r="O47" i="99" s="1"/>
  <c r="N75" i="150"/>
  <c r="O75" i="150" s="1"/>
  <c r="AJ75" i="150"/>
  <c r="U31" i="107"/>
  <c r="V51" i="107"/>
  <c r="J53" i="108"/>
  <c r="AJ32" i="99"/>
  <c r="N32" i="99"/>
  <c r="O32" i="99" s="1"/>
  <c r="U32" i="99" s="1"/>
  <c r="U55" i="96"/>
  <c r="W65" i="96"/>
  <c r="X65" i="96" s="1"/>
  <c r="Y65" i="96" s="1"/>
  <c r="AA65" i="96" s="1"/>
  <c r="N39" i="99"/>
  <c r="O39" i="99" s="1"/>
  <c r="AJ39" i="99"/>
  <c r="W84" i="96"/>
  <c r="X84" i="96" s="1"/>
  <c r="Y84" i="96" s="1"/>
  <c r="AA84" i="96" s="1"/>
  <c r="U59" i="96"/>
  <c r="Z99" i="96"/>
  <c r="N76" i="107"/>
  <c r="O76" i="107" s="1"/>
  <c r="U76" i="107" s="1"/>
  <c r="W76" i="107" s="1"/>
  <c r="X76" i="107" s="1"/>
  <c r="Y76" i="107" s="1"/>
  <c r="AA76" i="107" s="1"/>
  <c r="AJ76" i="107"/>
  <c r="H56" i="96"/>
  <c r="I485" i="96"/>
  <c r="AJ81" i="107"/>
  <c r="N81" i="107"/>
  <c r="O81" i="107" s="1"/>
  <c r="U81" i="107" s="1"/>
  <c r="W81" i="107" s="1"/>
  <c r="X81" i="107" s="1"/>
  <c r="Y81" i="107" s="1"/>
  <c r="AA81" i="107" s="1"/>
  <c r="N27" i="96"/>
  <c r="O27" i="96" s="1"/>
  <c r="AJ27" i="96"/>
  <c r="AJ72" i="107"/>
  <c r="N72" i="107"/>
  <c r="O72" i="107" s="1"/>
  <c r="U72" i="107" s="1"/>
  <c r="U39" i="107"/>
  <c r="P39" i="107"/>
  <c r="AJ45" i="96"/>
  <c r="N45" i="96"/>
  <c r="O45" i="96" s="1"/>
  <c r="U45" i="96" s="1"/>
  <c r="W45" i="96" s="1"/>
  <c r="X45" i="96" s="1"/>
  <c r="Y45" i="96" s="1"/>
  <c r="AA45" i="96" s="1"/>
  <c r="U39" i="96"/>
  <c r="N79" i="96"/>
  <c r="O79" i="96" s="1"/>
  <c r="AJ79" i="96"/>
  <c r="AK79" i="96" s="1"/>
  <c r="AC23" i="150"/>
  <c r="F47" i="151"/>
  <c r="H47" i="151"/>
  <c r="G47" i="151"/>
  <c r="U35" i="150"/>
  <c r="H79" i="150"/>
  <c r="I733" i="150"/>
  <c r="N60" i="99"/>
  <c r="O60" i="99" s="1"/>
  <c r="U60" i="99" s="1"/>
  <c r="W60" i="99" s="1"/>
  <c r="X60" i="99" s="1"/>
  <c r="Y60" i="99" s="1"/>
  <c r="AA60" i="99" s="1"/>
  <c r="AJ60" i="99"/>
  <c r="N83" i="96"/>
  <c r="O83" i="96" s="1"/>
  <c r="AJ83" i="96"/>
  <c r="AK83" i="96" s="1"/>
  <c r="V55" i="107"/>
  <c r="N28" i="96"/>
  <c r="O28" i="96" s="1"/>
  <c r="U28" i="96" s="1"/>
  <c r="AJ28" i="96"/>
  <c r="J715" i="96"/>
  <c r="H95" i="96"/>
  <c r="N41" i="99"/>
  <c r="O41" i="99" s="1"/>
  <c r="U41" i="99" s="1"/>
  <c r="AJ41" i="99"/>
  <c r="AJ32" i="107"/>
  <c r="N32" i="107"/>
  <c r="O32" i="107" s="1"/>
  <c r="U32" i="107" s="1"/>
  <c r="F96" i="96"/>
  <c r="N57" i="96"/>
  <c r="O57" i="96" s="1"/>
  <c r="U57" i="96" s="1"/>
  <c r="AJ57" i="96"/>
  <c r="F76" i="107"/>
  <c r="AK47" i="107"/>
  <c r="H87" i="96"/>
  <c r="H68" i="107"/>
  <c r="J745" i="107"/>
  <c r="AB83" i="107"/>
  <c r="E201" i="99"/>
  <c r="D196" i="99"/>
  <c r="H201" i="99" s="1"/>
  <c r="H60" i="107"/>
  <c r="H745" i="107"/>
  <c r="U63" i="84"/>
  <c r="P63" i="84"/>
  <c r="AJ36" i="150"/>
  <c r="N36" i="150"/>
  <c r="O36" i="150" s="1"/>
  <c r="U36" i="150" s="1"/>
  <c r="W36" i="150" s="1"/>
  <c r="X36" i="150" s="1"/>
  <c r="Y36" i="150" s="1"/>
  <c r="AA36" i="150" s="1"/>
  <c r="AJ28" i="150"/>
  <c r="N28" i="150"/>
  <c r="O28" i="150" s="1"/>
  <c r="U28" i="150" s="1"/>
  <c r="Z23" i="150"/>
  <c r="U51" i="96"/>
  <c r="N64" i="99"/>
  <c r="O64" i="99" s="1"/>
  <c r="U64" i="99" s="1"/>
  <c r="W64" i="99" s="1"/>
  <c r="X64" i="99" s="1"/>
  <c r="Y64" i="99" s="1"/>
  <c r="AA64" i="99" s="1"/>
  <c r="AJ64" i="99"/>
  <c r="U35" i="99"/>
  <c r="F80" i="150"/>
  <c r="N88" i="96"/>
  <c r="O88" i="96" s="1"/>
  <c r="U88" i="96" s="1"/>
  <c r="W88" i="96" s="1"/>
  <c r="X88" i="96" s="1"/>
  <c r="Y88" i="96" s="1"/>
  <c r="AA88" i="96" s="1"/>
  <c r="AJ88" i="96"/>
  <c r="AJ36" i="96"/>
  <c r="N36" i="96"/>
  <c r="O36" i="96" s="1"/>
  <c r="U36" i="96" s="1"/>
  <c r="N35" i="96"/>
  <c r="O35" i="96" s="1"/>
  <c r="AJ35" i="96"/>
  <c r="AJ69" i="99"/>
  <c r="N69" i="99"/>
  <c r="O69" i="99" s="1"/>
  <c r="U69" i="99" s="1"/>
  <c r="W69" i="99" s="1"/>
  <c r="X69" i="99" s="1"/>
  <c r="Y69" i="99" s="1"/>
  <c r="AA69" i="99" s="1"/>
  <c r="AJ33" i="96"/>
  <c r="N33" i="96"/>
  <c r="O33" i="96" s="1"/>
  <c r="U33" i="96" s="1"/>
  <c r="I715" i="96"/>
  <c r="AJ69" i="107"/>
  <c r="N69" i="107"/>
  <c r="O69" i="107" s="1"/>
  <c r="U69" i="107" s="1"/>
  <c r="W52" i="99"/>
  <c r="X52" i="99" s="1"/>
  <c r="AJ68" i="99"/>
  <c r="N68" i="99"/>
  <c r="O68" i="99" s="1"/>
  <c r="U68" i="99" s="1"/>
  <c r="N84" i="150"/>
  <c r="O84" i="150" s="1"/>
  <c r="U84" i="150" s="1"/>
  <c r="AJ84" i="150"/>
  <c r="H712" i="96"/>
  <c r="H89" i="96" s="1"/>
  <c r="H29" i="96"/>
  <c r="U43" i="96"/>
  <c r="H44" i="96"/>
  <c r="I367" i="96"/>
  <c r="AJ76" i="150"/>
  <c r="N76" i="150"/>
  <c r="O76" i="150" s="1"/>
  <c r="U76" i="150" s="1"/>
  <c r="W76" i="150" s="1"/>
  <c r="X76" i="150" s="1"/>
  <c r="Y76" i="150" s="1"/>
  <c r="AA76" i="150" s="1"/>
  <c r="F80" i="107"/>
  <c r="P55" i="95"/>
  <c r="AJ36" i="99"/>
  <c r="N36" i="99"/>
  <c r="O36" i="99" s="1"/>
  <c r="U36" i="99" s="1"/>
  <c r="W36" i="99" s="1"/>
  <c r="X36" i="99" s="1"/>
  <c r="Y36" i="99" s="1"/>
  <c r="AA36" i="99" s="1"/>
  <c r="AJ79" i="107"/>
  <c r="N79" i="107"/>
  <c r="O79" i="107" s="1"/>
  <c r="Q55" i="95"/>
  <c r="N55" i="95"/>
  <c r="AJ59" i="99"/>
  <c r="N59" i="99"/>
  <c r="O59" i="99" s="1"/>
  <c r="X23" i="107"/>
  <c r="Y23" i="107" s="1"/>
  <c r="AA23" i="107" s="1"/>
  <c r="AJ63" i="96"/>
  <c r="AK63" i="96" s="1"/>
  <c r="N63" i="96"/>
  <c r="O63" i="96" s="1"/>
  <c r="AJ96" i="96"/>
  <c r="N96" i="96"/>
  <c r="O96" i="96" s="1"/>
  <c r="U96" i="96" s="1"/>
  <c r="W96" i="96" s="1"/>
  <c r="X96" i="96" s="1"/>
  <c r="Y96" i="96" s="1"/>
  <c r="AA96" i="96" s="1"/>
  <c r="U47" i="107"/>
  <c r="V47" i="107" s="1"/>
  <c r="P47" i="107"/>
  <c r="N93" i="96"/>
  <c r="O93" i="96" s="1"/>
  <c r="U93" i="96" s="1"/>
  <c r="W93" i="96" s="1"/>
  <c r="X93" i="96" s="1"/>
  <c r="Y93" i="96" s="1"/>
  <c r="AA93" i="96" s="1"/>
  <c r="AJ93" i="96"/>
  <c r="H318" i="99"/>
  <c r="AJ91" i="96"/>
  <c r="N91" i="96"/>
  <c r="O91" i="96" s="1"/>
  <c r="H52" i="96"/>
  <c r="H485" i="96"/>
  <c r="W80" i="96"/>
  <c r="X80" i="96" s="1"/>
  <c r="H29" i="150"/>
  <c r="H730" i="150"/>
  <c r="H239" i="150"/>
  <c r="W73" i="96"/>
  <c r="X73" i="96" s="1"/>
  <c r="AJ75" i="107"/>
  <c r="N75" i="107"/>
  <c r="O75" i="107" s="1"/>
  <c r="N40" i="99"/>
  <c r="O40" i="99" s="1"/>
  <c r="U40" i="99" s="1"/>
  <c r="AJ40" i="99"/>
  <c r="N65" i="99"/>
  <c r="O65" i="99" s="1"/>
  <c r="U65" i="99" s="1"/>
  <c r="AJ65" i="99"/>
  <c r="AJ85" i="150"/>
  <c r="N85" i="150"/>
  <c r="O85" i="150" s="1"/>
  <c r="U85" i="150" s="1"/>
  <c r="F84" i="150"/>
  <c r="N75" i="96"/>
  <c r="O75" i="96" s="1"/>
  <c r="AJ75" i="96"/>
  <c r="AK75" i="96" s="1"/>
  <c r="N32" i="150"/>
  <c r="O32" i="150" s="1"/>
  <c r="U32" i="150" s="1"/>
  <c r="AJ32" i="150"/>
  <c r="N49" i="96"/>
  <c r="O49" i="96" s="1"/>
  <c r="U49" i="96" s="1"/>
  <c r="AJ49" i="96"/>
  <c r="V23" i="99"/>
  <c r="F76" i="150"/>
  <c r="W77" i="96"/>
  <c r="X77" i="96" s="1"/>
  <c r="Y77" i="96" s="1"/>
  <c r="AA77" i="96" s="1"/>
  <c r="F76" i="84"/>
  <c r="F80" i="84"/>
  <c r="V23" i="12"/>
  <c r="X23" i="12" s="1"/>
  <c r="O57" i="14"/>
  <c r="U57" i="14" s="1"/>
  <c r="W57" i="14" s="1"/>
  <c r="X57" i="14" s="1"/>
  <c r="Y57" i="14" s="1"/>
  <c r="AA57" i="14" s="1"/>
  <c r="O36" i="14"/>
  <c r="U36" i="14" s="1"/>
  <c r="W36" i="14" s="1"/>
  <c r="X36" i="14" s="1"/>
  <c r="Y36" i="14" s="1"/>
  <c r="AA36" i="14" s="1"/>
  <c r="O48" i="84"/>
  <c r="U48" i="84" s="1"/>
  <c r="W48" i="84" s="1"/>
  <c r="X48" i="84" s="1"/>
  <c r="Y48" i="84" s="1"/>
  <c r="AA48" i="84" s="1"/>
  <c r="O56" i="14"/>
  <c r="U56" i="14" s="1"/>
  <c r="W56" i="14" s="1"/>
  <c r="X56" i="14" s="1"/>
  <c r="Y56" i="14" s="1"/>
  <c r="AA56" i="14" s="1"/>
  <c r="O60" i="12"/>
  <c r="U60" i="12" s="1"/>
  <c r="W60" i="12" s="1"/>
  <c r="X60" i="12" s="1"/>
  <c r="O53" i="14"/>
  <c r="U53" i="14" s="1"/>
  <c r="W53" i="14" s="1"/>
  <c r="X53" i="14" s="1"/>
  <c r="Y53" i="14" s="1"/>
  <c r="AA53" i="14" s="1"/>
  <c r="O52" i="84"/>
  <c r="P51" i="84" s="1"/>
  <c r="X57" i="84"/>
  <c r="Y57" i="84" s="1"/>
  <c r="AA57" i="84" s="1"/>
  <c r="O37" i="14"/>
  <c r="U37" i="14" s="1"/>
  <c r="W37" i="14" s="1"/>
  <c r="X37" i="14" s="1"/>
  <c r="Y37" i="14" s="1"/>
  <c r="AA37" i="14" s="1"/>
  <c r="O33" i="14"/>
  <c r="U33" i="14" s="1"/>
  <c r="W33" i="14" s="1"/>
  <c r="X33" i="14" s="1"/>
  <c r="Y33" i="14" s="1"/>
  <c r="AA33" i="14" s="1"/>
  <c r="O59" i="12"/>
  <c r="U59" i="12" s="1"/>
  <c r="V59" i="12" s="1"/>
  <c r="W59" i="12" s="1"/>
  <c r="X59" i="12" s="1"/>
  <c r="O28" i="14"/>
  <c r="U28" i="14" s="1"/>
  <c r="W28" i="14" s="1"/>
  <c r="X28" i="14" s="1"/>
  <c r="Y28" i="14" s="1"/>
  <c r="AA28" i="14" s="1"/>
  <c r="O52" i="14"/>
  <c r="U52" i="14" s="1"/>
  <c r="W52" i="14" s="1"/>
  <c r="X52" i="14" s="1"/>
  <c r="Y52" i="14" s="1"/>
  <c r="AA52" i="14" s="1"/>
  <c r="O48" i="14"/>
  <c r="U48" i="14" s="1"/>
  <c r="W48" i="14" s="1"/>
  <c r="X48" i="14" s="1"/>
  <c r="Y48" i="14" s="1"/>
  <c r="AA48" i="14" s="1"/>
  <c r="O32" i="14"/>
  <c r="U32" i="14" s="1"/>
  <c r="W32" i="14" s="1"/>
  <c r="X32" i="14" s="1"/>
  <c r="Y32" i="14" s="1"/>
  <c r="AA32" i="14" s="1"/>
  <c r="O56" i="84"/>
  <c r="U56" i="84" s="1"/>
  <c r="W56" i="84" s="1"/>
  <c r="V31" i="81"/>
  <c r="X31" i="81" s="1"/>
  <c r="U57" i="81"/>
  <c r="W57" i="81" s="1"/>
  <c r="X57" i="81" s="1"/>
  <c r="U68" i="81"/>
  <c r="W68" i="81" s="1"/>
  <c r="X68" i="81" s="1"/>
  <c r="U36" i="76"/>
  <c r="W36" i="76" s="1"/>
  <c r="X36" i="76" s="1"/>
  <c r="Y36" i="76" s="1"/>
  <c r="AA36" i="76" s="1"/>
  <c r="U61" i="76"/>
  <c r="W61" i="76" s="1"/>
  <c r="X61" i="76" s="1"/>
  <c r="Y61" i="76" s="1"/>
  <c r="AA61" i="76" s="1"/>
  <c r="U37" i="76"/>
  <c r="W37" i="76" s="1"/>
  <c r="X37" i="76" s="1"/>
  <c r="Y37" i="76" s="1"/>
  <c r="AA37" i="76" s="1"/>
  <c r="U57" i="76"/>
  <c r="W57" i="76" s="1"/>
  <c r="X57" i="76" s="1"/>
  <c r="Y57" i="76" s="1"/>
  <c r="AA57" i="76" s="1"/>
  <c r="U60" i="76"/>
  <c r="W60" i="76" s="1"/>
  <c r="X60" i="76" s="1"/>
  <c r="Y60" i="76" s="1"/>
  <c r="AA60" i="76" s="1"/>
  <c r="U28" i="76"/>
  <c r="W28" i="76" s="1"/>
  <c r="X28" i="76" s="1"/>
  <c r="Y28" i="76" s="1"/>
  <c r="AA28" i="76" s="1"/>
  <c r="U32" i="76"/>
  <c r="W32" i="76" s="1"/>
  <c r="X32" i="76" s="1"/>
  <c r="Y32" i="76" s="1"/>
  <c r="AA32" i="76" s="1"/>
  <c r="U56" i="76"/>
  <c r="W56" i="76" s="1"/>
  <c r="X56" i="76" s="1"/>
  <c r="Y56" i="76" s="1"/>
  <c r="AA56" i="76" s="1"/>
  <c r="U52" i="76"/>
  <c r="W52" i="76" s="1"/>
  <c r="X52" i="76" s="1"/>
  <c r="Y52" i="76" s="1"/>
  <c r="AA52" i="76" s="1"/>
  <c r="U33" i="76"/>
  <c r="W33" i="76" s="1"/>
  <c r="X33" i="76" s="1"/>
  <c r="Y33" i="76" s="1"/>
  <c r="AA33" i="76" s="1"/>
  <c r="F72" i="81"/>
  <c r="N67" i="84"/>
  <c r="O67" i="84" s="1"/>
  <c r="U67" i="84" s="1"/>
  <c r="AK55" i="84"/>
  <c r="U55" i="84"/>
  <c r="AB63" i="76"/>
  <c r="V39" i="81"/>
  <c r="N31" i="14"/>
  <c r="O31" i="14" s="1"/>
  <c r="AJ31" i="14"/>
  <c r="AK31" i="14" s="1"/>
  <c r="N72" i="84"/>
  <c r="AJ72" i="84"/>
  <c r="AJ41" i="84"/>
  <c r="N41" i="84"/>
  <c r="N28" i="81"/>
  <c r="O28" i="81" s="1"/>
  <c r="AJ28" i="81"/>
  <c r="V23" i="14"/>
  <c r="V47" i="76"/>
  <c r="W47" i="76" s="1"/>
  <c r="X47" i="76" s="1"/>
  <c r="Y47" i="76" s="1"/>
  <c r="AA47" i="76" s="1"/>
  <c r="AJ53" i="76"/>
  <c r="N53" i="76"/>
  <c r="O53" i="76" s="1"/>
  <c r="H47" i="14"/>
  <c r="H651" i="14"/>
  <c r="H693" i="84"/>
  <c r="H68" i="84" s="1"/>
  <c r="H28" i="84"/>
  <c r="N27" i="81"/>
  <c r="O27" i="81" s="1"/>
  <c r="AJ27" i="81"/>
  <c r="N32" i="84"/>
  <c r="AJ32" i="84"/>
  <c r="H67" i="81"/>
  <c r="H859" i="81"/>
  <c r="AA45" i="84"/>
  <c r="V43" i="26"/>
  <c r="AJ35" i="84"/>
  <c r="N35" i="84"/>
  <c r="O35" i="84" s="1"/>
  <c r="H79" i="84"/>
  <c r="J714" i="84"/>
  <c r="AJ29" i="14"/>
  <c r="N29" i="14"/>
  <c r="D191" i="84"/>
  <c r="E693" i="84" s="1"/>
  <c r="G68" i="84" s="1"/>
  <c r="D198" i="84"/>
  <c r="F28" i="84" s="1"/>
  <c r="D197" i="84"/>
  <c r="G28" i="84" s="1"/>
  <c r="H71" i="81"/>
  <c r="I880" i="81"/>
  <c r="V23" i="84"/>
  <c r="H331" i="84"/>
  <c r="H711" i="84"/>
  <c r="H73" i="84" s="1"/>
  <c r="H33" i="84"/>
  <c r="N47" i="84"/>
  <c r="O47" i="84" s="1"/>
  <c r="AJ47" i="84"/>
  <c r="U27" i="84"/>
  <c r="AJ59" i="76"/>
  <c r="AK59" i="76" s="1"/>
  <c r="N59" i="76"/>
  <c r="O59" i="76" s="1"/>
  <c r="N43" i="84"/>
  <c r="O43" i="84" s="1"/>
  <c r="U43" i="84" s="1"/>
  <c r="AJ43" i="84"/>
  <c r="AJ39" i="84"/>
  <c r="N39" i="84"/>
  <c r="O39" i="84" s="1"/>
  <c r="Z63" i="76"/>
  <c r="V63" i="81"/>
  <c r="W63" i="81" s="1"/>
  <c r="X63" i="81" s="1"/>
  <c r="AJ31" i="76"/>
  <c r="AK31" i="76" s="1"/>
  <c r="N31" i="76"/>
  <c r="O31" i="76" s="1"/>
  <c r="E213" i="84"/>
  <c r="D208" i="84"/>
  <c r="H213" i="84" s="1"/>
  <c r="AJ77" i="84"/>
  <c r="N77" i="84"/>
  <c r="V43" i="76"/>
  <c r="H75" i="84"/>
  <c r="I714" i="84"/>
  <c r="AJ76" i="84"/>
  <c r="N76" i="84"/>
  <c r="AJ35" i="76"/>
  <c r="AK35" i="76" s="1"/>
  <c r="N35" i="76"/>
  <c r="O35" i="76" s="1"/>
  <c r="AJ49" i="14"/>
  <c r="N49" i="14"/>
  <c r="H687" i="76"/>
  <c r="H51" i="76"/>
  <c r="X56" i="81"/>
  <c r="Y56" i="81" s="1"/>
  <c r="AA56" i="81" s="1"/>
  <c r="N40" i="84"/>
  <c r="AJ40" i="84"/>
  <c r="AJ55" i="76"/>
  <c r="AK55" i="76" s="1"/>
  <c r="N55" i="76"/>
  <c r="O55" i="76" s="1"/>
  <c r="N69" i="81"/>
  <c r="O69" i="81" s="1"/>
  <c r="AJ69" i="81"/>
  <c r="AJ37" i="84"/>
  <c r="N37" i="84"/>
  <c r="N35" i="14"/>
  <c r="O35" i="14" s="1"/>
  <c r="AJ35" i="14"/>
  <c r="AK35" i="14" s="1"/>
  <c r="N36" i="84"/>
  <c r="AJ36" i="84"/>
  <c r="V35" i="81"/>
  <c r="W35" i="81" s="1"/>
  <c r="X23" i="76"/>
  <c r="Y23" i="76" s="1"/>
  <c r="AA23" i="76" s="1"/>
  <c r="AJ51" i="14"/>
  <c r="AK51" i="14" s="1"/>
  <c r="N51" i="14"/>
  <c r="O51" i="14" s="1"/>
  <c r="N31" i="84"/>
  <c r="O31" i="84" s="1"/>
  <c r="AJ31" i="84"/>
  <c r="J880" i="81"/>
  <c r="N80" i="84"/>
  <c r="AJ80" i="84"/>
  <c r="AJ29" i="76"/>
  <c r="N29" i="76"/>
  <c r="O29" i="76" s="1"/>
  <c r="H877" i="81"/>
  <c r="Y75" i="81"/>
  <c r="AA75" i="81" s="1"/>
  <c r="AJ73" i="81"/>
  <c r="N73" i="81"/>
  <c r="O73" i="81" s="1"/>
  <c r="V51" i="84"/>
  <c r="W51" i="84" s="1"/>
  <c r="X51" i="84" s="1"/>
  <c r="H71" i="84"/>
  <c r="AJ55" i="14"/>
  <c r="AK55" i="14" s="1"/>
  <c r="N55" i="14"/>
  <c r="O55" i="14" s="1"/>
  <c r="AJ29" i="81"/>
  <c r="N29" i="81"/>
  <c r="O29" i="81" s="1"/>
  <c r="H27" i="14"/>
  <c r="H225" i="14"/>
  <c r="W44" i="81"/>
  <c r="X44" i="81" s="1"/>
  <c r="Y44" i="81" s="1"/>
  <c r="AA44" i="81" s="1"/>
  <c r="X83" i="84"/>
  <c r="Y83" i="84" s="1"/>
  <c r="AA83" i="84" s="1"/>
  <c r="AJ81" i="84"/>
  <c r="N81" i="84"/>
  <c r="N72" i="81"/>
  <c r="O72" i="81" s="1"/>
  <c r="AJ72" i="81"/>
  <c r="N49" i="84"/>
  <c r="AJ49" i="84"/>
  <c r="X59" i="14"/>
  <c r="Y59" i="14" s="1"/>
  <c r="AA59" i="14" s="1"/>
  <c r="H229" i="76"/>
  <c r="H27" i="76"/>
  <c r="Y45" i="81"/>
  <c r="AA45" i="81" s="1"/>
  <c r="Y83" i="12"/>
  <c r="AA83" i="12" s="1"/>
  <c r="H36" i="12"/>
  <c r="I330" i="12"/>
  <c r="H76" i="12"/>
  <c r="H72" i="12"/>
  <c r="H32" i="12"/>
  <c r="Z23" i="26"/>
  <c r="AB23" i="26"/>
  <c r="E312" i="12"/>
  <c r="F36" i="12" s="1"/>
  <c r="F64" i="12"/>
  <c r="F80" i="12"/>
  <c r="F72" i="12"/>
  <c r="G78" i="72"/>
  <c r="F78" i="72"/>
  <c r="I78" i="72"/>
  <c r="H78" i="72"/>
  <c r="N77" i="12"/>
  <c r="AJ77" i="12"/>
  <c r="N71" i="12"/>
  <c r="O71" i="12" s="1"/>
  <c r="AJ71" i="12"/>
  <c r="H41" i="12"/>
  <c r="AJ75" i="12"/>
  <c r="N75" i="12"/>
  <c r="O75" i="12" s="1"/>
  <c r="N79" i="12"/>
  <c r="O79" i="12" s="1"/>
  <c r="AJ79" i="12"/>
  <c r="AJ80" i="12"/>
  <c r="N80" i="12"/>
  <c r="AF67" i="12"/>
  <c r="AF64" i="12"/>
  <c r="AF65" i="12" s="1"/>
  <c r="AF66" i="12" s="1"/>
  <c r="H33" i="12"/>
  <c r="AJ39" i="12"/>
  <c r="N39" i="12"/>
  <c r="O39" i="12" s="1"/>
  <c r="N35" i="12"/>
  <c r="O35" i="12" s="1"/>
  <c r="AJ35" i="12"/>
  <c r="N31" i="12"/>
  <c r="O31" i="12" s="1"/>
  <c r="AJ31" i="12"/>
  <c r="AJ40" i="12"/>
  <c r="N40" i="12"/>
  <c r="N37" i="12"/>
  <c r="AJ37" i="12"/>
  <c r="E326" i="12"/>
  <c r="E761" i="12" s="1"/>
  <c r="J330" i="12"/>
  <c r="D311" i="12"/>
  <c r="H330" i="12"/>
  <c r="H73" i="12"/>
  <c r="F706" i="12"/>
  <c r="J723" i="12" s="1"/>
  <c r="H64" i="12" s="1"/>
  <c r="F713" i="12"/>
  <c r="F714" i="12" s="1"/>
  <c r="F715" i="12" s="1"/>
  <c r="D143" i="70"/>
  <c r="D206" i="70" s="1"/>
  <c r="I46" i="70"/>
  <c r="D670" i="70"/>
  <c r="D669" i="70"/>
  <c r="D614" i="70"/>
  <c r="D536" i="70"/>
  <c r="D569" i="70" s="1"/>
  <c r="D612" i="70"/>
  <c r="D473" i="70"/>
  <c r="D202" i="70"/>
  <c r="D217" i="70" s="1"/>
  <c r="D419" i="70"/>
  <c r="D442" i="70" s="1"/>
  <c r="D420" i="70"/>
  <c r="E442" i="70" s="1"/>
  <c r="D523" i="70"/>
  <c r="F543" i="70" s="1"/>
  <c r="D421" i="70"/>
  <c r="F442" i="70" s="1"/>
  <c r="K38" i="70"/>
  <c r="J38" i="70" s="1"/>
  <c r="I43" i="70"/>
  <c r="I44" i="70"/>
  <c r="AH48" i="70"/>
  <c r="AI48" i="70" s="1"/>
  <c r="J51" i="70"/>
  <c r="J47" i="70"/>
  <c r="J23" i="70"/>
  <c r="J28" i="70"/>
  <c r="L46" i="70"/>
  <c r="M46" i="70" s="1"/>
  <c r="AJ46" i="70"/>
  <c r="D522" i="70"/>
  <c r="E543" i="70" s="1"/>
  <c r="D475" i="70"/>
  <c r="J32" i="70"/>
  <c r="AH30" i="70"/>
  <c r="AI30" i="70" s="1"/>
  <c r="J30" i="70"/>
  <c r="K34" i="70"/>
  <c r="AH34" i="70" s="1"/>
  <c r="AI34" i="70" s="1"/>
  <c r="C629" i="70"/>
  <c r="C635" i="70" s="1"/>
  <c r="C637" i="70" s="1"/>
  <c r="J67" i="70"/>
  <c r="D203" i="70"/>
  <c r="E217" i="70" s="1"/>
  <c r="D530" i="70"/>
  <c r="L23" i="70"/>
  <c r="M23" i="70" s="1"/>
  <c r="L44" i="70"/>
  <c r="AH67" i="70"/>
  <c r="AI67" i="70" s="1"/>
  <c r="D116" i="70"/>
  <c r="D213" i="70"/>
  <c r="D242" i="70" s="1"/>
  <c r="E242" i="70" s="1"/>
  <c r="F242" i="70" s="1"/>
  <c r="D327" i="70"/>
  <c r="D449" i="70"/>
  <c r="D450" i="70" s="1"/>
  <c r="D452" i="70" s="1"/>
  <c r="E452" i="70" s="1"/>
  <c r="D398" i="70"/>
  <c r="H498" i="70" s="1"/>
  <c r="I498" i="70" s="1"/>
  <c r="J498" i="70" s="1"/>
  <c r="I499" i="70"/>
  <c r="AH53" i="70"/>
  <c r="AI53" i="70" s="1"/>
  <c r="J27" i="70"/>
  <c r="AH28" i="70"/>
  <c r="AI28" i="70" s="1"/>
  <c r="AH51" i="70"/>
  <c r="AI51" i="70" s="1"/>
  <c r="D108" i="70"/>
  <c r="E119" i="70" s="1"/>
  <c r="G23" i="70" s="1"/>
  <c r="D204" i="70"/>
  <c r="F217" i="70" s="1"/>
  <c r="D297" i="70"/>
  <c r="D324" i="70" s="1"/>
  <c r="D335" i="70" s="1"/>
  <c r="D521" i="70"/>
  <c r="D543" i="70" s="1"/>
  <c r="L33" i="70"/>
  <c r="M33" i="70" s="1"/>
  <c r="AH39" i="70"/>
  <c r="AI39" i="70" s="1"/>
  <c r="J46" i="70"/>
  <c r="L53" i="70"/>
  <c r="M53" i="70" s="1"/>
  <c r="D437" i="70"/>
  <c r="AH27" i="70"/>
  <c r="AI27" i="70" s="1"/>
  <c r="D114" i="70"/>
  <c r="L31" i="70"/>
  <c r="M31" i="70" s="1"/>
  <c r="L37" i="70"/>
  <c r="M37" i="70" s="1"/>
  <c r="J43" i="70"/>
  <c r="J45" i="70"/>
  <c r="H379" i="70"/>
  <c r="D432" i="70"/>
  <c r="J31" i="70"/>
  <c r="J33" i="70"/>
  <c r="L36" i="70"/>
  <c r="AH36" i="70"/>
  <c r="AI36" i="70" s="1"/>
  <c r="AH50" i="70"/>
  <c r="AI50" i="70" s="1"/>
  <c r="J50" i="70"/>
  <c r="L30" i="70"/>
  <c r="M30" i="70" s="1"/>
  <c r="AH32" i="70"/>
  <c r="AI32" i="70" s="1"/>
  <c r="L42" i="70"/>
  <c r="M42" i="70" s="1"/>
  <c r="AH42" i="70"/>
  <c r="AI42" i="70" s="1"/>
  <c r="L43" i="70"/>
  <c r="M43" i="70" s="1"/>
  <c r="L49" i="70"/>
  <c r="M49" i="70" s="1"/>
  <c r="J49" i="70"/>
  <c r="L50" i="70"/>
  <c r="M50" i="70" s="1"/>
  <c r="J29" i="70"/>
  <c r="AH45" i="70"/>
  <c r="AI45" i="70" s="1"/>
  <c r="AH47" i="70"/>
  <c r="AI47" i="70" s="1"/>
  <c r="AH49" i="70"/>
  <c r="AI49" i="70" s="1"/>
  <c r="AH54" i="70"/>
  <c r="AI54" i="70" s="1"/>
  <c r="L54" i="70"/>
  <c r="M54" i="70" s="1"/>
  <c r="J41" i="70"/>
  <c r="L41" i="70"/>
  <c r="M41" i="70" s="1"/>
  <c r="AH29" i="70"/>
  <c r="AI29" i="70" s="1"/>
  <c r="L35" i="70"/>
  <c r="M35" i="70" s="1"/>
  <c r="J35" i="70"/>
  <c r="L39" i="70"/>
  <c r="M39" i="70" s="1"/>
  <c r="J39" i="70"/>
  <c r="K40" i="70"/>
  <c r="D115" i="70"/>
  <c r="D613" i="70"/>
  <c r="F621" i="70" s="1"/>
  <c r="H67" i="70" s="1"/>
  <c r="D173" i="70"/>
  <c r="D164" i="70"/>
  <c r="D157" i="70"/>
  <c r="D151" i="70"/>
  <c r="D152" i="70" s="1"/>
  <c r="E182" i="70" s="1"/>
  <c r="J37" i="70"/>
  <c r="J44" i="70"/>
  <c r="AH52" i="70"/>
  <c r="AI52" i="70" s="1"/>
  <c r="J52" i="70"/>
  <c r="E179" i="70"/>
  <c r="D295" i="70"/>
  <c r="D321" i="70" s="1"/>
  <c r="L48" i="70"/>
  <c r="Y41" i="107" l="1"/>
  <c r="AA41" i="107" s="1"/>
  <c r="BQ66" i="100"/>
  <c r="AH61" i="100"/>
  <c r="AH66" i="100" s="1"/>
  <c r="BU66" i="100"/>
  <c r="AI61" i="100"/>
  <c r="AI66" i="100" s="1"/>
  <c r="BT66" i="100"/>
  <c r="L49" i="170"/>
  <c r="BX66" i="100"/>
  <c r="Z52" i="69"/>
  <c r="X52" i="69"/>
  <c r="Y52" i="69"/>
  <c r="AB39" i="76"/>
  <c r="AA13" i="76"/>
  <c r="S28" i="84"/>
  <c r="K49" i="98" s="1"/>
  <c r="D60" i="172"/>
  <c r="AB23" i="169"/>
  <c r="AC64" i="100"/>
  <c r="AC66" i="100" s="1"/>
  <c r="AC83" i="107"/>
  <c r="AG83" i="107" s="1"/>
  <c r="S96" i="96"/>
  <c r="Q32" i="70"/>
  <c r="R32" i="70" s="1"/>
  <c r="L51" i="153"/>
  <c r="AC59" i="152"/>
  <c r="K46" i="170"/>
  <c r="AD64" i="100"/>
  <c r="AD66" i="100" s="1"/>
  <c r="S80" i="107"/>
  <c r="L51" i="108" s="1"/>
  <c r="G56" i="99"/>
  <c r="Q64" i="70"/>
  <c r="R64" i="70" s="1"/>
  <c r="L48" i="153"/>
  <c r="AJ41" i="171"/>
  <c r="AK39" i="171" s="1"/>
  <c r="N41" i="171"/>
  <c r="O41" i="171" s="1"/>
  <c r="M46" i="170"/>
  <c r="S28" i="99"/>
  <c r="Q60" i="70"/>
  <c r="R60" i="70" s="1"/>
  <c r="S28" i="171"/>
  <c r="J58" i="172" s="1"/>
  <c r="J63" i="172" s="1"/>
  <c r="AB23" i="165"/>
  <c r="G55" i="99"/>
  <c r="H61" i="12"/>
  <c r="AC99" i="96"/>
  <c r="Q56" i="70"/>
  <c r="R56" i="70" s="1"/>
  <c r="K51" i="153"/>
  <c r="M44" i="170"/>
  <c r="G51" i="152"/>
  <c r="N46" i="70"/>
  <c r="O46" i="70" s="1"/>
  <c r="AC23" i="26"/>
  <c r="S80" i="84"/>
  <c r="N58" i="98" s="1"/>
  <c r="S68" i="99"/>
  <c r="AC71" i="99"/>
  <c r="Q52" i="70"/>
  <c r="R52" i="70" s="1"/>
  <c r="K48" i="153"/>
  <c r="D59" i="166"/>
  <c r="D61" i="166" s="1"/>
  <c r="AG23" i="179"/>
  <c r="G53" i="152"/>
  <c r="K47" i="170"/>
  <c r="G57" i="152"/>
  <c r="S76" i="84"/>
  <c r="M58" i="98" s="1"/>
  <c r="S76" i="107"/>
  <c r="K51" i="108" s="1"/>
  <c r="Q28" i="70"/>
  <c r="R28" i="70" s="1"/>
  <c r="G55" i="152"/>
  <c r="AE59" i="100"/>
  <c r="K44" i="170"/>
  <c r="Z59" i="81"/>
  <c r="AB59" i="81"/>
  <c r="AB75" i="81"/>
  <c r="S72" i="81"/>
  <c r="R70" i="87" s="1"/>
  <c r="R73" i="87" s="1"/>
  <c r="AB23" i="81"/>
  <c r="X47" i="81"/>
  <c r="Z47" i="81" s="1"/>
  <c r="J343" i="150"/>
  <c r="J344" i="150" s="1"/>
  <c r="I343" i="150"/>
  <c r="I344" i="150" s="1"/>
  <c r="H343" i="150"/>
  <c r="H344" i="150" s="1"/>
  <c r="S80" i="12"/>
  <c r="O63" i="72" s="1"/>
  <c r="S32" i="12"/>
  <c r="M57" i="72" s="1"/>
  <c r="S64" i="12"/>
  <c r="O61" i="72" s="1"/>
  <c r="AJ36" i="12"/>
  <c r="S36" i="12"/>
  <c r="N57" i="72" s="1"/>
  <c r="AB83" i="12"/>
  <c r="G81" i="12"/>
  <c r="N32" i="12"/>
  <c r="G76" i="12"/>
  <c r="N72" i="12"/>
  <c r="S72" i="12"/>
  <c r="M63" i="72" s="1"/>
  <c r="N76" i="12"/>
  <c r="G72" i="12"/>
  <c r="F717" i="12"/>
  <c r="G724" i="12"/>
  <c r="G65" i="12" s="1"/>
  <c r="H62" i="151"/>
  <c r="G62" i="151"/>
  <c r="F62" i="151"/>
  <c r="G72" i="151"/>
  <c r="H72" i="151"/>
  <c r="F72" i="151"/>
  <c r="Z55" i="179"/>
  <c r="AA55" i="179" s="1"/>
  <c r="AD55" i="179" s="1"/>
  <c r="Z39" i="76"/>
  <c r="D59" i="78" s="1"/>
  <c r="D65" i="78" s="1"/>
  <c r="Y47" i="171"/>
  <c r="AA47" i="171" s="1"/>
  <c r="AK35" i="152"/>
  <c r="AH23" i="179"/>
  <c r="D73" i="172"/>
  <c r="AB69" i="87"/>
  <c r="AB73" i="87" s="1"/>
  <c r="AK79" i="107"/>
  <c r="Y37" i="171"/>
  <c r="AA37" i="171" s="1"/>
  <c r="AC43" i="171"/>
  <c r="L53" i="153"/>
  <c r="Y23" i="152"/>
  <c r="AA23" i="152" s="1"/>
  <c r="Y23" i="171"/>
  <c r="AA23" i="171" s="1"/>
  <c r="Z27" i="179"/>
  <c r="AA27" i="179" s="1"/>
  <c r="AD27" i="179" s="1"/>
  <c r="AF27" i="179" s="1"/>
  <c r="Y39" i="152"/>
  <c r="AA39" i="152" s="1"/>
  <c r="AK31" i="152"/>
  <c r="AC39" i="165"/>
  <c r="AE51" i="179"/>
  <c r="Z23" i="163"/>
  <c r="D51" i="164" s="1"/>
  <c r="D53" i="164" s="1"/>
  <c r="Y23" i="163"/>
  <c r="AA23" i="163" s="1"/>
  <c r="AC23" i="169"/>
  <c r="AE31" i="179"/>
  <c r="AH31" i="179" s="1"/>
  <c r="H72" i="172"/>
  <c r="G72" i="172"/>
  <c r="F72" i="172"/>
  <c r="AJ49" i="152"/>
  <c r="N49" i="152"/>
  <c r="O49" i="152" s="1"/>
  <c r="U49" i="152" s="1"/>
  <c r="Y36" i="165"/>
  <c r="AA36" i="165" s="1"/>
  <c r="Y40" i="171"/>
  <c r="AA40" i="171" s="1"/>
  <c r="Y55" i="171"/>
  <c r="AA55" i="171" s="1"/>
  <c r="V43" i="150"/>
  <c r="AJ27" i="169"/>
  <c r="AK27" i="169" s="1"/>
  <c r="N27" i="169"/>
  <c r="O27" i="169" s="1"/>
  <c r="W32" i="152"/>
  <c r="X32" i="152" s="1"/>
  <c r="Y32" i="152" s="1"/>
  <c r="AA32" i="152" s="1"/>
  <c r="AA43" i="179"/>
  <c r="AD43" i="179" s="1"/>
  <c r="AF43" i="179" s="1"/>
  <c r="F67" i="172"/>
  <c r="H67" i="172"/>
  <c r="G67" i="172"/>
  <c r="F57" i="153"/>
  <c r="H57" i="153"/>
  <c r="G57" i="153"/>
  <c r="D312" i="169"/>
  <c r="D313" i="169" s="1"/>
  <c r="F40" i="169" s="1"/>
  <c r="G40" i="169"/>
  <c r="X67" i="169"/>
  <c r="Y67" i="169" s="1"/>
  <c r="AA67" i="169" s="1"/>
  <c r="AJ40" i="150"/>
  <c r="N40" i="150"/>
  <c r="O40" i="150" s="1"/>
  <c r="V39" i="150"/>
  <c r="W39" i="150" s="1"/>
  <c r="X39" i="150" s="1"/>
  <c r="Y39" i="150" s="1"/>
  <c r="AA39" i="150" s="1"/>
  <c r="U43" i="169"/>
  <c r="P43" i="169"/>
  <c r="AB63" i="179"/>
  <c r="AC63" i="179" s="1"/>
  <c r="F78" i="180" s="1"/>
  <c r="P63" i="169"/>
  <c r="U63" i="169"/>
  <c r="P47" i="169"/>
  <c r="U47" i="169"/>
  <c r="AB43" i="179"/>
  <c r="AC43" i="179" s="1"/>
  <c r="G73" i="180" s="1"/>
  <c r="AB51" i="179"/>
  <c r="AC51" i="179" s="1"/>
  <c r="F75" i="180" s="1"/>
  <c r="V35" i="152"/>
  <c r="P35" i="165"/>
  <c r="U35" i="165"/>
  <c r="AJ53" i="171"/>
  <c r="AK51" i="171" s="1"/>
  <c r="N53" i="171"/>
  <c r="O53" i="171" s="1"/>
  <c r="U35" i="169"/>
  <c r="P35" i="169"/>
  <c r="AB35" i="179"/>
  <c r="AC35" i="179" s="1"/>
  <c r="F71" i="180" s="1"/>
  <c r="H29" i="171"/>
  <c r="H185" i="171"/>
  <c r="AJ51" i="152"/>
  <c r="AK51" i="152" s="1"/>
  <c r="N51" i="152"/>
  <c r="O51" i="152" s="1"/>
  <c r="Y49" i="169"/>
  <c r="AA49" i="169" s="1"/>
  <c r="V35" i="171"/>
  <c r="W35" i="171" s="1"/>
  <c r="X35" i="171" s="1"/>
  <c r="Z35" i="171" s="1"/>
  <c r="G69" i="172" s="1"/>
  <c r="P35" i="152"/>
  <c r="AJ33" i="171"/>
  <c r="AK31" i="171" s="1"/>
  <c r="N33" i="171"/>
  <c r="O33" i="171" s="1"/>
  <c r="G64" i="108"/>
  <c r="U27" i="171"/>
  <c r="H39" i="169"/>
  <c r="AE35" i="179"/>
  <c r="AH36" i="179" s="1"/>
  <c r="V31" i="165"/>
  <c r="N44" i="150"/>
  <c r="O44" i="150" s="1"/>
  <c r="AJ44" i="150"/>
  <c r="P31" i="152"/>
  <c r="U31" i="152"/>
  <c r="U27" i="152"/>
  <c r="W53" i="152"/>
  <c r="X53" i="152" s="1"/>
  <c r="V71" i="150"/>
  <c r="W71" i="150" s="1"/>
  <c r="Z23" i="169"/>
  <c r="V31" i="171"/>
  <c r="W31" i="171" s="1"/>
  <c r="X31" i="171" s="1"/>
  <c r="AC23" i="165"/>
  <c r="H57" i="166"/>
  <c r="G57" i="166"/>
  <c r="F57" i="166"/>
  <c r="AE63" i="179"/>
  <c r="AG63" i="179" s="1"/>
  <c r="AA59" i="179"/>
  <c r="AD59" i="179" s="1"/>
  <c r="AF59" i="179" s="1"/>
  <c r="K53" i="153"/>
  <c r="Z40" i="179"/>
  <c r="AA40" i="179" s="1"/>
  <c r="AD40" i="179" s="1"/>
  <c r="AF40" i="179" s="1"/>
  <c r="V47" i="150"/>
  <c r="W47" i="150" s="1"/>
  <c r="U55" i="152"/>
  <c r="P55" i="152"/>
  <c r="Y33" i="165"/>
  <c r="AA33" i="165" s="1"/>
  <c r="P27" i="165"/>
  <c r="Z23" i="165"/>
  <c r="U31" i="169"/>
  <c r="P31" i="169"/>
  <c r="W28" i="171"/>
  <c r="X28" i="171" s="1"/>
  <c r="Y28" i="171" s="1"/>
  <c r="AA28" i="171" s="1"/>
  <c r="AB31" i="179"/>
  <c r="AC31" i="179" s="1"/>
  <c r="F70" i="180" s="1"/>
  <c r="AJ48" i="150"/>
  <c r="N48" i="150"/>
  <c r="O48" i="150" s="1"/>
  <c r="H487" i="152"/>
  <c r="U59" i="169"/>
  <c r="P59" i="169"/>
  <c r="V67" i="150"/>
  <c r="W67" i="150" s="1"/>
  <c r="W37" i="152"/>
  <c r="X37" i="152" s="1"/>
  <c r="Y37" i="152" s="1"/>
  <c r="AA37" i="152" s="1"/>
  <c r="V39" i="171"/>
  <c r="W39" i="171" s="1"/>
  <c r="X39" i="171" s="1"/>
  <c r="AK55" i="152"/>
  <c r="W29" i="165"/>
  <c r="X29" i="165" s="1"/>
  <c r="Y29" i="165" s="1"/>
  <c r="AA29" i="165" s="1"/>
  <c r="V27" i="165"/>
  <c r="AB43" i="152"/>
  <c r="E328" i="169"/>
  <c r="D323" i="169"/>
  <c r="G328" i="169" s="1"/>
  <c r="H41" i="169" s="1"/>
  <c r="N29" i="152"/>
  <c r="O29" i="152" s="1"/>
  <c r="U29" i="152" s="1"/>
  <c r="W29" i="152" s="1"/>
  <c r="X29" i="152" s="1"/>
  <c r="Y29" i="152" s="1"/>
  <c r="AA29" i="152" s="1"/>
  <c r="AJ29" i="152"/>
  <c r="AK27" i="152" s="1"/>
  <c r="U51" i="169"/>
  <c r="P51" i="169"/>
  <c r="W56" i="152"/>
  <c r="X56" i="152" s="1"/>
  <c r="Y56" i="152" s="1"/>
  <c r="AA56" i="152" s="1"/>
  <c r="AB47" i="171"/>
  <c r="W36" i="152"/>
  <c r="X36" i="152" s="1"/>
  <c r="N55" i="169"/>
  <c r="O55" i="169" s="1"/>
  <c r="AJ55" i="169"/>
  <c r="AK55" i="169" s="1"/>
  <c r="Y32" i="171"/>
  <c r="AA32" i="171" s="1"/>
  <c r="N47" i="152"/>
  <c r="O47" i="152" s="1"/>
  <c r="AJ47" i="152"/>
  <c r="W57" i="152"/>
  <c r="X57" i="152" s="1"/>
  <c r="Y57" i="152" s="1"/>
  <c r="AA57" i="152" s="1"/>
  <c r="W51" i="171"/>
  <c r="W52" i="152"/>
  <c r="X52" i="152" s="1"/>
  <c r="G62" i="153"/>
  <c r="F62" i="153"/>
  <c r="H62" i="153"/>
  <c r="Y47" i="179"/>
  <c r="Z43" i="152"/>
  <c r="H52" i="153"/>
  <c r="G52" i="153"/>
  <c r="F52" i="153"/>
  <c r="Z69" i="87"/>
  <c r="Z73" i="87" s="1"/>
  <c r="V69" i="87"/>
  <c r="V73" i="87" s="1"/>
  <c r="W69" i="87"/>
  <c r="W73" i="87" s="1"/>
  <c r="X69" i="87"/>
  <c r="X73" i="87" s="1"/>
  <c r="H64" i="108"/>
  <c r="AK35" i="99"/>
  <c r="AA69" i="87"/>
  <c r="AA73" i="87" s="1"/>
  <c r="M55" i="95"/>
  <c r="AK31" i="107"/>
  <c r="AK75" i="107"/>
  <c r="AK63" i="99"/>
  <c r="M36" i="70"/>
  <c r="M44" i="70"/>
  <c r="Y69" i="87"/>
  <c r="Y73" i="87" s="1"/>
  <c r="Y65" i="150"/>
  <c r="AA65" i="150" s="1"/>
  <c r="R53" i="95"/>
  <c r="R55" i="95" s="1"/>
  <c r="O53" i="95"/>
  <c r="O55" i="95" s="1"/>
  <c r="M48" i="70"/>
  <c r="X64" i="150"/>
  <c r="Y64" i="150" s="1"/>
  <c r="AA64" i="150" s="1"/>
  <c r="X63" i="150"/>
  <c r="Y63" i="150" s="1"/>
  <c r="AA63" i="150" s="1"/>
  <c r="X59" i="150"/>
  <c r="Y59" i="150" s="1"/>
  <c r="AA59" i="150" s="1"/>
  <c r="X61" i="150"/>
  <c r="Y61" i="150" s="1"/>
  <c r="AA61" i="150" s="1"/>
  <c r="S80" i="150"/>
  <c r="N56" i="151" s="1"/>
  <c r="N58" i="151" s="1"/>
  <c r="S76" i="150"/>
  <c r="M56" i="151" s="1"/>
  <c r="M58" i="151" s="1"/>
  <c r="S84" i="150"/>
  <c r="O56" i="151" s="1"/>
  <c r="O58" i="151" s="1"/>
  <c r="Z23" i="81"/>
  <c r="Y52" i="99"/>
  <c r="AA52" i="99" s="1"/>
  <c r="Y80" i="96"/>
  <c r="AA80" i="96" s="1"/>
  <c r="Z31" i="81"/>
  <c r="D79" i="87" s="1"/>
  <c r="D90" i="87" s="1"/>
  <c r="Y31" i="81"/>
  <c r="AA31" i="81" s="1"/>
  <c r="AK35" i="150"/>
  <c r="V51" i="150"/>
  <c r="W51" i="150" s="1"/>
  <c r="X51" i="150" s="1"/>
  <c r="V55" i="150"/>
  <c r="W55" i="150" s="1"/>
  <c r="X55" i="150" s="1"/>
  <c r="Z55" i="150" s="1"/>
  <c r="I66" i="151" s="1"/>
  <c r="F76" i="12"/>
  <c r="L53" i="108"/>
  <c r="AK35" i="107"/>
  <c r="Y81" i="96"/>
  <c r="AA81" i="96" s="1"/>
  <c r="P35" i="107"/>
  <c r="Y76" i="96"/>
  <c r="AA76" i="96" s="1"/>
  <c r="Y23" i="12"/>
  <c r="AA23" i="12" s="1"/>
  <c r="Z23" i="12"/>
  <c r="F69" i="72" s="1"/>
  <c r="Y73" i="96"/>
  <c r="AA73" i="96" s="1"/>
  <c r="W32" i="150"/>
  <c r="X32" i="150" s="1"/>
  <c r="Y32" i="150" s="1"/>
  <c r="AA32" i="150" s="1"/>
  <c r="P75" i="107"/>
  <c r="U75" i="107"/>
  <c r="N29" i="150"/>
  <c r="O29" i="150" s="1"/>
  <c r="U29" i="150" s="1"/>
  <c r="AJ29" i="150"/>
  <c r="AK27" i="150" s="1"/>
  <c r="P63" i="96"/>
  <c r="U63" i="96"/>
  <c r="W69" i="107"/>
  <c r="X69" i="107" s="1"/>
  <c r="Y69" i="107" s="1"/>
  <c r="AA69" i="107" s="1"/>
  <c r="U35" i="96"/>
  <c r="P35" i="96"/>
  <c r="AJ79" i="150"/>
  <c r="AK79" i="150" s="1"/>
  <c r="N79" i="150"/>
  <c r="O79" i="150" s="1"/>
  <c r="T47" i="151"/>
  <c r="Y47" i="151" s="1"/>
  <c r="AG23" i="150"/>
  <c r="U39" i="99"/>
  <c r="P39" i="99"/>
  <c r="V31" i="107"/>
  <c r="U67" i="96"/>
  <c r="P67" i="96"/>
  <c r="P31" i="96"/>
  <c r="AK31" i="150"/>
  <c r="H61" i="99"/>
  <c r="H791" i="99"/>
  <c r="H764" i="107"/>
  <c r="W41" i="96"/>
  <c r="X41" i="96" s="1"/>
  <c r="Y41" i="96" s="1"/>
  <c r="AA41" i="96" s="1"/>
  <c r="W84" i="150"/>
  <c r="X84" i="150" s="1"/>
  <c r="Y84" i="150" s="1"/>
  <c r="AA84" i="150" s="1"/>
  <c r="W33" i="96"/>
  <c r="X33" i="96" s="1"/>
  <c r="Y33" i="96" s="1"/>
  <c r="AA33" i="96" s="1"/>
  <c r="P35" i="99"/>
  <c r="F52" i="108"/>
  <c r="G52" i="108"/>
  <c r="H52" i="108"/>
  <c r="W41" i="99"/>
  <c r="X41" i="99" s="1"/>
  <c r="W55" i="107"/>
  <c r="X55" i="107" s="1"/>
  <c r="P35" i="150"/>
  <c r="V31" i="96"/>
  <c r="Y85" i="96"/>
  <c r="AA85" i="96" s="1"/>
  <c r="W65" i="107"/>
  <c r="X65" i="107" s="1"/>
  <c r="Y65" i="107" s="1"/>
  <c r="AA65" i="107" s="1"/>
  <c r="N67" i="99"/>
  <c r="O67" i="99" s="1"/>
  <c r="AJ67" i="99"/>
  <c r="AK67" i="99" s="1"/>
  <c r="V67" i="107"/>
  <c r="AJ71" i="107"/>
  <c r="N71" i="107"/>
  <c r="O71" i="107" s="1"/>
  <c r="AJ64" i="107"/>
  <c r="AK63" i="107" s="1"/>
  <c r="N64" i="107"/>
  <c r="O64" i="107" s="1"/>
  <c r="X23" i="99"/>
  <c r="Y23" i="99" s="1"/>
  <c r="AA23" i="99" s="1"/>
  <c r="P75" i="96"/>
  <c r="U75" i="96"/>
  <c r="W85" i="150"/>
  <c r="X85" i="150" s="1"/>
  <c r="Y85" i="150" s="1"/>
  <c r="AA85" i="150" s="1"/>
  <c r="Z23" i="107"/>
  <c r="U79" i="107"/>
  <c r="P79" i="107"/>
  <c r="W68" i="99"/>
  <c r="X68" i="99" s="1"/>
  <c r="Y68" i="99" s="1"/>
  <c r="AA68" i="99" s="1"/>
  <c r="W36" i="96"/>
  <c r="X36" i="96" s="1"/>
  <c r="V35" i="99"/>
  <c r="W35" i="99" s="1"/>
  <c r="X35" i="99" s="1"/>
  <c r="W57" i="96"/>
  <c r="X57" i="96" s="1"/>
  <c r="Y57" i="96" s="1"/>
  <c r="AA57" i="96" s="1"/>
  <c r="N95" i="96"/>
  <c r="O95" i="96" s="1"/>
  <c r="AJ95" i="96"/>
  <c r="AK95" i="96" s="1"/>
  <c r="V35" i="150"/>
  <c r="W35" i="150" s="1"/>
  <c r="X35" i="150" s="1"/>
  <c r="U79" i="96"/>
  <c r="P79" i="96"/>
  <c r="AJ56" i="96"/>
  <c r="AK55" i="96" s="1"/>
  <c r="N56" i="96"/>
  <c r="O56" i="96" s="1"/>
  <c r="K66" i="95"/>
  <c r="F66" i="95"/>
  <c r="J66" i="95"/>
  <c r="I66" i="95"/>
  <c r="H66" i="95"/>
  <c r="G66" i="95"/>
  <c r="U75" i="150"/>
  <c r="V35" i="107"/>
  <c r="AB23" i="96"/>
  <c r="U27" i="107"/>
  <c r="W36" i="107"/>
  <c r="X36" i="107" s="1"/>
  <c r="AK31" i="96"/>
  <c r="W53" i="99"/>
  <c r="X53" i="99" s="1"/>
  <c r="Y53" i="99" s="1"/>
  <c r="AA53" i="99" s="1"/>
  <c r="W61" i="96"/>
  <c r="X61" i="96" s="1"/>
  <c r="Y87" i="150"/>
  <c r="AA87" i="150" s="1"/>
  <c r="AB23" i="107"/>
  <c r="AJ44" i="96"/>
  <c r="AK43" i="96" s="1"/>
  <c r="N44" i="96"/>
  <c r="O44" i="96" s="1"/>
  <c r="V63" i="84"/>
  <c r="N68" i="107"/>
  <c r="O68" i="107" s="1"/>
  <c r="AJ68" i="107"/>
  <c r="AK67" i="107" s="1"/>
  <c r="U83" i="96"/>
  <c r="P83" i="96"/>
  <c r="V39" i="107"/>
  <c r="W39" i="107" s="1"/>
  <c r="X39" i="107" s="1"/>
  <c r="Y39" i="107" s="1"/>
  <c r="AA39" i="107" s="1"/>
  <c r="U47" i="99"/>
  <c r="P47" i="99"/>
  <c r="W33" i="107"/>
  <c r="X33" i="107" s="1"/>
  <c r="Y33" i="107" s="1"/>
  <c r="AA33" i="107" s="1"/>
  <c r="V31" i="99"/>
  <c r="W81" i="150"/>
  <c r="X81" i="150" s="1"/>
  <c r="Y81" i="150" s="1"/>
  <c r="AA81" i="150" s="1"/>
  <c r="U27" i="99"/>
  <c r="Z23" i="96"/>
  <c r="U83" i="150"/>
  <c r="P83" i="150"/>
  <c r="V63" i="107"/>
  <c r="W63" i="107" s="1"/>
  <c r="X63" i="107" s="1"/>
  <c r="V43" i="107"/>
  <c r="N52" i="96"/>
  <c r="O52" i="96" s="1"/>
  <c r="AJ52" i="96"/>
  <c r="AK51" i="96" s="1"/>
  <c r="U59" i="99"/>
  <c r="W28" i="150"/>
  <c r="X28" i="150" s="1"/>
  <c r="Y28" i="150" s="1"/>
  <c r="AA28" i="150" s="1"/>
  <c r="H715" i="96"/>
  <c r="V39" i="96"/>
  <c r="W39" i="96" s="1"/>
  <c r="W72" i="107"/>
  <c r="X72" i="107" s="1"/>
  <c r="Y72" i="107" s="1"/>
  <c r="AA72" i="107" s="1"/>
  <c r="V59" i="96"/>
  <c r="W59" i="96" s="1"/>
  <c r="X59" i="96" s="1"/>
  <c r="Y59" i="96" s="1"/>
  <c r="AA59" i="96" s="1"/>
  <c r="V55" i="96"/>
  <c r="W55" i="96" s="1"/>
  <c r="X55" i="96" s="1"/>
  <c r="AJ29" i="107"/>
  <c r="AK27" i="107" s="1"/>
  <c r="N29" i="107"/>
  <c r="O29" i="107" s="1"/>
  <c r="U29" i="107" s="1"/>
  <c r="BL58" i="100"/>
  <c r="BL63" i="100"/>
  <c r="AK83" i="150"/>
  <c r="W53" i="96"/>
  <c r="X53" i="96" s="1"/>
  <c r="N60" i="96"/>
  <c r="O60" i="96" s="1"/>
  <c r="AJ60" i="96"/>
  <c r="AK59" i="96" s="1"/>
  <c r="Y43" i="99"/>
  <c r="AA43" i="99" s="1"/>
  <c r="J54" i="95"/>
  <c r="G54" i="95"/>
  <c r="F54" i="95"/>
  <c r="I54" i="95"/>
  <c r="H54" i="95"/>
  <c r="K54" i="95"/>
  <c r="W65" i="99"/>
  <c r="X65" i="99" s="1"/>
  <c r="P91" i="96"/>
  <c r="U91" i="96"/>
  <c r="W47" i="107"/>
  <c r="X47" i="107" s="1"/>
  <c r="Y47" i="107" s="1"/>
  <c r="AA47" i="107" s="1"/>
  <c r="V43" i="96"/>
  <c r="W43" i="96" s="1"/>
  <c r="X43" i="96" s="1"/>
  <c r="Y43" i="96" s="1"/>
  <c r="AA43" i="96" s="1"/>
  <c r="AJ60" i="107"/>
  <c r="AK59" i="107" s="1"/>
  <c r="N60" i="107"/>
  <c r="O60" i="107" s="1"/>
  <c r="AJ87" i="96"/>
  <c r="N87" i="96"/>
  <c r="O87" i="96" s="1"/>
  <c r="W32" i="99"/>
  <c r="X32" i="99" s="1"/>
  <c r="Y32" i="99" s="1"/>
  <c r="AA32" i="99" s="1"/>
  <c r="W51" i="107"/>
  <c r="X51" i="107" s="1"/>
  <c r="Y51" i="107" s="1"/>
  <c r="AA51" i="107" s="1"/>
  <c r="U55" i="99"/>
  <c r="V47" i="96"/>
  <c r="W47" i="96" s="1"/>
  <c r="X47" i="96" s="1"/>
  <c r="Y47" i="96" s="1"/>
  <c r="AA47" i="96" s="1"/>
  <c r="AJ73" i="107"/>
  <c r="AK71" i="107" s="1"/>
  <c r="N73" i="107"/>
  <c r="O73" i="107" s="1"/>
  <c r="U73" i="107" s="1"/>
  <c r="U63" i="99"/>
  <c r="P63" i="99"/>
  <c r="N40" i="96"/>
  <c r="O40" i="96" s="1"/>
  <c r="AJ40" i="96"/>
  <c r="AK39" i="96" s="1"/>
  <c r="F56" i="99"/>
  <c r="V59" i="107"/>
  <c r="N48" i="96"/>
  <c r="O48" i="96" s="1"/>
  <c r="AJ48" i="96"/>
  <c r="AK47" i="96" s="1"/>
  <c r="W49" i="96"/>
  <c r="X49" i="96" s="1"/>
  <c r="Y49" i="96" s="1"/>
  <c r="AA49" i="96" s="1"/>
  <c r="AK91" i="96"/>
  <c r="AJ29" i="96"/>
  <c r="AK27" i="96" s="1"/>
  <c r="N29" i="96"/>
  <c r="O29" i="96" s="1"/>
  <c r="U29" i="96" s="1"/>
  <c r="H771" i="99"/>
  <c r="H57" i="99" s="1"/>
  <c r="H29" i="99"/>
  <c r="W32" i="107"/>
  <c r="X32" i="107" s="1"/>
  <c r="Y32" i="107" s="1"/>
  <c r="AA32" i="107" s="1"/>
  <c r="W28" i="96"/>
  <c r="X28" i="96" s="1"/>
  <c r="U27" i="96"/>
  <c r="N28" i="99"/>
  <c r="O28" i="99" s="1"/>
  <c r="U28" i="99" s="1"/>
  <c r="W28" i="99" s="1"/>
  <c r="X28" i="99" s="1"/>
  <c r="Y28" i="99" s="1"/>
  <c r="AA28" i="99" s="1"/>
  <c r="AJ28" i="99"/>
  <c r="V27" i="150"/>
  <c r="W27" i="150" s="1"/>
  <c r="H78" i="100"/>
  <c r="G78" i="100"/>
  <c r="F78" i="100"/>
  <c r="W37" i="96"/>
  <c r="X37" i="96" s="1"/>
  <c r="W80" i="150"/>
  <c r="X80" i="150" s="1"/>
  <c r="Y80" i="150" s="1"/>
  <c r="AA80" i="150" s="1"/>
  <c r="W37" i="150"/>
  <c r="X37" i="150" s="1"/>
  <c r="Y37" i="150" s="1"/>
  <c r="AA37" i="150" s="1"/>
  <c r="P51" i="99"/>
  <c r="Z43" i="99"/>
  <c r="H65" i="100"/>
  <c r="G65" i="100"/>
  <c r="F65" i="100"/>
  <c r="W40" i="99"/>
  <c r="X40" i="99" s="1"/>
  <c r="Y40" i="99" s="1"/>
  <c r="AA40" i="99" s="1"/>
  <c r="H77" i="150"/>
  <c r="H733" i="150"/>
  <c r="AJ89" i="96"/>
  <c r="N89" i="96"/>
  <c r="O89" i="96" s="1"/>
  <c r="U89" i="96" s="1"/>
  <c r="AK35" i="96"/>
  <c r="V51" i="96"/>
  <c r="W51" i="96" s="1"/>
  <c r="K53" i="108"/>
  <c r="AK39" i="99"/>
  <c r="P31" i="107"/>
  <c r="AJ56" i="99"/>
  <c r="N56" i="99"/>
  <c r="O56" i="99" s="1"/>
  <c r="U56" i="99" s="1"/>
  <c r="P31" i="150"/>
  <c r="U31" i="150"/>
  <c r="W97" i="96"/>
  <c r="X97" i="96" s="1"/>
  <c r="Y97" i="96" s="1"/>
  <c r="AA97" i="96" s="1"/>
  <c r="W92" i="96"/>
  <c r="X92" i="96" s="1"/>
  <c r="Y92" i="96" s="1"/>
  <c r="AA92" i="96" s="1"/>
  <c r="U71" i="96"/>
  <c r="P71" i="96"/>
  <c r="AJ33" i="99"/>
  <c r="AK31" i="99" s="1"/>
  <c r="N33" i="99"/>
  <c r="O33" i="99" s="1"/>
  <c r="V51" i="99"/>
  <c r="W59" i="84"/>
  <c r="X59" i="84" s="1"/>
  <c r="Y59" i="84" s="1"/>
  <c r="AA59" i="84" s="1"/>
  <c r="H204" i="99"/>
  <c r="H774" i="99" s="1"/>
  <c r="F68" i="84"/>
  <c r="T73" i="87"/>
  <c r="O36" i="84"/>
  <c r="U36" i="84" s="1"/>
  <c r="W36" i="84" s="1"/>
  <c r="X36" i="84" s="1"/>
  <c r="Y36" i="84" s="1"/>
  <c r="AA36" i="84" s="1"/>
  <c r="O37" i="12"/>
  <c r="U37" i="12" s="1"/>
  <c r="W37" i="12" s="1"/>
  <c r="X37" i="12" s="1"/>
  <c r="Y37" i="12" s="1"/>
  <c r="AA37" i="12" s="1"/>
  <c r="O76" i="12"/>
  <c r="U76" i="12" s="1"/>
  <c r="W76" i="12" s="1"/>
  <c r="X76" i="12" s="1"/>
  <c r="O77" i="84"/>
  <c r="U77" i="84" s="1"/>
  <c r="W77" i="84" s="1"/>
  <c r="X77" i="84" s="1"/>
  <c r="Y77" i="84" s="1"/>
  <c r="AA77" i="84" s="1"/>
  <c r="U52" i="84"/>
  <c r="O77" i="12"/>
  <c r="U77" i="12" s="1"/>
  <c r="W77" i="12" s="1"/>
  <c r="X77" i="12" s="1"/>
  <c r="Y77" i="12" s="1"/>
  <c r="AA77" i="12" s="1"/>
  <c r="O81" i="84"/>
  <c r="U81" i="84" s="1"/>
  <c r="W81" i="84" s="1"/>
  <c r="O80" i="84"/>
  <c r="U80" i="84" s="1"/>
  <c r="W80" i="84" s="1"/>
  <c r="X80" i="84" s="1"/>
  <c r="O40" i="84"/>
  <c r="U40" i="84" s="1"/>
  <c r="W40" i="84" s="1"/>
  <c r="X40" i="84" s="1"/>
  <c r="Y40" i="84" s="1"/>
  <c r="AA40" i="84" s="1"/>
  <c r="O72" i="84"/>
  <c r="U72" i="84" s="1"/>
  <c r="W72" i="84" s="1"/>
  <c r="X72" i="84" s="1"/>
  <c r="Y72" i="84" s="1"/>
  <c r="AA72" i="84" s="1"/>
  <c r="O37" i="84"/>
  <c r="U37" i="84" s="1"/>
  <c r="W37" i="84" s="1"/>
  <c r="X37" i="84" s="1"/>
  <c r="Y37" i="84" s="1"/>
  <c r="AA37" i="84" s="1"/>
  <c r="O29" i="14"/>
  <c r="U29" i="14" s="1"/>
  <c r="W29" i="14" s="1"/>
  <c r="X29" i="14" s="1"/>
  <c r="Y29" i="14" s="1"/>
  <c r="AA29" i="14" s="1"/>
  <c r="O76" i="84"/>
  <c r="U76" i="84" s="1"/>
  <c r="W76" i="84" s="1"/>
  <c r="X76" i="84" s="1"/>
  <c r="O49" i="14"/>
  <c r="U49" i="14" s="1"/>
  <c r="W49" i="14" s="1"/>
  <c r="X49" i="14" s="1"/>
  <c r="Y49" i="14" s="1"/>
  <c r="AA49" i="14" s="1"/>
  <c r="O49" i="84"/>
  <c r="U49" i="84" s="1"/>
  <c r="W49" i="84" s="1"/>
  <c r="X49" i="84" s="1"/>
  <c r="O32" i="84"/>
  <c r="U32" i="84" s="1"/>
  <c r="W32" i="84" s="1"/>
  <c r="X32" i="84" s="1"/>
  <c r="O80" i="12"/>
  <c r="U80" i="12" s="1"/>
  <c r="W80" i="12" s="1"/>
  <c r="P55" i="84"/>
  <c r="O72" i="12"/>
  <c r="U72" i="12" s="1"/>
  <c r="W72" i="12" s="1"/>
  <c r="X72" i="12" s="1"/>
  <c r="O40" i="12"/>
  <c r="U40" i="12" s="1"/>
  <c r="W40" i="12" s="1"/>
  <c r="X40" i="12" s="1"/>
  <c r="Y40" i="12" s="1"/>
  <c r="AA40" i="12" s="1"/>
  <c r="O32" i="12"/>
  <c r="U32" i="12" s="1"/>
  <c r="W32" i="12" s="1"/>
  <c r="X32" i="12" s="1"/>
  <c r="Y32" i="12" s="1"/>
  <c r="AA32" i="12" s="1"/>
  <c r="O41" i="84"/>
  <c r="U41" i="84" s="1"/>
  <c r="W41" i="84" s="1"/>
  <c r="X41" i="84" s="1"/>
  <c r="Y41" i="84" s="1"/>
  <c r="AA41" i="84" s="1"/>
  <c r="Y57" i="81"/>
  <c r="AA57" i="81" s="1"/>
  <c r="U29" i="81"/>
  <c r="W29" i="81" s="1"/>
  <c r="X29" i="81" s="1"/>
  <c r="U69" i="81"/>
  <c r="W69" i="81" s="1"/>
  <c r="X69" i="81" s="1"/>
  <c r="Y69" i="81" s="1"/>
  <c r="AA69" i="81" s="1"/>
  <c r="U28" i="81"/>
  <c r="W28" i="81" s="1"/>
  <c r="X28" i="81" s="1"/>
  <c r="Y28" i="81" s="1"/>
  <c r="AA28" i="81" s="1"/>
  <c r="U72" i="81"/>
  <c r="W72" i="81" s="1"/>
  <c r="X72" i="81" s="1"/>
  <c r="Y72" i="81" s="1"/>
  <c r="AA72" i="81" s="1"/>
  <c r="U73" i="81"/>
  <c r="W73" i="81" s="1"/>
  <c r="X73" i="81" s="1"/>
  <c r="Y73" i="81" s="1"/>
  <c r="AA73" i="81" s="1"/>
  <c r="U53" i="76"/>
  <c r="W53" i="76" s="1"/>
  <c r="X53" i="76" s="1"/>
  <c r="Y53" i="76" s="1"/>
  <c r="AA53" i="76" s="1"/>
  <c r="U29" i="76"/>
  <c r="W29" i="76" s="1"/>
  <c r="X29" i="76" s="1"/>
  <c r="Y29" i="76" s="1"/>
  <c r="AA29" i="76" s="1"/>
  <c r="U46" i="70"/>
  <c r="W46" i="70" s="1"/>
  <c r="X46" i="70" s="1"/>
  <c r="AC23" i="81"/>
  <c r="F58" i="87"/>
  <c r="F71" i="87"/>
  <c r="X56" i="84"/>
  <c r="Y56" i="84" s="1"/>
  <c r="AA56" i="84" s="1"/>
  <c r="V55" i="84"/>
  <c r="H714" i="84"/>
  <c r="F64" i="72"/>
  <c r="I64" i="72"/>
  <c r="H64" i="72"/>
  <c r="Y68" i="81"/>
  <c r="AA68" i="81" s="1"/>
  <c r="AJ32" i="12"/>
  <c r="N36" i="12"/>
  <c r="Z55" i="81"/>
  <c r="H84" i="87" s="1"/>
  <c r="H90" i="87" s="1"/>
  <c r="AB23" i="76"/>
  <c r="Y51" i="84"/>
  <c r="AA51" i="84" s="1"/>
  <c r="X35" i="81"/>
  <c r="Y35" i="81" s="1"/>
  <c r="AA35" i="81" s="1"/>
  <c r="Z63" i="81"/>
  <c r="I85" i="87" s="1"/>
  <c r="Y63" i="81"/>
  <c r="AA63" i="81" s="1"/>
  <c r="AB43" i="81"/>
  <c r="AJ27" i="14"/>
  <c r="AK27" i="14" s="1"/>
  <c r="N27" i="14"/>
  <c r="O27" i="14" s="1"/>
  <c r="AJ51" i="76"/>
  <c r="AK51" i="76" s="1"/>
  <c r="N51" i="76"/>
  <c r="O51" i="76" s="1"/>
  <c r="W43" i="76"/>
  <c r="X43" i="76" s="1"/>
  <c r="Y43" i="76" s="1"/>
  <c r="AA43" i="76" s="1"/>
  <c r="AA16" i="76" s="1"/>
  <c r="H694" i="84"/>
  <c r="H69" i="84" s="1"/>
  <c r="H29" i="84"/>
  <c r="AK47" i="84"/>
  <c r="N33" i="84"/>
  <c r="AJ33" i="84"/>
  <c r="AK31" i="84" s="1"/>
  <c r="X23" i="84"/>
  <c r="Y23" i="84" s="1"/>
  <c r="AA23" i="84" s="1"/>
  <c r="Z83" i="84"/>
  <c r="AJ27" i="76"/>
  <c r="AK27" i="76" s="1"/>
  <c r="N27" i="76"/>
  <c r="O27" i="76" s="1"/>
  <c r="AJ71" i="84"/>
  <c r="N71" i="84"/>
  <c r="O71" i="84" s="1"/>
  <c r="U47" i="84"/>
  <c r="N73" i="84"/>
  <c r="AJ73" i="84"/>
  <c r="X43" i="26"/>
  <c r="Y43" i="26" s="1"/>
  <c r="AA43" i="26" s="1"/>
  <c r="F77" i="87"/>
  <c r="Z59" i="14"/>
  <c r="U55" i="14"/>
  <c r="P55" i="14"/>
  <c r="N71" i="81"/>
  <c r="O71" i="81" s="1"/>
  <c r="AJ71" i="81"/>
  <c r="AK71" i="81" s="1"/>
  <c r="AB47" i="76"/>
  <c r="AB59" i="14"/>
  <c r="Z23" i="76"/>
  <c r="AK27" i="81"/>
  <c r="AJ47" i="14"/>
  <c r="AK47" i="14" s="1"/>
  <c r="N47" i="14"/>
  <c r="O47" i="14" s="1"/>
  <c r="Z47" i="76"/>
  <c r="I61" i="78" s="1"/>
  <c r="AB83" i="84"/>
  <c r="U35" i="76"/>
  <c r="P35" i="76"/>
  <c r="AJ75" i="84"/>
  <c r="AK75" i="84" s="1"/>
  <c r="N75" i="84"/>
  <c r="O75" i="84" s="1"/>
  <c r="H63" i="78"/>
  <c r="G63" i="78"/>
  <c r="F63" i="78"/>
  <c r="P59" i="76"/>
  <c r="U59" i="76"/>
  <c r="U35" i="84"/>
  <c r="U27" i="81"/>
  <c r="P27" i="81"/>
  <c r="W39" i="81"/>
  <c r="X39" i="81" s="1"/>
  <c r="Y39" i="81" s="1"/>
  <c r="AA39" i="81" s="1"/>
  <c r="AJ79" i="84"/>
  <c r="AK79" i="84" s="1"/>
  <c r="N79" i="84"/>
  <c r="O79" i="84" s="1"/>
  <c r="AK35" i="84"/>
  <c r="H216" i="84"/>
  <c r="H697" i="84" s="1"/>
  <c r="Z43" i="81"/>
  <c r="G82" i="87" s="1"/>
  <c r="H880" i="81"/>
  <c r="U31" i="84"/>
  <c r="U35" i="14"/>
  <c r="P35" i="14"/>
  <c r="U31" i="76"/>
  <c r="P31" i="76"/>
  <c r="U39" i="84"/>
  <c r="N28" i="84"/>
  <c r="O28" i="84" s="1"/>
  <c r="AJ28" i="84"/>
  <c r="F51" i="78"/>
  <c r="G51" i="78"/>
  <c r="H51" i="78"/>
  <c r="P51" i="14"/>
  <c r="U51" i="14"/>
  <c r="P55" i="76"/>
  <c r="U55" i="76"/>
  <c r="AK39" i="84"/>
  <c r="V27" i="84"/>
  <c r="W27" i="84" s="1"/>
  <c r="X27" i="84" s="1"/>
  <c r="Y52" i="81"/>
  <c r="AA52" i="81" s="1"/>
  <c r="N67" i="81"/>
  <c r="O67" i="81" s="1"/>
  <c r="AJ67" i="81"/>
  <c r="AK67" i="81" s="1"/>
  <c r="N68" i="84"/>
  <c r="O68" i="84" s="1"/>
  <c r="AJ68" i="84"/>
  <c r="X23" i="14"/>
  <c r="Y23" i="14" s="1"/>
  <c r="AA23" i="14" s="1"/>
  <c r="U31" i="14"/>
  <c r="P31" i="14"/>
  <c r="V67" i="84"/>
  <c r="W67" i="84" s="1"/>
  <c r="X67" i="84" s="1"/>
  <c r="AJ72" i="12"/>
  <c r="AJ76" i="12"/>
  <c r="AK75" i="12" s="1"/>
  <c r="H47" i="73"/>
  <c r="G47" i="73"/>
  <c r="F47" i="73"/>
  <c r="H55" i="73"/>
  <c r="F55" i="73"/>
  <c r="G55" i="73"/>
  <c r="C636" i="70"/>
  <c r="AD43" i="70" s="1"/>
  <c r="AF68" i="12"/>
  <c r="AF69" i="12" s="1"/>
  <c r="AF71" i="12"/>
  <c r="AF72" i="12" s="1"/>
  <c r="D672" i="70"/>
  <c r="H81" i="12"/>
  <c r="U79" i="12"/>
  <c r="U71" i="12"/>
  <c r="U75" i="12"/>
  <c r="N73" i="12"/>
  <c r="AJ73" i="12"/>
  <c r="Y60" i="12"/>
  <c r="AA60" i="12" s="1"/>
  <c r="Y59" i="12"/>
  <c r="AA59" i="12" s="1"/>
  <c r="N64" i="12"/>
  <c r="AJ64" i="12"/>
  <c r="U31" i="12"/>
  <c r="AK35" i="12"/>
  <c r="U35" i="12"/>
  <c r="U39" i="12"/>
  <c r="N33" i="12"/>
  <c r="AJ33" i="12"/>
  <c r="N41" i="12"/>
  <c r="AJ41" i="12"/>
  <c r="AK39" i="12" s="1"/>
  <c r="D219" i="70"/>
  <c r="E219" i="70"/>
  <c r="F219" i="70"/>
  <c r="D537" i="70"/>
  <c r="F547" i="70" s="1"/>
  <c r="D158" i="70"/>
  <c r="E183" i="70" s="1"/>
  <c r="F183" i="70"/>
  <c r="R45" i="69"/>
  <c r="O45" i="69"/>
  <c r="L38" i="70"/>
  <c r="M38" i="70" s="1"/>
  <c r="AH38" i="70"/>
  <c r="AI38" i="70" s="1"/>
  <c r="F446" i="70"/>
  <c r="F476" i="70" s="1"/>
  <c r="D307" i="70"/>
  <c r="D477" i="70"/>
  <c r="C644" i="70"/>
  <c r="J34" i="70"/>
  <c r="L34" i="70"/>
  <c r="M34" i="70" s="1"/>
  <c r="AJ42" i="70"/>
  <c r="J499" i="70"/>
  <c r="H54" i="70" s="1"/>
  <c r="H50" i="70"/>
  <c r="F119" i="70"/>
  <c r="H23" i="70" s="1"/>
  <c r="E446" i="70"/>
  <c r="D446" i="70"/>
  <c r="AJ67" i="70"/>
  <c r="AK67" i="70" s="1"/>
  <c r="N67" i="70"/>
  <c r="O67" i="70" s="1"/>
  <c r="E477" i="70"/>
  <c r="F452" i="70"/>
  <c r="F477" i="70" s="1"/>
  <c r="D306" i="70"/>
  <c r="AF32" i="70"/>
  <c r="AF33" i="70" s="1"/>
  <c r="AF34" i="70" s="1"/>
  <c r="AH40" i="70"/>
  <c r="AI40" i="70" s="1"/>
  <c r="J40" i="70"/>
  <c r="L40" i="70"/>
  <c r="D334" i="70"/>
  <c r="D183" i="70"/>
  <c r="N42" i="70"/>
  <c r="O42" i="70" s="1"/>
  <c r="D184" i="70"/>
  <c r="F184" i="70" s="1"/>
  <c r="D165" i="70"/>
  <c r="E184" i="70" s="1"/>
  <c r="D174" i="70"/>
  <c r="F52" i="180" l="1"/>
  <c r="M49" i="170"/>
  <c r="AG71" i="99"/>
  <c r="BY65" i="100"/>
  <c r="AG99" i="96"/>
  <c r="AG23" i="26"/>
  <c r="O47" i="73"/>
  <c r="T47" i="73" s="1"/>
  <c r="T54" i="95"/>
  <c r="N52" i="153"/>
  <c r="AG59" i="152"/>
  <c r="Q48" i="70"/>
  <c r="R48" i="70" s="1"/>
  <c r="AB23" i="152"/>
  <c r="U41" i="171"/>
  <c r="W41" i="171" s="1"/>
  <c r="X41" i="171" s="1"/>
  <c r="Y41" i="171" s="1"/>
  <c r="AA41" i="171" s="1"/>
  <c r="P39" i="171"/>
  <c r="AB43" i="76"/>
  <c r="S68" i="84"/>
  <c r="K57" i="98" s="1"/>
  <c r="S40" i="169"/>
  <c r="AA13" i="171"/>
  <c r="N50" i="70"/>
  <c r="O50" i="70" s="1"/>
  <c r="AC59" i="14"/>
  <c r="Z39" i="171"/>
  <c r="H69" i="172" s="1"/>
  <c r="AE64" i="100"/>
  <c r="AE66" i="100" s="1"/>
  <c r="AB58" i="100"/>
  <c r="AB23" i="84"/>
  <c r="AC23" i="76"/>
  <c r="S56" i="99"/>
  <c r="AD13" i="179"/>
  <c r="AF55" i="179"/>
  <c r="AJ23" i="70"/>
  <c r="AK23" i="70" s="1"/>
  <c r="D61" i="172"/>
  <c r="D63" i="172" s="1"/>
  <c r="Q44" i="70"/>
  <c r="R44" i="70" s="1"/>
  <c r="F53" i="170"/>
  <c r="H53" i="170"/>
  <c r="G53" i="170"/>
  <c r="J724" i="12"/>
  <c r="J725" i="12" s="1"/>
  <c r="K49" i="170"/>
  <c r="F43" i="170"/>
  <c r="H43" i="170"/>
  <c r="G43" i="170"/>
  <c r="AC39" i="76"/>
  <c r="AC23" i="96"/>
  <c r="Q36" i="70"/>
  <c r="R36" i="70" s="1"/>
  <c r="AC43" i="152"/>
  <c r="F62" i="180"/>
  <c r="AA13" i="163"/>
  <c r="AB23" i="171"/>
  <c r="H57" i="172" s="1"/>
  <c r="AJ61" i="12"/>
  <c r="AK59" i="12" s="1"/>
  <c r="N61" i="12"/>
  <c r="O61" i="12" s="1"/>
  <c r="Y47" i="81"/>
  <c r="AA47" i="81" s="1"/>
  <c r="H67" i="87"/>
  <c r="AC24" i="81"/>
  <c r="AG23" i="81" s="1"/>
  <c r="AB51" i="81"/>
  <c r="G63" i="87"/>
  <c r="AB55" i="81"/>
  <c r="AB63" i="81"/>
  <c r="AB35" i="81"/>
  <c r="F61" i="87" s="1"/>
  <c r="AB39" i="81"/>
  <c r="H41" i="150"/>
  <c r="H45" i="150"/>
  <c r="H49" i="150"/>
  <c r="AG39" i="165"/>
  <c r="S76" i="12"/>
  <c r="N63" i="72" s="1"/>
  <c r="AB23" i="12"/>
  <c r="G64" i="72"/>
  <c r="AB31" i="81"/>
  <c r="AC31" i="81" s="1"/>
  <c r="AA13" i="81"/>
  <c r="AJ52" i="180"/>
  <c r="AO52" i="180" s="1"/>
  <c r="O60" i="172"/>
  <c r="T60" i="172" s="1"/>
  <c r="AB39" i="152"/>
  <c r="AA13" i="152"/>
  <c r="AK47" i="152"/>
  <c r="AB27" i="179"/>
  <c r="AC27" i="179" s="1"/>
  <c r="F69" i="180" s="1"/>
  <c r="AE55" i="179"/>
  <c r="AG55" i="179" s="1"/>
  <c r="AB55" i="179"/>
  <c r="AC55" i="179" s="1"/>
  <c r="D76" i="180" s="1"/>
  <c r="D80" i="180" s="1"/>
  <c r="AC47" i="76"/>
  <c r="I69" i="72"/>
  <c r="G69" i="72"/>
  <c r="H69" i="72"/>
  <c r="AL23" i="179"/>
  <c r="AG43" i="171"/>
  <c r="G57" i="172"/>
  <c r="P39" i="84"/>
  <c r="P35" i="84"/>
  <c r="AC23" i="171"/>
  <c r="F47" i="153"/>
  <c r="Y52" i="152"/>
  <c r="AA52" i="152" s="1"/>
  <c r="G47" i="153"/>
  <c r="Y36" i="152"/>
  <c r="AA36" i="152" s="1"/>
  <c r="Z67" i="169"/>
  <c r="X47" i="150"/>
  <c r="Y47" i="150" s="1"/>
  <c r="AA47" i="150" s="1"/>
  <c r="AE27" i="179"/>
  <c r="AH27" i="179" s="1"/>
  <c r="AC23" i="152"/>
  <c r="Y39" i="171"/>
  <c r="AA39" i="171" s="1"/>
  <c r="P27" i="152"/>
  <c r="AB39" i="179"/>
  <c r="AC39" i="179" s="1"/>
  <c r="F72" i="180" s="1"/>
  <c r="X67" i="150"/>
  <c r="Y67" i="150" s="1"/>
  <c r="AA67" i="150" s="1"/>
  <c r="AH63" i="179"/>
  <c r="X71" i="150"/>
  <c r="Z71" i="150" s="1"/>
  <c r="K70" i="151" s="1"/>
  <c r="Y35" i="171"/>
  <c r="AA35" i="171" s="1"/>
  <c r="AC47" i="171"/>
  <c r="N41" i="169"/>
  <c r="O41" i="169" s="1"/>
  <c r="U41" i="169" s="1"/>
  <c r="W41" i="169" s="1"/>
  <c r="X41" i="169" s="1"/>
  <c r="Y41" i="169" s="1"/>
  <c r="AA41" i="169" s="1"/>
  <c r="AJ41" i="169"/>
  <c r="X51" i="171"/>
  <c r="Y51" i="171" s="1"/>
  <c r="AA51" i="171" s="1"/>
  <c r="V59" i="169"/>
  <c r="V55" i="152"/>
  <c r="W55" i="152" s="1"/>
  <c r="AE59" i="179"/>
  <c r="AH59" i="179" s="1"/>
  <c r="W31" i="165"/>
  <c r="V27" i="171"/>
  <c r="W27" i="171" s="1"/>
  <c r="X27" i="171" s="1"/>
  <c r="Y27" i="171" s="1"/>
  <c r="AA27" i="171" s="1"/>
  <c r="AJ54" i="180"/>
  <c r="V31" i="169"/>
  <c r="W35" i="152"/>
  <c r="X35" i="152" s="1"/>
  <c r="Y35" i="152" s="1"/>
  <c r="AA35" i="152" s="1"/>
  <c r="P27" i="169"/>
  <c r="U27" i="169"/>
  <c r="W49" i="152"/>
  <c r="X49" i="152" s="1"/>
  <c r="U47" i="152"/>
  <c r="P47" i="152"/>
  <c r="V27" i="152"/>
  <c r="AG35" i="179"/>
  <c r="AH35" i="179"/>
  <c r="AH37" i="179"/>
  <c r="U33" i="171"/>
  <c r="W33" i="171" s="1"/>
  <c r="X33" i="171" s="1"/>
  <c r="Y33" i="171" s="1"/>
  <c r="AA33" i="171" s="1"/>
  <c r="P31" i="171"/>
  <c r="V35" i="169"/>
  <c r="W35" i="169" s="1"/>
  <c r="X35" i="169" s="1"/>
  <c r="Z35" i="169" s="1"/>
  <c r="H54" i="170" s="1"/>
  <c r="U40" i="150"/>
  <c r="AG51" i="179"/>
  <c r="Z47" i="179"/>
  <c r="AA47" i="179" s="1"/>
  <c r="AD47" i="179" s="1"/>
  <c r="U48" i="150"/>
  <c r="H65" i="166"/>
  <c r="F65" i="166"/>
  <c r="G65" i="166"/>
  <c r="V31" i="152"/>
  <c r="AC39" i="152"/>
  <c r="U53" i="171"/>
  <c r="P51" i="171"/>
  <c r="I73" i="180"/>
  <c r="N73" i="180"/>
  <c r="M73" i="180"/>
  <c r="J73" i="180"/>
  <c r="H73" i="180"/>
  <c r="L73" i="180"/>
  <c r="K73" i="180"/>
  <c r="V43" i="169"/>
  <c r="U51" i="152"/>
  <c r="P51" i="152"/>
  <c r="V47" i="169"/>
  <c r="W47" i="169" s="1"/>
  <c r="P43" i="170"/>
  <c r="U43" i="170" s="1"/>
  <c r="AG23" i="169"/>
  <c r="AH29" i="179"/>
  <c r="P55" i="169"/>
  <c r="U55" i="169"/>
  <c r="V51" i="169"/>
  <c r="H50" i="153"/>
  <c r="G50" i="153"/>
  <c r="F50" i="153"/>
  <c r="AC46" i="152"/>
  <c r="AC45" i="152"/>
  <c r="AC44" i="152"/>
  <c r="G330" i="169"/>
  <c r="V35" i="165"/>
  <c r="W35" i="165" s="1"/>
  <c r="AB67" i="169"/>
  <c r="W43" i="150"/>
  <c r="X43" i="150" s="1"/>
  <c r="Y43" i="150" s="1"/>
  <c r="AA43" i="150" s="1"/>
  <c r="AC23" i="163"/>
  <c r="AB23" i="163"/>
  <c r="AE39" i="179"/>
  <c r="AH40" i="179" s="1"/>
  <c r="O57" i="166"/>
  <c r="T57" i="166" s="1"/>
  <c r="AG23" i="165"/>
  <c r="U44" i="150"/>
  <c r="N39" i="169"/>
  <c r="O39" i="169" s="1"/>
  <c r="AJ39" i="169"/>
  <c r="V63" i="169"/>
  <c r="W63" i="169" s="1"/>
  <c r="X63" i="169" s="1"/>
  <c r="AE43" i="179"/>
  <c r="AB55" i="171"/>
  <c r="G60" i="153"/>
  <c r="H60" i="153"/>
  <c r="F60" i="153"/>
  <c r="W27" i="165"/>
  <c r="Y31" i="171"/>
  <c r="AA31" i="171" s="1"/>
  <c r="Y53" i="152"/>
  <c r="AA53" i="152" s="1"/>
  <c r="X31" i="165"/>
  <c r="Y31" i="165" s="1"/>
  <c r="AA31" i="165" s="1"/>
  <c r="N29" i="171"/>
  <c r="O29" i="171" s="1"/>
  <c r="AJ29" i="171"/>
  <c r="AK27" i="171" s="1"/>
  <c r="AG31" i="179"/>
  <c r="AH32" i="179"/>
  <c r="AH33" i="179"/>
  <c r="Z35" i="81"/>
  <c r="F80" i="87" s="1"/>
  <c r="P47" i="84"/>
  <c r="Z59" i="150"/>
  <c r="J67" i="151" s="1"/>
  <c r="Z63" i="150"/>
  <c r="J68" i="151" s="1"/>
  <c r="M40" i="70"/>
  <c r="W31" i="107"/>
  <c r="X31" i="107" s="1"/>
  <c r="AB63" i="150"/>
  <c r="AB59" i="150"/>
  <c r="Y53" i="96"/>
  <c r="AA53" i="96" s="1"/>
  <c r="Z59" i="84"/>
  <c r="I71" i="98" s="1"/>
  <c r="AK87" i="96"/>
  <c r="X39" i="96"/>
  <c r="Y39" i="96" s="1"/>
  <c r="AA39" i="96" s="1"/>
  <c r="P27" i="96"/>
  <c r="Y61" i="96"/>
  <c r="AA61" i="96" s="1"/>
  <c r="Z23" i="99"/>
  <c r="Y55" i="150"/>
  <c r="AA55" i="150" s="1"/>
  <c r="P27" i="150"/>
  <c r="Y51" i="150"/>
  <c r="AA51" i="150" s="1"/>
  <c r="Z51" i="150"/>
  <c r="I65" i="151" s="1"/>
  <c r="I73" i="151" s="1"/>
  <c r="W59" i="107"/>
  <c r="X59" i="107" s="1"/>
  <c r="Y55" i="96"/>
  <c r="AA55" i="96" s="1"/>
  <c r="Z47" i="107"/>
  <c r="H59" i="108" s="1"/>
  <c r="X51" i="96"/>
  <c r="Y51" i="96" s="1"/>
  <c r="AA51" i="96" s="1"/>
  <c r="X27" i="150"/>
  <c r="Y27" i="150" s="1"/>
  <c r="AA27" i="150" s="1"/>
  <c r="Y28" i="96"/>
  <c r="AA28" i="96" s="1"/>
  <c r="Y55" i="107"/>
  <c r="AA55" i="107" s="1"/>
  <c r="Z55" i="107"/>
  <c r="U33" i="99"/>
  <c r="P31" i="99"/>
  <c r="V31" i="150"/>
  <c r="W31" i="150" s="1"/>
  <c r="X31" i="150" s="1"/>
  <c r="Z31" i="150" s="1"/>
  <c r="G63" i="151" s="1"/>
  <c r="Y37" i="96"/>
  <c r="AA37" i="96" s="1"/>
  <c r="V27" i="99"/>
  <c r="W27" i="99" s="1"/>
  <c r="X27" i="99" s="1"/>
  <c r="Y27" i="99" s="1"/>
  <c r="AA27" i="99" s="1"/>
  <c r="F45" i="108"/>
  <c r="H45" i="108"/>
  <c r="G45" i="108"/>
  <c r="Y35" i="150"/>
  <c r="AA35" i="150" s="1"/>
  <c r="V79" i="107"/>
  <c r="U67" i="99"/>
  <c r="P67" i="99"/>
  <c r="W31" i="96"/>
  <c r="X31" i="96" s="1"/>
  <c r="Y41" i="99"/>
  <c r="AA41" i="99" s="1"/>
  <c r="AJ61" i="99"/>
  <c r="AK59" i="99" s="1"/>
  <c r="N61" i="99"/>
  <c r="O61" i="99" s="1"/>
  <c r="V39" i="99"/>
  <c r="I73" i="100"/>
  <c r="R73" i="100"/>
  <c r="U40" i="96"/>
  <c r="P39" i="96"/>
  <c r="V55" i="99"/>
  <c r="W55" i="99" s="1"/>
  <c r="X55" i="99" s="1"/>
  <c r="Y65" i="99"/>
  <c r="AA65" i="99" s="1"/>
  <c r="Y63" i="107"/>
  <c r="AA63" i="107" s="1"/>
  <c r="V47" i="99"/>
  <c r="W47" i="99" s="1"/>
  <c r="U68" i="107"/>
  <c r="W68" i="107" s="1"/>
  <c r="X68" i="107" s="1"/>
  <c r="Y68" i="107" s="1"/>
  <c r="AA68" i="107" s="1"/>
  <c r="P67" i="107"/>
  <c r="K47" i="95"/>
  <c r="G47" i="95"/>
  <c r="I47" i="95"/>
  <c r="F47" i="95"/>
  <c r="J47" i="95"/>
  <c r="H47" i="95"/>
  <c r="F57" i="108"/>
  <c r="H57" i="108"/>
  <c r="G57" i="108"/>
  <c r="V67" i="96"/>
  <c r="V35" i="96"/>
  <c r="W35" i="96" s="1"/>
  <c r="W29" i="150"/>
  <c r="X29" i="150" s="1"/>
  <c r="AB39" i="107"/>
  <c r="Z35" i="150"/>
  <c r="H63" i="151" s="1"/>
  <c r="Z35" i="99"/>
  <c r="G72" i="100" s="1"/>
  <c r="W67" i="107"/>
  <c r="X67" i="107" s="1"/>
  <c r="Y67" i="107" s="1"/>
  <c r="AA67" i="107" s="1"/>
  <c r="V75" i="107"/>
  <c r="W75" i="107" s="1"/>
  <c r="V71" i="96"/>
  <c r="W56" i="99"/>
  <c r="X56" i="99" s="1"/>
  <c r="Y56" i="99" s="1"/>
  <c r="AA56" i="99" s="1"/>
  <c r="N77" i="150"/>
  <c r="O77" i="150" s="1"/>
  <c r="AJ77" i="150"/>
  <c r="AK75" i="150" s="1"/>
  <c r="W29" i="96"/>
  <c r="X29" i="96" s="1"/>
  <c r="Y29" i="96" s="1"/>
  <c r="AA29" i="96" s="1"/>
  <c r="U48" i="96"/>
  <c r="P47" i="96"/>
  <c r="V63" i="99"/>
  <c r="Z51" i="107"/>
  <c r="U87" i="96"/>
  <c r="P87" i="96"/>
  <c r="AB43" i="99"/>
  <c r="C825" i="99" s="1"/>
  <c r="C827" i="99" s="1"/>
  <c r="C833" i="99" s="1"/>
  <c r="C834" i="99" s="1"/>
  <c r="W29" i="107"/>
  <c r="X29" i="107" s="1"/>
  <c r="Y29" i="107" s="1"/>
  <c r="AA29" i="107" s="1"/>
  <c r="V59" i="99"/>
  <c r="Z39" i="107"/>
  <c r="F59" i="108" s="1"/>
  <c r="W63" i="84"/>
  <c r="X63" i="84" s="1"/>
  <c r="Y63" i="84" s="1"/>
  <c r="AA63" i="84" s="1"/>
  <c r="AB87" i="150"/>
  <c r="Y36" i="107"/>
  <c r="AA36" i="107" s="1"/>
  <c r="W35" i="107"/>
  <c r="Y36" i="96"/>
  <c r="AA36" i="96" s="1"/>
  <c r="W89" i="96"/>
  <c r="X89" i="96" s="1"/>
  <c r="Y89" i="96" s="1"/>
  <c r="AA89" i="96" s="1"/>
  <c r="W73" i="107"/>
  <c r="X73" i="107" s="1"/>
  <c r="Y73" i="107" s="1"/>
  <c r="AA73" i="107" s="1"/>
  <c r="AB51" i="107"/>
  <c r="U56" i="96"/>
  <c r="P55" i="96"/>
  <c r="U95" i="96"/>
  <c r="P95" i="96"/>
  <c r="V75" i="96"/>
  <c r="W75" i="96" s="1"/>
  <c r="U64" i="107"/>
  <c r="P63" i="107"/>
  <c r="AB59" i="84"/>
  <c r="V27" i="96"/>
  <c r="W27" i="96" s="1"/>
  <c r="X27" i="96" s="1"/>
  <c r="Y27" i="96" s="1"/>
  <c r="AA27" i="96" s="1"/>
  <c r="U60" i="107"/>
  <c r="W60" i="107" s="1"/>
  <c r="X60" i="107" s="1"/>
  <c r="Y60" i="107" s="1"/>
  <c r="AA60" i="107" s="1"/>
  <c r="P59" i="107"/>
  <c r="U60" i="96"/>
  <c r="P59" i="96"/>
  <c r="V83" i="150"/>
  <c r="W31" i="99"/>
  <c r="V83" i="96"/>
  <c r="U44" i="96"/>
  <c r="P43" i="96"/>
  <c r="P27" i="107"/>
  <c r="V75" i="150"/>
  <c r="W75" i="150" s="1"/>
  <c r="X75" i="150" s="1"/>
  <c r="Y75" i="150" s="1"/>
  <c r="AA75" i="150" s="1"/>
  <c r="U79" i="150"/>
  <c r="P79" i="150"/>
  <c r="N29" i="99"/>
  <c r="O29" i="99" s="1"/>
  <c r="U29" i="99" s="1"/>
  <c r="AJ29" i="99"/>
  <c r="AK27" i="99" s="1"/>
  <c r="AB47" i="107"/>
  <c r="U52" i="96"/>
  <c r="W52" i="96" s="1"/>
  <c r="X52" i="96" s="1"/>
  <c r="Y52" i="96" s="1"/>
  <c r="AA52" i="96" s="1"/>
  <c r="P51" i="96"/>
  <c r="I59" i="95"/>
  <c r="H59" i="95"/>
  <c r="F59" i="95"/>
  <c r="G59" i="95"/>
  <c r="K59" i="95"/>
  <c r="J59" i="95"/>
  <c r="V27" i="107"/>
  <c r="H70" i="100"/>
  <c r="G70" i="100"/>
  <c r="F70" i="100"/>
  <c r="V63" i="96"/>
  <c r="W63" i="96" s="1"/>
  <c r="W51" i="99"/>
  <c r="X51" i="99" s="1"/>
  <c r="Y51" i="99" s="1"/>
  <c r="AA51" i="99" s="1"/>
  <c r="N57" i="99"/>
  <c r="O57" i="99" s="1"/>
  <c r="U57" i="99" s="1"/>
  <c r="AJ57" i="99"/>
  <c r="AK55" i="99" s="1"/>
  <c r="V91" i="96"/>
  <c r="W43" i="107"/>
  <c r="X43" i="107" s="1"/>
  <c r="Y43" i="107" s="1"/>
  <c r="AA43" i="107" s="1"/>
  <c r="AC23" i="107"/>
  <c r="V79" i="96"/>
  <c r="Y35" i="99"/>
  <c r="AA35" i="99" s="1"/>
  <c r="AB23" i="99"/>
  <c r="U71" i="107"/>
  <c r="P71" i="107"/>
  <c r="P75" i="12"/>
  <c r="N60" i="98"/>
  <c r="L60" i="98"/>
  <c r="H59" i="98"/>
  <c r="F59" i="98"/>
  <c r="G59" i="98"/>
  <c r="H75" i="98"/>
  <c r="G75" i="98"/>
  <c r="F75" i="98"/>
  <c r="AC23" i="84"/>
  <c r="G48" i="98"/>
  <c r="F48" i="98"/>
  <c r="H48" i="98"/>
  <c r="M60" i="98"/>
  <c r="AK31" i="12"/>
  <c r="O36" i="12"/>
  <c r="P35" i="12" s="1"/>
  <c r="O33" i="84"/>
  <c r="U33" i="84" s="1"/>
  <c r="W33" i="84" s="1"/>
  <c r="X33" i="84" s="1"/>
  <c r="Y33" i="84" s="1"/>
  <c r="AA33" i="84" s="1"/>
  <c r="O64" i="12"/>
  <c r="U64" i="12" s="1"/>
  <c r="W64" i="12" s="1"/>
  <c r="X64" i="12" s="1"/>
  <c r="O33" i="12"/>
  <c r="P31" i="12" s="1"/>
  <c r="O73" i="12"/>
  <c r="U73" i="12" s="1"/>
  <c r="W73" i="12" s="1"/>
  <c r="X73" i="12" s="1"/>
  <c r="Y73" i="12" s="1"/>
  <c r="AA73" i="12" s="1"/>
  <c r="O73" i="84"/>
  <c r="U73" i="84" s="1"/>
  <c r="W73" i="84" s="1"/>
  <c r="X73" i="84" s="1"/>
  <c r="Y73" i="84" s="1"/>
  <c r="AA73" i="84" s="1"/>
  <c r="O41" i="12"/>
  <c r="U41" i="12" s="1"/>
  <c r="W41" i="12" s="1"/>
  <c r="X41" i="12" s="1"/>
  <c r="Y41" i="12" s="1"/>
  <c r="AA41" i="12" s="1"/>
  <c r="W52" i="84"/>
  <c r="AN58" i="87"/>
  <c r="U42" i="70"/>
  <c r="W42" i="70" s="1"/>
  <c r="X42" i="70" s="1"/>
  <c r="U50" i="70"/>
  <c r="W50" i="70" s="1"/>
  <c r="X50" i="70" s="1"/>
  <c r="J85" i="87"/>
  <c r="K85" i="87"/>
  <c r="L85" i="87"/>
  <c r="M85" i="87"/>
  <c r="N85" i="87"/>
  <c r="P85" i="87"/>
  <c r="O85" i="87"/>
  <c r="W55" i="84"/>
  <c r="Y80" i="84"/>
  <c r="AA80" i="84" s="1"/>
  <c r="AK71" i="12"/>
  <c r="Z43" i="26"/>
  <c r="F58" i="73" s="1"/>
  <c r="Y29" i="81"/>
  <c r="AA29" i="81" s="1"/>
  <c r="Z23" i="84"/>
  <c r="Z51" i="81"/>
  <c r="G83" i="87" s="1"/>
  <c r="G90" i="87" s="1"/>
  <c r="Y49" i="84"/>
  <c r="AA49" i="84" s="1"/>
  <c r="AK71" i="84"/>
  <c r="Y76" i="84"/>
  <c r="AA76" i="84" s="1"/>
  <c r="Y27" i="84"/>
  <c r="AA27" i="84" s="1"/>
  <c r="P67" i="81"/>
  <c r="U67" i="81"/>
  <c r="Z39" i="81"/>
  <c r="F81" i="87" s="1"/>
  <c r="U75" i="84"/>
  <c r="P75" i="84"/>
  <c r="Z23" i="14"/>
  <c r="AC43" i="76"/>
  <c r="AD44" i="76"/>
  <c r="AC46" i="76"/>
  <c r="I48" i="78"/>
  <c r="AC44" i="76"/>
  <c r="AC45" i="76"/>
  <c r="K61" i="78"/>
  <c r="J61" i="78"/>
  <c r="M61" i="78"/>
  <c r="L61" i="78"/>
  <c r="P61" i="78"/>
  <c r="N61" i="78"/>
  <c r="O61" i="78"/>
  <c r="H57" i="78"/>
  <c r="G57" i="78"/>
  <c r="F57" i="78"/>
  <c r="X81" i="84"/>
  <c r="Y81" i="84" s="1"/>
  <c r="AA81" i="84" s="1"/>
  <c r="V31" i="14"/>
  <c r="AK43" i="84"/>
  <c r="V31" i="84"/>
  <c r="W31" i="84" s="1"/>
  <c r="X31" i="84" s="1"/>
  <c r="V35" i="84"/>
  <c r="P47" i="14"/>
  <c r="U47" i="14"/>
  <c r="AJ29" i="84"/>
  <c r="AK27" i="84" s="1"/>
  <c r="N29" i="84"/>
  <c r="V59" i="76"/>
  <c r="V35" i="76"/>
  <c r="W35" i="76" s="1"/>
  <c r="P27" i="76"/>
  <c r="U27" i="76"/>
  <c r="V27" i="76" s="1"/>
  <c r="N69" i="84"/>
  <c r="AJ69" i="84"/>
  <c r="AK67" i="84" s="1"/>
  <c r="AB23" i="14"/>
  <c r="V55" i="76"/>
  <c r="V39" i="84"/>
  <c r="W39" i="84" s="1"/>
  <c r="X39" i="84" s="1"/>
  <c r="Z39" i="84" s="1"/>
  <c r="H66" i="98" s="1"/>
  <c r="P79" i="84"/>
  <c r="U79" i="84"/>
  <c r="V43" i="84"/>
  <c r="X43" i="84" s="1"/>
  <c r="Y43" i="84" s="1"/>
  <c r="AA43" i="84" s="1"/>
  <c r="U71" i="81"/>
  <c r="P71" i="81"/>
  <c r="V55" i="14"/>
  <c r="AB43" i="26"/>
  <c r="Z43" i="76"/>
  <c r="I60" i="78" s="1"/>
  <c r="G45" i="78"/>
  <c r="H45" i="78"/>
  <c r="F45" i="78"/>
  <c r="Y67" i="84"/>
  <c r="AA67" i="84" s="1"/>
  <c r="U68" i="84"/>
  <c r="U28" i="84"/>
  <c r="V31" i="76"/>
  <c r="V27" i="81"/>
  <c r="W27" i="81" s="1"/>
  <c r="X27" i="81" s="1"/>
  <c r="Z27" i="81" s="1"/>
  <c r="F78" i="87" s="1"/>
  <c r="AC49" i="76"/>
  <c r="AC50" i="76"/>
  <c r="I49" i="78"/>
  <c r="AC48" i="76"/>
  <c r="U51" i="76"/>
  <c r="P51" i="76"/>
  <c r="V51" i="14"/>
  <c r="W51" i="14" s="1"/>
  <c r="V35" i="14"/>
  <c r="Y32" i="84"/>
  <c r="AA32" i="84" s="1"/>
  <c r="V47" i="84"/>
  <c r="W47" i="84" s="1"/>
  <c r="X47" i="84" s="1"/>
  <c r="U71" i="84"/>
  <c r="U27" i="14"/>
  <c r="P27" i="14"/>
  <c r="X80" i="12"/>
  <c r="Y80" i="12" s="1"/>
  <c r="AA80" i="12" s="1"/>
  <c r="V31" i="12"/>
  <c r="V39" i="12"/>
  <c r="V75" i="12"/>
  <c r="W75" i="12" s="1"/>
  <c r="V35" i="12"/>
  <c r="W35" i="12" s="1"/>
  <c r="V71" i="12"/>
  <c r="V79" i="12"/>
  <c r="W79" i="12" s="1"/>
  <c r="AF75" i="12"/>
  <c r="AF76" i="12" s="1"/>
  <c r="Y76" i="12"/>
  <c r="AA76" i="12" s="1"/>
  <c r="AJ81" i="12"/>
  <c r="AK79" i="12" s="1"/>
  <c r="N81" i="12"/>
  <c r="O81" i="12" s="1"/>
  <c r="Y72" i="12"/>
  <c r="AA72" i="12" s="1"/>
  <c r="AF70" i="12"/>
  <c r="AF73" i="12"/>
  <c r="D310" i="70"/>
  <c r="H376" i="70" s="1"/>
  <c r="H39" i="70" s="1"/>
  <c r="D329" i="70"/>
  <c r="D547" i="70"/>
  <c r="D556" i="70" s="1"/>
  <c r="E547" i="70"/>
  <c r="E556" i="70" s="1"/>
  <c r="F187" i="70"/>
  <c r="I270" i="70" s="1"/>
  <c r="D303" i="70"/>
  <c r="D345" i="70" s="1"/>
  <c r="E187" i="70"/>
  <c r="D208" i="70" s="1"/>
  <c r="F220" i="70" s="1"/>
  <c r="F221" i="70" s="1"/>
  <c r="D243" i="70"/>
  <c r="Y46" i="70"/>
  <c r="AA46" i="70" s="1"/>
  <c r="N23" i="70"/>
  <c r="O23" i="70" s="1"/>
  <c r="AJ50" i="70"/>
  <c r="E243" i="70"/>
  <c r="E476" i="70"/>
  <c r="E478" i="70" s="1"/>
  <c r="E454" i="70"/>
  <c r="D476" i="70"/>
  <c r="D478" i="70" s="1"/>
  <c r="D454" i="70"/>
  <c r="F478" i="70"/>
  <c r="N54" i="70"/>
  <c r="O54" i="70" s="1"/>
  <c r="AJ54" i="70"/>
  <c r="F454" i="70"/>
  <c r="F456" i="70" s="1"/>
  <c r="D538" i="70"/>
  <c r="F243" i="70"/>
  <c r="F225" i="70"/>
  <c r="U67" i="70"/>
  <c r="P67" i="70"/>
  <c r="F572" i="70"/>
  <c r="F556" i="70"/>
  <c r="AF36" i="70"/>
  <c r="AF37" i="70" s="1"/>
  <c r="AF38" i="70" s="1"/>
  <c r="F80" i="180" l="1"/>
  <c r="J73" i="100"/>
  <c r="P73" i="100"/>
  <c r="Q73" i="100"/>
  <c r="L73" i="100"/>
  <c r="M73" i="100"/>
  <c r="K73" i="100"/>
  <c r="N73" i="100"/>
  <c r="O73" i="100"/>
  <c r="AM49" i="189"/>
  <c r="AR49" i="189" s="1"/>
  <c r="AH55" i="179"/>
  <c r="AP45" i="78"/>
  <c r="AU45" i="78" s="1"/>
  <c r="AG23" i="76"/>
  <c r="T47" i="95"/>
  <c r="Y47" i="95" s="1"/>
  <c r="AG23" i="96"/>
  <c r="AG59" i="14"/>
  <c r="N50" i="153"/>
  <c r="E482" i="70"/>
  <c r="F48" i="70" s="1"/>
  <c r="F496" i="70"/>
  <c r="G48" i="70" s="1"/>
  <c r="AC67" i="169"/>
  <c r="G48" i="170"/>
  <c r="F48" i="170"/>
  <c r="H48" i="170"/>
  <c r="F58" i="170"/>
  <c r="G58" i="170"/>
  <c r="H58" i="170"/>
  <c r="F458" i="70"/>
  <c r="J495" i="70" s="1"/>
  <c r="G495" i="70"/>
  <c r="G51" i="70" s="1"/>
  <c r="AC23" i="99"/>
  <c r="AG23" i="99" s="1"/>
  <c r="J53" i="151"/>
  <c r="AB67" i="150"/>
  <c r="AA13" i="84"/>
  <c r="AC59" i="84"/>
  <c r="AC51" i="107"/>
  <c r="F54" i="180"/>
  <c r="D60" i="180"/>
  <c r="D64" i="180" s="1"/>
  <c r="U61" i="12"/>
  <c r="P59" i="12"/>
  <c r="J45" i="170"/>
  <c r="J49" i="170" s="1"/>
  <c r="Q40" i="70"/>
  <c r="R40" i="70" s="1"/>
  <c r="AD12" i="179"/>
  <c r="AF47" i="179"/>
  <c r="F55" i="180"/>
  <c r="AC55" i="171"/>
  <c r="AB39" i="171"/>
  <c r="AC40" i="171" s="1"/>
  <c r="F481" i="70"/>
  <c r="J496" i="70" s="1"/>
  <c r="H52" i="70" s="1"/>
  <c r="G496" i="70"/>
  <c r="G52" i="70" s="1"/>
  <c r="AC43" i="99"/>
  <c r="AC39" i="107"/>
  <c r="AB51" i="150"/>
  <c r="D45" i="164"/>
  <c r="D47" i="164" s="1"/>
  <c r="AG39" i="76"/>
  <c r="H65" i="12"/>
  <c r="H47" i="153"/>
  <c r="AC43" i="26"/>
  <c r="AB35" i="171"/>
  <c r="AA15" i="171"/>
  <c r="D49" i="153"/>
  <c r="D53" i="153" s="1"/>
  <c r="F57" i="172"/>
  <c r="AC23" i="14"/>
  <c r="AM45" i="189" s="1"/>
  <c r="AR45" i="189" s="1"/>
  <c r="AC47" i="107"/>
  <c r="AB55" i="150"/>
  <c r="AB47" i="81"/>
  <c r="G64" i="87" s="1"/>
  <c r="AA12" i="163"/>
  <c r="AB63" i="100"/>
  <c r="AB66" i="100" s="1"/>
  <c r="AA12" i="171"/>
  <c r="D60" i="87"/>
  <c r="D73" i="87" s="1"/>
  <c r="F62" i="87"/>
  <c r="H66" i="87"/>
  <c r="H73" i="87" s="1"/>
  <c r="I68" i="87"/>
  <c r="G65" i="87"/>
  <c r="AO58" i="87"/>
  <c r="AS58" i="87" s="1"/>
  <c r="AG23" i="163"/>
  <c r="N49" i="150"/>
  <c r="O49" i="150" s="1"/>
  <c r="AJ49" i="150"/>
  <c r="AK47" i="150" s="1"/>
  <c r="AJ45" i="150"/>
  <c r="AK43" i="150" s="1"/>
  <c r="N45" i="150"/>
  <c r="O45" i="150" s="1"/>
  <c r="N41" i="150"/>
  <c r="O41" i="150" s="1"/>
  <c r="AJ41" i="150"/>
  <c r="AK39" i="150" s="1"/>
  <c r="Z67" i="150"/>
  <c r="K69" i="151" s="1"/>
  <c r="K73" i="151" s="1"/>
  <c r="AC23" i="12"/>
  <c r="F55" i="72"/>
  <c r="G55" i="72"/>
  <c r="I55" i="72"/>
  <c r="H55" i="72"/>
  <c r="AG31" i="81"/>
  <c r="AK56" i="180"/>
  <c r="AJ53" i="180"/>
  <c r="AL53" i="180"/>
  <c r="AJ61" i="180"/>
  <c r="AJ62" i="180"/>
  <c r="AO62" i="180" s="1"/>
  <c r="AL54" i="180"/>
  <c r="AK54" i="180"/>
  <c r="AG23" i="84"/>
  <c r="AG23" i="171"/>
  <c r="Q50" i="153"/>
  <c r="AG23" i="152"/>
  <c r="O50" i="153"/>
  <c r="J73" i="151"/>
  <c r="D336" i="70"/>
  <c r="D337" i="70" s="1"/>
  <c r="H377" i="70" s="1"/>
  <c r="H40" i="70" s="1"/>
  <c r="D331" i="70"/>
  <c r="AC70" i="150"/>
  <c r="J52" i="151"/>
  <c r="J58" i="151" s="1"/>
  <c r="AS48" i="78"/>
  <c r="AS49" i="78"/>
  <c r="F59" i="180"/>
  <c r="AL55" i="180"/>
  <c r="AK55" i="180"/>
  <c r="O57" i="172"/>
  <c r="T57" i="172" s="1"/>
  <c r="Y71" i="150"/>
  <c r="AA71" i="150" s="1"/>
  <c r="AH28" i="179"/>
  <c r="AG27" i="179"/>
  <c r="P39" i="12"/>
  <c r="AK39" i="169"/>
  <c r="P71" i="84"/>
  <c r="N47" i="153"/>
  <c r="S47" i="153" s="1"/>
  <c r="AL63" i="179"/>
  <c r="X47" i="169"/>
  <c r="Y47" i="169" s="1"/>
  <c r="AA47" i="169" s="1"/>
  <c r="AC67" i="150"/>
  <c r="W51" i="169"/>
  <c r="X51" i="169" s="1"/>
  <c r="X55" i="152"/>
  <c r="Z55" i="152" s="1"/>
  <c r="H61" i="153" s="1"/>
  <c r="AB35" i="152"/>
  <c r="AG43" i="179"/>
  <c r="AH46" i="179"/>
  <c r="AH44" i="179"/>
  <c r="AH45" i="179"/>
  <c r="W48" i="150"/>
  <c r="X48" i="150" s="1"/>
  <c r="AG47" i="171"/>
  <c r="O61" i="172"/>
  <c r="T61" i="172" s="1"/>
  <c r="W44" i="150"/>
  <c r="X44" i="150" s="1"/>
  <c r="X27" i="165"/>
  <c r="Y27" i="165" s="1"/>
  <c r="AA27" i="165" s="1"/>
  <c r="AE47" i="179"/>
  <c r="W40" i="150"/>
  <c r="AJ55" i="180"/>
  <c r="AL35" i="179"/>
  <c r="V27" i="169"/>
  <c r="W27" i="169" s="1"/>
  <c r="X27" i="169" s="1"/>
  <c r="Y27" i="169" s="1"/>
  <c r="AA27" i="169" s="1"/>
  <c r="AB47" i="179"/>
  <c r="AC47" i="179" s="1"/>
  <c r="G74" i="180" s="1"/>
  <c r="Y35" i="169"/>
  <c r="AA35" i="169" s="1"/>
  <c r="V47" i="152"/>
  <c r="W47" i="152" s="1"/>
  <c r="W31" i="169"/>
  <c r="X31" i="169" s="1"/>
  <c r="Y31" i="169" s="1"/>
  <c r="AA31" i="169" s="1"/>
  <c r="Z31" i="165"/>
  <c r="G66" i="166" s="1"/>
  <c r="G69" i="166" s="1"/>
  <c r="U29" i="171"/>
  <c r="P27" i="171"/>
  <c r="Y63" i="169"/>
  <c r="AA63" i="169" s="1"/>
  <c r="X35" i="165"/>
  <c r="Z35" i="165" s="1"/>
  <c r="H66" i="166" s="1"/>
  <c r="H69" i="166" s="1"/>
  <c r="V55" i="169"/>
  <c r="W55" i="169" s="1"/>
  <c r="X55" i="169" s="1"/>
  <c r="Z55" i="169" s="1"/>
  <c r="F57" i="170" s="1"/>
  <c r="W43" i="169"/>
  <c r="X43" i="169" s="1"/>
  <c r="Y43" i="169" s="1"/>
  <c r="AA43" i="169" s="1"/>
  <c r="Z35" i="152"/>
  <c r="H58" i="153" s="1"/>
  <c r="W59" i="169"/>
  <c r="X59" i="169" s="1"/>
  <c r="Y59" i="169" s="1"/>
  <c r="AA59" i="169" s="1"/>
  <c r="AB31" i="165"/>
  <c r="W53" i="171"/>
  <c r="X53" i="171" s="1"/>
  <c r="W27" i="152"/>
  <c r="X27" i="152" s="1"/>
  <c r="Z63" i="169"/>
  <c r="H57" i="170" s="1"/>
  <c r="AG39" i="179"/>
  <c r="AH39" i="179"/>
  <c r="AH41" i="179"/>
  <c r="V51" i="152"/>
  <c r="AG43" i="152"/>
  <c r="Z31" i="171"/>
  <c r="F69" i="172" s="1"/>
  <c r="AL31" i="179"/>
  <c r="AG59" i="179"/>
  <c r="AH60" i="179"/>
  <c r="AH61" i="179"/>
  <c r="AC35" i="171"/>
  <c r="G59" i="172"/>
  <c r="AC37" i="171"/>
  <c r="AC36" i="171"/>
  <c r="AB31" i="171"/>
  <c r="G62" i="172"/>
  <c r="F62" i="172"/>
  <c r="H62" i="172"/>
  <c r="AG39" i="152"/>
  <c r="N49" i="153"/>
  <c r="S49" i="153" s="1"/>
  <c r="AH43" i="179"/>
  <c r="P39" i="169"/>
  <c r="U39" i="169"/>
  <c r="W31" i="152"/>
  <c r="X31" i="152" s="1"/>
  <c r="Y31" i="152" s="1"/>
  <c r="AA31" i="152" s="1"/>
  <c r="Y49" i="152"/>
  <c r="AA49" i="152" s="1"/>
  <c r="P71" i="12"/>
  <c r="Y31" i="107"/>
  <c r="AA31" i="107" s="1"/>
  <c r="Z31" i="107"/>
  <c r="G58" i="108" s="1"/>
  <c r="Y27" i="81"/>
  <c r="AC69" i="150"/>
  <c r="AC68" i="150"/>
  <c r="AC63" i="150"/>
  <c r="AC65" i="150"/>
  <c r="AC64" i="150"/>
  <c r="AC62" i="150"/>
  <c r="AC60" i="150"/>
  <c r="AC59" i="150"/>
  <c r="AC61" i="150"/>
  <c r="X75" i="107"/>
  <c r="Z75" i="107" s="1"/>
  <c r="G63" i="108" s="1"/>
  <c r="P27" i="99"/>
  <c r="Z43" i="107"/>
  <c r="G59" i="108" s="1"/>
  <c r="W71" i="96"/>
  <c r="X71" i="96" s="1"/>
  <c r="AC57" i="150"/>
  <c r="AC56" i="150"/>
  <c r="AC55" i="150"/>
  <c r="Z59" i="107"/>
  <c r="F62" i="108" s="1"/>
  <c r="Z67" i="107"/>
  <c r="H62" i="108" s="1"/>
  <c r="X63" i="96"/>
  <c r="Z63" i="96" s="1"/>
  <c r="I63" i="95" s="1"/>
  <c r="X75" i="96"/>
  <c r="Z75" i="96" s="1"/>
  <c r="I64" i="95" s="1"/>
  <c r="Y59" i="107"/>
  <c r="AA59" i="107" s="1"/>
  <c r="Z27" i="150"/>
  <c r="F63" i="151" s="1"/>
  <c r="Y29" i="150"/>
  <c r="AA29" i="150" s="1"/>
  <c r="X35" i="96"/>
  <c r="Y35" i="96" s="1"/>
  <c r="AA35" i="96" s="1"/>
  <c r="X47" i="99"/>
  <c r="Y47" i="99" s="1"/>
  <c r="AA47" i="99" s="1"/>
  <c r="Z31" i="96"/>
  <c r="Y31" i="96"/>
  <c r="AA31" i="96" s="1"/>
  <c r="W57" i="99"/>
  <c r="W63" i="99"/>
  <c r="X63" i="99" s="1"/>
  <c r="Z63" i="99" s="1"/>
  <c r="G77" i="100" s="1"/>
  <c r="U73" i="100"/>
  <c r="V73" i="100"/>
  <c r="T73" i="100"/>
  <c r="S73" i="100"/>
  <c r="Z73" i="100"/>
  <c r="Y73" i="100"/>
  <c r="X73" i="100"/>
  <c r="W73" i="100"/>
  <c r="V71" i="107"/>
  <c r="W71" i="107" s="1"/>
  <c r="W29" i="99"/>
  <c r="X29" i="99" s="1"/>
  <c r="Z27" i="99" s="1"/>
  <c r="V79" i="150"/>
  <c r="W79" i="150" s="1"/>
  <c r="X79" i="150" s="1"/>
  <c r="W44" i="96"/>
  <c r="AB27" i="96"/>
  <c r="X35" i="107"/>
  <c r="Z35" i="107" s="1"/>
  <c r="H58" i="108" s="1"/>
  <c r="AB67" i="107"/>
  <c r="W67" i="96"/>
  <c r="AB43" i="107"/>
  <c r="Z51" i="99"/>
  <c r="R75" i="100" s="1"/>
  <c r="G48" i="108"/>
  <c r="H48" i="108"/>
  <c r="F48" i="108"/>
  <c r="AC54" i="107"/>
  <c r="AC52" i="107"/>
  <c r="AC53" i="107"/>
  <c r="W59" i="99"/>
  <c r="W48" i="96"/>
  <c r="F47" i="108"/>
  <c r="AC42" i="107"/>
  <c r="AC41" i="107"/>
  <c r="AC40" i="107"/>
  <c r="V67" i="99"/>
  <c r="W67" i="99" s="1"/>
  <c r="F61" i="108"/>
  <c r="H61" i="108"/>
  <c r="G61" i="108"/>
  <c r="H57" i="100"/>
  <c r="G57" i="100"/>
  <c r="F57" i="100"/>
  <c r="AB51" i="99"/>
  <c r="W83" i="96"/>
  <c r="X83" i="96" s="1"/>
  <c r="W60" i="96"/>
  <c r="V95" i="96"/>
  <c r="W40" i="96"/>
  <c r="X40" i="96" s="1"/>
  <c r="Y40" i="96" s="1"/>
  <c r="AA40" i="96" s="1"/>
  <c r="W33" i="99"/>
  <c r="X33" i="99" s="1"/>
  <c r="AB55" i="107"/>
  <c r="AB35" i="99"/>
  <c r="AC50" i="107"/>
  <c r="H47" i="108"/>
  <c r="AC49" i="107"/>
  <c r="AC48" i="107"/>
  <c r="H57" i="151"/>
  <c r="G57" i="151"/>
  <c r="F57" i="151"/>
  <c r="V87" i="96"/>
  <c r="Z27" i="96"/>
  <c r="W39" i="99"/>
  <c r="X39" i="99" s="1"/>
  <c r="W91" i="96"/>
  <c r="X91" i="96" s="1"/>
  <c r="Y91" i="96" s="1"/>
  <c r="AA91" i="96" s="1"/>
  <c r="Z51" i="96"/>
  <c r="F62" i="95" s="1"/>
  <c r="X31" i="99"/>
  <c r="Y31" i="99" s="1"/>
  <c r="AA31" i="99" s="1"/>
  <c r="AB51" i="96"/>
  <c r="W56" i="96"/>
  <c r="X56" i="96" s="1"/>
  <c r="Y56" i="96" s="1"/>
  <c r="AA56" i="96" s="1"/>
  <c r="Z63" i="84"/>
  <c r="I72" i="98" s="1"/>
  <c r="I76" i="98" s="1"/>
  <c r="H60" i="108"/>
  <c r="G60" i="108"/>
  <c r="F60" i="108"/>
  <c r="U61" i="99"/>
  <c r="P59" i="99"/>
  <c r="W79" i="107"/>
  <c r="X79" i="107" s="1"/>
  <c r="Y79" i="107" s="1"/>
  <c r="AA79" i="107" s="1"/>
  <c r="W79" i="96"/>
  <c r="X79" i="96" s="1"/>
  <c r="W27" i="107"/>
  <c r="X27" i="107" s="1"/>
  <c r="Y27" i="107" s="1"/>
  <c r="AA27" i="107" s="1"/>
  <c r="W64" i="107"/>
  <c r="X64" i="107" s="1"/>
  <c r="Y64" i="107" s="1"/>
  <c r="AA64" i="107" s="1"/>
  <c r="AB63" i="84"/>
  <c r="AC46" i="99"/>
  <c r="R60" i="100"/>
  <c r="I60" i="100"/>
  <c r="U95" i="100" s="1"/>
  <c r="AC45" i="99"/>
  <c r="AC44" i="99"/>
  <c r="AB35" i="150"/>
  <c r="O45" i="108"/>
  <c r="T45" i="108" s="1"/>
  <c r="AG23" i="107"/>
  <c r="W83" i="150"/>
  <c r="I55" i="98"/>
  <c r="AC62" i="84"/>
  <c r="AC60" i="84"/>
  <c r="AC61" i="84"/>
  <c r="U77" i="150"/>
  <c r="P75" i="150"/>
  <c r="Y55" i="99"/>
  <c r="AA55" i="99" s="1"/>
  <c r="P55" i="99"/>
  <c r="Y31" i="150"/>
  <c r="AA31" i="150" s="1"/>
  <c r="P31" i="84"/>
  <c r="Q48" i="98"/>
  <c r="V48" i="98" s="1"/>
  <c r="H64" i="98"/>
  <c r="G64" i="98"/>
  <c r="F64" i="98"/>
  <c r="O29" i="84"/>
  <c r="U29" i="84" s="1"/>
  <c r="W29" i="84" s="1"/>
  <c r="X29" i="84" s="1"/>
  <c r="Y29" i="84" s="1"/>
  <c r="AA29" i="84" s="1"/>
  <c r="X52" i="84"/>
  <c r="Y52" i="84" s="1"/>
  <c r="AA52" i="84" s="1"/>
  <c r="U33" i="12"/>
  <c r="W33" i="12" s="1"/>
  <c r="X33" i="12" s="1"/>
  <c r="O69" i="84"/>
  <c r="U69" i="84" s="1"/>
  <c r="W69" i="84" s="1"/>
  <c r="X69" i="84" s="1"/>
  <c r="U36" i="12"/>
  <c r="W36" i="12" s="1"/>
  <c r="X36" i="12" s="1"/>
  <c r="Y36" i="12" s="1"/>
  <c r="AA36" i="12" s="1"/>
  <c r="H58" i="73"/>
  <c r="U54" i="70"/>
  <c r="W54" i="70" s="1"/>
  <c r="X54" i="70" s="1"/>
  <c r="P23" i="70"/>
  <c r="G58" i="73"/>
  <c r="X55" i="84"/>
  <c r="Y55" i="84" s="1"/>
  <c r="AA55" i="84" s="1"/>
  <c r="AG47" i="76"/>
  <c r="Z47" i="84"/>
  <c r="Y47" i="84"/>
  <c r="AA47" i="84" s="1"/>
  <c r="Z31" i="84"/>
  <c r="F66" i="98" s="1"/>
  <c r="Y31" i="84"/>
  <c r="AA31" i="84" s="1"/>
  <c r="L49" i="78"/>
  <c r="K49" i="78"/>
  <c r="N49" i="78"/>
  <c r="P49" i="78"/>
  <c r="M49" i="78"/>
  <c r="J49" i="78"/>
  <c r="O49" i="78"/>
  <c r="W55" i="76"/>
  <c r="X55" i="76" s="1"/>
  <c r="Y55" i="76" s="1"/>
  <c r="AA55" i="76" s="1"/>
  <c r="W35" i="84"/>
  <c r="X35" i="84" s="1"/>
  <c r="Y35" i="84" s="1"/>
  <c r="AA35" i="84" s="1"/>
  <c r="AG43" i="76"/>
  <c r="V27" i="14"/>
  <c r="W35" i="14"/>
  <c r="X35" i="14" s="1"/>
  <c r="Y35" i="14" s="1"/>
  <c r="AA35" i="14" s="1"/>
  <c r="W31" i="76"/>
  <c r="X31" i="76" s="1"/>
  <c r="Y31" i="76" s="1"/>
  <c r="AA31" i="76" s="1"/>
  <c r="V71" i="81"/>
  <c r="W71" i="81" s="1"/>
  <c r="X71" i="81" s="1"/>
  <c r="Y71" i="81" s="1"/>
  <c r="AA71" i="81" s="1"/>
  <c r="W31" i="14"/>
  <c r="X31" i="14" s="1"/>
  <c r="Y31" i="14" s="1"/>
  <c r="AA31" i="14" s="1"/>
  <c r="AA27" i="81"/>
  <c r="Y39" i="84"/>
  <c r="AA39" i="84" s="1"/>
  <c r="W59" i="76"/>
  <c r="V71" i="84"/>
  <c r="W71" i="84" s="1"/>
  <c r="X51" i="14"/>
  <c r="Z51" i="14" s="1"/>
  <c r="G58" i="189" s="1"/>
  <c r="V51" i="76"/>
  <c r="W28" i="84"/>
  <c r="K60" i="78"/>
  <c r="K65" i="78" s="1"/>
  <c r="J60" i="78"/>
  <c r="J65" i="78" s="1"/>
  <c r="L60" i="78"/>
  <c r="L65" i="78" s="1"/>
  <c r="O60" i="78"/>
  <c r="O65" i="78" s="1"/>
  <c r="N60" i="78"/>
  <c r="N65" i="78" s="1"/>
  <c r="M60" i="78"/>
  <c r="M65" i="78" s="1"/>
  <c r="P60" i="78"/>
  <c r="P65" i="78" s="1"/>
  <c r="V75" i="84"/>
  <c r="W75" i="84" s="1"/>
  <c r="X75" i="84" s="1"/>
  <c r="V47" i="14"/>
  <c r="W47" i="14" s="1"/>
  <c r="W68" i="84"/>
  <c r="X68" i="84" s="1"/>
  <c r="Y68" i="84" s="1"/>
  <c r="AA68" i="84" s="1"/>
  <c r="H50" i="73"/>
  <c r="F50" i="73"/>
  <c r="G50" i="73"/>
  <c r="P43" i="84"/>
  <c r="M48" i="78"/>
  <c r="L48" i="78"/>
  <c r="P48" i="78"/>
  <c r="N48" i="78"/>
  <c r="K48" i="78"/>
  <c r="O48" i="78"/>
  <c r="J48" i="78"/>
  <c r="V79" i="84"/>
  <c r="W55" i="14"/>
  <c r="X55" i="14" s="1"/>
  <c r="Y55" i="14" s="1"/>
  <c r="AA55" i="14" s="1"/>
  <c r="W27" i="76"/>
  <c r="X27" i="76" s="1"/>
  <c r="Y27" i="76" s="1"/>
  <c r="AA27" i="76" s="1"/>
  <c r="X35" i="76"/>
  <c r="Z35" i="76" s="1"/>
  <c r="H58" i="78" s="1"/>
  <c r="V67" i="81"/>
  <c r="W67" i="81" s="1"/>
  <c r="X35" i="12"/>
  <c r="X75" i="12"/>
  <c r="Y75" i="12" s="1"/>
  <c r="AA75" i="12" s="1"/>
  <c r="X79" i="12"/>
  <c r="Y79" i="12" s="1"/>
  <c r="AA79" i="12" s="1"/>
  <c r="W71" i="12"/>
  <c r="X71" i="12" s="1"/>
  <c r="Y71" i="12" s="1"/>
  <c r="AA71" i="12" s="1"/>
  <c r="W39" i="12"/>
  <c r="X39" i="12" s="1"/>
  <c r="Y39" i="12" s="1"/>
  <c r="AA39" i="12" s="1"/>
  <c r="V67" i="70"/>
  <c r="X67" i="70" s="1"/>
  <c r="W31" i="12"/>
  <c r="AF79" i="12"/>
  <c r="AF83" i="12" s="1"/>
  <c r="U81" i="12"/>
  <c r="P79" i="12"/>
  <c r="Y64" i="12"/>
  <c r="AA64" i="12" s="1"/>
  <c r="AF77" i="12"/>
  <c r="AF74" i="12"/>
  <c r="D572" i="70"/>
  <c r="D577" i="70" s="1"/>
  <c r="D346" i="70"/>
  <c r="D344" i="70"/>
  <c r="E572" i="70"/>
  <c r="E577" i="70" s="1"/>
  <c r="D305" i="70"/>
  <c r="E376" i="70" s="1"/>
  <c r="G39" i="70" s="1"/>
  <c r="D225" i="70"/>
  <c r="E220" i="70"/>
  <c r="E226" i="70" s="1"/>
  <c r="D220" i="70"/>
  <c r="D221" i="70" s="1"/>
  <c r="F488" i="70"/>
  <c r="F489" i="70" s="1"/>
  <c r="F490" i="70" s="1"/>
  <c r="U23" i="70"/>
  <c r="Y42" i="70"/>
  <c r="AA42" i="70" s="1"/>
  <c r="F483" i="70"/>
  <c r="E225" i="70"/>
  <c r="D456" i="70"/>
  <c r="D488" i="70"/>
  <c r="D489" i="70" s="1"/>
  <c r="D490" i="70" s="1"/>
  <c r="E483" i="70"/>
  <c r="D482" i="70"/>
  <c r="D481" i="70"/>
  <c r="H496" i="70" s="1"/>
  <c r="H44" i="70" s="1"/>
  <c r="E496" i="70"/>
  <c r="G44" i="70" s="1"/>
  <c r="D483" i="70"/>
  <c r="E481" i="70"/>
  <c r="I496" i="70" s="1"/>
  <c r="H48" i="70" s="1"/>
  <c r="F482" i="70"/>
  <c r="F52" i="70" s="1"/>
  <c r="E456" i="70"/>
  <c r="E488" i="70"/>
  <c r="E489" i="70" s="1"/>
  <c r="E490" i="70" s="1"/>
  <c r="Y50" i="70"/>
  <c r="AA50" i="70" s="1"/>
  <c r="J270" i="70"/>
  <c r="H30" i="70"/>
  <c r="F577" i="70"/>
  <c r="F223" i="70"/>
  <c r="G267" i="70" s="1"/>
  <c r="G35" i="70" s="1"/>
  <c r="F260" i="70"/>
  <c r="F261" i="70" s="1"/>
  <c r="F263" i="70" s="1"/>
  <c r="F249" i="70"/>
  <c r="H51" i="70"/>
  <c r="E249" i="70"/>
  <c r="AJ39" i="70"/>
  <c r="N39" i="70"/>
  <c r="O39" i="70" s="1"/>
  <c r="AJ52" i="70"/>
  <c r="N52" i="70"/>
  <c r="O52" i="70" s="1"/>
  <c r="F244" i="70"/>
  <c r="F250" i="70" s="1"/>
  <c r="F226" i="70"/>
  <c r="F227" i="70" s="1"/>
  <c r="K267" i="70" s="1"/>
  <c r="AF40" i="70"/>
  <c r="AF41" i="70" s="1"/>
  <c r="AF42" i="70" s="1"/>
  <c r="AF43" i="70"/>
  <c r="N40" i="70"/>
  <c r="O40" i="70" s="1"/>
  <c r="AJ40" i="70"/>
  <c r="F549" i="70"/>
  <c r="E549" i="70"/>
  <c r="D549" i="70"/>
  <c r="D249" i="70"/>
  <c r="AC41" i="171" l="1"/>
  <c r="H59" i="172"/>
  <c r="AL55" i="179"/>
  <c r="AJ60" i="180"/>
  <c r="AO60" i="180" s="1"/>
  <c r="Z35" i="96"/>
  <c r="I62" i="100"/>
  <c r="G837" i="99"/>
  <c r="G841" i="99" s="1"/>
  <c r="G73" i="87"/>
  <c r="Z60" i="100"/>
  <c r="X60" i="100"/>
  <c r="S60" i="100"/>
  <c r="Y60" i="100"/>
  <c r="V60" i="100"/>
  <c r="U60" i="100"/>
  <c r="W60" i="100"/>
  <c r="T60" i="100"/>
  <c r="W95" i="100"/>
  <c r="W98" i="100" s="1"/>
  <c r="O47" i="108"/>
  <c r="AG23" i="14"/>
  <c r="AG43" i="26"/>
  <c r="O50" i="73"/>
  <c r="BY60" i="100"/>
  <c r="AG67" i="169"/>
  <c r="AG55" i="171"/>
  <c r="P48" i="170"/>
  <c r="U48" i="170" s="1"/>
  <c r="BY57" i="100"/>
  <c r="CD57" i="100" s="1"/>
  <c r="O49" i="108"/>
  <c r="AB55" i="76"/>
  <c r="AC52" i="96"/>
  <c r="U50" i="95" s="1"/>
  <c r="AB59" i="107"/>
  <c r="AC33" i="171"/>
  <c r="AC39" i="171"/>
  <c r="S52" i="70"/>
  <c r="Q55" i="69" s="1"/>
  <c r="H48" i="151"/>
  <c r="G57" i="180"/>
  <c r="AB39" i="84"/>
  <c r="AC68" i="107"/>
  <c r="AC27" i="96"/>
  <c r="AC35" i="152"/>
  <c r="I51" i="151"/>
  <c r="D348" i="70"/>
  <c r="H378" i="70" s="1"/>
  <c r="E378" i="70"/>
  <c r="G41" i="70" s="1"/>
  <c r="F492" i="70"/>
  <c r="J497" i="70" s="1"/>
  <c r="H53" i="70" s="1"/>
  <c r="G497" i="70"/>
  <c r="G53" i="70" s="1"/>
  <c r="AC35" i="99"/>
  <c r="D332" i="70"/>
  <c r="E377" i="70"/>
  <c r="G40" i="70" s="1"/>
  <c r="AC55" i="107"/>
  <c r="K54" i="151"/>
  <c r="F264" i="70"/>
  <c r="K269" i="70" s="1"/>
  <c r="H37" i="70" s="1"/>
  <c r="G269" i="70"/>
  <c r="G37" i="70" s="1"/>
  <c r="E492" i="70"/>
  <c r="F497" i="70"/>
  <c r="G49" i="70" s="1"/>
  <c r="E458" i="70"/>
  <c r="I495" i="70" s="1"/>
  <c r="H47" i="70" s="1"/>
  <c r="F495" i="70"/>
  <c r="G47" i="70" s="1"/>
  <c r="AB51" i="84"/>
  <c r="G53" i="98" s="1"/>
  <c r="F56" i="180"/>
  <c r="I50" i="151"/>
  <c r="W61" i="12"/>
  <c r="N48" i="70"/>
  <c r="O48" i="70" s="1"/>
  <c r="AC43" i="107"/>
  <c r="F61" i="180"/>
  <c r="AB47" i="169"/>
  <c r="G46" i="170" s="1"/>
  <c r="AB71" i="150"/>
  <c r="AC71" i="150" s="1"/>
  <c r="S48" i="70"/>
  <c r="P55" i="69" s="1"/>
  <c r="P58" i="69" s="1"/>
  <c r="M68" i="87"/>
  <c r="N68" i="87"/>
  <c r="O68" i="87"/>
  <c r="P68" i="87"/>
  <c r="J68" i="87"/>
  <c r="K68" i="87"/>
  <c r="L68" i="87"/>
  <c r="AB71" i="81"/>
  <c r="W56" i="151"/>
  <c r="U41" i="150"/>
  <c r="W41" i="150" s="1"/>
  <c r="X41" i="150" s="1"/>
  <c r="Y41" i="150" s="1"/>
  <c r="AA41" i="150" s="1"/>
  <c r="P39" i="150"/>
  <c r="U45" i="150"/>
  <c r="W45" i="150" s="1"/>
  <c r="X45" i="150" s="1"/>
  <c r="Y45" i="150" s="1"/>
  <c r="AA45" i="150" s="1"/>
  <c r="P43" i="150"/>
  <c r="U49" i="150"/>
  <c r="W49" i="150" s="1"/>
  <c r="X49" i="150" s="1"/>
  <c r="Y49" i="150" s="1"/>
  <c r="AA49" i="150" s="1"/>
  <c r="P47" i="150"/>
  <c r="Q49" i="108"/>
  <c r="Q50" i="108"/>
  <c r="P50" i="108"/>
  <c r="R49" i="108"/>
  <c r="P47" i="108"/>
  <c r="Q47" i="108"/>
  <c r="R47" i="108"/>
  <c r="P49" i="108"/>
  <c r="AB75" i="12"/>
  <c r="AG23" i="12"/>
  <c r="Q55" i="72"/>
  <c r="AF80" i="12"/>
  <c r="AF81" i="12" s="1"/>
  <c r="AO54" i="180"/>
  <c r="AL56" i="180"/>
  <c r="AL61" i="180"/>
  <c r="AK61" i="180"/>
  <c r="AL57" i="180"/>
  <c r="AK53" i="180"/>
  <c r="AO53" i="180" s="1"/>
  <c r="AK57" i="180"/>
  <c r="AM57" i="180"/>
  <c r="CB60" i="100"/>
  <c r="CA60" i="100"/>
  <c r="BZ60" i="100"/>
  <c r="H63" i="153"/>
  <c r="AO55" i="180"/>
  <c r="AH47" i="179"/>
  <c r="AH51" i="179"/>
  <c r="AH54" i="179"/>
  <c r="AH52" i="179"/>
  <c r="AH53" i="179"/>
  <c r="F53" i="180"/>
  <c r="F64" i="180" s="1"/>
  <c r="U53" i="151"/>
  <c r="V53" i="151"/>
  <c r="T53" i="151"/>
  <c r="U54" i="151"/>
  <c r="U52" i="151"/>
  <c r="W54" i="151"/>
  <c r="W52" i="151"/>
  <c r="V54" i="151"/>
  <c r="V52" i="151"/>
  <c r="T54" i="151"/>
  <c r="T52" i="151"/>
  <c r="AL27" i="179"/>
  <c r="Y55" i="152"/>
  <c r="AA55" i="152" s="1"/>
  <c r="Z47" i="169"/>
  <c r="G56" i="170" s="1"/>
  <c r="Z59" i="169"/>
  <c r="G57" i="170" s="1"/>
  <c r="Y75" i="96"/>
  <c r="AA75" i="96" s="1"/>
  <c r="Y48" i="150"/>
  <c r="AA48" i="150" s="1"/>
  <c r="Z31" i="169"/>
  <c r="G54" i="170" s="1"/>
  <c r="AC49" i="169"/>
  <c r="Z51" i="169"/>
  <c r="H56" i="170" s="1"/>
  <c r="AC31" i="171"/>
  <c r="Z43" i="169"/>
  <c r="F56" i="170" s="1"/>
  <c r="AC47" i="169"/>
  <c r="X47" i="152"/>
  <c r="Z47" i="152" s="1"/>
  <c r="F61" i="153" s="1"/>
  <c r="Y51" i="169"/>
  <c r="AA51" i="169" s="1"/>
  <c r="AG67" i="150"/>
  <c r="AG35" i="171"/>
  <c r="Y27" i="152"/>
  <c r="AA27" i="152" s="1"/>
  <c r="Z27" i="152"/>
  <c r="F58" i="153" s="1"/>
  <c r="Y44" i="150"/>
  <c r="AA44" i="150" s="1"/>
  <c r="Z43" i="150"/>
  <c r="G64" i="151" s="1"/>
  <c r="Y53" i="171"/>
  <c r="AA53" i="171" s="1"/>
  <c r="Z51" i="171"/>
  <c r="AB27" i="169"/>
  <c r="AJ56" i="180"/>
  <c r="AL39" i="179"/>
  <c r="G58" i="166"/>
  <c r="G61" i="166" s="1"/>
  <c r="AC32" i="165"/>
  <c r="AC33" i="165"/>
  <c r="K74" i="180"/>
  <c r="K80" i="180" s="1"/>
  <c r="I74" i="180"/>
  <c r="I80" i="180" s="1"/>
  <c r="J74" i="180"/>
  <c r="J80" i="180" s="1"/>
  <c r="H74" i="180"/>
  <c r="H80" i="180" s="1"/>
  <c r="N74" i="180"/>
  <c r="N80" i="180" s="1"/>
  <c r="M74" i="180"/>
  <c r="M80" i="180" s="1"/>
  <c r="L74" i="180"/>
  <c r="L80" i="180" s="1"/>
  <c r="X40" i="150"/>
  <c r="Z39" i="150" s="1"/>
  <c r="F64" i="151" s="1"/>
  <c r="AB31" i="152"/>
  <c r="AB59" i="169"/>
  <c r="AB63" i="169"/>
  <c r="AG47" i="179"/>
  <c r="AH50" i="179"/>
  <c r="AH49" i="179"/>
  <c r="AH48" i="179"/>
  <c r="M57" i="180"/>
  <c r="K57" i="180"/>
  <c r="J57" i="180"/>
  <c r="I57" i="180"/>
  <c r="H57" i="180"/>
  <c r="N57" i="180"/>
  <c r="L57" i="180"/>
  <c r="AB35" i="169"/>
  <c r="V39" i="169"/>
  <c r="W29" i="171"/>
  <c r="Z27" i="169"/>
  <c r="F54" i="170" s="1"/>
  <c r="F59" i="172"/>
  <c r="AC32" i="171"/>
  <c r="W51" i="152"/>
  <c r="X51" i="152" s="1"/>
  <c r="Y51" i="152" s="1"/>
  <c r="AA51" i="152" s="1"/>
  <c r="AB43" i="169"/>
  <c r="AB27" i="165"/>
  <c r="AC36" i="152"/>
  <c r="H48" i="153"/>
  <c r="AC37" i="152"/>
  <c r="AJ57" i="180"/>
  <c r="AL43" i="179"/>
  <c r="Y55" i="169"/>
  <c r="AA55" i="169" s="1"/>
  <c r="Z47" i="150"/>
  <c r="H64" i="151" s="1"/>
  <c r="Z27" i="165"/>
  <c r="F66" i="166" s="1"/>
  <c r="F69" i="166" s="1"/>
  <c r="AB55" i="152"/>
  <c r="AL59" i="179"/>
  <c r="AC31" i="165"/>
  <c r="AB31" i="169"/>
  <c r="Y35" i="165"/>
  <c r="AA35" i="165" s="1"/>
  <c r="Z31" i="152"/>
  <c r="G58" i="153" s="1"/>
  <c r="Y75" i="107"/>
  <c r="AA75" i="107" s="1"/>
  <c r="AB31" i="107"/>
  <c r="AG63" i="150"/>
  <c r="AG59" i="150"/>
  <c r="T51" i="151"/>
  <c r="U51" i="151"/>
  <c r="V51" i="151"/>
  <c r="Z91" i="96"/>
  <c r="G65" i="95" s="1"/>
  <c r="Y71" i="96"/>
  <c r="AA71" i="96" s="1"/>
  <c r="Z71" i="96"/>
  <c r="K63" i="95" s="1"/>
  <c r="Y35" i="107"/>
  <c r="AA35" i="107" s="1"/>
  <c r="H53" i="98"/>
  <c r="Z79" i="107"/>
  <c r="H63" i="108" s="1"/>
  <c r="H65" i="108" s="1"/>
  <c r="X67" i="99"/>
  <c r="Y67" i="99" s="1"/>
  <c r="AA67" i="99" s="1"/>
  <c r="AG55" i="150"/>
  <c r="AC54" i="150"/>
  <c r="AC53" i="150"/>
  <c r="AC52" i="150"/>
  <c r="AC51" i="150"/>
  <c r="AC67" i="107"/>
  <c r="AG59" i="84"/>
  <c r="Z31" i="99"/>
  <c r="F72" i="100" s="1"/>
  <c r="Y63" i="96"/>
  <c r="AA63" i="96" s="1"/>
  <c r="Y79" i="150"/>
  <c r="AA79" i="150" s="1"/>
  <c r="Z27" i="107"/>
  <c r="F58" i="108" s="1"/>
  <c r="Z83" i="96"/>
  <c r="K64" i="95" s="1"/>
  <c r="Y29" i="99"/>
  <c r="AA29" i="99" s="1"/>
  <c r="X48" i="96"/>
  <c r="Z47" i="96" s="1"/>
  <c r="H61" i="95" s="1"/>
  <c r="AG51" i="107"/>
  <c r="Y79" i="96"/>
  <c r="AA79" i="96" s="1"/>
  <c r="Z79" i="96"/>
  <c r="J64" i="95" s="1"/>
  <c r="AB47" i="99"/>
  <c r="AB35" i="96"/>
  <c r="I56" i="98"/>
  <c r="I60" i="98" s="1"/>
  <c r="AC65" i="84"/>
  <c r="AC64" i="84"/>
  <c r="R62" i="100"/>
  <c r="X95" i="100" s="1"/>
  <c r="AC52" i="99"/>
  <c r="AC53" i="99"/>
  <c r="W77" i="150"/>
  <c r="X77" i="150" s="1"/>
  <c r="Z75" i="150" s="1"/>
  <c r="Y63" i="99"/>
  <c r="AA63" i="99" s="1"/>
  <c r="AC62" i="107"/>
  <c r="F50" i="108"/>
  <c r="AC61" i="107"/>
  <c r="AC59" i="107"/>
  <c r="F71" i="100"/>
  <c r="H71" i="100"/>
  <c r="G71" i="100"/>
  <c r="X57" i="99"/>
  <c r="Y57" i="99" s="1"/>
  <c r="AA57" i="99" s="1"/>
  <c r="Y39" i="99"/>
  <c r="AA39" i="99" s="1"/>
  <c r="AG47" i="107"/>
  <c r="X83" i="150"/>
  <c r="Z83" i="150" s="1"/>
  <c r="AB79" i="107"/>
  <c r="F49" i="108"/>
  <c r="AC58" i="107"/>
  <c r="G49" i="108"/>
  <c r="H49" i="108"/>
  <c r="AC57" i="107"/>
  <c r="AC56" i="107"/>
  <c r="W95" i="96"/>
  <c r="X67" i="96"/>
  <c r="Z67" i="96" s="1"/>
  <c r="J63" i="95" s="1"/>
  <c r="F48" i="95"/>
  <c r="I48" i="95"/>
  <c r="AC28" i="96"/>
  <c r="X71" i="107"/>
  <c r="Y71" i="107" s="1"/>
  <c r="AA71" i="107" s="1"/>
  <c r="AG43" i="99"/>
  <c r="Z63" i="107"/>
  <c r="G62" i="108" s="1"/>
  <c r="G65" i="108" s="1"/>
  <c r="Z39" i="99"/>
  <c r="H72" i="100" s="1"/>
  <c r="Y33" i="99"/>
  <c r="AA33" i="99" s="1"/>
  <c r="X59" i="99"/>
  <c r="Y59" i="99" s="1"/>
  <c r="AA59" i="99" s="1"/>
  <c r="AB31" i="96"/>
  <c r="AB31" i="150"/>
  <c r="W61" i="99"/>
  <c r="X61" i="99" s="1"/>
  <c r="Y61" i="99" s="1"/>
  <c r="AA61" i="99" s="1"/>
  <c r="AB55" i="96"/>
  <c r="X60" i="96"/>
  <c r="Y60" i="96" s="1"/>
  <c r="AA60" i="96" s="1"/>
  <c r="S75" i="100"/>
  <c r="S79" i="100" s="1"/>
  <c r="Z75" i="100"/>
  <c r="Z79" i="100" s="1"/>
  <c r="X75" i="100"/>
  <c r="X79" i="100" s="1"/>
  <c r="T75" i="100"/>
  <c r="T79" i="100" s="1"/>
  <c r="V75" i="100"/>
  <c r="V79" i="100" s="1"/>
  <c r="U75" i="100"/>
  <c r="U79" i="100" s="1"/>
  <c r="W75" i="100"/>
  <c r="W79" i="100" s="1"/>
  <c r="Y75" i="100"/>
  <c r="Y79" i="100" s="1"/>
  <c r="AG39" i="107"/>
  <c r="X44" i="96"/>
  <c r="Y44" i="96" s="1"/>
  <c r="AA44" i="96" s="1"/>
  <c r="G60" i="95"/>
  <c r="J60" i="95"/>
  <c r="Z55" i="96"/>
  <c r="G62" i="95" s="1"/>
  <c r="I60" i="95"/>
  <c r="F60" i="95"/>
  <c r="AB39" i="96"/>
  <c r="AB27" i="150"/>
  <c r="H60" i="95"/>
  <c r="K60" i="95"/>
  <c r="AB27" i="107"/>
  <c r="F50" i="95"/>
  <c r="AC54" i="96"/>
  <c r="AC51" i="96"/>
  <c r="AC53" i="96"/>
  <c r="J65" i="95"/>
  <c r="Z39" i="96"/>
  <c r="F61" i="95" s="1"/>
  <c r="G47" i="108"/>
  <c r="AC46" i="107"/>
  <c r="AC45" i="107"/>
  <c r="AC44" i="107"/>
  <c r="H50" i="108"/>
  <c r="AC70" i="107"/>
  <c r="AC69" i="107"/>
  <c r="Y83" i="96"/>
  <c r="AA83" i="96" s="1"/>
  <c r="AC63" i="84"/>
  <c r="AC60" i="107"/>
  <c r="AB91" i="96"/>
  <c r="AB63" i="107"/>
  <c r="W87" i="96"/>
  <c r="G59" i="100"/>
  <c r="AC36" i="99"/>
  <c r="AC37" i="99"/>
  <c r="Z47" i="99"/>
  <c r="I74" i="100" s="1"/>
  <c r="AC51" i="99"/>
  <c r="Z79" i="150"/>
  <c r="AC29" i="96"/>
  <c r="AC52" i="84"/>
  <c r="Y33" i="12"/>
  <c r="AA33" i="12" s="1"/>
  <c r="D223" i="70"/>
  <c r="E267" i="70" s="1"/>
  <c r="G27" i="70" s="1"/>
  <c r="D260" i="70"/>
  <c r="D261" i="70" s="1"/>
  <c r="D263" i="70" s="1"/>
  <c r="E269" i="70" s="1"/>
  <c r="G29" i="70" s="1"/>
  <c r="F68" i="98"/>
  <c r="G68" i="98"/>
  <c r="H68" i="98"/>
  <c r="AC54" i="84"/>
  <c r="P27" i="84"/>
  <c r="Z51" i="84"/>
  <c r="P67" i="84"/>
  <c r="U52" i="70"/>
  <c r="W52" i="70" s="1"/>
  <c r="X52" i="70" s="1"/>
  <c r="U48" i="70"/>
  <c r="W48" i="70" s="1"/>
  <c r="X48" i="70" s="1"/>
  <c r="U40" i="70"/>
  <c r="W40" i="70" s="1"/>
  <c r="X40" i="70" s="1"/>
  <c r="Z31" i="76"/>
  <c r="G58" i="78" s="1"/>
  <c r="AB55" i="84"/>
  <c r="Z55" i="84"/>
  <c r="Z55" i="14"/>
  <c r="H58" i="189" s="1"/>
  <c r="X67" i="81"/>
  <c r="Z67" i="81" s="1"/>
  <c r="I86" i="87" s="1"/>
  <c r="Z35" i="14"/>
  <c r="H56" i="189" s="1"/>
  <c r="H61" i="189" s="1"/>
  <c r="L53" i="78"/>
  <c r="K53" i="78"/>
  <c r="N53" i="78"/>
  <c r="P53" i="78"/>
  <c r="X71" i="84"/>
  <c r="Z71" i="84" s="1"/>
  <c r="F74" i="98" s="1"/>
  <c r="Z67" i="84"/>
  <c r="O53" i="78"/>
  <c r="J53" i="78"/>
  <c r="M53" i="78"/>
  <c r="AB35" i="84"/>
  <c r="AB31" i="14"/>
  <c r="G46" i="189" s="1"/>
  <c r="Z55" i="76"/>
  <c r="G62" i="78" s="1"/>
  <c r="AB27" i="76"/>
  <c r="Y35" i="76"/>
  <c r="AA35" i="76" s="1"/>
  <c r="X28" i="84"/>
  <c r="Y28" i="84" s="1"/>
  <c r="AA28" i="84" s="1"/>
  <c r="AC39" i="84"/>
  <c r="AC41" i="84"/>
  <c r="AC40" i="84"/>
  <c r="Z27" i="76"/>
  <c r="F58" i="78" s="1"/>
  <c r="Y69" i="84"/>
  <c r="AA69" i="84" s="1"/>
  <c r="AB27" i="81"/>
  <c r="AB31" i="76"/>
  <c r="Y75" i="84"/>
  <c r="AA75" i="84" s="1"/>
  <c r="W51" i="76"/>
  <c r="X51" i="76" s="1"/>
  <c r="Y51" i="76" s="1"/>
  <c r="AA51" i="76" s="1"/>
  <c r="Y51" i="14"/>
  <c r="AA51" i="14" s="1"/>
  <c r="AB31" i="84"/>
  <c r="AB55" i="14"/>
  <c r="H48" i="189" s="1"/>
  <c r="Z75" i="84"/>
  <c r="G74" i="98" s="1"/>
  <c r="X59" i="76"/>
  <c r="Z59" i="76" s="1"/>
  <c r="H62" i="78" s="1"/>
  <c r="H65" i="78" s="1"/>
  <c r="AB35" i="14"/>
  <c r="H46" i="189" s="1"/>
  <c r="Z35" i="84"/>
  <c r="G66" i="98" s="1"/>
  <c r="AB47" i="84"/>
  <c r="W79" i="84"/>
  <c r="X79" i="84" s="1"/>
  <c r="X47" i="14"/>
  <c r="Z47" i="14" s="1"/>
  <c r="F58" i="189" s="1"/>
  <c r="Z31" i="14"/>
  <c r="G56" i="189" s="1"/>
  <c r="G61" i="189" s="1"/>
  <c r="Z71" i="81"/>
  <c r="F87" i="87" s="1"/>
  <c r="F90" i="87" s="1"/>
  <c r="W27" i="14"/>
  <c r="X27" i="14" s="1"/>
  <c r="Y27" i="14" s="1"/>
  <c r="AA27" i="14" s="1"/>
  <c r="X31" i="12"/>
  <c r="Y31" i="12" s="1"/>
  <c r="AA31" i="12" s="1"/>
  <c r="W81" i="12"/>
  <c r="X81" i="12" s="1"/>
  <c r="Z79" i="12" s="1"/>
  <c r="I77" i="72" s="1"/>
  <c r="F44" i="70"/>
  <c r="Q58" i="69"/>
  <c r="AC76" i="12"/>
  <c r="AF84" i="12"/>
  <c r="AF85" i="12" s="1"/>
  <c r="AF86" i="12" s="1"/>
  <c r="AC83" i="12"/>
  <c r="AC75" i="12"/>
  <c r="Z75" i="12"/>
  <c r="H77" i="72" s="1"/>
  <c r="Z71" i="12"/>
  <c r="G77" i="72" s="1"/>
  <c r="AB71" i="12"/>
  <c r="AF78" i="12"/>
  <c r="AC77" i="12"/>
  <c r="Z39" i="12"/>
  <c r="Z35" i="12"/>
  <c r="H71" i="72" s="1"/>
  <c r="Y35" i="12"/>
  <c r="AA35" i="12" s="1"/>
  <c r="AB39" i="12"/>
  <c r="I497" i="70"/>
  <c r="H49" i="70" s="1"/>
  <c r="E221" i="70"/>
  <c r="E260" i="70" s="1"/>
  <c r="E261" i="70" s="1"/>
  <c r="E263" i="70" s="1"/>
  <c r="D226" i="70"/>
  <c r="D227" i="70" s="1"/>
  <c r="I267" i="70" s="1"/>
  <c r="H27" i="70" s="1"/>
  <c r="D244" i="70"/>
  <c r="D250" i="70" s="1"/>
  <c r="D251" i="70" s="1"/>
  <c r="I268" i="70" s="1"/>
  <c r="H28" i="70" s="1"/>
  <c r="E244" i="70"/>
  <c r="E250" i="70" s="1"/>
  <c r="E251" i="70" s="1"/>
  <c r="J268" i="70" s="1"/>
  <c r="H32" i="70" s="1"/>
  <c r="V23" i="70"/>
  <c r="X23" i="70" s="1"/>
  <c r="Y23" i="70" s="1"/>
  <c r="AA23" i="70" s="1"/>
  <c r="J500" i="70"/>
  <c r="AJ53" i="70"/>
  <c r="E227" i="70"/>
  <c r="J267" i="70" s="1"/>
  <c r="H31" i="70" s="1"/>
  <c r="Z67" i="70"/>
  <c r="J67" i="69" s="1"/>
  <c r="N47" i="70"/>
  <c r="O47" i="70" s="1"/>
  <c r="AJ48" i="70"/>
  <c r="AJ44" i="70"/>
  <c r="N44" i="70"/>
  <c r="O44" i="70" s="1"/>
  <c r="D492" i="70"/>
  <c r="E497" i="70"/>
  <c r="G45" i="70" s="1"/>
  <c r="E495" i="70"/>
  <c r="G43" i="70" s="1"/>
  <c r="D458" i="70"/>
  <c r="H495" i="70" s="1"/>
  <c r="Y54" i="70"/>
  <c r="AA54" i="70" s="1"/>
  <c r="F251" i="70"/>
  <c r="K268" i="70" s="1"/>
  <c r="H36" i="70" s="1"/>
  <c r="H41" i="70"/>
  <c r="H381" i="70"/>
  <c r="AF44" i="70"/>
  <c r="AF45" i="70" s="1"/>
  <c r="AF46" i="70" s="1"/>
  <c r="AF47" i="70"/>
  <c r="U39" i="70"/>
  <c r="D573" i="70"/>
  <c r="D557" i="70"/>
  <c r="D558" i="70" s="1"/>
  <c r="H594" i="70" s="1"/>
  <c r="D551" i="70"/>
  <c r="H35" i="70"/>
  <c r="E573" i="70"/>
  <c r="E557" i="70"/>
  <c r="E558" i="70" s="1"/>
  <c r="I594" i="70" s="1"/>
  <c r="E551" i="70"/>
  <c r="Y67" i="70"/>
  <c r="AA67" i="70" s="1"/>
  <c r="F573" i="70"/>
  <c r="F557" i="70"/>
  <c r="F558" i="70" s="1"/>
  <c r="J594" i="70" s="1"/>
  <c r="F551" i="70"/>
  <c r="F246" i="70"/>
  <c r="G268" i="70" s="1"/>
  <c r="G36" i="70" s="1"/>
  <c r="AJ37" i="70"/>
  <c r="N37" i="70"/>
  <c r="O37" i="70" s="1"/>
  <c r="AJ30" i="70"/>
  <c r="N30" i="70"/>
  <c r="O30" i="70" s="1"/>
  <c r="N51" i="70"/>
  <c r="O51" i="70" s="1"/>
  <c r="AJ51" i="70"/>
  <c r="K270" i="70"/>
  <c r="H38" i="70" s="1"/>
  <c r="H34" i="70"/>
  <c r="AC53" i="84" l="1"/>
  <c r="AC51" i="84"/>
  <c r="F53" i="98"/>
  <c r="H51" i="189"/>
  <c r="W99" i="100"/>
  <c r="W101" i="100"/>
  <c r="AA15" i="76"/>
  <c r="G50" i="78"/>
  <c r="W103" i="100"/>
  <c r="S108" i="100"/>
  <c r="S109" i="100" s="1"/>
  <c r="S111" i="100" s="1"/>
  <c r="S115" i="100" s="1"/>
  <c r="S116" i="100" s="1"/>
  <c r="W102" i="100"/>
  <c r="W97" i="100"/>
  <c r="W96" i="100"/>
  <c r="W100" i="100"/>
  <c r="I58" i="151"/>
  <c r="G840" i="99"/>
  <c r="G839" i="99"/>
  <c r="G844" i="99"/>
  <c r="G846" i="99"/>
  <c r="G842" i="99"/>
  <c r="G843" i="99"/>
  <c r="G847" i="99"/>
  <c r="G845" i="99"/>
  <c r="R61" i="100"/>
  <c r="F837" i="99"/>
  <c r="X101" i="100"/>
  <c r="X98" i="100"/>
  <c r="X97" i="100"/>
  <c r="X103" i="100"/>
  <c r="X100" i="100"/>
  <c r="X102" i="100"/>
  <c r="X99" i="100"/>
  <c r="X96" i="100"/>
  <c r="O48" i="108"/>
  <c r="T48" i="95"/>
  <c r="AG39" i="171"/>
  <c r="Q59" i="172"/>
  <c r="K55" i="151"/>
  <c r="K58" i="151" s="1"/>
  <c r="AC72" i="150"/>
  <c r="G48" i="151"/>
  <c r="AB67" i="99"/>
  <c r="AB71" i="96"/>
  <c r="K51" i="95" s="1"/>
  <c r="AB75" i="107"/>
  <c r="AC43" i="169"/>
  <c r="AC91" i="96"/>
  <c r="AC29" i="150"/>
  <c r="AC31" i="96"/>
  <c r="AB55" i="169"/>
  <c r="AC55" i="169" s="1"/>
  <c r="AA15" i="152"/>
  <c r="AC48" i="169"/>
  <c r="K67" i="69"/>
  <c r="G50" i="98"/>
  <c r="AB23" i="70"/>
  <c r="AB75" i="84"/>
  <c r="AB27" i="84"/>
  <c r="AA12" i="165"/>
  <c r="G58" i="180"/>
  <c r="H50" i="98"/>
  <c r="AC35" i="169"/>
  <c r="AB35" i="76"/>
  <c r="AB55" i="99"/>
  <c r="AB27" i="99"/>
  <c r="AC31" i="169"/>
  <c r="AC63" i="169"/>
  <c r="AC27" i="169"/>
  <c r="N53" i="70"/>
  <c r="O53" i="70" s="1"/>
  <c r="U53" i="70" s="1"/>
  <c r="W53" i="70" s="1"/>
  <c r="X53" i="70" s="1"/>
  <c r="AJ49" i="70"/>
  <c r="AC27" i="165"/>
  <c r="N36" i="70"/>
  <c r="O36" i="70" s="1"/>
  <c r="AJ28" i="70"/>
  <c r="AC27" i="76"/>
  <c r="AC59" i="169"/>
  <c r="AA15" i="169"/>
  <c r="D339" i="70"/>
  <c r="D338" i="70"/>
  <c r="F40" i="70" s="1"/>
  <c r="AC35" i="96"/>
  <c r="AC73" i="150"/>
  <c r="X61" i="12"/>
  <c r="Y61" i="12" s="1"/>
  <c r="AA61" i="12" s="1"/>
  <c r="Z59" i="12"/>
  <c r="H75" i="72" s="1"/>
  <c r="AJ47" i="70"/>
  <c r="AB67" i="84"/>
  <c r="E264" i="70"/>
  <c r="J269" i="70" s="1"/>
  <c r="H33" i="70" s="1"/>
  <c r="F269" i="70"/>
  <c r="G33" i="70" s="1"/>
  <c r="AC55" i="14"/>
  <c r="AC31" i="14"/>
  <c r="AC27" i="107"/>
  <c r="AC56" i="96"/>
  <c r="AC47" i="99"/>
  <c r="AB79" i="150"/>
  <c r="AB35" i="107"/>
  <c r="AC55" i="152"/>
  <c r="AB75" i="96"/>
  <c r="F70" i="87"/>
  <c r="F59" i="87"/>
  <c r="T55" i="151"/>
  <c r="AB47" i="150"/>
  <c r="AC49" i="150" s="1"/>
  <c r="V48" i="95"/>
  <c r="V50" i="95"/>
  <c r="U48" i="95"/>
  <c r="W50" i="95"/>
  <c r="T49" i="108"/>
  <c r="Q58" i="166"/>
  <c r="P58" i="166"/>
  <c r="AC72" i="96"/>
  <c r="AC74" i="96"/>
  <c r="T47" i="108"/>
  <c r="Q48" i="108"/>
  <c r="R48" i="108"/>
  <c r="R50" i="108"/>
  <c r="AO56" i="180"/>
  <c r="I57" i="72"/>
  <c r="H63" i="72"/>
  <c r="AA15" i="107"/>
  <c r="AA12" i="107" s="1"/>
  <c r="AO61" i="180"/>
  <c r="AO57" i="180"/>
  <c r="AL58" i="180"/>
  <c r="AM58" i="180"/>
  <c r="AK59" i="180"/>
  <c r="AJ58" i="180"/>
  <c r="AK58" i="180"/>
  <c r="T53" i="98"/>
  <c r="R53" i="98"/>
  <c r="S53" i="98"/>
  <c r="Q53" i="98"/>
  <c r="O59" i="172"/>
  <c r="P59" i="172"/>
  <c r="CA62" i="100"/>
  <c r="BZ62" i="100"/>
  <c r="F71" i="151"/>
  <c r="F73" i="151" s="1"/>
  <c r="H71" i="151"/>
  <c r="H73" i="151" s="1"/>
  <c r="G71" i="151"/>
  <c r="G73" i="151" s="1"/>
  <c r="AJ59" i="180"/>
  <c r="AM59" i="180"/>
  <c r="AL51" i="179"/>
  <c r="AL59" i="180"/>
  <c r="Y53" i="151"/>
  <c r="Y52" i="151"/>
  <c r="Y54" i="151"/>
  <c r="Y51" i="151"/>
  <c r="AB31" i="12"/>
  <c r="AC76" i="107"/>
  <c r="AC77" i="107"/>
  <c r="Y40" i="150"/>
  <c r="AA40" i="150" s="1"/>
  <c r="Z51" i="152"/>
  <c r="G61" i="153" s="1"/>
  <c r="G63" i="153" s="1"/>
  <c r="G51" i="108"/>
  <c r="F63" i="153"/>
  <c r="Y47" i="152"/>
  <c r="AA47" i="152" s="1"/>
  <c r="AA12" i="152" s="1"/>
  <c r="AG35" i="152"/>
  <c r="AB51" i="169"/>
  <c r="AG31" i="171"/>
  <c r="AB35" i="165"/>
  <c r="G48" i="153"/>
  <c r="AC33" i="152"/>
  <c r="AC32" i="152"/>
  <c r="F58" i="166"/>
  <c r="F61" i="166" s="1"/>
  <c r="AC28" i="165"/>
  <c r="AC29" i="165"/>
  <c r="F44" i="170"/>
  <c r="AC28" i="169"/>
  <c r="AC29" i="169"/>
  <c r="G44" i="170"/>
  <c r="AC32" i="169"/>
  <c r="AC33" i="169"/>
  <c r="W39" i="169"/>
  <c r="N58" i="180"/>
  <c r="N64" i="180" s="1"/>
  <c r="M58" i="180"/>
  <c r="M64" i="180" s="1"/>
  <c r="L58" i="180"/>
  <c r="L64" i="180" s="1"/>
  <c r="J58" i="180"/>
  <c r="J64" i="180" s="1"/>
  <c r="H58" i="180"/>
  <c r="H64" i="180" s="1"/>
  <c r="I58" i="180"/>
  <c r="I64" i="180" s="1"/>
  <c r="K58" i="180"/>
  <c r="K64" i="180" s="1"/>
  <c r="AG31" i="165"/>
  <c r="O58" i="166"/>
  <c r="AL47" i="179"/>
  <c r="AB51" i="171"/>
  <c r="F46" i="170"/>
  <c r="AC44" i="169"/>
  <c r="AC45" i="169"/>
  <c r="H47" i="170"/>
  <c r="AC65" i="169"/>
  <c r="AC64" i="169"/>
  <c r="AB43" i="150"/>
  <c r="H51" i="153"/>
  <c r="H53" i="153" s="1"/>
  <c r="AC57" i="152"/>
  <c r="AC56" i="152"/>
  <c r="AB51" i="152"/>
  <c r="X29" i="171"/>
  <c r="Y29" i="171" s="1"/>
  <c r="AA29" i="171" s="1"/>
  <c r="H44" i="170"/>
  <c r="AC37" i="169"/>
  <c r="AC36" i="169"/>
  <c r="G47" i="170"/>
  <c r="AC61" i="169"/>
  <c r="AC60" i="169"/>
  <c r="AC31" i="152"/>
  <c r="AB27" i="152"/>
  <c r="Z71" i="107"/>
  <c r="F63" i="108" s="1"/>
  <c r="F65" i="108" s="1"/>
  <c r="Z67" i="99"/>
  <c r="H77" i="100" s="1"/>
  <c r="S44" i="70"/>
  <c r="O55" i="69" s="1"/>
  <c r="O58" i="69" s="1"/>
  <c r="G46" i="108"/>
  <c r="AC32" i="107"/>
  <c r="AC33" i="107"/>
  <c r="AC67" i="99"/>
  <c r="AC31" i="107"/>
  <c r="U50" i="151"/>
  <c r="V50" i="151"/>
  <c r="W50" i="151"/>
  <c r="T50" i="151"/>
  <c r="AC79" i="150"/>
  <c r="AC87" i="150"/>
  <c r="J67" i="95"/>
  <c r="G70" i="98"/>
  <c r="H70" i="98"/>
  <c r="F70" i="98"/>
  <c r="F54" i="98"/>
  <c r="H54" i="98"/>
  <c r="G54" i="98"/>
  <c r="Z43" i="96"/>
  <c r="G61" i="95" s="1"/>
  <c r="G67" i="95" s="1"/>
  <c r="H69" i="98"/>
  <c r="G69" i="98"/>
  <c r="F69" i="98"/>
  <c r="Y67" i="96"/>
  <c r="AA67" i="96" s="1"/>
  <c r="F48" i="151"/>
  <c r="AC28" i="150"/>
  <c r="AC27" i="150"/>
  <c r="AC80" i="150"/>
  <c r="AC81" i="150"/>
  <c r="AG51" i="150"/>
  <c r="AG63" i="84"/>
  <c r="AG67" i="107"/>
  <c r="AG35" i="99"/>
  <c r="AG55" i="107"/>
  <c r="AB63" i="96"/>
  <c r="X87" i="96"/>
  <c r="Y87" i="96" s="1"/>
  <c r="AA87" i="96" s="1"/>
  <c r="Y48" i="96"/>
  <c r="AA48" i="96" s="1"/>
  <c r="AB43" i="96"/>
  <c r="AB59" i="96"/>
  <c r="AB59" i="99"/>
  <c r="G50" i="108"/>
  <c r="AC66" i="107"/>
  <c r="AC65" i="107"/>
  <c r="AC63" i="107"/>
  <c r="AC33" i="150"/>
  <c r="AC32" i="150"/>
  <c r="AC36" i="150"/>
  <c r="AC37" i="150"/>
  <c r="AC35" i="150"/>
  <c r="H51" i="108"/>
  <c r="AC80" i="107"/>
  <c r="AC81" i="107"/>
  <c r="P48" i="108"/>
  <c r="AG43" i="107"/>
  <c r="Z59" i="96"/>
  <c r="H62" i="95" s="1"/>
  <c r="G50" i="95"/>
  <c r="AC58" i="96"/>
  <c r="AC57" i="96"/>
  <c r="AC55" i="96"/>
  <c r="AB71" i="107"/>
  <c r="Y77" i="150"/>
  <c r="AA77" i="150" s="1"/>
  <c r="AB31" i="99"/>
  <c r="Z59" i="99"/>
  <c r="F77" i="100" s="1"/>
  <c r="AG51" i="99"/>
  <c r="BY62" i="100"/>
  <c r="G53" i="95"/>
  <c r="J53" i="95"/>
  <c r="AC93" i="96"/>
  <c r="AC92" i="96"/>
  <c r="H63" i="100"/>
  <c r="G63" i="100"/>
  <c r="F63" i="100"/>
  <c r="AC56" i="99"/>
  <c r="F49" i="95"/>
  <c r="AC42" i="96"/>
  <c r="AC41" i="96"/>
  <c r="AC39" i="96"/>
  <c r="J48" i="95"/>
  <c r="G48" i="95"/>
  <c r="AC32" i="96"/>
  <c r="AC33" i="96"/>
  <c r="AC64" i="107"/>
  <c r="O50" i="108"/>
  <c r="AG59" i="107"/>
  <c r="Q74" i="100"/>
  <c r="Q79" i="100" s="1"/>
  <c r="O74" i="100"/>
  <c r="O79" i="100" s="1"/>
  <c r="L74" i="100"/>
  <c r="L79" i="100" s="1"/>
  <c r="M74" i="100"/>
  <c r="M79" i="100" s="1"/>
  <c r="N74" i="100"/>
  <c r="N79" i="100" s="1"/>
  <c r="P74" i="100"/>
  <c r="P79" i="100" s="1"/>
  <c r="J74" i="100"/>
  <c r="J79" i="100" s="1"/>
  <c r="K74" i="100"/>
  <c r="K79" i="100" s="1"/>
  <c r="AB83" i="96"/>
  <c r="G56" i="151"/>
  <c r="AC40" i="96"/>
  <c r="X95" i="96"/>
  <c r="Z95" i="96" s="1"/>
  <c r="Y83" i="150"/>
  <c r="AA83" i="150" s="1"/>
  <c r="H64" i="100"/>
  <c r="AC69" i="99"/>
  <c r="AC68" i="99"/>
  <c r="AB79" i="96"/>
  <c r="F46" i="108"/>
  <c r="AC28" i="107"/>
  <c r="AC29" i="107"/>
  <c r="AG27" i="96"/>
  <c r="K48" i="95"/>
  <c r="H48" i="95"/>
  <c r="AC37" i="96"/>
  <c r="AC36" i="96"/>
  <c r="H58" i="100"/>
  <c r="F58" i="100"/>
  <c r="G58" i="100"/>
  <c r="AC28" i="99"/>
  <c r="AC27" i="99"/>
  <c r="H46" i="108"/>
  <c r="AC37" i="107"/>
  <c r="AC36" i="107"/>
  <c r="I52" i="95"/>
  <c r="AC78" i="96"/>
  <c r="AC76" i="96"/>
  <c r="AC77" i="96"/>
  <c r="AB39" i="99"/>
  <c r="AB63" i="99"/>
  <c r="S62" i="100"/>
  <c r="S66" i="100" s="1"/>
  <c r="W62" i="100"/>
  <c r="W66" i="100" s="1"/>
  <c r="Z62" i="100"/>
  <c r="Z66" i="100" s="1"/>
  <c r="X62" i="100"/>
  <c r="X66" i="100" s="1"/>
  <c r="Y62" i="100"/>
  <c r="Y66" i="100" s="1"/>
  <c r="U62" i="100"/>
  <c r="U66" i="100" s="1"/>
  <c r="T62" i="100"/>
  <c r="T66" i="100" s="1"/>
  <c r="V62" i="100"/>
  <c r="V66" i="100" s="1"/>
  <c r="Z55" i="99"/>
  <c r="T50" i="95"/>
  <c r="AG51" i="96"/>
  <c r="AC31" i="150"/>
  <c r="AC79" i="107"/>
  <c r="AC57" i="99"/>
  <c r="AC50" i="99"/>
  <c r="I61" i="100"/>
  <c r="AC48" i="99"/>
  <c r="AC49" i="99"/>
  <c r="AG51" i="84"/>
  <c r="AC47" i="84"/>
  <c r="H52" i="98"/>
  <c r="G52" i="98"/>
  <c r="F52" i="98"/>
  <c r="AC29" i="84"/>
  <c r="G49" i="98"/>
  <c r="F49" i="98"/>
  <c r="H49" i="98"/>
  <c r="AC31" i="84"/>
  <c r="F50" i="98"/>
  <c r="AC58" i="84"/>
  <c r="T50" i="73"/>
  <c r="G65" i="78"/>
  <c r="U44" i="70"/>
  <c r="W44" i="70" s="1"/>
  <c r="X44" i="70" s="1"/>
  <c r="U36" i="70"/>
  <c r="W36" i="70" s="1"/>
  <c r="X36" i="70" s="1"/>
  <c r="U47" i="70"/>
  <c r="V47" i="70" s="1"/>
  <c r="W47" i="70" s="1"/>
  <c r="X47" i="70" s="1"/>
  <c r="U30" i="70"/>
  <c r="W30" i="70" s="1"/>
  <c r="U37" i="70"/>
  <c r="W37" i="70" s="1"/>
  <c r="X37" i="70" s="1"/>
  <c r="AC27" i="81"/>
  <c r="J86" i="87"/>
  <c r="J90" i="87" s="1"/>
  <c r="K86" i="87"/>
  <c r="K90" i="87" s="1"/>
  <c r="L86" i="87"/>
  <c r="L90" i="87" s="1"/>
  <c r="M86" i="87"/>
  <c r="M90" i="87" s="1"/>
  <c r="N86" i="87"/>
  <c r="N90" i="87" s="1"/>
  <c r="P86" i="87"/>
  <c r="P90" i="87" s="1"/>
  <c r="O86" i="87"/>
  <c r="O90" i="87" s="1"/>
  <c r="Y59" i="76"/>
  <c r="AA59" i="76" s="1"/>
  <c r="AA12" i="76" s="1"/>
  <c r="Y67" i="81"/>
  <c r="AA67" i="81" s="1"/>
  <c r="Y71" i="84"/>
  <c r="AA71" i="84" s="1"/>
  <c r="AC68" i="84"/>
  <c r="AC57" i="84"/>
  <c r="AC56" i="84"/>
  <c r="AC55" i="84"/>
  <c r="Z51" i="76"/>
  <c r="F62" i="78" s="1"/>
  <c r="F65" i="78" s="1"/>
  <c r="Z27" i="84"/>
  <c r="Y79" i="84"/>
  <c r="AA79" i="84" s="1"/>
  <c r="AA15" i="84" s="1"/>
  <c r="AG39" i="84"/>
  <c r="Z43" i="84"/>
  <c r="D67" i="98" s="1"/>
  <c r="D76" i="98" s="1"/>
  <c r="AA44" i="84"/>
  <c r="G46" i="78"/>
  <c r="AC32" i="76"/>
  <c r="AC33" i="76"/>
  <c r="AC37" i="84"/>
  <c r="AC36" i="84"/>
  <c r="AC33" i="84"/>
  <c r="AC32" i="84"/>
  <c r="AB51" i="76"/>
  <c r="AC32" i="14"/>
  <c r="AC33" i="14"/>
  <c r="Z27" i="14"/>
  <c r="F56" i="189" s="1"/>
  <c r="F61" i="189" s="1"/>
  <c r="Y47" i="14"/>
  <c r="AA47" i="14" s="1"/>
  <c r="AC75" i="84"/>
  <c r="AC77" i="84"/>
  <c r="AC76" i="84"/>
  <c r="AC28" i="81"/>
  <c r="AC29" i="81"/>
  <c r="AC35" i="76"/>
  <c r="AB27" i="14"/>
  <c r="F46" i="189" s="1"/>
  <c r="AC50" i="84"/>
  <c r="AC48" i="84"/>
  <c r="AC49" i="84"/>
  <c r="AC70" i="84"/>
  <c r="AC67" i="84"/>
  <c r="F46" i="78"/>
  <c r="AC28" i="76"/>
  <c r="AC29" i="76"/>
  <c r="Z79" i="84"/>
  <c r="H74" i="98" s="1"/>
  <c r="AC37" i="14"/>
  <c r="AC36" i="14"/>
  <c r="AB51" i="14"/>
  <c r="G48" i="189" s="1"/>
  <c r="G51" i="189" s="1"/>
  <c r="AC69" i="84"/>
  <c r="AC28" i="84"/>
  <c r="AC27" i="84"/>
  <c r="AC35" i="14"/>
  <c r="AC57" i="14"/>
  <c r="AC56" i="14"/>
  <c r="AC31" i="76"/>
  <c r="AC35" i="84"/>
  <c r="Z31" i="12"/>
  <c r="G71" i="72" s="1"/>
  <c r="Y81" i="12"/>
  <c r="AA81" i="12" s="1"/>
  <c r="V39" i="70"/>
  <c r="W39" i="70" s="1"/>
  <c r="X39" i="70" s="1"/>
  <c r="AG83" i="12"/>
  <c r="Q64" i="72"/>
  <c r="V64" i="72" s="1"/>
  <c r="G63" i="72"/>
  <c r="I71" i="72"/>
  <c r="AC39" i="12"/>
  <c r="AC31" i="12"/>
  <c r="AG75" i="12"/>
  <c r="AC72" i="12"/>
  <c r="AC73" i="12"/>
  <c r="AC71" i="12"/>
  <c r="AF82" i="12"/>
  <c r="AC40" i="12"/>
  <c r="AC41" i="12"/>
  <c r="AC32" i="12"/>
  <c r="AC33" i="12"/>
  <c r="AB35" i="12"/>
  <c r="N49" i="70"/>
  <c r="O49" i="70" s="1"/>
  <c r="I500" i="70"/>
  <c r="H497" i="70"/>
  <c r="H45" i="70" s="1"/>
  <c r="D246" i="70"/>
  <c r="D254" i="70" s="1"/>
  <c r="E223" i="70"/>
  <c r="F267" i="70" s="1"/>
  <c r="G31" i="70" s="1"/>
  <c r="AK51" i="70"/>
  <c r="N33" i="70"/>
  <c r="O33" i="70" s="1"/>
  <c r="D264" i="70"/>
  <c r="I269" i="70" s="1"/>
  <c r="H29" i="70" s="1"/>
  <c r="E246" i="70"/>
  <c r="Z23" i="70"/>
  <c r="AK47" i="70"/>
  <c r="AJ36" i="70"/>
  <c r="Y52" i="70"/>
  <c r="AA52" i="70" s="1"/>
  <c r="Y40" i="70"/>
  <c r="AA40" i="70" s="1"/>
  <c r="L52" i="69"/>
  <c r="K52" i="69"/>
  <c r="J52" i="69"/>
  <c r="Y48" i="70"/>
  <c r="AA48" i="70" s="1"/>
  <c r="H43" i="70"/>
  <c r="Y53" i="70"/>
  <c r="AA53" i="70" s="1"/>
  <c r="N28" i="70"/>
  <c r="O28" i="70" s="1"/>
  <c r="E587" i="70"/>
  <c r="E588" i="70" s="1"/>
  <c r="E590" i="70" s="1"/>
  <c r="F596" i="70" s="1"/>
  <c r="G61" i="70" s="1"/>
  <c r="E554" i="70"/>
  <c r="F594" i="70" s="1"/>
  <c r="G59" i="70" s="1"/>
  <c r="F253" i="70"/>
  <c r="F254" i="70"/>
  <c r="AF51" i="70"/>
  <c r="AF55" i="70" s="1"/>
  <c r="AF48" i="70"/>
  <c r="AF49" i="70" s="1"/>
  <c r="AC23" i="70"/>
  <c r="N34" i="70"/>
  <c r="O34" i="70" s="1"/>
  <c r="AJ34" i="70"/>
  <c r="AJ27" i="70"/>
  <c r="N27" i="70"/>
  <c r="O27" i="70" s="1"/>
  <c r="D578" i="70"/>
  <c r="D579" i="70" s="1"/>
  <c r="H595" i="70" s="1"/>
  <c r="H56" i="70" s="1"/>
  <c r="D574" i="70"/>
  <c r="N41" i="70"/>
  <c r="O41" i="70" s="1"/>
  <c r="AJ41" i="70"/>
  <c r="AK39" i="70" s="1"/>
  <c r="N35" i="70"/>
  <c r="O35" i="70" s="1"/>
  <c r="AJ35" i="70"/>
  <c r="N32" i="70"/>
  <c r="O32" i="70" s="1"/>
  <c r="AJ32" i="70"/>
  <c r="AB67" i="70"/>
  <c r="H63" i="70"/>
  <c r="D587" i="70"/>
  <c r="D588" i="70" s="1"/>
  <c r="D590" i="70" s="1"/>
  <c r="D591" i="70" s="1"/>
  <c r="D554" i="70"/>
  <c r="E594" i="70" s="1"/>
  <c r="G55" i="70" s="1"/>
  <c r="N31" i="70"/>
  <c r="O31" i="70" s="1"/>
  <c r="AJ31" i="70"/>
  <c r="H59" i="70"/>
  <c r="E578" i="70"/>
  <c r="E579" i="70" s="1"/>
  <c r="I595" i="70" s="1"/>
  <c r="H60" i="70" s="1"/>
  <c r="E574" i="70"/>
  <c r="F595" i="70" s="1"/>
  <c r="G60" i="70" s="1"/>
  <c r="N38" i="70"/>
  <c r="O38" i="70" s="1"/>
  <c r="AJ38" i="70"/>
  <c r="F587" i="70"/>
  <c r="F588" i="70" s="1"/>
  <c r="F590" i="70" s="1"/>
  <c r="G596" i="70" s="1"/>
  <c r="G65" i="70" s="1"/>
  <c r="F554" i="70"/>
  <c r="G594" i="70" s="1"/>
  <c r="G63" i="70" s="1"/>
  <c r="U51" i="70"/>
  <c r="P51" i="70"/>
  <c r="F578" i="70"/>
  <c r="F579" i="70" s="1"/>
  <c r="J595" i="70" s="1"/>
  <c r="H64" i="70" s="1"/>
  <c r="F574" i="70"/>
  <c r="G595" i="70" s="1"/>
  <c r="G64" i="70" s="1"/>
  <c r="K272" i="70"/>
  <c r="H55" i="70"/>
  <c r="J272" i="70"/>
  <c r="AC57" i="169" l="1"/>
  <c r="AC56" i="169"/>
  <c r="F47" i="170"/>
  <c r="AC50" i="150"/>
  <c r="H49" i="151"/>
  <c r="H59" i="151" s="1"/>
  <c r="G53" i="78"/>
  <c r="G58" i="151"/>
  <c r="AC47" i="150"/>
  <c r="AA15" i="150"/>
  <c r="F840" i="99"/>
  <c r="F844" i="99"/>
  <c r="F846" i="99"/>
  <c r="F843" i="99"/>
  <c r="F845" i="99"/>
  <c r="F847" i="99"/>
  <c r="V95" i="100"/>
  <c r="O46" i="108"/>
  <c r="P44" i="170"/>
  <c r="AG47" i="169"/>
  <c r="BY61" i="100"/>
  <c r="AP46" i="78"/>
  <c r="P46" i="170"/>
  <c r="AG71" i="150"/>
  <c r="AB71" i="84"/>
  <c r="AC72" i="84" s="1"/>
  <c r="AB79" i="84"/>
  <c r="AB87" i="96"/>
  <c r="AB39" i="150"/>
  <c r="AJ33" i="70"/>
  <c r="AC55" i="99"/>
  <c r="AG55" i="99" s="1"/>
  <c r="AB59" i="76"/>
  <c r="AC63" i="96"/>
  <c r="T51" i="95" s="1"/>
  <c r="AC27" i="152"/>
  <c r="AB27" i="171"/>
  <c r="AC51" i="169"/>
  <c r="AC35" i="107"/>
  <c r="AC51" i="14"/>
  <c r="AC61" i="99"/>
  <c r="AC51" i="152"/>
  <c r="AA12" i="84"/>
  <c r="AC75" i="107"/>
  <c r="AG75" i="107" s="1"/>
  <c r="AJ45" i="70"/>
  <c r="AC33" i="99"/>
  <c r="AB47" i="152"/>
  <c r="U55" i="151"/>
  <c r="AC79" i="96"/>
  <c r="AC83" i="96"/>
  <c r="AC44" i="96"/>
  <c r="V55" i="151"/>
  <c r="AC75" i="96"/>
  <c r="AG75" i="96" s="1"/>
  <c r="AB59" i="12"/>
  <c r="AC61" i="12" s="1"/>
  <c r="S40" i="70"/>
  <c r="N54" i="69" s="1"/>
  <c r="N58" i="69" s="1"/>
  <c r="G58" i="98"/>
  <c r="AC71" i="96"/>
  <c r="AC73" i="96"/>
  <c r="AC63" i="99"/>
  <c r="AC71" i="107"/>
  <c r="AC48" i="150"/>
  <c r="L67" i="69"/>
  <c r="E254" i="70"/>
  <c r="F268" i="70"/>
  <c r="G32" i="70" s="1"/>
  <c r="AJ29" i="70"/>
  <c r="AC39" i="99"/>
  <c r="AC44" i="150"/>
  <c r="AC35" i="165"/>
  <c r="AC29" i="99"/>
  <c r="AG27" i="99" s="1"/>
  <c r="AB67" i="81"/>
  <c r="F73" i="87"/>
  <c r="Y48" i="95"/>
  <c r="V57" i="151"/>
  <c r="U57" i="151"/>
  <c r="AG87" i="150"/>
  <c r="T57" i="151"/>
  <c r="Y50" i="95"/>
  <c r="T58" i="166"/>
  <c r="AA12" i="150"/>
  <c r="W52" i="95"/>
  <c r="U49" i="95"/>
  <c r="V49" i="95"/>
  <c r="W49" i="95"/>
  <c r="U52" i="95"/>
  <c r="T48" i="108"/>
  <c r="AB67" i="96"/>
  <c r="R51" i="108"/>
  <c r="Q46" i="108"/>
  <c r="P46" i="108"/>
  <c r="Q52" i="108"/>
  <c r="P52" i="108"/>
  <c r="Q51" i="108"/>
  <c r="AB79" i="12"/>
  <c r="G57" i="72"/>
  <c r="H57" i="72"/>
  <c r="V55" i="72"/>
  <c r="AO58" i="180"/>
  <c r="AR47" i="78"/>
  <c r="AP47" i="78"/>
  <c r="AQ47" i="78"/>
  <c r="V53" i="98"/>
  <c r="Q49" i="98"/>
  <c r="T52" i="98"/>
  <c r="R49" i="98"/>
  <c r="Q50" i="98"/>
  <c r="T57" i="98"/>
  <c r="R50" i="98"/>
  <c r="S50" i="98"/>
  <c r="S49" i="98"/>
  <c r="T59" i="172"/>
  <c r="CD62" i="100"/>
  <c r="CA61" i="100"/>
  <c r="BZ61" i="100"/>
  <c r="CA65" i="100"/>
  <c r="CD65" i="100" s="1"/>
  <c r="CB61" i="100"/>
  <c r="BZ58" i="100"/>
  <c r="BZ63" i="100"/>
  <c r="CA63" i="100"/>
  <c r="Q46" i="170"/>
  <c r="R44" i="170"/>
  <c r="R47" i="170"/>
  <c r="Q44" i="170"/>
  <c r="Q47" i="170"/>
  <c r="R46" i="170"/>
  <c r="O52" i="153"/>
  <c r="S52" i="153" s="1"/>
  <c r="AC59" i="76"/>
  <c r="AC63" i="76"/>
  <c r="AC51" i="76"/>
  <c r="AC55" i="76"/>
  <c r="AC56" i="76"/>
  <c r="AC57" i="76"/>
  <c r="AO59" i="180"/>
  <c r="Y50" i="151"/>
  <c r="AC49" i="152"/>
  <c r="AC47" i="152"/>
  <c r="AC48" i="152"/>
  <c r="AG27" i="165"/>
  <c r="AG31" i="169"/>
  <c r="AG35" i="169"/>
  <c r="AG31" i="152"/>
  <c r="AC52" i="169"/>
  <c r="AC53" i="169"/>
  <c r="H46" i="170"/>
  <c r="AG31" i="107"/>
  <c r="AC29" i="171"/>
  <c r="H58" i="172"/>
  <c r="H63" i="172" s="1"/>
  <c r="F58" i="172"/>
  <c r="F63" i="172" s="1"/>
  <c r="G58" i="172"/>
  <c r="G63" i="172" s="1"/>
  <c r="AC28" i="171"/>
  <c r="AC27" i="171"/>
  <c r="G49" i="151"/>
  <c r="G59" i="151" s="1"/>
  <c r="AC46" i="150"/>
  <c r="AC45" i="150"/>
  <c r="AC43" i="150"/>
  <c r="AC29" i="152"/>
  <c r="F48" i="153"/>
  <c r="AC28" i="152"/>
  <c r="X39" i="169"/>
  <c r="Z39" i="169" s="1"/>
  <c r="AG27" i="169"/>
  <c r="AG59" i="169"/>
  <c r="G51" i="153"/>
  <c r="G53" i="153" s="1"/>
  <c r="AC52" i="152"/>
  <c r="AC53" i="152"/>
  <c r="G53" i="108"/>
  <c r="H58" i="166"/>
  <c r="H61" i="166" s="1"/>
  <c r="AC37" i="165"/>
  <c r="AC36" i="165"/>
  <c r="AG55" i="152"/>
  <c r="P47" i="170"/>
  <c r="AG55" i="169"/>
  <c r="AC54" i="171"/>
  <c r="AC52" i="171"/>
  <c r="AC51" i="171"/>
  <c r="AG43" i="169"/>
  <c r="F49" i="151"/>
  <c r="F59" i="151" s="1"/>
  <c r="AC42" i="150"/>
  <c r="AC41" i="150"/>
  <c r="AC39" i="150"/>
  <c r="Z27" i="171"/>
  <c r="AG63" i="169"/>
  <c r="AC53" i="171"/>
  <c r="AC59" i="99"/>
  <c r="H53" i="108"/>
  <c r="AO59" i="87"/>
  <c r="AP59" i="87"/>
  <c r="AN59" i="87"/>
  <c r="AC87" i="96"/>
  <c r="AG79" i="150"/>
  <c r="AG27" i="150"/>
  <c r="V48" i="151"/>
  <c r="U48" i="151"/>
  <c r="AG31" i="150"/>
  <c r="AG67" i="99"/>
  <c r="AG79" i="107"/>
  <c r="AG35" i="96"/>
  <c r="AG31" i="96"/>
  <c r="Y95" i="96"/>
  <c r="AA95" i="96" s="1"/>
  <c r="Z87" i="96"/>
  <c r="I51" i="95"/>
  <c r="AC66" i="96"/>
  <c r="AC64" i="96"/>
  <c r="AC65" i="96"/>
  <c r="AB47" i="96"/>
  <c r="AG47" i="99"/>
  <c r="AB83" i="150"/>
  <c r="O61" i="100"/>
  <c r="Q61" i="100"/>
  <c r="L61" i="100"/>
  <c r="M61" i="100"/>
  <c r="J61" i="100"/>
  <c r="P61" i="100"/>
  <c r="K61" i="100"/>
  <c r="N61" i="100"/>
  <c r="F64" i="100"/>
  <c r="AC60" i="99"/>
  <c r="H65" i="95"/>
  <c r="H67" i="95" s="1"/>
  <c r="K65" i="95"/>
  <c r="K67" i="95" s="1"/>
  <c r="J52" i="95"/>
  <c r="AC82" i="96"/>
  <c r="AC81" i="96"/>
  <c r="AC80" i="96"/>
  <c r="F53" i="95"/>
  <c r="F55" i="95" s="1"/>
  <c r="I53" i="95"/>
  <c r="AC88" i="96"/>
  <c r="AC89" i="96"/>
  <c r="T49" i="95"/>
  <c r="AG39" i="96"/>
  <c r="AG55" i="96"/>
  <c r="H50" i="95"/>
  <c r="AC62" i="96"/>
  <c r="AC61" i="96"/>
  <c r="AC59" i="96"/>
  <c r="G64" i="100"/>
  <c r="G66" i="100" s="1"/>
  <c r="AC64" i="99"/>
  <c r="AC65" i="99"/>
  <c r="J51" i="95"/>
  <c r="AC70" i="96"/>
  <c r="AC68" i="96"/>
  <c r="AC69" i="96"/>
  <c r="AG63" i="107"/>
  <c r="O51" i="108"/>
  <c r="AC60" i="96"/>
  <c r="BY58" i="100"/>
  <c r="K52" i="95"/>
  <c r="AC86" i="96"/>
  <c r="AC84" i="96"/>
  <c r="AC85" i="96"/>
  <c r="F59" i="100"/>
  <c r="AC32" i="99"/>
  <c r="AC31" i="99"/>
  <c r="P51" i="108"/>
  <c r="AG91" i="96"/>
  <c r="F76" i="100"/>
  <c r="F79" i="100" s="1"/>
  <c r="G76" i="100"/>
  <c r="G79" i="100" s="1"/>
  <c r="H76" i="100"/>
  <c r="H79" i="100" s="1"/>
  <c r="H59" i="100"/>
  <c r="H66" i="100" s="1"/>
  <c r="AC40" i="99"/>
  <c r="AC41" i="99"/>
  <c r="AB75" i="150"/>
  <c r="T50" i="108"/>
  <c r="V52" i="95"/>
  <c r="F51" i="108"/>
  <c r="F53" i="108" s="1"/>
  <c r="AC72" i="107"/>
  <c r="AC73" i="107"/>
  <c r="T48" i="151"/>
  <c r="AG35" i="150"/>
  <c r="G49" i="95"/>
  <c r="G55" i="95" s="1"/>
  <c r="AC46" i="96"/>
  <c r="AC45" i="96"/>
  <c r="AC43" i="96"/>
  <c r="AG27" i="107"/>
  <c r="H57" i="98"/>
  <c r="F57" i="98"/>
  <c r="G57" i="98"/>
  <c r="G60" i="98" s="1"/>
  <c r="AC83" i="84"/>
  <c r="H58" i="98"/>
  <c r="AC80" i="84"/>
  <c r="G65" i="98"/>
  <c r="F65" i="98"/>
  <c r="H65" i="98"/>
  <c r="AC73" i="84"/>
  <c r="R57" i="98"/>
  <c r="S57" i="98"/>
  <c r="Q57" i="98"/>
  <c r="R55" i="98"/>
  <c r="R54" i="98"/>
  <c r="S55" i="98"/>
  <c r="S54" i="98"/>
  <c r="Q55" i="98"/>
  <c r="Q54" i="98"/>
  <c r="T55" i="98"/>
  <c r="T54" i="98"/>
  <c r="R52" i="98"/>
  <c r="S52" i="98"/>
  <c r="Q52" i="98"/>
  <c r="U32" i="70"/>
  <c r="W32" i="70" s="1"/>
  <c r="X32" i="70" s="1"/>
  <c r="U33" i="70"/>
  <c r="W33" i="70" s="1"/>
  <c r="X33" i="70" s="1"/>
  <c r="U28" i="70"/>
  <c r="W28" i="70" s="1"/>
  <c r="X28" i="70" s="1"/>
  <c r="U38" i="70"/>
  <c r="W38" i="70" s="1"/>
  <c r="X38" i="70" s="1"/>
  <c r="U34" i="70"/>
  <c r="W34" i="70" s="1"/>
  <c r="X34" i="70" s="1"/>
  <c r="U49" i="70"/>
  <c r="W49" i="70" s="1"/>
  <c r="X49" i="70" s="1"/>
  <c r="AC71" i="84"/>
  <c r="AR46" i="78"/>
  <c r="AQ46" i="78"/>
  <c r="AC79" i="84"/>
  <c r="AG55" i="84"/>
  <c r="AC81" i="12"/>
  <c r="AC79" i="12"/>
  <c r="AG31" i="84"/>
  <c r="AG31" i="76"/>
  <c r="AG27" i="81"/>
  <c r="AG47" i="84"/>
  <c r="AG31" i="14"/>
  <c r="AG35" i="84"/>
  <c r="AG27" i="84"/>
  <c r="AG35" i="14"/>
  <c r="AG75" i="84"/>
  <c r="H50" i="78"/>
  <c r="AC60" i="76"/>
  <c r="AC61" i="76"/>
  <c r="AB43" i="84"/>
  <c r="AC28" i="14"/>
  <c r="AN46" i="189" s="1"/>
  <c r="AC29" i="14"/>
  <c r="AO46" i="189" s="1"/>
  <c r="F50" i="78"/>
  <c r="F53" i="78" s="1"/>
  <c r="AC52" i="76"/>
  <c r="AC53" i="76"/>
  <c r="AG27" i="76"/>
  <c r="AC27" i="14"/>
  <c r="AM46" i="189" s="1"/>
  <c r="AB47" i="14"/>
  <c r="F48" i="189" s="1"/>
  <c r="F51" i="189" s="1"/>
  <c r="AG55" i="14"/>
  <c r="AC53" i="14"/>
  <c r="AC52" i="14"/>
  <c r="AG67" i="84"/>
  <c r="H46" i="78"/>
  <c r="AC36" i="76"/>
  <c r="AC37" i="76"/>
  <c r="AC80" i="12"/>
  <c r="X30" i="70"/>
  <c r="Y30" i="70" s="1"/>
  <c r="AA30" i="70" s="1"/>
  <c r="V51" i="70"/>
  <c r="W51" i="70" s="1"/>
  <c r="X51" i="70" s="1"/>
  <c r="R63" i="72"/>
  <c r="Q57" i="72"/>
  <c r="S57" i="72"/>
  <c r="R57" i="72"/>
  <c r="Q63" i="72"/>
  <c r="S63" i="72"/>
  <c r="F36" i="70"/>
  <c r="F28" i="70"/>
  <c r="F32" i="70"/>
  <c r="AC35" i="12"/>
  <c r="AG71" i="12"/>
  <c r="AG39" i="12"/>
  <c r="AG31" i="12"/>
  <c r="AC36" i="12"/>
  <c r="AC37" i="12"/>
  <c r="E591" i="70"/>
  <c r="I596" i="70" s="1"/>
  <c r="F591" i="70"/>
  <c r="J596" i="70" s="1"/>
  <c r="P47" i="70"/>
  <c r="N45" i="70"/>
  <c r="O45" i="70" s="1"/>
  <c r="D253" i="70"/>
  <c r="E253" i="70"/>
  <c r="H500" i="70"/>
  <c r="E268" i="70"/>
  <c r="G28" i="70" s="1"/>
  <c r="N29" i="70"/>
  <c r="O29" i="70" s="1"/>
  <c r="I272" i="70"/>
  <c r="L62" i="69"/>
  <c r="K62" i="69"/>
  <c r="J62" i="69"/>
  <c r="Y37" i="70"/>
  <c r="AA37" i="70" s="1"/>
  <c r="Y44" i="70"/>
  <c r="AA44" i="70" s="1"/>
  <c r="AJ43" i="70"/>
  <c r="AK43" i="70" s="1"/>
  <c r="N43" i="70"/>
  <c r="O43" i="70" s="1"/>
  <c r="Y36" i="70"/>
  <c r="AA36" i="70" s="1"/>
  <c r="AG23" i="70"/>
  <c r="W52" i="69"/>
  <c r="AB52" i="69" s="1"/>
  <c r="K57" i="69"/>
  <c r="J57" i="69"/>
  <c r="L57" i="69"/>
  <c r="AJ55" i="70"/>
  <c r="N55" i="70"/>
  <c r="O55" i="70" s="1"/>
  <c r="N56" i="70"/>
  <c r="O56" i="70" s="1"/>
  <c r="AJ56" i="70"/>
  <c r="AF52" i="70"/>
  <c r="AK31" i="70"/>
  <c r="U27" i="70"/>
  <c r="F581" i="70"/>
  <c r="F580" i="70"/>
  <c r="F64" i="70" s="1"/>
  <c r="U41" i="70"/>
  <c r="P39" i="70"/>
  <c r="E595" i="70"/>
  <c r="G56" i="70" s="1"/>
  <c r="D580" i="70"/>
  <c r="F56" i="70" s="1"/>
  <c r="D581" i="70"/>
  <c r="P31" i="70"/>
  <c r="U31" i="70"/>
  <c r="Y47" i="70"/>
  <c r="AA47" i="70" s="1"/>
  <c r="AK35" i="70"/>
  <c r="AK27" i="70"/>
  <c r="E581" i="70"/>
  <c r="E580" i="70"/>
  <c r="F60" i="70" s="1"/>
  <c r="AJ60" i="70"/>
  <c r="N60" i="70"/>
  <c r="O60" i="70" s="1"/>
  <c r="AJ59" i="70"/>
  <c r="N59" i="70"/>
  <c r="O59" i="70" s="1"/>
  <c r="P35" i="70"/>
  <c r="U35" i="70"/>
  <c r="N64" i="70"/>
  <c r="O64" i="70" s="1"/>
  <c r="AJ64" i="70"/>
  <c r="AJ63" i="70"/>
  <c r="N63" i="70"/>
  <c r="O63" i="70" s="1"/>
  <c r="AF50" i="70"/>
  <c r="H596" i="70"/>
  <c r="E596" i="70"/>
  <c r="G57" i="70" s="1"/>
  <c r="Y39" i="70"/>
  <c r="AA39" i="70" s="1"/>
  <c r="V101" i="100" l="1"/>
  <c r="V91" i="100"/>
  <c r="V96" i="100"/>
  <c r="AR46" i="189"/>
  <c r="U103" i="100"/>
  <c r="U102" i="100"/>
  <c r="U101" i="100"/>
  <c r="U97" i="100"/>
  <c r="U100" i="100"/>
  <c r="U99" i="100"/>
  <c r="U98" i="100"/>
  <c r="U96" i="100"/>
  <c r="V99" i="100"/>
  <c r="V97" i="100"/>
  <c r="V100" i="100"/>
  <c r="V98" i="100"/>
  <c r="V102" i="100"/>
  <c r="V103" i="100"/>
  <c r="AO51" i="100"/>
  <c r="N60" i="100"/>
  <c r="N66" i="100" s="1"/>
  <c r="O60" i="100"/>
  <c r="O66" i="100" s="1"/>
  <c r="P60" i="100"/>
  <c r="P66" i="100" s="1"/>
  <c r="L60" i="100"/>
  <c r="L66" i="100" s="1"/>
  <c r="J60" i="100"/>
  <c r="J66" i="100" s="1"/>
  <c r="Q60" i="100"/>
  <c r="Q66" i="100" s="1"/>
  <c r="K60" i="100"/>
  <c r="K66" i="100" s="1"/>
  <c r="M60" i="100"/>
  <c r="M66" i="100" s="1"/>
  <c r="CA59" i="100"/>
  <c r="N48" i="153"/>
  <c r="AG35" i="107"/>
  <c r="Y55" i="151"/>
  <c r="CA64" i="100"/>
  <c r="AG71" i="96"/>
  <c r="AG47" i="150"/>
  <c r="T52" i="95"/>
  <c r="S36" i="70"/>
  <c r="T53" i="69" s="1"/>
  <c r="T58" i="69" s="1"/>
  <c r="AC47" i="14"/>
  <c r="BY63" i="100"/>
  <c r="AC81" i="84"/>
  <c r="D51" i="98"/>
  <c r="D60" i="98" s="1"/>
  <c r="S60" i="70"/>
  <c r="S56" i="69" s="1"/>
  <c r="S56" i="70"/>
  <c r="R56" i="69" s="1"/>
  <c r="AB95" i="96"/>
  <c r="AC62" i="12"/>
  <c r="AC59" i="12"/>
  <c r="AC60" i="12"/>
  <c r="H61" i="72"/>
  <c r="F51" i="153"/>
  <c r="F53" i="153" s="1"/>
  <c r="F58" i="98"/>
  <c r="F60" i="98" s="1"/>
  <c r="S32" i="70"/>
  <c r="S53" i="69" s="1"/>
  <c r="AA15" i="96"/>
  <c r="AA12" i="96" s="1"/>
  <c r="O52" i="108"/>
  <c r="T52" i="108" s="1"/>
  <c r="AC40" i="150"/>
  <c r="AG39" i="150" s="1"/>
  <c r="S64" i="70"/>
  <c r="T56" i="69" s="1"/>
  <c r="S28" i="70"/>
  <c r="R53" i="69" s="1"/>
  <c r="R58" i="69" s="1"/>
  <c r="AC48" i="96"/>
  <c r="G55" i="170"/>
  <c r="G59" i="170" s="1"/>
  <c r="F55" i="170"/>
  <c r="F59" i="170" s="1"/>
  <c r="H55" i="170"/>
  <c r="H59" i="170" s="1"/>
  <c r="AC67" i="96"/>
  <c r="CA58" i="100"/>
  <c r="Y57" i="151"/>
  <c r="I69" i="87"/>
  <c r="V49" i="151"/>
  <c r="W49" i="151"/>
  <c r="Y49" i="95"/>
  <c r="W51" i="95"/>
  <c r="U53" i="95"/>
  <c r="T46" i="108"/>
  <c r="V51" i="95"/>
  <c r="T53" i="95"/>
  <c r="I63" i="72"/>
  <c r="AU47" i="78"/>
  <c r="AP50" i="78"/>
  <c r="V50" i="98"/>
  <c r="V49" i="98"/>
  <c r="Q56" i="98"/>
  <c r="AG83" i="84"/>
  <c r="S56" i="98"/>
  <c r="R56" i="98"/>
  <c r="Q62" i="172"/>
  <c r="P58" i="172"/>
  <c r="P62" i="172"/>
  <c r="R62" i="172"/>
  <c r="Q58" i="172"/>
  <c r="BZ64" i="100"/>
  <c r="BZ59" i="100"/>
  <c r="BY64" i="100"/>
  <c r="U46" i="170"/>
  <c r="U47" i="170"/>
  <c r="U44" i="170"/>
  <c r="O48" i="153"/>
  <c r="N51" i="153"/>
  <c r="P51" i="153"/>
  <c r="P50" i="153"/>
  <c r="S50" i="153" s="1"/>
  <c r="P48" i="153"/>
  <c r="O51" i="153"/>
  <c r="AG63" i="76"/>
  <c r="AP51" i="78"/>
  <c r="AU51" i="78" s="1"/>
  <c r="AQ49" i="78"/>
  <c r="AQ48" i="78"/>
  <c r="AR49" i="78"/>
  <c r="AR48" i="78"/>
  <c r="AP49" i="78"/>
  <c r="AP48" i="78"/>
  <c r="AG55" i="76"/>
  <c r="AG47" i="152"/>
  <c r="AG35" i="165"/>
  <c r="AG51" i="169"/>
  <c r="AG51" i="152"/>
  <c r="AG43" i="150"/>
  <c r="O62" i="172"/>
  <c r="AG51" i="171"/>
  <c r="Y39" i="169"/>
  <c r="AA39" i="169" s="1"/>
  <c r="H68" i="172"/>
  <c r="H73" i="172" s="1"/>
  <c r="G68" i="172"/>
  <c r="G73" i="172" s="1"/>
  <c r="F68" i="172"/>
  <c r="F73" i="172" s="1"/>
  <c r="AG27" i="152"/>
  <c r="T49" i="151"/>
  <c r="AG27" i="171"/>
  <c r="O58" i="172"/>
  <c r="AC83" i="150"/>
  <c r="AS59" i="87"/>
  <c r="H60" i="98"/>
  <c r="F66" i="100"/>
  <c r="I55" i="95"/>
  <c r="Y48" i="151"/>
  <c r="F56" i="151"/>
  <c r="F58" i="151" s="1"/>
  <c r="AC76" i="150"/>
  <c r="AC75" i="150"/>
  <c r="AC77" i="150"/>
  <c r="H56" i="151"/>
  <c r="H58" i="151" s="1"/>
  <c r="AC85" i="150"/>
  <c r="AC84" i="150"/>
  <c r="AG83" i="96"/>
  <c r="AG63" i="99"/>
  <c r="AG43" i="96"/>
  <c r="U51" i="95"/>
  <c r="AG63" i="96"/>
  <c r="AG39" i="99"/>
  <c r="I65" i="95"/>
  <c r="I67" i="95" s="1"/>
  <c r="F65" i="95"/>
  <c r="F67" i="95" s="1"/>
  <c r="AG79" i="96"/>
  <c r="J55" i="95"/>
  <c r="AC50" i="96"/>
  <c r="H49" i="95"/>
  <c r="AC49" i="96"/>
  <c r="AC47" i="96"/>
  <c r="BY59" i="100"/>
  <c r="AG31" i="99"/>
  <c r="T51" i="108"/>
  <c r="V53" i="95"/>
  <c r="AG87" i="96"/>
  <c r="AG59" i="99"/>
  <c r="AG59" i="96"/>
  <c r="H53" i="95"/>
  <c r="K53" i="95"/>
  <c r="K55" i="95" s="1"/>
  <c r="AC96" i="96"/>
  <c r="AC97" i="96"/>
  <c r="AG71" i="107"/>
  <c r="R58" i="98"/>
  <c r="Q59" i="98"/>
  <c r="V59" i="98" s="1"/>
  <c r="H73" i="98"/>
  <c r="H76" i="98" s="1"/>
  <c r="F73" i="98"/>
  <c r="F76" i="98" s="1"/>
  <c r="G73" i="98"/>
  <c r="G76" i="98" s="1"/>
  <c r="S58" i="98"/>
  <c r="V57" i="98"/>
  <c r="V52" i="98"/>
  <c r="Q58" i="98"/>
  <c r="V55" i="98"/>
  <c r="V54" i="98"/>
  <c r="AG71" i="84"/>
  <c r="U29" i="70"/>
  <c r="W29" i="70" s="1"/>
  <c r="U60" i="70"/>
  <c r="W60" i="70" s="1"/>
  <c r="X60" i="70" s="1"/>
  <c r="U64" i="70"/>
  <c r="W64" i="70" s="1"/>
  <c r="X64" i="70" s="1"/>
  <c r="U56" i="70"/>
  <c r="W56" i="70" s="1"/>
  <c r="X56" i="70" s="1"/>
  <c r="U45" i="70"/>
  <c r="W45" i="70" s="1"/>
  <c r="X45" i="70" s="1"/>
  <c r="Y45" i="70" s="1"/>
  <c r="AA45" i="70" s="1"/>
  <c r="AU46" i="78"/>
  <c r="AR50" i="78"/>
  <c r="AQ50" i="78"/>
  <c r="AG79" i="12"/>
  <c r="H53" i="78"/>
  <c r="AG51" i="14"/>
  <c r="AG35" i="76"/>
  <c r="AG59" i="76"/>
  <c r="AC48" i="14"/>
  <c r="AC49" i="14"/>
  <c r="AG27" i="14"/>
  <c r="AC46" i="84"/>
  <c r="AC45" i="84"/>
  <c r="AC43" i="84"/>
  <c r="AC44" i="84"/>
  <c r="AG51" i="76"/>
  <c r="Y28" i="70"/>
  <c r="AA28" i="70" s="1"/>
  <c r="Z47" i="70"/>
  <c r="H65" i="69" s="1"/>
  <c r="Y49" i="70"/>
  <c r="AA49" i="70" s="1"/>
  <c r="V31" i="70"/>
  <c r="W31" i="70" s="1"/>
  <c r="V27" i="70"/>
  <c r="Y33" i="70"/>
  <c r="AA33" i="70" s="1"/>
  <c r="W41" i="70"/>
  <c r="X41" i="70" s="1"/>
  <c r="V35" i="70"/>
  <c r="W35" i="70" s="1"/>
  <c r="X35" i="70" s="1"/>
  <c r="V63" i="72"/>
  <c r="V57" i="72"/>
  <c r="S58" i="69"/>
  <c r="AG35" i="12"/>
  <c r="H65" i="70"/>
  <c r="J597" i="70"/>
  <c r="H61" i="70"/>
  <c r="I597" i="70"/>
  <c r="P27" i="70"/>
  <c r="Y51" i="70"/>
  <c r="AA51" i="70" s="1"/>
  <c r="U43" i="70"/>
  <c r="P43" i="70"/>
  <c r="Y34" i="70"/>
  <c r="AA34" i="70" s="1"/>
  <c r="Y38" i="70"/>
  <c r="AA38" i="70" s="1"/>
  <c r="Y32" i="70"/>
  <c r="AA32" i="70" s="1"/>
  <c r="U55" i="70"/>
  <c r="U59" i="70"/>
  <c r="AF53" i="70"/>
  <c r="H57" i="70"/>
  <c r="H597" i="70"/>
  <c r="U63" i="70"/>
  <c r="Z51" i="70"/>
  <c r="I65" i="69" s="1"/>
  <c r="AO48" i="189" l="1"/>
  <c r="AN48" i="189"/>
  <c r="AM48" i="189"/>
  <c r="AO60" i="100"/>
  <c r="AO66" i="100" s="1"/>
  <c r="AR60" i="100"/>
  <c r="AR66" i="100" s="1"/>
  <c r="AQ60" i="100"/>
  <c r="AQ66" i="100" s="1"/>
  <c r="AT60" i="100"/>
  <c r="AT66" i="100" s="1"/>
  <c r="AP60" i="100"/>
  <c r="AP66" i="100" s="1"/>
  <c r="AV60" i="100"/>
  <c r="AV66" i="100" s="1"/>
  <c r="AU60" i="100"/>
  <c r="AU66" i="100" s="1"/>
  <c r="AS60" i="100"/>
  <c r="AS66" i="100" s="1"/>
  <c r="AG79" i="84"/>
  <c r="AG67" i="96"/>
  <c r="AB51" i="70"/>
  <c r="AC51" i="70" s="1"/>
  <c r="U49" i="151"/>
  <c r="Y49" i="151" s="1"/>
  <c r="F54" i="153"/>
  <c r="H54" i="153"/>
  <c r="AB47" i="70"/>
  <c r="AG59" i="12"/>
  <c r="AC95" i="96"/>
  <c r="G54" i="153"/>
  <c r="N69" i="87"/>
  <c r="N73" i="87" s="1"/>
  <c r="P69" i="87"/>
  <c r="P73" i="87" s="1"/>
  <c r="O69" i="87"/>
  <c r="O73" i="87" s="1"/>
  <c r="J69" i="87"/>
  <c r="J73" i="87" s="1"/>
  <c r="K69" i="87"/>
  <c r="K73" i="87" s="1"/>
  <c r="M69" i="87"/>
  <c r="M73" i="87" s="1"/>
  <c r="L69" i="87"/>
  <c r="L73" i="87" s="1"/>
  <c r="V56" i="151"/>
  <c r="T56" i="151"/>
  <c r="U56" i="151"/>
  <c r="Y53" i="95"/>
  <c r="U54" i="95"/>
  <c r="Y54" i="95" s="1"/>
  <c r="V56" i="98"/>
  <c r="Q51" i="98"/>
  <c r="R51" i="98"/>
  <c r="T51" i="98"/>
  <c r="S51" i="98"/>
  <c r="S48" i="153"/>
  <c r="T58" i="172"/>
  <c r="T62" i="172"/>
  <c r="CD64" i="100"/>
  <c r="CD59" i="100"/>
  <c r="AB39" i="169"/>
  <c r="AC39" i="169" s="1"/>
  <c r="AA12" i="169"/>
  <c r="S51" i="153"/>
  <c r="AU49" i="78"/>
  <c r="H55" i="95"/>
  <c r="AG83" i="150"/>
  <c r="AG75" i="150"/>
  <c r="AG47" i="96"/>
  <c r="V58" i="98"/>
  <c r="AU48" i="78"/>
  <c r="AU50" i="78"/>
  <c r="AG47" i="14"/>
  <c r="AG43" i="84"/>
  <c r="X31" i="70"/>
  <c r="Y31" i="70" s="1"/>
  <c r="AA31" i="70" s="1"/>
  <c r="V43" i="70"/>
  <c r="W43" i="70" s="1"/>
  <c r="X43" i="70" s="1"/>
  <c r="V63" i="70"/>
  <c r="X29" i="70"/>
  <c r="Y29" i="70" s="1"/>
  <c r="AA29" i="70" s="1"/>
  <c r="V55" i="70"/>
  <c r="V59" i="70"/>
  <c r="W59" i="70" s="1"/>
  <c r="X59" i="70" s="1"/>
  <c r="W27" i="70"/>
  <c r="X27" i="70" s="1"/>
  <c r="N61" i="70"/>
  <c r="O61" i="70" s="1"/>
  <c r="AJ61" i="70"/>
  <c r="AK59" i="70" s="1"/>
  <c r="N65" i="70"/>
  <c r="O65" i="70" s="1"/>
  <c r="AJ65" i="70"/>
  <c r="AK63" i="70" s="1"/>
  <c r="Y64" i="70"/>
  <c r="AA64" i="70" s="1"/>
  <c r="Y60" i="70"/>
  <c r="AA60" i="70" s="1"/>
  <c r="Y56" i="70"/>
  <c r="AA56" i="70" s="1"/>
  <c r="Y41" i="70"/>
  <c r="AA41" i="70" s="1"/>
  <c r="Z35" i="70"/>
  <c r="L63" i="69" s="1"/>
  <c r="Y35" i="70"/>
  <c r="AA35" i="70" s="1"/>
  <c r="N57" i="70"/>
  <c r="O57" i="70" s="1"/>
  <c r="AJ57" i="70"/>
  <c r="AK55" i="70" s="1"/>
  <c r="H55" i="69"/>
  <c r="AC49" i="70"/>
  <c r="AC48" i="70"/>
  <c r="Z39" i="70"/>
  <c r="F64" i="69" s="1"/>
  <c r="F68" i="69" s="1"/>
  <c r="AC50" i="70"/>
  <c r="AF54" i="70"/>
  <c r="AC54" i="70" s="1"/>
  <c r="AC52" i="70"/>
  <c r="AC53" i="70" l="1"/>
  <c r="AR48" i="189"/>
  <c r="AC41" i="169"/>
  <c r="AC40" i="169"/>
  <c r="AC42" i="169"/>
  <c r="AC47" i="70"/>
  <c r="AB39" i="70"/>
  <c r="G45" i="170"/>
  <c r="G49" i="170" s="1"/>
  <c r="H45" i="170"/>
  <c r="H49" i="170" s="1"/>
  <c r="F45" i="170"/>
  <c r="F49" i="170" s="1"/>
  <c r="AB35" i="70"/>
  <c r="AG95" i="96"/>
  <c r="I55" i="69"/>
  <c r="Y56" i="151"/>
  <c r="AB31" i="70"/>
  <c r="AC34" i="70" s="1"/>
  <c r="V51" i="98"/>
  <c r="AD40" i="169"/>
  <c r="P45" i="170"/>
  <c r="Z31" i="70"/>
  <c r="K63" i="69" s="1"/>
  <c r="W63" i="70"/>
  <c r="X63" i="70" s="1"/>
  <c r="Y63" i="70" s="1"/>
  <c r="AA63" i="70" s="1"/>
  <c r="Z27" i="70"/>
  <c r="J63" i="69" s="1"/>
  <c r="W55" i="70"/>
  <c r="X55" i="70" s="1"/>
  <c r="Y55" i="70" s="1"/>
  <c r="AA55" i="70" s="1"/>
  <c r="U65" i="70"/>
  <c r="P63" i="70"/>
  <c r="U61" i="70"/>
  <c r="P59" i="70"/>
  <c r="AF59" i="70"/>
  <c r="AF56" i="70"/>
  <c r="AF57" i="70" s="1"/>
  <c r="AF58" i="70" s="1"/>
  <c r="Y27" i="70"/>
  <c r="AA27" i="70" s="1"/>
  <c r="Y43" i="70"/>
  <c r="AA43" i="70" s="1"/>
  <c r="Y59" i="70"/>
  <c r="AA59" i="70" s="1"/>
  <c r="Z43" i="70"/>
  <c r="G65" i="69" s="1"/>
  <c r="AG51" i="70"/>
  <c r="U57" i="70"/>
  <c r="P55" i="70"/>
  <c r="F54" i="69"/>
  <c r="AC42" i="70"/>
  <c r="AC40" i="70"/>
  <c r="AC39" i="70"/>
  <c r="AC41" i="70"/>
  <c r="R45" i="170" l="1"/>
  <c r="AC38" i="70"/>
  <c r="AC37" i="70"/>
  <c r="Q45" i="170"/>
  <c r="AC36" i="70"/>
  <c r="AC33" i="70"/>
  <c r="K53" i="69"/>
  <c r="AC31" i="70"/>
  <c r="AC35" i="70"/>
  <c r="AG39" i="169"/>
  <c r="AA15" i="70"/>
  <c r="AC32" i="70"/>
  <c r="L53" i="69"/>
  <c r="S45" i="170"/>
  <c r="AG47" i="70"/>
  <c r="AB27" i="70"/>
  <c r="J53" i="69" s="1"/>
  <c r="AD40" i="70"/>
  <c r="AB43" i="70"/>
  <c r="AC44" i="70" s="1"/>
  <c r="AA12" i="70"/>
  <c r="W65" i="70"/>
  <c r="X65" i="70" s="1"/>
  <c r="W57" i="70"/>
  <c r="X57" i="70" s="1"/>
  <c r="W61" i="70"/>
  <c r="X61" i="70" s="1"/>
  <c r="AF63" i="70"/>
  <c r="AF60" i="70"/>
  <c r="AF61" i="70" s="1"/>
  <c r="AF62" i="70" s="1"/>
  <c r="X54" i="69"/>
  <c r="Y54" i="69"/>
  <c r="Z54" i="69"/>
  <c r="W54" i="69"/>
  <c r="I58" i="69"/>
  <c r="AG39" i="70"/>
  <c r="H58" i="69"/>
  <c r="U45" i="170" l="1"/>
  <c r="AG35" i="70"/>
  <c r="AC29" i="70"/>
  <c r="AC28" i="70"/>
  <c r="AC45" i="70"/>
  <c r="AG31" i="70"/>
  <c r="AC30" i="70"/>
  <c r="AD44" i="70"/>
  <c r="AC46" i="70"/>
  <c r="G55" i="69"/>
  <c r="AC43" i="70"/>
  <c r="AC27" i="70"/>
  <c r="X55" i="69"/>
  <c r="Y65" i="70"/>
  <c r="AA65" i="70" s="1"/>
  <c r="Y61" i="70"/>
  <c r="AA61" i="70" s="1"/>
  <c r="AF64" i="70"/>
  <c r="AF67" i="70"/>
  <c r="AB54" i="69"/>
  <c r="Z55" i="70"/>
  <c r="J66" i="69" s="1"/>
  <c r="G68" i="69" s="1"/>
  <c r="Y57" i="70"/>
  <c r="AA57" i="70" s="1"/>
  <c r="Y53" i="69" l="1"/>
  <c r="Z53" i="69"/>
  <c r="Y55" i="69"/>
  <c r="X53" i="69"/>
  <c r="AG27" i="70"/>
  <c r="AG43" i="70"/>
  <c r="AB59" i="70"/>
  <c r="K56" i="69" s="1"/>
  <c r="W55" i="69"/>
  <c r="AB63" i="70"/>
  <c r="AC64" i="70" s="1"/>
  <c r="Z55" i="69"/>
  <c r="W53" i="69"/>
  <c r="Z63" i="70"/>
  <c r="L66" i="69" s="1"/>
  <c r="I68" i="69" s="1"/>
  <c r="Z59" i="70"/>
  <c r="K66" i="69" s="1"/>
  <c r="H68" i="69" s="1"/>
  <c r="AF68" i="70"/>
  <c r="AF69" i="70" s="1"/>
  <c r="AF70" i="70" s="1"/>
  <c r="AC67" i="70"/>
  <c r="AF65" i="70"/>
  <c r="AB55" i="70"/>
  <c r="AC59" i="70" l="1"/>
  <c r="AC61" i="70"/>
  <c r="AB53" i="69"/>
  <c r="AB55" i="69"/>
  <c r="L56" i="69"/>
  <c r="AC60" i="70"/>
  <c r="AC63" i="70"/>
  <c r="Z57" i="69"/>
  <c r="AG67" i="70"/>
  <c r="AF66" i="70"/>
  <c r="AC65" i="70"/>
  <c r="J56" i="69"/>
  <c r="G58" i="69" s="1"/>
  <c r="F58" i="69"/>
  <c r="AC56" i="70"/>
  <c r="AC55" i="70"/>
  <c r="AC57" i="70"/>
  <c r="AG59" i="70" l="1"/>
  <c r="K58" i="69" s="1"/>
  <c r="AG63" i="70"/>
  <c r="L58" i="69" s="1"/>
  <c r="Y57" i="69"/>
  <c r="W57" i="69"/>
  <c r="W56" i="69"/>
  <c r="Y56" i="69"/>
  <c r="X57" i="69"/>
  <c r="Z56" i="69"/>
  <c r="X56" i="69"/>
  <c r="AG55" i="70"/>
  <c r="J58" i="69" s="1"/>
  <c r="J74" i="69" s="1"/>
  <c r="AB57" i="69" l="1"/>
  <c r="AB56" i="69"/>
  <c r="E30" i="51" l="1"/>
  <c r="D30" i="51"/>
  <c r="C30" i="51"/>
  <c r="E29" i="51"/>
  <c r="D29" i="51"/>
  <c r="C29" i="51"/>
  <c r="E28" i="51"/>
  <c r="D28" i="51"/>
  <c r="C28" i="51"/>
  <c r="E27" i="51"/>
  <c r="D27" i="51"/>
  <c r="C27" i="51"/>
  <c r="F30" i="51"/>
  <c r="F29" i="51"/>
  <c r="F28" i="51"/>
  <c r="F27" i="51"/>
  <c r="C9" i="51" s="1"/>
  <c r="C10" i="51" s="1"/>
  <c r="B19" i="51"/>
  <c r="B20" i="51" s="1"/>
  <c r="B21" i="51" s="1"/>
  <c r="B22" i="51" s="1"/>
  <c r="B23" i="51" s="1"/>
  <c r="C12" i="51" l="1"/>
  <c r="E32" i="51"/>
  <c r="E38" i="51" s="1"/>
  <c r="C32" i="51"/>
  <c r="C37" i="51" s="1"/>
  <c r="D32" i="51"/>
  <c r="D37" i="51" s="1"/>
  <c r="F32" i="51"/>
  <c r="F37" i="51" s="1"/>
  <c r="E37" i="51" l="1"/>
  <c r="D30" i="86"/>
  <c r="C15" i="51"/>
  <c r="C38" i="51"/>
  <c r="C36" i="51"/>
  <c r="E36" i="51"/>
  <c r="E35" i="51"/>
  <c r="C35" i="51"/>
  <c r="D36" i="51"/>
  <c r="D35" i="51"/>
  <c r="D38" i="51"/>
  <c r="F35" i="51"/>
  <c r="F38" i="51"/>
  <c r="F36" i="51"/>
  <c r="D32" i="86" l="1"/>
  <c r="D267" i="14" l="1"/>
  <c r="D260" i="14"/>
  <c r="D255" i="14"/>
  <c r="D253" i="14"/>
  <c r="D261" i="14" l="1"/>
  <c r="D262" i="14" s="1"/>
  <c r="D268" i="14"/>
  <c r="D269" i="14" s="1"/>
  <c r="F440" i="14"/>
  <c r="H446" i="14" s="1"/>
  <c r="F446" i="14"/>
  <c r="E267" i="14"/>
  <c r="E260" i="14"/>
  <c r="E255" i="14"/>
  <c r="E253" i="14"/>
  <c r="F267" i="14"/>
  <c r="F260" i="14"/>
  <c r="F255" i="14"/>
  <c r="F253" i="14"/>
  <c r="E268" i="14" l="1"/>
  <c r="E269" i="14" s="1"/>
  <c r="F268" i="14"/>
  <c r="F269" i="14" s="1"/>
  <c r="E261" i="14"/>
  <c r="E262" i="14" s="1"/>
  <c r="F261" i="14"/>
  <c r="F262" i="14" s="1"/>
  <c r="J545" i="14" l="1"/>
  <c r="J543" i="14"/>
  <c r="J544" i="14"/>
  <c r="J542" i="14"/>
  <c r="K45" i="14" l="1"/>
  <c r="K43" i="14"/>
  <c r="K44" i="14"/>
  <c r="K46" i="14"/>
  <c r="E440" i="14"/>
  <c r="H445" i="14" s="1"/>
  <c r="D440" i="14"/>
  <c r="H444" i="14" s="1"/>
  <c r="D289" i="14"/>
  <c r="J45" i="14" l="1"/>
  <c r="AH45" i="14"/>
  <c r="AI45" i="14" s="1"/>
  <c r="L45" i="14"/>
  <c r="M45" i="14" s="1"/>
  <c r="J46" i="14"/>
  <c r="L46" i="14"/>
  <c r="M46" i="14" s="1"/>
  <c r="J44" i="14"/>
  <c r="L44" i="14"/>
  <c r="AH44" i="14"/>
  <c r="AI44" i="14" s="1"/>
  <c r="J43" i="14"/>
  <c r="AH43" i="14"/>
  <c r="AI43" i="14" s="1"/>
  <c r="L43" i="14"/>
  <c r="M43" i="14" s="1"/>
  <c r="F445" i="14"/>
  <c r="I545" i="14"/>
  <c r="I46" i="14" s="1"/>
  <c r="I543" i="14"/>
  <c r="I44" i="14" s="1"/>
  <c r="I542" i="14"/>
  <c r="I43" i="14" s="1"/>
  <c r="D462" i="14"/>
  <c r="H545" i="14" s="1"/>
  <c r="H46" i="14" s="1"/>
  <c r="O453" i="14"/>
  <c r="O457" i="14" s="1"/>
  <c r="D418" i="14"/>
  <c r="D240" i="14"/>
  <c r="M44" i="14" l="1"/>
  <c r="Q44" i="14" s="1"/>
  <c r="R44" i="14" s="1"/>
  <c r="N46" i="14"/>
  <c r="E290" i="14"/>
  <c r="E292" i="14" s="1"/>
  <c r="D445" i="14" s="1"/>
  <c r="F290" i="14"/>
  <c r="F292" i="14" s="1"/>
  <c r="D446" i="14" s="1"/>
  <c r="D290" i="14"/>
  <c r="D292" i="14" s="1"/>
  <c r="D444" i="14" s="1"/>
  <c r="D489" i="14"/>
  <c r="D256" i="14"/>
  <c r="F256" i="14"/>
  <c r="E256" i="14"/>
  <c r="I446" i="14"/>
  <c r="D487" i="14"/>
  <c r="E448" i="14"/>
  <c r="G544" i="14"/>
  <c r="O46" i="14" l="1"/>
  <c r="U46" i="14" s="1"/>
  <c r="W46" i="14" s="1"/>
  <c r="X46" i="14" s="1"/>
  <c r="Y46" i="14" s="1"/>
  <c r="AA46" i="14" s="1"/>
  <c r="G446" i="14"/>
  <c r="D482" i="14" s="1"/>
  <c r="G445" i="14"/>
  <c r="D481" i="14" s="1"/>
  <c r="D263" i="14"/>
  <c r="D270" i="14"/>
  <c r="F263" i="14"/>
  <c r="F270" i="14"/>
  <c r="E270" i="14"/>
  <c r="E263" i="14"/>
  <c r="I445" i="14"/>
  <c r="C345" i="26"/>
  <c r="D273" i="14" l="1"/>
  <c r="C347" i="26"/>
  <c r="K358" i="14"/>
  <c r="D274" i="14"/>
  <c r="F278" i="14" s="1"/>
  <c r="K357" i="14"/>
  <c r="K356" i="14"/>
  <c r="D153" i="26"/>
  <c r="D172" i="26" s="1"/>
  <c r="I298" i="26"/>
  <c r="K40" i="26" s="1"/>
  <c r="I299" i="26"/>
  <c r="K41" i="26" s="1"/>
  <c r="I300" i="26"/>
  <c r="K42" i="26" s="1"/>
  <c r="I297" i="26"/>
  <c r="K39" i="26" s="1"/>
  <c r="D241" i="26"/>
  <c r="D242" i="26"/>
  <c r="D240" i="26"/>
  <c r="F298" i="26"/>
  <c r="D219" i="26"/>
  <c r="D220" i="26"/>
  <c r="D224" i="26"/>
  <c r="D244" i="26" s="1"/>
  <c r="D225" i="26"/>
  <c r="D245" i="26" s="1"/>
  <c r="L196" i="26"/>
  <c r="K28" i="26" s="1"/>
  <c r="L197" i="26"/>
  <c r="K29" i="26" s="1"/>
  <c r="L195" i="26"/>
  <c r="K27" i="26" s="1"/>
  <c r="E278" i="14" l="1"/>
  <c r="K33" i="26"/>
  <c r="J29" i="26"/>
  <c r="AH29" i="26"/>
  <c r="AI29" i="26" s="1"/>
  <c r="L29" i="26"/>
  <c r="M29" i="26" s="1"/>
  <c r="J40" i="26"/>
  <c r="L40" i="26"/>
  <c r="AH40" i="26"/>
  <c r="AI40" i="26" s="1"/>
  <c r="K31" i="26"/>
  <c r="J27" i="26"/>
  <c r="AH27" i="26"/>
  <c r="AI27" i="26" s="1"/>
  <c r="L27" i="26"/>
  <c r="M27" i="26" s="1"/>
  <c r="J39" i="26"/>
  <c r="AH39" i="26"/>
  <c r="AI39" i="26" s="1"/>
  <c r="L39" i="26"/>
  <c r="M39" i="26" s="1"/>
  <c r="K32" i="26"/>
  <c r="J28" i="26"/>
  <c r="AH28" i="26"/>
  <c r="AI28" i="26" s="1"/>
  <c r="L28" i="26"/>
  <c r="J42" i="26"/>
  <c r="L42" i="26"/>
  <c r="M42" i="26" s="1"/>
  <c r="AH42" i="26"/>
  <c r="AI42" i="26" s="1"/>
  <c r="J41" i="26"/>
  <c r="L41" i="26"/>
  <c r="M41" i="26" s="1"/>
  <c r="AH41" i="26"/>
  <c r="AI41" i="26" s="1"/>
  <c r="E175" i="26"/>
  <c r="F175" i="26"/>
  <c r="F176" i="26"/>
  <c r="D176" i="26"/>
  <c r="E176" i="26"/>
  <c r="D177" i="26"/>
  <c r="E153" i="26"/>
  <c r="D278" i="14"/>
  <c r="K197" i="26"/>
  <c r="K196" i="26"/>
  <c r="K195" i="26"/>
  <c r="H300" i="26"/>
  <c r="I42" i="26" s="1"/>
  <c r="H299" i="26"/>
  <c r="I41" i="26" s="1"/>
  <c r="H298" i="26"/>
  <c r="I40" i="26" s="1"/>
  <c r="H297" i="26"/>
  <c r="I39" i="26" s="1"/>
  <c r="D218" i="26"/>
  <c r="D229" i="26" s="1"/>
  <c r="C338" i="26"/>
  <c r="M28" i="26" l="1"/>
  <c r="Q28" i="26"/>
  <c r="R28" i="26" s="1"/>
  <c r="M40" i="26"/>
  <c r="Q40" i="26"/>
  <c r="R40" i="26" s="1"/>
  <c r="K36" i="26"/>
  <c r="J32" i="26"/>
  <c r="AH32" i="26"/>
  <c r="AI32" i="26" s="1"/>
  <c r="L32" i="26"/>
  <c r="K35" i="26"/>
  <c r="J31" i="26"/>
  <c r="AH31" i="26"/>
  <c r="AI31" i="26" s="1"/>
  <c r="L31" i="26"/>
  <c r="M31" i="26" s="1"/>
  <c r="K37" i="26"/>
  <c r="J33" i="26"/>
  <c r="AH33" i="26"/>
  <c r="AI33" i="26" s="1"/>
  <c r="L33" i="26"/>
  <c r="M33" i="26" s="1"/>
  <c r="F153" i="26"/>
  <c r="F172" i="26" s="1"/>
  <c r="E172" i="26"/>
  <c r="D252" i="26"/>
  <c r="D273" i="26" s="1"/>
  <c r="D148" i="26"/>
  <c r="E148" i="26" s="1"/>
  <c r="D243" i="26"/>
  <c r="D247" i="26" s="1"/>
  <c r="H640" i="12"/>
  <c r="M32" i="26" l="1"/>
  <c r="Q32" i="26" s="1"/>
  <c r="R32" i="26" s="1"/>
  <c r="J35" i="26"/>
  <c r="L35" i="26"/>
  <c r="M35" i="26" s="1"/>
  <c r="AH35" i="26"/>
  <c r="AI35" i="26" s="1"/>
  <c r="J37" i="26"/>
  <c r="AH37" i="26"/>
  <c r="AI37" i="26" s="1"/>
  <c r="L37" i="26"/>
  <c r="M37" i="26" s="1"/>
  <c r="J36" i="26"/>
  <c r="L36" i="26"/>
  <c r="AH36" i="26"/>
  <c r="AI36" i="26" s="1"/>
  <c r="E173" i="26"/>
  <c r="E181" i="26" s="1"/>
  <c r="E177" i="26"/>
  <c r="E179" i="26" s="1"/>
  <c r="I196" i="26" s="1"/>
  <c r="H32" i="26" s="1"/>
  <c r="F173" i="26"/>
  <c r="F181" i="26" s="1"/>
  <c r="F177" i="26"/>
  <c r="F179" i="26" s="1"/>
  <c r="J196" i="26" s="1"/>
  <c r="H36" i="26" s="1"/>
  <c r="F148" i="26"/>
  <c r="F156" i="26" s="1"/>
  <c r="E156" i="26"/>
  <c r="D156" i="26"/>
  <c r="D254" i="26"/>
  <c r="D274" i="26" s="1"/>
  <c r="D255" i="26"/>
  <c r="D275" i="26" s="1"/>
  <c r="D170" i="26"/>
  <c r="D175" i="26" s="1"/>
  <c r="G300" i="26"/>
  <c r="H42" i="26" s="1"/>
  <c r="M36" i="26" l="1"/>
  <c r="Q36" i="26" s="1"/>
  <c r="R36" i="26" s="1"/>
  <c r="E182" i="26"/>
  <c r="F32" i="26" s="1"/>
  <c r="G32" i="26"/>
  <c r="AJ42" i="26"/>
  <c r="N42" i="26"/>
  <c r="N36" i="26"/>
  <c r="AJ36" i="26"/>
  <c r="F182" i="26"/>
  <c r="F36" i="26" s="1"/>
  <c r="G36" i="26"/>
  <c r="N32" i="26"/>
  <c r="AJ32" i="26"/>
  <c r="E158" i="26"/>
  <c r="E187" i="26"/>
  <c r="E188" i="26" s="1"/>
  <c r="E190" i="26" s="1"/>
  <c r="E191" i="26" s="1"/>
  <c r="I197" i="26" s="1"/>
  <c r="H33" i="26" s="1"/>
  <c r="F158" i="26"/>
  <c r="F187" i="26"/>
  <c r="F188" i="26" s="1"/>
  <c r="F190" i="26" s="1"/>
  <c r="F191" i="26" s="1"/>
  <c r="J197" i="26" s="1"/>
  <c r="H37" i="26" s="1"/>
  <c r="D187" i="26"/>
  <c r="D188" i="26" s="1"/>
  <c r="D158" i="26"/>
  <c r="D256" i="26"/>
  <c r="D276" i="26"/>
  <c r="D281" i="26" s="1"/>
  <c r="D282" i="26" s="1"/>
  <c r="D173" i="26"/>
  <c r="D181" i="26" s="1"/>
  <c r="S32" i="26" l="1"/>
  <c r="K48" i="73" s="1"/>
  <c r="F161" i="26"/>
  <c r="J195" i="26" s="1"/>
  <c r="H35" i="26" s="1"/>
  <c r="G35" i="26"/>
  <c r="E161" i="26"/>
  <c r="I195" i="26" s="1"/>
  <c r="H31" i="26" s="1"/>
  <c r="G31" i="26"/>
  <c r="D161" i="26"/>
  <c r="H195" i="26" s="1"/>
  <c r="H27" i="26" s="1"/>
  <c r="G27" i="26"/>
  <c r="S36" i="26"/>
  <c r="L48" i="73" s="1"/>
  <c r="O42" i="26"/>
  <c r="U42" i="26" s="1"/>
  <c r="W42" i="26" s="1"/>
  <c r="X42" i="26" s="1"/>
  <c r="Y42" i="26" s="1"/>
  <c r="AA42" i="26" s="1"/>
  <c r="O32" i="26"/>
  <c r="U32" i="26" s="1"/>
  <c r="W32" i="26" s="1"/>
  <c r="X32" i="26" s="1"/>
  <c r="O36" i="26"/>
  <c r="U36" i="26" s="1"/>
  <c r="W36" i="26" s="1"/>
  <c r="X36" i="26" s="1"/>
  <c r="N37" i="26"/>
  <c r="AJ37" i="26"/>
  <c r="N35" i="26"/>
  <c r="O35" i="26" s="1"/>
  <c r="AJ35" i="26"/>
  <c r="AJ33" i="26"/>
  <c r="N33" i="26"/>
  <c r="D182" i="26"/>
  <c r="F28" i="26" s="1"/>
  <c r="G28" i="26"/>
  <c r="D258" i="26"/>
  <c r="D262" i="26"/>
  <c r="E195" i="26"/>
  <c r="D190" i="26"/>
  <c r="D191" i="26" s="1"/>
  <c r="H197" i="26" s="1"/>
  <c r="H29" i="26" s="1"/>
  <c r="E196" i="26"/>
  <c r="D288" i="26"/>
  <c r="D289" i="26" s="1"/>
  <c r="D290" i="26" s="1"/>
  <c r="D279" i="26"/>
  <c r="G298" i="26" s="1"/>
  <c r="H40" i="26" s="1"/>
  <c r="I199" i="26" l="1"/>
  <c r="J199" i="26"/>
  <c r="N31" i="26"/>
  <c r="O31" i="26" s="1"/>
  <c r="U31" i="26" s="1"/>
  <c r="D260" i="26"/>
  <c r="G297" i="26" s="1"/>
  <c r="H39" i="26" s="1"/>
  <c r="G39" i="26"/>
  <c r="AJ27" i="26"/>
  <c r="N27" i="26"/>
  <c r="O27" i="26" s="1"/>
  <c r="U27" i="26" s="1"/>
  <c r="S28" i="26"/>
  <c r="J48" i="73" s="1"/>
  <c r="AJ31" i="26"/>
  <c r="O37" i="26"/>
  <c r="U37" i="26" s="1"/>
  <c r="W37" i="26" s="1"/>
  <c r="X37" i="26" s="1"/>
  <c r="O33" i="26"/>
  <c r="U33" i="26" s="1"/>
  <c r="W33" i="26" s="1"/>
  <c r="X33" i="26" s="1"/>
  <c r="Y33" i="26" s="1"/>
  <c r="AA33" i="26" s="1"/>
  <c r="Y36" i="26"/>
  <c r="AA36" i="26" s="1"/>
  <c r="AK31" i="26"/>
  <c r="AK35" i="26"/>
  <c r="Y32" i="26"/>
  <c r="AA32" i="26" s="1"/>
  <c r="U35" i="26"/>
  <c r="AJ40" i="26"/>
  <c r="N40" i="26"/>
  <c r="N29" i="26"/>
  <c r="AJ29" i="26"/>
  <c r="D263" i="26"/>
  <c r="F40" i="26" s="1"/>
  <c r="G40" i="26"/>
  <c r="E297" i="26"/>
  <c r="E197" i="26"/>
  <c r="D179" i="26"/>
  <c r="H196" i="26" s="1"/>
  <c r="H28" i="26" s="1"/>
  <c r="E299" i="26"/>
  <c r="D292" i="26"/>
  <c r="G299" i="26" s="1"/>
  <c r="H41" i="26" s="1"/>
  <c r="N39" i="26" l="1"/>
  <c r="O39" i="26" s="1"/>
  <c r="AJ39" i="26"/>
  <c r="S40" i="26"/>
  <c r="J49" i="73"/>
  <c r="J51" i="73" s="1"/>
  <c r="K49" i="73"/>
  <c r="K51" i="73" s="1"/>
  <c r="L49" i="73"/>
  <c r="L51" i="73" s="1"/>
  <c r="P31" i="26"/>
  <c r="P35" i="26"/>
  <c r="O29" i="26"/>
  <c r="U29" i="26" s="1"/>
  <c r="W29" i="26" s="1"/>
  <c r="X29" i="26" s="1"/>
  <c r="Y29" i="26" s="1"/>
  <c r="AA29" i="26" s="1"/>
  <c r="O40" i="26"/>
  <c r="U40" i="26" s="1"/>
  <c r="W40" i="26" s="1"/>
  <c r="X40" i="26" s="1"/>
  <c r="Y37" i="26"/>
  <c r="AA37" i="26" s="1"/>
  <c r="V35" i="26"/>
  <c r="W35" i="26" s="1"/>
  <c r="X35" i="26" s="1"/>
  <c r="V27" i="26"/>
  <c r="V31" i="26"/>
  <c r="W31" i="26" s="1"/>
  <c r="AJ41" i="26"/>
  <c r="N41" i="26"/>
  <c r="N28" i="26"/>
  <c r="O28" i="26" s="1"/>
  <c r="AJ28" i="26"/>
  <c r="AK27" i="26" s="1"/>
  <c r="U39" i="26"/>
  <c r="H199" i="26"/>
  <c r="G302" i="26"/>
  <c r="AK39" i="26" l="1"/>
  <c r="O41" i="26"/>
  <c r="U41" i="26" s="1"/>
  <c r="W41" i="26" s="1"/>
  <c r="X41" i="26" s="1"/>
  <c r="Y40" i="26"/>
  <c r="AA40" i="26" s="1"/>
  <c r="X31" i="26"/>
  <c r="Y31" i="26" s="1"/>
  <c r="AA31" i="26" s="1"/>
  <c r="V39" i="26"/>
  <c r="Z35" i="26"/>
  <c r="H56" i="73" s="1"/>
  <c r="Y35" i="26"/>
  <c r="AA35" i="26" s="1"/>
  <c r="U28" i="26"/>
  <c r="P27" i="26"/>
  <c r="W27" i="26"/>
  <c r="X27" i="26" s="1"/>
  <c r="I65" i="12"/>
  <c r="K722" i="12"/>
  <c r="I63" i="12" s="1"/>
  <c r="I446" i="12"/>
  <c r="H445" i="12"/>
  <c r="I43" i="12" s="1"/>
  <c r="H446" i="12"/>
  <c r="I44" i="12" s="1"/>
  <c r="G422" i="12"/>
  <c r="G423" i="12"/>
  <c r="G433" i="12"/>
  <c r="G424" i="12"/>
  <c r="D427" i="12"/>
  <c r="F424" i="12" s="1"/>
  <c r="L356" i="12"/>
  <c r="D348" i="12" s="1"/>
  <c r="D356" i="12" s="1"/>
  <c r="D382" i="12" s="1"/>
  <c r="J343" i="12"/>
  <c r="D363" i="12"/>
  <c r="AB31" i="26" l="1"/>
  <c r="AA15" i="26"/>
  <c r="P39" i="26"/>
  <c r="W39" i="26"/>
  <c r="X39" i="26" s="1"/>
  <c r="W28" i="26"/>
  <c r="X28" i="26" s="1"/>
  <c r="Z31" i="26"/>
  <c r="G56" i="73" s="1"/>
  <c r="Y27" i="26"/>
  <c r="AA27" i="26" s="1"/>
  <c r="AC33" i="26"/>
  <c r="AC32" i="26"/>
  <c r="AC31" i="26"/>
  <c r="Y41" i="26"/>
  <c r="AA41" i="26" s="1"/>
  <c r="AB35" i="26"/>
  <c r="K44" i="12"/>
  <c r="I447" i="12"/>
  <c r="K45" i="12" s="1"/>
  <c r="I54" i="12"/>
  <c r="I59" i="12"/>
  <c r="I61" i="12"/>
  <c r="I57" i="12"/>
  <c r="J345" i="12"/>
  <c r="L348" i="12" s="1"/>
  <c r="D349" i="12" s="1"/>
  <c r="D426" i="12" s="1"/>
  <c r="F433" i="12" s="1"/>
  <c r="G448" i="12" s="1"/>
  <c r="H46" i="12" s="1"/>
  <c r="D700" i="12"/>
  <c r="D364" i="12"/>
  <c r="D365" i="12" s="1"/>
  <c r="H48" i="73" l="1"/>
  <c r="G48" i="73"/>
  <c r="Y39" i="26"/>
  <c r="AA39" i="26" s="1"/>
  <c r="W54" i="12"/>
  <c r="X54" i="12" s="1"/>
  <c r="Y54" i="12" s="1"/>
  <c r="AA54" i="12" s="1"/>
  <c r="Z39" i="26"/>
  <c r="F57" i="73" s="1"/>
  <c r="Y28" i="26"/>
  <c r="AA28" i="26" s="1"/>
  <c r="AC35" i="26"/>
  <c r="AG31" i="26"/>
  <c r="Z27" i="26"/>
  <c r="F56" i="73" s="1"/>
  <c r="AC36" i="26"/>
  <c r="AC37" i="26"/>
  <c r="J65" i="12"/>
  <c r="L65" i="12"/>
  <c r="AH65" i="12"/>
  <c r="J63" i="12"/>
  <c r="L63" i="12"/>
  <c r="AH63" i="12"/>
  <c r="J45" i="12"/>
  <c r="L45" i="12"/>
  <c r="M45" i="12" s="1"/>
  <c r="AH45" i="12"/>
  <c r="AI45" i="12" s="1"/>
  <c r="J44" i="12"/>
  <c r="AH44" i="12"/>
  <c r="AI44" i="12" s="1"/>
  <c r="L44" i="12"/>
  <c r="N46" i="12"/>
  <c r="AJ46" i="12"/>
  <c r="L350" i="12"/>
  <c r="L349" i="12"/>
  <c r="D678" i="12"/>
  <c r="D379" i="12"/>
  <c r="D380" i="12" s="1"/>
  <c r="D377" i="12"/>
  <c r="AB39" i="26" l="1"/>
  <c r="AC39" i="26"/>
  <c r="G57" i="73"/>
  <c r="G59" i="73" s="1"/>
  <c r="H57" i="73"/>
  <c r="H59" i="73" s="1"/>
  <c r="AB27" i="26"/>
  <c r="AA12" i="26"/>
  <c r="M44" i="12"/>
  <c r="Q44" i="12" s="1"/>
  <c r="R44" i="12" s="1"/>
  <c r="O46" i="12"/>
  <c r="U46" i="12" s="1"/>
  <c r="W46" i="12" s="1"/>
  <c r="X46" i="12" s="1"/>
  <c r="Y46" i="12" s="1"/>
  <c r="AA46" i="12" s="1"/>
  <c r="F59" i="73"/>
  <c r="H49" i="73"/>
  <c r="H51" i="73" s="1"/>
  <c r="G49" i="73"/>
  <c r="G51" i="73" s="1"/>
  <c r="F49" i="73"/>
  <c r="AG35" i="26"/>
  <c r="AC42" i="26"/>
  <c r="AC40" i="26"/>
  <c r="AC41" i="26"/>
  <c r="M63" i="12"/>
  <c r="N63" i="12" s="1"/>
  <c r="O63" i="12" s="1"/>
  <c r="AI65" i="12"/>
  <c r="AJ65" i="12" s="1"/>
  <c r="M65" i="12"/>
  <c r="N65" i="12" s="1"/>
  <c r="AI63" i="12"/>
  <c r="AJ63" i="12" s="1"/>
  <c r="L351" i="12"/>
  <c r="D350" i="12" s="1"/>
  <c r="D419" i="12" s="1"/>
  <c r="F423" i="12" s="1"/>
  <c r="D680" i="12"/>
  <c r="D701" i="12"/>
  <c r="AC29" i="26" l="1"/>
  <c r="AC27" i="26"/>
  <c r="AC28" i="26"/>
  <c r="F48" i="73"/>
  <c r="F51" i="73" s="1"/>
  <c r="D682" i="12"/>
  <c r="E722" i="12"/>
  <c r="G55" i="12" s="1"/>
  <c r="O65" i="12"/>
  <c r="U65" i="12" s="1"/>
  <c r="W65" i="12" s="1"/>
  <c r="X65" i="12" s="1"/>
  <c r="AG39" i="26"/>
  <c r="AK63" i="12"/>
  <c r="U63" i="12"/>
  <c r="D703" i="12"/>
  <c r="D707" i="12"/>
  <c r="Q48" i="73" l="1"/>
  <c r="O48" i="73"/>
  <c r="AG27" i="26"/>
  <c r="P48" i="73"/>
  <c r="P63" i="12"/>
  <c r="V63" i="12"/>
  <c r="P49" i="73"/>
  <c r="Q49" i="73"/>
  <c r="O49" i="73"/>
  <c r="R49" i="73"/>
  <c r="E723" i="12"/>
  <c r="G56" i="12" s="1"/>
  <c r="D708" i="12"/>
  <c r="Y65" i="12"/>
  <c r="AA65" i="12" s="1"/>
  <c r="D706" i="12"/>
  <c r="H723" i="12" s="1"/>
  <c r="H56" i="12" s="1"/>
  <c r="D713" i="12"/>
  <c r="D714" i="12" s="1"/>
  <c r="D715" i="12" s="1"/>
  <c r="E724" i="12" s="1"/>
  <c r="G57" i="12" s="1"/>
  <c r="D312" i="14"/>
  <c r="T48" i="73" l="1"/>
  <c r="W63" i="12"/>
  <c r="X63" i="12" s="1"/>
  <c r="F56" i="12"/>
  <c r="AJ56" i="12"/>
  <c r="N56" i="12"/>
  <c r="I396" i="14"/>
  <c r="I42" i="14" s="1"/>
  <c r="I395" i="14"/>
  <c r="I41" i="14" s="1"/>
  <c r="I394" i="14"/>
  <c r="I40" i="14" s="1"/>
  <c r="I393" i="14"/>
  <c r="I39" i="14" s="1"/>
  <c r="H396" i="14"/>
  <c r="H42" i="14" s="1"/>
  <c r="S56" i="12" l="1"/>
  <c r="M61" i="72" s="1"/>
  <c r="O56" i="12"/>
  <c r="U56" i="12" s="1"/>
  <c r="W56" i="12" s="1"/>
  <c r="X56" i="12" s="1"/>
  <c r="AJ42" i="14"/>
  <c r="N42" i="14"/>
  <c r="Y63" i="12"/>
  <c r="AA63" i="12" s="1"/>
  <c r="E298" i="14"/>
  <c r="E299" i="14" s="1"/>
  <c r="F298" i="14"/>
  <c r="F299" i="14" s="1"/>
  <c r="D298" i="14"/>
  <c r="D299" i="14" s="1"/>
  <c r="D368" i="14"/>
  <c r="E741" i="12"/>
  <c r="D742" i="12"/>
  <c r="E742" i="12"/>
  <c r="F742" i="12"/>
  <c r="G742" i="12"/>
  <c r="H742" i="12"/>
  <c r="I742" i="12"/>
  <c r="D743" i="12"/>
  <c r="D744" i="12"/>
  <c r="D745" i="12"/>
  <c r="I748" i="12"/>
  <c r="D573" i="12"/>
  <c r="D572" i="12"/>
  <c r="H625" i="12"/>
  <c r="I53" i="12" s="1"/>
  <c r="H624" i="12"/>
  <c r="I52" i="12" s="1"/>
  <c r="H623" i="12"/>
  <c r="I51" i="12" s="1"/>
  <c r="K523" i="12"/>
  <c r="K525" i="12" s="1"/>
  <c r="F211" i="12"/>
  <c r="D528" i="12"/>
  <c r="D158" i="12"/>
  <c r="D187" i="12" s="1"/>
  <c r="F212" i="12"/>
  <c r="I213" i="12"/>
  <c r="I212" i="12"/>
  <c r="I211" i="12"/>
  <c r="H551" i="12"/>
  <c r="I49" i="12" s="1"/>
  <c r="H550" i="12"/>
  <c r="I48" i="12" s="1"/>
  <c r="H549" i="12"/>
  <c r="I47" i="12" s="1"/>
  <c r="H722" i="12"/>
  <c r="H54" i="12" s="1"/>
  <c r="O42" i="14" l="1"/>
  <c r="U42" i="14" s="1"/>
  <c r="D301" i="14"/>
  <c r="D302" i="14"/>
  <c r="E301" i="14"/>
  <c r="D331" i="14" s="1"/>
  <c r="E302" i="14"/>
  <c r="F301" i="14"/>
  <c r="D332" i="14" s="1"/>
  <c r="F302" i="14"/>
  <c r="AB63" i="12"/>
  <c r="Z63" i="12"/>
  <c r="I75" i="72" s="1"/>
  <c r="Y56" i="12"/>
  <c r="AA56" i="12" s="1"/>
  <c r="AJ55" i="12"/>
  <c r="N55" i="12"/>
  <c r="O55" i="12" s="1"/>
  <c r="D574" i="12"/>
  <c r="D581" i="12" s="1"/>
  <c r="I745" i="12"/>
  <c r="I69" i="12" s="1"/>
  <c r="I744" i="12"/>
  <c r="I68" i="12" s="1"/>
  <c r="I743" i="12"/>
  <c r="I67" i="12" s="1"/>
  <c r="D596" i="12"/>
  <c r="D717" i="12"/>
  <c r="D384" i="12"/>
  <c r="D412" i="12" s="1"/>
  <c r="D579" i="12"/>
  <c r="D488" i="12"/>
  <c r="D516" i="12" s="1"/>
  <c r="D527" i="12" s="1"/>
  <c r="D180" i="12"/>
  <c r="D486" i="12"/>
  <c r="D513" i="12" s="1"/>
  <c r="D526" i="12" s="1"/>
  <c r="C797" i="12"/>
  <c r="D809" i="12" s="1"/>
  <c r="H724" i="12" l="1"/>
  <c r="H57" i="12" s="1"/>
  <c r="W42" i="14"/>
  <c r="X42" i="14" s="1"/>
  <c r="Y42" i="14" s="1"/>
  <c r="AA42" i="14" s="1"/>
  <c r="D388" i="14"/>
  <c r="I61" i="72"/>
  <c r="D601" i="12"/>
  <c r="D600" i="12"/>
  <c r="D603" i="12" s="1"/>
  <c r="AC66" i="12"/>
  <c r="AC64" i="12"/>
  <c r="AC65" i="12"/>
  <c r="AC63" i="12"/>
  <c r="U55" i="12"/>
  <c r="D529" i="12"/>
  <c r="D192" i="12"/>
  <c r="D515" i="14"/>
  <c r="D369" i="14"/>
  <c r="D330" i="14"/>
  <c r="H725" i="12"/>
  <c r="D414" i="12"/>
  <c r="D404" i="12"/>
  <c r="D385" i="12"/>
  <c r="E445" i="12" s="1"/>
  <c r="G43" i="12" s="1"/>
  <c r="D391" i="12"/>
  <c r="D413" i="12"/>
  <c r="D390" i="12"/>
  <c r="D389" i="12"/>
  <c r="D388" i="12"/>
  <c r="D583" i="12"/>
  <c r="D585" i="12" s="1"/>
  <c r="E623" i="12" s="1"/>
  <c r="G51" i="12" s="1"/>
  <c r="D805" i="12"/>
  <c r="D810" i="12"/>
  <c r="AD49" i="12" s="1"/>
  <c r="D498" i="12"/>
  <c r="D497" i="12"/>
  <c r="AJ57" i="12" l="1"/>
  <c r="AK55" i="12" s="1"/>
  <c r="N57" i="12"/>
  <c r="O57" i="12" s="1"/>
  <c r="U57" i="12" s="1"/>
  <c r="W57" i="12" s="1"/>
  <c r="X57" i="12" s="1"/>
  <c r="Y57" i="12" s="1"/>
  <c r="AA57" i="12" s="1"/>
  <c r="D416" i="12"/>
  <c r="F422" i="12" s="1"/>
  <c r="G447" i="12" s="1"/>
  <c r="H45" i="12" s="1"/>
  <c r="E447" i="12"/>
  <c r="G45" i="12" s="1"/>
  <c r="D609" i="12"/>
  <c r="D608" i="12"/>
  <c r="D604" i="12"/>
  <c r="E624" i="12" s="1"/>
  <c r="G52" i="12" s="1"/>
  <c r="V55" i="12"/>
  <c r="D345" i="14"/>
  <c r="D370" i="14" s="1"/>
  <c r="D371" i="14" s="1"/>
  <c r="D409" i="12"/>
  <c r="D408" i="12"/>
  <c r="AG63" i="12"/>
  <c r="AJ45" i="12"/>
  <c r="N45" i="12"/>
  <c r="E446" i="12"/>
  <c r="G44" i="12" s="1"/>
  <c r="D406" i="12"/>
  <c r="G446" i="12" s="1"/>
  <c r="H44" i="12" s="1"/>
  <c r="D392" i="12"/>
  <c r="G445" i="12" s="1"/>
  <c r="D606" i="12"/>
  <c r="G624" i="12" s="1"/>
  <c r="H52" i="12" s="1"/>
  <c r="D523" i="12"/>
  <c r="D614" i="12"/>
  <c r="D615" i="12" s="1"/>
  <c r="E625" i="12" s="1"/>
  <c r="G53" i="12" s="1"/>
  <c r="D499" i="12"/>
  <c r="D501" i="12" s="1"/>
  <c r="G549" i="12" s="1"/>
  <c r="H47" i="12" s="1"/>
  <c r="D494" i="12"/>
  <c r="D164" i="12"/>
  <c r="D155" i="12"/>
  <c r="D183" i="12" s="1"/>
  <c r="D157" i="12"/>
  <c r="D531" i="12" l="1"/>
  <c r="E550" i="12"/>
  <c r="G48" i="12" s="1"/>
  <c r="D538" i="12"/>
  <c r="D539" i="12"/>
  <c r="D540" i="12"/>
  <c r="P55" i="12"/>
  <c r="O45" i="12"/>
  <c r="U45" i="12" s="1"/>
  <c r="W45" i="12" s="1"/>
  <c r="X45" i="12" s="1"/>
  <c r="Y45" i="12" s="1"/>
  <c r="AA45" i="12" s="1"/>
  <c r="W55" i="12"/>
  <c r="X55" i="12" s="1"/>
  <c r="Z55" i="12" s="1"/>
  <c r="G75" i="72" s="1"/>
  <c r="D347" i="14"/>
  <c r="D349" i="14" s="1"/>
  <c r="D351" i="14" s="1"/>
  <c r="H393" i="14" s="1"/>
  <c r="H39" i="14" s="1"/>
  <c r="E394" i="14"/>
  <c r="G40" i="14" s="1"/>
  <c r="D376" i="14"/>
  <c r="F44" i="12"/>
  <c r="F52" i="12"/>
  <c r="D532" i="12"/>
  <c r="G450" i="12"/>
  <c r="H43" i="12"/>
  <c r="N47" i="12"/>
  <c r="O47" i="12" s="1"/>
  <c r="AJ47" i="12"/>
  <c r="N44" i="12"/>
  <c r="AJ44" i="12"/>
  <c r="AJ52" i="12"/>
  <c r="N52" i="12"/>
  <c r="G550" i="12"/>
  <c r="H48" i="12" s="1"/>
  <c r="D524" i="12"/>
  <c r="D496" i="12"/>
  <c r="E549" i="12" s="1"/>
  <c r="G47" i="12" s="1"/>
  <c r="D193" i="12"/>
  <c r="D159" i="12"/>
  <c r="D204" i="12" s="1"/>
  <c r="D186" i="12"/>
  <c r="D374" i="14"/>
  <c r="H394" i="14" s="1"/>
  <c r="H40" i="14" s="1"/>
  <c r="D616" i="12"/>
  <c r="D618" i="12" s="1"/>
  <c r="G625" i="12" s="1"/>
  <c r="H53" i="12" s="1"/>
  <c r="D587" i="12"/>
  <c r="G623" i="12" s="1"/>
  <c r="H51" i="12" s="1"/>
  <c r="D165" i="12"/>
  <c r="AJ43" i="12" l="1"/>
  <c r="AK43" i="12" s="1"/>
  <c r="S44" i="12"/>
  <c r="K58" i="72" s="1"/>
  <c r="S52" i="12"/>
  <c r="L60" i="72" s="1"/>
  <c r="L65" i="72" s="1"/>
  <c r="O65" i="72"/>
  <c r="N65" i="72"/>
  <c r="M65" i="72"/>
  <c r="D382" i="14"/>
  <c r="D383" i="14" s="1"/>
  <c r="D384" i="14" s="1"/>
  <c r="D386" i="14" s="1"/>
  <c r="H395" i="14" s="1"/>
  <c r="H41" i="14" s="1"/>
  <c r="O52" i="12"/>
  <c r="U52" i="12" s="1"/>
  <c r="W52" i="12" s="1"/>
  <c r="X52" i="12" s="1"/>
  <c r="Y52" i="12" s="1"/>
  <c r="AA52" i="12" s="1"/>
  <c r="O44" i="12"/>
  <c r="U44" i="12" s="1"/>
  <c r="W44" i="12" s="1"/>
  <c r="X44" i="12" s="1"/>
  <c r="E393" i="14"/>
  <c r="G39" i="14" s="1"/>
  <c r="D377" i="14"/>
  <c r="F40" i="14" s="1"/>
  <c r="N39" i="14"/>
  <c r="O39" i="14" s="1"/>
  <c r="AJ39" i="14"/>
  <c r="AJ40" i="14"/>
  <c r="N40" i="14"/>
  <c r="F48" i="12"/>
  <c r="Y55" i="12"/>
  <c r="AA55" i="12" s="1"/>
  <c r="N43" i="12"/>
  <c r="U47" i="12"/>
  <c r="N53" i="12"/>
  <c r="AJ53" i="12"/>
  <c r="AJ48" i="12"/>
  <c r="N48" i="12"/>
  <c r="N51" i="12"/>
  <c r="O51" i="12" s="1"/>
  <c r="AJ51" i="12"/>
  <c r="D161" i="12"/>
  <c r="D162" i="12" s="1"/>
  <c r="E211" i="12" s="1"/>
  <c r="G27" i="12" s="1"/>
  <c r="D166" i="12"/>
  <c r="D168" i="12" s="1"/>
  <c r="H211" i="12" s="1"/>
  <c r="H27" i="12" s="1"/>
  <c r="D188" i="12"/>
  <c r="G626" i="12"/>
  <c r="E551" i="12"/>
  <c r="G49" i="12" s="1"/>
  <c r="D546" i="12"/>
  <c r="E395" i="14" l="1"/>
  <c r="G41" i="14" s="1"/>
  <c r="AA15" i="12"/>
  <c r="S40" i="14"/>
  <c r="N41" i="14"/>
  <c r="O41" i="14" s="1"/>
  <c r="U41" i="14" s="1"/>
  <c r="S48" i="12"/>
  <c r="K59" i="72" s="1"/>
  <c r="AB55" i="12"/>
  <c r="AJ41" i="14"/>
  <c r="G551" i="12"/>
  <c r="H49" i="12" s="1"/>
  <c r="O40" i="14"/>
  <c r="U40" i="14" s="1"/>
  <c r="O43" i="12"/>
  <c r="P43" i="12" s="1"/>
  <c r="O53" i="12"/>
  <c r="U53" i="12" s="1"/>
  <c r="W53" i="12" s="1"/>
  <c r="O48" i="12"/>
  <c r="U48" i="12" s="1"/>
  <c r="W48" i="12" s="1"/>
  <c r="X48" i="12" s="1"/>
  <c r="Y48" i="12" s="1"/>
  <c r="AA48" i="12" s="1"/>
  <c r="V47" i="12"/>
  <c r="U39" i="14"/>
  <c r="AK39" i="14"/>
  <c r="U51" i="12"/>
  <c r="Y44" i="12"/>
  <c r="AA44" i="12" s="1"/>
  <c r="AK51" i="12"/>
  <c r="D205" i="12"/>
  <c r="N27" i="12"/>
  <c r="O27" i="12" s="1"/>
  <c r="AJ27" i="12"/>
  <c r="D206" i="12"/>
  <c r="D208" i="12" s="1"/>
  <c r="H213" i="12" s="1"/>
  <c r="H29" i="12" s="1"/>
  <c r="D194" i="12"/>
  <c r="D195" i="12" s="1"/>
  <c r="H212" i="12" s="1"/>
  <c r="D190" i="12"/>
  <c r="E212" i="12" s="1"/>
  <c r="G28" i="12" s="1"/>
  <c r="H743" i="12"/>
  <c r="H67" i="12" s="1"/>
  <c r="H397" i="14"/>
  <c r="E743" i="12"/>
  <c r="G67" i="12" s="1"/>
  <c r="G553" i="12"/>
  <c r="AC55" i="12" l="1"/>
  <c r="AC57" i="12"/>
  <c r="AC56" i="12"/>
  <c r="AC58" i="12"/>
  <c r="G61" i="72"/>
  <c r="P39" i="14"/>
  <c r="N49" i="12"/>
  <c r="O49" i="12" s="1"/>
  <c r="P47" i="12" s="1"/>
  <c r="AJ49" i="12"/>
  <c r="AK47" i="12" s="1"/>
  <c r="W41" i="14"/>
  <c r="X41" i="14" s="1"/>
  <c r="Y41" i="14" s="1"/>
  <c r="AA41" i="14" s="1"/>
  <c r="W40" i="14"/>
  <c r="X40" i="14" s="1"/>
  <c r="Y40" i="14" s="1"/>
  <c r="AA40" i="14" s="1"/>
  <c r="U43" i="12"/>
  <c r="V43" i="12" s="1"/>
  <c r="P51" i="12"/>
  <c r="X53" i="12"/>
  <c r="Y53" i="12" s="1"/>
  <c r="AA53" i="12" s="1"/>
  <c r="W47" i="12"/>
  <c r="X47" i="12" s="1"/>
  <c r="V51" i="12"/>
  <c r="W51" i="12" s="1"/>
  <c r="X51" i="12" s="1"/>
  <c r="Y51" i="12" s="1"/>
  <c r="AA51" i="12" s="1"/>
  <c r="V39" i="14"/>
  <c r="W39" i="14" s="1"/>
  <c r="D191" i="12"/>
  <c r="E744" i="12" s="1"/>
  <c r="G68" i="12" s="1"/>
  <c r="D197" i="12"/>
  <c r="D198" i="12"/>
  <c r="F28" i="12" s="1"/>
  <c r="N67" i="12"/>
  <c r="O67" i="12" s="1"/>
  <c r="AJ67" i="12"/>
  <c r="AJ29" i="12"/>
  <c r="N29" i="12"/>
  <c r="U27" i="12"/>
  <c r="E213" i="12"/>
  <c r="H744" i="12"/>
  <c r="H68" i="12" s="1"/>
  <c r="H28" i="12"/>
  <c r="H216" i="12"/>
  <c r="H748" i="12" s="1"/>
  <c r="H745" i="12"/>
  <c r="H69" i="12" s="1"/>
  <c r="Q61" i="72" l="1"/>
  <c r="S61" i="72"/>
  <c r="R61" i="72"/>
  <c r="T61" i="72"/>
  <c r="AG55" i="12"/>
  <c r="U49" i="12"/>
  <c r="W49" i="12" s="1"/>
  <c r="X49" i="12" s="1"/>
  <c r="S28" i="12"/>
  <c r="K56" i="72" s="1"/>
  <c r="O29" i="12"/>
  <c r="U29" i="12" s="1"/>
  <c r="W29" i="12" s="1"/>
  <c r="W43" i="12"/>
  <c r="V27" i="12"/>
  <c r="W27" i="12" s="1"/>
  <c r="X27" i="12" s="1"/>
  <c r="X39" i="14"/>
  <c r="Z39" i="14" s="1"/>
  <c r="I57" i="189" s="1"/>
  <c r="F68" i="12"/>
  <c r="AJ68" i="12"/>
  <c r="N68" i="12"/>
  <c r="AJ69" i="12"/>
  <c r="N69" i="12"/>
  <c r="U67" i="12"/>
  <c r="Y47" i="12"/>
  <c r="AA47" i="12" s="1"/>
  <c r="AB51" i="12"/>
  <c r="Z51" i="12"/>
  <c r="F74" i="72" s="1"/>
  <c r="AJ28" i="12"/>
  <c r="AK27" i="12" s="1"/>
  <c r="N28" i="12"/>
  <c r="O28" i="12" s="1"/>
  <c r="I61" i="189" l="1"/>
  <c r="J57" i="189"/>
  <c r="J61" i="189" s="1"/>
  <c r="L57" i="189"/>
  <c r="L61" i="189" s="1"/>
  <c r="K57" i="189"/>
  <c r="K61" i="189" s="1"/>
  <c r="M57" i="189"/>
  <c r="M61" i="189" s="1"/>
  <c r="N57" i="189"/>
  <c r="N61" i="189" s="1"/>
  <c r="O57" i="189"/>
  <c r="O61" i="189" s="1"/>
  <c r="V61" i="72"/>
  <c r="F60" i="72"/>
  <c r="S68" i="12"/>
  <c r="K62" i="72" s="1"/>
  <c r="K65" i="72" s="1"/>
  <c r="I65" i="72"/>
  <c r="H65" i="72"/>
  <c r="G65" i="72"/>
  <c r="K60" i="98"/>
  <c r="O69" i="12"/>
  <c r="U69" i="12" s="1"/>
  <c r="W69" i="12" s="1"/>
  <c r="O68" i="12"/>
  <c r="U68" i="12" s="1"/>
  <c r="W68" i="12" s="1"/>
  <c r="X68" i="12" s="1"/>
  <c r="X29" i="12"/>
  <c r="Y29" i="12" s="1"/>
  <c r="AA29" i="12" s="1"/>
  <c r="V67" i="12"/>
  <c r="W67" i="12" s="1"/>
  <c r="X43" i="12"/>
  <c r="Z43" i="12" s="1"/>
  <c r="F72" i="72" s="1"/>
  <c r="Y39" i="14"/>
  <c r="AA39" i="14" s="1"/>
  <c r="AC51" i="12"/>
  <c r="G79" i="72"/>
  <c r="I79" i="72"/>
  <c r="AK67" i="12"/>
  <c r="Y49" i="12"/>
  <c r="AA49" i="12" s="1"/>
  <c r="Z47" i="12"/>
  <c r="F73" i="72" s="1"/>
  <c r="AC54" i="12"/>
  <c r="AC52" i="12"/>
  <c r="AC53" i="12"/>
  <c r="U28" i="12"/>
  <c r="P27" i="12"/>
  <c r="Y27" i="12"/>
  <c r="AA27" i="12" s="1"/>
  <c r="AB39" i="14" l="1"/>
  <c r="AB47" i="12"/>
  <c r="P67" i="12"/>
  <c r="X67" i="12"/>
  <c r="X69" i="12"/>
  <c r="Y69" i="12" s="1"/>
  <c r="AA69" i="12" s="1"/>
  <c r="W28" i="12"/>
  <c r="X28" i="12" s="1"/>
  <c r="Y43" i="12"/>
  <c r="AA43" i="12" s="1"/>
  <c r="R60" i="72"/>
  <c r="S60" i="72"/>
  <c r="T60" i="72"/>
  <c r="T49" i="73"/>
  <c r="Q60" i="72"/>
  <c r="H79" i="72"/>
  <c r="AC47" i="12"/>
  <c r="F59" i="72"/>
  <c r="AC49" i="12"/>
  <c r="AC50" i="12"/>
  <c r="Y68" i="12"/>
  <c r="AA68" i="12" s="1"/>
  <c r="AG51" i="12"/>
  <c r="AC39" i="14" l="1"/>
  <c r="AM47" i="189" s="1"/>
  <c r="I47" i="189"/>
  <c r="AC41" i="14"/>
  <c r="AC40" i="14"/>
  <c r="AC42" i="14"/>
  <c r="AC48" i="12"/>
  <c r="Z67" i="12"/>
  <c r="F76" i="72" s="1"/>
  <c r="Y52" i="95"/>
  <c r="AB43" i="12"/>
  <c r="V60" i="72"/>
  <c r="Q59" i="72"/>
  <c r="S59" i="72"/>
  <c r="T59" i="72"/>
  <c r="AD50" i="12"/>
  <c r="AD48" i="12"/>
  <c r="Y67" i="12"/>
  <c r="AA67" i="12" s="1"/>
  <c r="Y28" i="12"/>
  <c r="AA28" i="12" s="1"/>
  <c r="J47" i="189" l="1"/>
  <c r="J51" i="189" s="1"/>
  <c r="L47" i="189"/>
  <c r="L51" i="189" s="1"/>
  <c r="K47" i="189"/>
  <c r="K51" i="189" s="1"/>
  <c r="M47" i="189"/>
  <c r="M51" i="189" s="1"/>
  <c r="N47" i="189"/>
  <c r="N51" i="189" s="1"/>
  <c r="O47" i="189"/>
  <c r="O51" i="189" s="1"/>
  <c r="AP47" i="189"/>
  <c r="AN47" i="189"/>
  <c r="AO47" i="189"/>
  <c r="AG39" i="14"/>
  <c r="AG47" i="12"/>
  <c r="R59" i="72"/>
  <c r="V59" i="72" s="1"/>
  <c r="AC43" i="12"/>
  <c r="AA12" i="12"/>
  <c r="CD60" i="100"/>
  <c r="AC44" i="12"/>
  <c r="AC45" i="12"/>
  <c r="AC46" i="12"/>
  <c r="F58" i="72"/>
  <c r="AB67" i="12"/>
  <c r="AB27" i="12"/>
  <c r="Z27" i="12"/>
  <c r="F70" i="72" s="1"/>
  <c r="F79" i="72" s="1"/>
  <c r="AR47" i="189" l="1"/>
  <c r="Q58" i="72"/>
  <c r="AC67" i="12"/>
  <c r="F56" i="72"/>
  <c r="R58" i="72"/>
  <c r="T58" i="72"/>
  <c r="S58" i="72"/>
  <c r="AG43" i="12"/>
  <c r="F62" i="72"/>
  <c r="AC70" i="12"/>
  <c r="AC69" i="12"/>
  <c r="AC68" i="12"/>
  <c r="AC29" i="12"/>
  <c r="AC27" i="12"/>
  <c r="AC28" i="12"/>
  <c r="Q62" i="72" l="1"/>
  <c r="F65" i="72"/>
  <c r="V58" i="72"/>
  <c r="Y51" i="95"/>
  <c r="T62" i="72"/>
  <c r="Q56" i="72"/>
  <c r="S56" i="72"/>
  <c r="R62" i="72"/>
  <c r="S62" i="72"/>
  <c r="R56" i="72"/>
  <c r="AG67" i="12"/>
  <c r="AG27" i="12"/>
  <c r="V62" i="72" l="1"/>
  <c r="V56" i="72"/>
  <c r="F444" i="14" l="1"/>
  <c r="F448" i="14" s="1"/>
  <c r="F542" i="14"/>
  <c r="F544" i="14" s="1"/>
  <c r="F543" i="14" s="1"/>
  <c r="G444" i="14" l="1"/>
  <c r="D480" i="14" s="1"/>
  <c r="I444" i="14"/>
  <c r="I448" i="14" s="1"/>
  <c r="D454" i="14" s="1"/>
  <c r="D536" i="14" s="1"/>
  <c r="D491" i="14" l="1"/>
  <c r="G448" i="14"/>
  <c r="D493" i="14" l="1"/>
  <c r="D516" i="14"/>
  <c r="D517" i="14" s="1"/>
  <c r="D522" i="14" s="1"/>
  <c r="E543" i="14" l="1"/>
  <c r="G44" i="14" s="1"/>
  <c r="D520" i="14"/>
  <c r="H543" i="14" s="1"/>
  <c r="H44" i="14" s="1"/>
  <c r="D530" i="14"/>
  <c r="D531" i="14" s="1"/>
  <c r="D532" i="14" s="1"/>
  <c r="D495" i="14"/>
  <c r="D523" i="14" s="1"/>
  <c r="F44" i="14" s="1"/>
  <c r="S44" i="14" l="1"/>
  <c r="AJ44" i="14"/>
  <c r="N44" i="14"/>
  <c r="E542" i="14"/>
  <c r="G43" i="14" s="1"/>
  <c r="D497" i="14"/>
  <c r="H542" i="14" s="1"/>
  <c r="H43" i="14" s="1"/>
  <c r="D534" i="14"/>
  <c r="H544" i="14" s="1"/>
  <c r="H45" i="14" s="1"/>
  <c r="E544" i="14"/>
  <c r="G45" i="14" s="1"/>
  <c r="O44" i="14" l="1"/>
  <c r="U44" i="14" s="1"/>
  <c r="N45" i="14"/>
  <c r="AJ45" i="14"/>
  <c r="N43" i="14"/>
  <c r="O43" i="14" s="1"/>
  <c r="AJ43" i="14"/>
  <c r="H546" i="14"/>
  <c r="W44" i="14" l="1"/>
  <c r="X44" i="14" s="1"/>
  <c r="Y44" i="14" s="1"/>
  <c r="AA44" i="14" s="1"/>
  <c r="O45" i="14"/>
  <c r="P43" i="14" s="1"/>
  <c r="AK43" i="14"/>
  <c r="U43" i="14"/>
  <c r="U45" i="14" l="1"/>
  <c r="V43" i="14"/>
  <c r="W43" i="14" s="1"/>
  <c r="X43" i="14" s="1"/>
  <c r="W45" i="14" l="1"/>
  <c r="X45" i="14" s="1"/>
  <c r="Y43" i="14"/>
  <c r="AA43" i="14" s="1"/>
  <c r="Y45" i="14" l="1"/>
  <c r="AA45" i="14" s="1"/>
  <c r="Z43" i="14"/>
  <c r="AB43" i="14" l="1"/>
  <c r="AC46" i="14"/>
  <c r="AC44" i="14"/>
  <c r="AC45" i="14"/>
  <c r="AC43" i="14"/>
  <c r="AG43" i="14" l="1"/>
  <c r="CD61" i="100" l="1"/>
  <c r="BC66" i="100" s="1"/>
  <c r="AC35" i="81"/>
  <c r="AF36" i="81"/>
  <c r="AF37" i="81" s="1"/>
  <c r="AF39" i="81"/>
  <c r="AF43" i="81" s="1"/>
  <c r="AF47" i="81" s="1"/>
  <c r="AF51" i="81" l="1"/>
  <c r="AC47" i="81"/>
  <c r="AC37" i="81"/>
  <c r="AF38" i="81"/>
  <c r="AC38" i="81" s="1"/>
  <c r="AC36" i="81"/>
  <c r="AF44" i="81"/>
  <c r="AF48" i="81" s="1"/>
  <c r="AC48" i="81" s="1"/>
  <c r="AC43" i="81"/>
  <c r="AF40" i="81"/>
  <c r="AC39" i="81"/>
  <c r="AN60" i="87" l="1"/>
  <c r="AN61" i="87"/>
  <c r="AQ60" i="87"/>
  <c r="AQ61" i="87"/>
  <c r="AN62" i="87"/>
  <c r="AG35" i="81"/>
  <c r="AC40" i="81"/>
  <c r="AF41" i="81"/>
  <c r="AF45" i="81"/>
  <c r="AF49" i="81" s="1"/>
  <c r="AC49" i="81" s="1"/>
  <c r="AC44" i="81"/>
  <c r="AC51" i="81"/>
  <c r="AN63" i="87" s="1"/>
  <c r="AF55" i="81"/>
  <c r="AF59" i="81" s="1"/>
  <c r="AF52" i="81"/>
  <c r="AO60" i="87" l="1"/>
  <c r="AO61" i="87"/>
  <c r="AO62" i="87"/>
  <c r="AC59" i="81"/>
  <c r="AF56" i="81"/>
  <c r="AF60" i="81" s="1"/>
  <c r="AC60" i="81" s="1"/>
  <c r="AC55" i="81"/>
  <c r="AF46" i="81"/>
  <c r="AF50" i="81" s="1"/>
  <c r="AC45" i="81"/>
  <c r="AF42" i="81"/>
  <c r="AC41" i="81"/>
  <c r="AP60" i="87" s="1"/>
  <c r="AC52" i="81"/>
  <c r="AO63" i="87" s="1"/>
  <c r="AF53" i="81"/>
  <c r="AS60" i="87" l="1"/>
  <c r="AN65" i="87"/>
  <c r="AN64" i="87"/>
  <c r="AS64" i="87" s="1"/>
  <c r="AP61" i="87"/>
  <c r="AS61" i="87" s="1"/>
  <c r="AP62" i="87"/>
  <c r="AS62" i="87" s="1"/>
  <c r="AQ63" i="87"/>
  <c r="AG39" i="81"/>
  <c r="AF54" i="81"/>
  <c r="AC53" i="81"/>
  <c r="AP63" i="87" s="1"/>
  <c r="AG43" i="81"/>
  <c r="AF57" i="81"/>
  <c r="AF61" i="81" s="1"/>
  <c r="AC61" i="81" s="1"/>
  <c r="AC56" i="81"/>
  <c r="AO65" i="87" s="1"/>
  <c r="AS63" i="87" l="1"/>
  <c r="AG51" i="81"/>
  <c r="AC63" i="81"/>
  <c r="AN66" i="87" s="1"/>
  <c r="AF67" i="81"/>
  <c r="AF64" i="81"/>
  <c r="AC57" i="81"/>
  <c r="AP65" i="87" s="1"/>
  <c r="AS65" i="87" s="1"/>
  <c r="AF58" i="81"/>
  <c r="AF62" i="81" s="1"/>
  <c r="AG55" i="81" l="1"/>
  <c r="AC67" i="81"/>
  <c r="AN67" i="87" s="1"/>
  <c r="AF68" i="81"/>
  <c r="AC64" i="81"/>
  <c r="AF65" i="81"/>
  <c r="AO66" i="87" l="1"/>
  <c r="AF66" i="81"/>
  <c r="AC66" i="81" s="1"/>
  <c r="AQ66" i="87" s="1"/>
  <c r="AC65" i="81"/>
  <c r="AF69" i="81"/>
  <c r="AC68" i="81"/>
  <c r="AO67" i="87" s="1"/>
  <c r="AP66" i="87" l="1"/>
  <c r="AS66" i="87" s="1"/>
  <c r="AQ68" i="87"/>
  <c r="AG63" i="81"/>
  <c r="AF72" i="81"/>
  <c r="AC71" i="81"/>
  <c r="AC69" i="81"/>
  <c r="AP67" i="87" s="1"/>
  <c r="AF70" i="81"/>
  <c r="AC70" i="81" s="1"/>
  <c r="AQ67" i="87" s="1"/>
  <c r="AS67" i="87" l="1"/>
  <c r="AQ70" i="87"/>
  <c r="AQ69" i="87"/>
  <c r="AG67" i="81"/>
  <c r="AF73" i="81"/>
  <c r="AC72" i="81"/>
  <c r="AF76" i="81" l="1"/>
  <c r="AF77" i="81" s="1"/>
  <c r="AF78" i="81" s="1"/>
  <c r="AC75" i="81"/>
  <c r="AC73" i="81"/>
  <c r="AF74" i="81"/>
  <c r="AN70" i="87" l="1"/>
  <c r="AN68" i="87"/>
  <c r="AN69" i="87"/>
  <c r="AO70" i="87"/>
  <c r="AO68" i="87"/>
  <c r="AO69" i="87"/>
  <c r="AN71" i="87"/>
  <c r="AP70" i="87"/>
  <c r="AO71" i="87"/>
  <c r="AG71" i="81"/>
  <c r="AG75" i="81"/>
  <c r="AP69" i="87"/>
  <c r="AS69" i="87" l="1"/>
  <c r="AS70" i="87"/>
  <c r="AP68" i="87"/>
  <c r="AS68" i="87" s="1"/>
  <c r="AP71" i="87"/>
  <c r="AS7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tc={270C8276-CA15-9041-A52E-523FFDE27232}</author>
  </authors>
  <commentList>
    <comment ref="C65" authorId="0" shapeId="0" xr:uid="{00000000-0006-0000-0500-000001000000}">
      <text>
        <t>[Threaded comment]
Your version of Excel allows you to read this threaded comment; however, any edits to it will get removed if the file is opened in a newer version of Excel. Learn more: https://go.microsoft.com/fwlink/?linkid=870924
Comment:
    These are applied later !!!!!</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tc={7688FEA0-EC17-D947-83A6-FB828E7173D5}</author>
    <author>tc={4B4794C2-65BF-E94D-8043-3E2AA929EC48}</author>
  </authors>
  <commentList>
    <comment ref="C29" authorId="0" shapeId="0" xr:uid="{00000000-0006-0000-2B00-000001000000}">
      <text>
        <t xml:space="preserve">[Threaded comment]
Your version of Excel allows you to read this threaded comment; however, any edits to it will get removed if the file is opened in a newer version of Excel. Learn more: https://go.microsoft.com/fwlink/?linkid=870924
Comment:
    Note to Michelle 2021/03/10: I guess for these the generic map will just be all of australia, and then when April cuts it it’ll reduce down to the species blob maps B,C and D. </t>
      </text>
    </comment>
    <comment ref="B49" authorId="1" shapeId="0" xr:uid="{00000000-0006-0000-2B00-000002000000}">
      <text>
        <t xml:space="preserve">[Threaded comment]
Your version of Excel allows you to read this threaded comment; however, any edits to it will get removed if the file is opened in a newer version of Excel. Learn more: https://go.microsoft.com/fwlink/?linkid=870924
Comment:
    This one is only for general management,  this is not included in the threatened species threat abatement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tc={D59DCF0F-7700-3A4C-ABDD-FA1AA2B28DD9}</author>
    <author>tc={40240153-A26B-DA43-B0BA-A835D936F997}</author>
  </authors>
  <commentList>
    <comment ref="U23" authorId="0" shapeId="0" xr:uid="{00000000-0006-0000-2D00-000001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 ref="AB23" authorId="1" shapeId="0" xr:uid="{00000000-0006-0000-2D00-000002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tc={CF5FB3E2-B99C-B740-A6B7-4ED00BE957F5}</author>
  </authors>
  <commentList>
    <comment ref="U39"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tc={F1A2F3A3-CB19-E24C-9546-A314BDD61B6B}</author>
    <author>tc={E2FE122E-4814-CC47-9301-CFBA26366696}</author>
    <author>tc={A7061BA6-E489-694A-92F7-600026C33F32}</author>
  </authors>
  <commentList>
    <comment ref="U43" authorId="0" shapeId="0" xr:uid="{00000000-0006-0000-1300-000001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 ref="AB43" authorId="1" shapeId="0" xr:uid="{00000000-0006-0000-1300-000002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 ref="U47" authorId="2" shapeId="0" xr:uid="{00000000-0006-0000-1300-000003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tc={37D70F77-6AEC-0D44-A13D-30A46F8255CC}</author>
    <author>tc={8745D2A5-B026-BB4D-ABF8-1D28A2E0553B}</author>
    <author>tc={A9E81EFD-79CB-1E4A-A90E-905EFEA5507C}</author>
    <author>tc={493F2501-076C-F04E-AA44-1230C4176769}</author>
    <author>tc={984651CB-F8D0-094C-BB71-754C582D6227}</author>
    <author>tc={899F0018-DED3-A74F-8DC8-CBA6FB40E6F3}</author>
    <author>tc={D79B3D5E-BDED-EF49-8E28-2DD16B0E24AE}</author>
    <author>tc={ADF45F8E-61E0-F344-9D71-A9B840B9B571}</author>
  </authors>
  <commentList>
    <comment ref="U43" authorId="0" shapeId="0" xr:uid="{00000000-0006-0000-1500-000001000000}">
      <text>
        <t xml:space="preserve">[Threaded comment]
Your version of Excel allows you to read this threaded comment; however, any edits to it will get removed if the file is opened in a newer version of Excel. Learn more: https://go.microsoft.com/fwlink/?linkid=870924
Comment:
    This is not divided by 100km2 as it is a non-spatial cost
</t>
      </text>
    </comment>
    <comment ref="AB43" authorId="1" shapeId="0" xr:uid="{00000000-0006-0000-1500-000002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 ref="N55" authorId="2" shapeId="0" xr:uid="{00000000-0006-0000-1500-000003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56" authorId="3" shapeId="0" xr:uid="{00000000-0006-0000-1500-000004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57" authorId="4" shapeId="0" xr:uid="{00000000-0006-0000-1500-000005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63" authorId="5" shapeId="0" xr:uid="{00000000-0006-0000-1500-000006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64" authorId="6" shapeId="0" xr:uid="{00000000-0006-0000-1500-000007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65" authorId="7" shapeId="0" xr:uid="{00000000-0006-0000-1500-000008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tc={F6E21CA8-DC5C-FA44-B0AA-3E1ED3427353}</author>
  </authors>
  <commentList>
    <comment ref="U39" authorId="0" shapeId="0" xr:uid="{00000000-0006-0000-1700-000001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tc={5F3ADDB3-1710-AA4B-A287-6AA8AFBF0A31}</author>
  </authors>
  <commentList>
    <comment ref="U31" authorId="0" shapeId="0" xr:uid="{00000000-0006-0000-1B00-000001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tc={18B50DA4-A1F0-D245-AA6F-575B6C145CEE}</author>
    <author>tc={3F075882-E5C8-CA4C-905B-9790A40FBD91}</author>
  </authors>
  <commentList>
    <comment ref="N51" authorId="0" shapeId="0" xr:uid="{00000000-0006-0000-2500-000001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75" authorId="1" shapeId="0" xr:uid="{00000000-0006-0000-2500-000002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tc={2FF71A2A-AAD2-5C41-AADB-6A6CF550182A}</author>
    <author>tc={7C6517A7-E660-D84A-B729-1556448CA5D1}</author>
  </authors>
  <commentList>
    <comment ref="U39" authorId="0" shapeId="0" xr:uid="{00000000-0006-0000-2800-000001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 ref="AB39" authorId="1" shapeId="0" xr:uid="{00000000-0006-0000-2800-000002000000}">
      <text>
        <t>[Threaded comment]
Your version of Excel allows you to read this threaded comment; however, any edits to it will get removed if the file is opened in a newer version of Excel. Learn more: https://go.microsoft.com/fwlink/?linkid=870924
Comment:
    This is not divided across 100km2 as it is a a non-spatial cost</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tc={C80FA112-F620-BE48-939E-21816282B3FB}</author>
    <author>tc={A992BD4D-56A7-E647-B6CC-A376E87055E7}</author>
    <author>tc={F91BF3C3-962D-5444-9070-A2C2E92883D9}</author>
    <author>tc={6AD16A79-0DD0-2447-BDA0-A369ED593BA5}</author>
    <author>tc={F510C591-CEA7-A248-A9CE-06D8CB6744D8}</author>
    <author>tc={784DDAFF-5D5B-1941-B972-2CFA3DF1D433}</author>
    <author>tc={A05671A2-3B45-AD4B-8B7C-EC4EABBAC870}</author>
    <author>tc={93221B7A-DF17-1641-B49C-CF4E5BAAE50B}</author>
    <author>tc={A2B115C9-675C-D846-A536-17DB19BB4858}</author>
  </authors>
  <commentList>
    <comment ref="N55" authorId="0" shapeId="0" xr:uid="{00000000-0006-0000-2A00-000001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56" authorId="1" shapeId="0" xr:uid="{00000000-0006-0000-2A00-000002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57" authorId="2" shapeId="0" xr:uid="{00000000-0006-0000-2A00-000003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63" authorId="3" shapeId="0" xr:uid="{00000000-0006-0000-2A00-000004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64" authorId="4" shapeId="0" xr:uid="{00000000-0006-0000-2A00-000005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65" authorId="5" shapeId="0" xr:uid="{00000000-0006-0000-2A00-000006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71" authorId="6" shapeId="0" xr:uid="{00000000-0006-0000-2A00-000007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72" authorId="7" shapeId="0" xr:uid="{00000000-0006-0000-2A00-000008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 ref="N73" authorId="8" shapeId="0" xr:uid="{00000000-0006-0000-2A00-000009000000}">
      <text>
        <t>[Threaded comment]
Your version of Excel allows you to read this threaded comment; however, any edits to it will get removed if the file is opened in a newer version of Excel. Learn more: https://go.microsoft.com/fwlink/?linkid=870924
Comment:
    I have minused the first years cost from this, as it only occurs from the subsequent years!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<sst xmlns="http://schemas.openxmlformats.org/spreadsheetml/2006/main" count="14291" uniqueCount="2627">
  <si>
    <t>Threat Name</t>
  </si>
  <si>
    <t>Threat Layer</t>
  </si>
  <si>
    <t>Action name</t>
  </si>
  <si>
    <t>Labour</t>
  </si>
  <si>
    <t>Consumables</t>
  </si>
  <si>
    <t>Coordinated invasive predator control (cats, foxes, dingoes)</t>
  </si>
  <si>
    <t>Invasive vertebrates (cats, foxes and dingoes)</t>
  </si>
  <si>
    <t>Action objective</t>
  </si>
  <si>
    <t>Action outcome</t>
  </si>
  <si>
    <t xml:space="preserve">Threatened species are persistent over 80 years with invasive predators managed at sustainable levels. </t>
  </si>
  <si>
    <t>Context</t>
  </si>
  <si>
    <t xml:space="preserve">Cats and foxes are invasive predators that occur across Australia that can't be eradicated on the mainland and baiting is the accepted practice. Dingoes are protected in Victoria on public land but considered a pest to agricultural species elsewhere and can be baited. </t>
  </si>
  <si>
    <t>Costs</t>
  </si>
  <si>
    <t>Action details/notes</t>
  </si>
  <si>
    <t>Cost Details</t>
  </si>
  <si>
    <t>On-going</t>
  </si>
  <si>
    <t>interest rate</t>
  </si>
  <si>
    <t>r</t>
  </si>
  <si>
    <t>k</t>
  </si>
  <si>
    <t>Threat</t>
  </si>
  <si>
    <t>Action</t>
  </si>
  <si>
    <t>Equipment</t>
  </si>
  <si>
    <t>Action method</t>
  </si>
  <si>
    <t>Management Area</t>
  </si>
  <si>
    <t>Rough</t>
  </si>
  <si>
    <t>Moderate</t>
  </si>
  <si>
    <t>Multiplier navigation (Mnav) based on terrain roughness: 1 - smooth, 0.86 - rough</t>
  </si>
  <si>
    <t>Multiplier surface (Msurf): planar area/surface area</t>
  </si>
  <si>
    <t>Ground baiting</t>
  </si>
  <si>
    <t>Manage at low densities</t>
  </si>
  <si>
    <t>Components</t>
  </si>
  <si>
    <t>Personnel required per activity</t>
  </si>
  <si>
    <t>Daily rate (AUD) for labour assuming 7.5 hours/day</t>
  </si>
  <si>
    <t>Transit speed (km/h)</t>
  </si>
  <si>
    <t>Working speed (km/h)</t>
  </si>
  <si>
    <t>Hourly rate (AUD)</t>
  </si>
  <si>
    <t>Cost for travel time only</t>
  </si>
  <si>
    <t>Cost for labour activity only</t>
  </si>
  <si>
    <t>Activity Assumptions</t>
  </si>
  <si>
    <t>Cost for labour activity only (for all personnel)</t>
  </si>
  <si>
    <t>Annual Rate (AUD) for labour assuming 250 working days in a year</t>
  </si>
  <si>
    <t>Total items/kgs needed</t>
  </si>
  <si>
    <t>Equipment Cost</t>
  </si>
  <si>
    <t>Total equipment cost</t>
  </si>
  <si>
    <t>Personnel required for flying activity</t>
  </si>
  <si>
    <t>Hourly rate for flying (AUD)</t>
  </si>
  <si>
    <t>Maixmum distance to fly before refuelling (km)</t>
  </si>
  <si>
    <t>Maximum flight distance before refuelling (km)</t>
  </si>
  <si>
    <t>Need to refuel?</t>
  </si>
  <si>
    <t>Labour activity (Air)</t>
  </si>
  <si>
    <t>Labour activity (road)</t>
  </si>
  <si>
    <t>Cost for ute hire for travel to and from operations centre</t>
  </si>
  <si>
    <t>cost for ute hire while ute is sitting there while activity is done</t>
  </si>
  <si>
    <t>Cost for ute hire for the whole activity</t>
  </si>
  <si>
    <t>Transport costs (road)</t>
  </si>
  <si>
    <t>Transport costs (Air)</t>
  </si>
  <si>
    <t>Cost for flying activity</t>
  </si>
  <si>
    <t>Pre-action office planning</t>
  </si>
  <si>
    <t>Pre-action field planning</t>
  </si>
  <si>
    <t>Post-action monitoring</t>
  </si>
  <si>
    <t>Person hours required for pre-office planning</t>
  </si>
  <si>
    <t>weeks</t>
  </si>
  <si>
    <t>FTE</t>
  </si>
  <si>
    <t>Frequency description</t>
  </si>
  <si>
    <t>TRANSPORT</t>
  </si>
  <si>
    <t>Transport to get to site and back</t>
  </si>
  <si>
    <t>Annuity details</t>
  </si>
  <si>
    <t>Consumables cost</t>
  </si>
  <si>
    <t>Area covered (km2)</t>
  </si>
  <si>
    <t>Description</t>
  </si>
  <si>
    <t>Accomodation</t>
  </si>
  <si>
    <t>Meal allowance (15+20+25)</t>
  </si>
  <si>
    <t>Need accomodation?</t>
  </si>
  <si>
    <t>Nights needed for accomodation</t>
  </si>
  <si>
    <t>Accomodation + Food Cost</t>
  </si>
  <si>
    <t>Base walking speed assumed 4.46km/h, and all multipliers (Mx) are &lt;1 that reduce the walking speed. </t>
  </si>
  <si>
    <t>Msurt: Terrain surface area (planar area/surface area) (e.g. rugged terrain has more surface area than flat terrain → more ground to be covered → slower walking speed. Calculated per action polygon as the surface area/planar area using DEM. )</t>
  </si>
  <si>
    <t>Mnav: navigation on rough terrain  (i.e. 0.86 Rugged terrain which requires navigation (i.e. has rocks, boulders etc.) → walking speed 14% slower than on smooth terrain. Accounts for behavioural change. Use depth to bedrock. BINARY )</t>
  </si>
  <si>
    <t>Mveg: Vegetation type (Based on vegetation density, e.g. Foliage projective cover)</t>
  </si>
  <si>
    <t>TW - transect width (km)</t>
  </si>
  <si>
    <t>Area</t>
  </si>
  <si>
    <t>With road transport and manual activity: the cost is the time it takes for the staff to get from the management depot to the operations centre, time to conduct the action and accommodation/meals.</t>
  </si>
  <si>
    <t>Set assumptions from above</t>
  </si>
  <si>
    <t>Although more personnel working on the same job might reduce the job time, but certain activities require a minimum number of personnel</t>
  </si>
  <si>
    <t>Pr = Personnel required</t>
  </si>
  <si>
    <t>Di = distance from operations centre to closest city</t>
  </si>
  <si>
    <t>Sr = transit speed of vehicle</t>
  </si>
  <si>
    <t>Accom = acomodation and meals per night</t>
  </si>
  <si>
    <t>For all personnel</t>
  </si>
  <si>
    <t xml:space="preserve">Road costs (R) involves the cost of time to drive from the depot to the operations centre (and back), the time the vehicle is required in the management area while the management action is being done. </t>
  </si>
  <si>
    <t>Person hours required per hectare for action</t>
  </si>
  <si>
    <t>Assumptions from above</t>
  </si>
  <si>
    <t>Person hours required/ha</t>
  </si>
  <si>
    <t>Rc = daily cost for ute hire including petrol</t>
  </si>
  <si>
    <t>Ph = person hours required per km2</t>
  </si>
  <si>
    <t xml:space="preserve">1st term is the number of person days for one personnel to get to the management site: </t>
  </si>
  <si>
    <t>2nd term is days required for action (for one person)</t>
  </si>
  <si>
    <t>1st term is the days to get to the management site</t>
  </si>
  <si>
    <t>2nd term = days vehicle has to stay or be used at management site</t>
  </si>
  <si>
    <r>
      <t>Ld</t>
    </r>
    <r>
      <rPr>
        <sz val="14"/>
        <color rgb="FF000000"/>
        <rFont val="Calibri"/>
        <family val="2"/>
      </rPr>
      <t xml:space="preserve"> = daily cost for labour (AUD)</t>
    </r>
  </si>
  <si>
    <r>
      <t>Pr</t>
    </r>
    <r>
      <rPr>
        <sz val="12"/>
        <color rgb="FF000000"/>
        <rFont val="Calibri"/>
        <family val="2"/>
      </rPr>
      <t xml:space="preserve"> = personnel required; </t>
    </r>
    <r>
      <rPr>
        <i/>
        <sz val="12"/>
        <color rgb="FF000000"/>
        <rFont val="Calibri"/>
        <family val="2"/>
      </rPr>
      <t>Di/Sr</t>
    </r>
    <r>
      <rPr>
        <sz val="12"/>
        <color rgb="FF000000"/>
        <rFont val="Calibri"/>
        <family val="2"/>
      </rPr>
      <t xml:space="preserve"> = travel time, where </t>
    </r>
    <r>
      <rPr>
        <i/>
        <sz val="12"/>
        <color rgb="FF000000"/>
        <rFont val="Calibri"/>
        <family val="2"/>
      </rPr>
      <t>Di</t>
    </r>
    <r>
      <rPr>
        <sz val="12"/>
        <color rgb="FF000000"/>
        <rFont val="Calibri"/>
        <family val="2"/>
      </rPr>
      <t xml:space="preserve"> = distance from the depot to operations centre;  </t>
    </r>
    <r>
      <rPr>
        <i/>
        <sz val="12"/>
        <color rgb="FF000000"/>
        <rFont val="Calibri"/>
        <family val="2"/>
      </rPr>
      <t>Sr</t>
    </r>
    <r>
      <rPr>
        <sz val="12"/>
        <color rgb="FF000000"/>
        <rFont val="Calibri"/>
        <family val="2"/>
      </rPr>
      <t xml:space="preserve"> = transit speed. </t>
    </r>
  </si>
  <si>
    <t>With flying transport and flying activity: the cost is to get the staff to and from the depot (closest city) to the operations centre by air transport, conduct the activity by air, and acccommodation/meals.</t>
  </si>
  <si>
    <r>
      <t>Ld</t>
    </r>
    <r>
      <rPr>
        <sz val="12"/>
        <color rgb="FF000000"/>
        <rFont val="Calibri"/>
        <family val="2"/>
      </rPr>
      <t xml:space="preserve"> = daily cost for labour (AUD)</t>
    </r>
  </si>
  <si>
    <t>Sf= transit speed of flying craft</t>
  </si>
  <si>
    <t>Sw=working speed of flying craft</t>
  </si>
  <si>
    <t>TW=transect width</t>
  </si>
  <si>
    <t>Db = distance from aircraft base to operations centre</t>
  </si>
  <si>
    <t>Di = maximal distance from operations centre to managemnet area boundary</t>
  </si>
  <si>
    <r>
      <t>1st term is the total time for personnel (</t>
    </r>
    <r>
      <rPr>
        <i/>
        <sz val="14"/>
        <color rgb="FF000000"/>
        <rFont val="Times New Roman"/>
        <family val="1"/>
      </rPr>
      <t>Pr</t>
    </r>
    <r>
      <rPr>
        <sz val="14"/>
        <color rgb="FF000000"/>
        <rFont val="Times New Roman"/>
        <family val="1"/>
      </rPr>
      <t xml:space="preserve">) to travel from aircraft base to operations centre, </t>
    </r>
    <r>
      <rPr>
        <i/>
        <sz val="14"/>
        <color rgb="FF000000"/>
        <rFont val="Times New Roman"/>
        <family val="1"/>
      </rPr>
      <t>Db</t>
    </r>
    <r>
      <rPr>
        <sz val="14"/>
        <color rgb="FF000000"/>
        <rFont val="Times New Roman"/>
        <family val="1"/>
      </rPr>
      <t xml:space="preserve"> = distance from the aircraft base (closest city) to the operations centre, </t>
    </r>
    <r>
      <rPr>
        <i/>
        <sz val="14"/>
        <color rgb="FF000000"/>
        <rFont val="Times New Roman"/>
        <family val="1"/>
      </rPr>
      <t>Sf</t>
    </r>
    <r>
      <rPr>
        <sz val="14"/>
        <color rgb="FF000000"/>
        <rFont val="Times New Roman"/>
        <family val="1"/>
      </rPr>
      <t xml:space="preserve"> = travel speed of aircraft.</t>
    </r>
  </si>
  <si>
    <r>
      <t>2nd term is the time flying for one personnel. Total flight distance = Area/ transect width; and then divided by aircraft speed (</t>
    </r>
    <r>
      <rPr>
        <i/>
        <sz val="12"/>
        <color rgb="FF000000"/>
        <rFont val="Times New Roman"/>
        <family val="1"/>
      </rPr>
      <t>Sw</t>
    </r>
    <r>
      <rPr>
        <sz val="12"/>
        <color rgb="FF000000"/>
        <rFont val="Times New Roman"/>
        <family val="1"/>
      </rPr>
      <t>).</t>
    </r>
  </si>
  <si>
    <r>
      <t xml:space="preserve">3rd term is the time taken for refuelling trips: </t>
    </r>
    <r>
      <rPr>
        <i/>
        <sz val="12"/>
        <color rgb="FF000000"/>
        <rFont val="Times New Roman"/>
        <family val="1"/>
      </rPr>
      <t>R</t>
    </r>
    <r>
      <rPr>
        <sz val="12"/>
        <color rgb="FF000000"/>
        <rFont val="Times New Roman"/>
        <family val="1"/>
      </rPr>
      <t xml:space="preserve"> = max flight distance in one trip, </t>
    </r>
    <r>
      <rPr>
        <i/>
        <sz val="12"/>
        <color rgb="FF000000"/>
        <rFont val="Times New Roman"/>
        <family val="1"/>
      </rPr>
      <t>Di</t>
    </r>
    <r>
      <rPr>
        <sz val="12"/>
        <color rgb="FF000000"/>
        <rFont val="Times New Roman"/>
        <family val="1"/>
      </rPr>
      <t xml:space="preserve"> = distance from the centroid to the furthest point in the polygon and remains constant for the area.</t>
    </r>
  </si>
  <si>
    <t>Number of times required to do refuelling</t>
  </si>
  <si>
    <t>Days it takes to get ONE personnel from aircraft base to operations centre (and back)</t>
  </si>
  <si>
    <t>Days required to do all the aerial work</t>
  </si>
  <si>
    <t>Days required to do refuelling</t>
  </si>
  <si>
    <t>Total days needed for labour for one personnel</t>
  </si>
  <si>
    <t>Number of nights for accomodation and food</t>
  </si>
  <si>
    <t>cost for accommodation and meals</t>
  </si>
  <si>
    <t>Cost for refuelling</t>
  </si>
  <si>
    <t xml:space="preserve">Flying Transport involves cost from the aircraft operator base to the operations centre (and back), then the flying time to conduct the action in the management area. </t>
  </si>
  <si>
    <t>Fc= hourly cost of helicopter and pilot</t>
  </si>
  <si>
    <t>1st term is the cost to get from the aircraft operator base to the operations centre</t>
  </si>
  <si>
    <t xml:space="preserve">2nd term is the time flying while doing the action: </t>
  </si>
  <si>
    <t>Db is the distance from the aircraft operator base to the operations centre, Sf is the travel speed of the aircraft </t>
  </si>
  <si>
    <t>The action requires a total flight distance calculated by Area divided by TW the transect width or swath, and this is then divided by Sw the working aircraft speed to get the time needed for flying.  </t>
  </si>
  <si>
    <t>3rd term is the # trips required to perform the task, multiplied by the time it takes to go and come back for refuelling:</t>
  </si>
  <si>
    <t>R = maximum flight distance in one trip, Di = distance to return to operations centre [=distance from the centroid to the furthest point in the spatial polygon]</t>
  </si>
  <si>
    <t>Cost for flying back to refuel</t>
  </si>
  <si>
    <t>Consumables needed for the activity</t>
  </si>
  <si>
    <t>Cost per consumable</t>
  </si>
  <si>
    <t>consumable needed/km2</t>
  </si>
  <si>
    <t>All the planning, scoping, meetings, prioritsation etc. that occurs in the office before heading out to the field</t>
  </si>
  <si>
    <t>Travel</t>
  </si>
  <si>
    <t>Total number of days needed</t>
  </si>
  <si>
    <t>Percentage of field needed to be assessed</t>
  </si>
  <si>
    <t>Total days</t>
  </si>
  <si>
    <t>Generic Input</t>
  </si>
  <si>
    <t>What is the proportion of time spent on an activity per hour</t>
  </si>
  <si>
    <t>days</t>
  </si>
  <si>
    <t>Sense checking</t>
  </si>
  <si>
    <t>Output table</t>
  </si>
  <si>
    <t>Source</t>
  </si>
  <si>
    <t>https://www.awe.gov.au/sites/default/files/2020-01/schedule-salaries-allowances-determination-enterprise-agreement-2016-2019.pdf</t>
  </si>
  <si>
    <t>AWE salaries</t>
  </si>
  <si>
    <t>Australian public service (APS) levels 1-6 and Executive level (EL) levels 1 &amp; 2</t>
  </si>
  <si>
    <t>I created 2 levels for APS and 1 for EL that reflect the averages in the ranges</t>
  </si>
  <si>
    <t>On-costs multiplier</t>
  </si>
  <si>
    <t>https://www.hr.unsw.edu.au/services/salaries/oncosts.html</t>
  </si>
  <si>
    <t>Just a baseline from UNSW HR</t>
  </si>
  <si>
    <t xml:space="preserve">Accomodation per night. In scenario where accomdoation is not possible, this money can be set aside for hardship payments, investment to infrastructure etc. </t>
  </si>
  <si>
    <t>Travel Flying</t>
  </si>
  <si>
    <t>Travel Boat</t>
  </si>
  <si>
    <t>Post-action analysis</t>
  </si>
  <si>
    <t>Person hours required for reporting, analysis and feedback into cycle</t>
  </si>
  <si>
    <t>Weeks</t>
  </si>
  <si>
    <t>Days</t>
  </si>
  <si>
    <t xml:space="preserve">Accomodation and meals for the duration: Accom is the cost per night for accomodation and 3 meals. </t>
  </si>
  <si>
    <t>Total Days needed for ONE personnel</t>
  </si>
  <si>
    <t>Uncertainty Multipliers</t>
  </si>
  <si>
    <t>GIS Input</t>
  </si>
  <si>
    <t>GIS info</t>
  </si>
  <si>
    <t xml:space="preserve">Accomodation needed for the activity if longer than 1 day. </t>
  </si>
  <si>
    <t>Cost for pre-action planning labour</t>
  </si>
  <si>
    <t xml:space="preserve">Pre-action field planning assumes only a representative portion needs to be surveyed. </t>
  </si>
  <si>
    <t>Post action monitoring</t>
  </si>
  <si>
    <t>Total cost</t>
  </si>
  <si>
    <t>Cost</t>
  </si>
  <si>
    <t>Management action 1</t>
  </si>
  <si>
    <t>The travel is still the same, however the labour and accom is a proportion</t>
  </si>
  <si>
    <t>Consumables (Accomodation)</t>
  </si>
  <si>
    <t>% for planning</t>
  </si>
  <si>
    <t>Total days needed for one personnel</t>
  </si>
  <si>
    <t>Component</t>
  </si>
  <si>
    <t>Area covered</t>
  </si>
  <si>
    <t>distance</t>
  </si>
  <si>
    <t>Nights needed for accomodation for all personnel</t>
  </si>
  <si>
    <t>Conusmables (bait)</t>
  </si>
  <si>
    <t>Total days needed for helicopter</t>
  </si>
  <si>
    <t>Cost per camera</t>
  </si>
  <si>
    <t>Assumptions</t>
  </si>
  <si>
    <t>NPV for 80 years</t>
  </si>
  <si>
    <t>Total NPV for 5 years</t>
  </si>
  <si>
    <t>Cost for reporting, analysis and feedback</t>
  </si>
  <si>
    <t>Daily rate (AUD) for vessel charter</t>
  </si>
  <si>
    <t>These inputs are applied to each and every spatial polygon</t>
  </si>
  <si>
    <t>Cost categories</t>
  </si>
  <si>
    <t>80 year NPV calculation</t>
  </si>
  <si>
    <t>5 year NPV calculation</t>
  </si>
  <si>
    <t>5 year horizon</t>
  </si>
  <si>
    <t>80 year horizon</t>
  </si>
  <si>
    <t>NPV for 5 years</t>
  </si>
  <si>
    <t>Direct Management (For one action area)</t>
  </si>
  <si>
    <t xml:space="preserve">This involves the data reporting requirements, the data analysis, and incorporating the insights into the updated management planning. </t>
  </si>
  <si>
    <t>From SoS data</t>
  </si>
  <si>
    <t>Cost = $1.138 - 0.000016*(management area in hectares) +0.95*(montane grasslands shrublands flag) + 1.79*(Temperate broadleaf mixed forest flag)</t>
  </si>
  <si>
    <t>km2</t>
  </si>
  <si>
    <t>hectares</t>
  </si>
  <si>
    <t xml:space="preserve">minimum cost of $0.37 applied to the model (to avoid costs dropping to zero). </t>
  </si>
  <si>
    <t>We assume it is a temperate broadleaf mixed forest</t>
  </si>
  <si>
    <t>Cost per hectare</t>
  </si>
  <si>
    <t>Total cost per year</t>
  </si>
  <si>
    <t>Pre-action office planning 
(L only)</t>
  </si>
  <si>
    <t>Pre-action field planning 
(L + T)</t>
  </si>
  <si>
    <t>Post-action monitoring
(L + T + C + E)</t>
  </si>
  <si>
    <t>Paid every "X" yrs</t>
  </si>
  <si>
    <t>#</t>
  </si>
  <si>
    <t>Total cost per year for aerial</t>
  </si>
  <si>
    <t>From TAP data</t>
  </si>
  <si>
    <t>per hectare</t>
  </si>
  <si>
    <t>Aerial baiting - $1.5- $2/ha for an area of 20,000 ha</t>
  </si>
  <si>
    <t>Cross Check</t>
  </si>
  <si>
    <t>Cross Check Reference</t>
  </si>
  <si>
    <t>Aerial Baiting</t>
  </si>
  <si>
    <t>$30k to $40k to aerial bait 200km2</t>
  </si>
  <si>
    <t>Cost per km2 to aerial bait (range: low)</t>
  </si>
  <si>
    <t>Cost per km2 to aerial bait (range: high)</t>
  </si>
  <si>
    <t>Aerial Low</t>
  </si>
  <si>
    <t>Aerail high</t>
  </si>
  <si>
    <t>Medium</t>
  </si>
  <si>
    <t>Management action 4</t>
  </si>
  <si>
    <t>Sign (materials, not labour)</t>
  </si>
  <si>
    <t>Consumable</t>
  </si>
  <si>
    <t>Signage: education and awareness</t>
  </si>
  <si>
    <t>Management action 3</t>
  </si>
  <si>
    <t>Q2</t>
  </si>
  <si>
    <t>Q1</t>
  </si>
  <si>
    <t>Management action 2</t>
  </si>
  <si>
    <t>Labour 2 - APS High (Experienced)</t>
  </si>
  <si>
    <t>Signage for education and awareness</t>
  </si>
  <si>
    <t>Management Action 3
(L + T + C + E)</t>
  </si>
  <si>
    <t xml:space="preserve">Threatened species are persistent over 80 years with invasive fish managed at sustainable levels. </t>
  </si>
  <si>
    <t>Invasive species management (fish)</t>
  </si>
  <si>
    <t>No threat layer, so presume the threat is everywhere the threatened species exists</t>
  </si>
  <si>
    <t>Invasive vertebrate (fish)</t>
  </si>
  <si>
    <t xml:space="preserve">Large invasive herbivore management </t>
  </si>
  <si>
    <t>Labour 1- APS Low (Entry lvl)</t>
  </si>
  <si>
    <t>Labour 3 - EL (Management)</t>
  </si>
  <si>
    <t>Days it takes to do planning for 100km2</t>
  </si>
  <si>
    <t>Accomodation = Accom* Pr*floor {[ 2 *(Di/Sr) +Ph*Area]/7.5}  </t>
  </si>
  <si>
    <t>Total time spent on activity (hours)</t>
  </si>
  <si>
    <t>L=Ld* Pr*[ 2 *(Di/Sr) + Ph*Area + ActivityTime]/7.5  </t>
  </si>
  <si>
    <t>3rd term is days required to do the activity alone (not walking)</t>
  </si>
  <si>
    <t>2nd term is days required for labour to walk the management site (for one person)</t>
  </si>
  <si>
    <t>R=Rc*[ 2 *(Di/Sr) + Ph*Area + ActivityTime]/7.5  </t>
  </si>
  <si>
    <t>3rd term = days vehicle has to stay or be used at management site</t>
  </si>
  <si>
    <t>Planning occurs every "X" years</t>
  </si>
  <si>
    <t>Field planning occurs every "X" years</t>
  </si>
  <si>
    <t>Post-action reporting</t>
  </si>
  <si>
    <t>Time to construct one sign (days)</t>
  </si>
  <si>
    <t>Total number of signs</t>
  </si>
  <si>
    <t>In other words, time to drive to the operations centre, and time to drive the length of the river + activity time to put signs up</t>
  </si>
  <si>
    <t>R=Rc*[ 2 *(Di/Sr) + RiverLength/Sr + ActivityTime]/7.5  </t>
  </si>
  <si>
    <t>Conusmables (signage)</t>
  </si>
  <si>
    <t>Total distance to be walked</t>
  </si>
  <si>
    <t>Walking speed</t>
  </si>
  <si>
    <t>Total number of trees</t>
  </si>
  <si>
    <t>Length of river (both sides)</t>
  </si>
  <si>
    <t>Days it takes to do planning for 100km length of river</t>
  </si>
  <si>
    <t>There is labour only invovled in this, and we assume that it is done at a "medium" pay grade (experienced) with the assumed hours including the 30% on-costs</t>
  </si>
  <si>
    <t>Reporting occurs every year</t>
  </si>
  <si>
    <t>Pre-action field planning occurs every "X" years</t>
  </si>
  <si>
    <t>Done every "X" years</t>
  </si>
  <si>
    <t>Proportion assessed</t>
  </si>
  <si>
    <t>Occurs every "X" years</t>
  </si>
  <si>
    <t xml:space="preserve"> They cause many problems including: altering or degrading the natural environment, feeding on or destroying native plants; preying on invertebrates, native fish and their eggs; competing with native species for food, habitat or spawning grounds.</t>
  </si>
  <si>
    <t>Invasive fish are a problem to 1 x bird, 5 x inverts, 27 x native fish, 7 x frogs.</t>
  </si>
  <si>
    <t>Management activity 1</t>
  </si>
  <si>
    <t>Labour activity (Aerial culling)</t>
  </si>
  <si>
    <t>Management Action 2
(L + T + C + E)</t>
  </si>
  <si>
    <t>We perform a flying pre-action field planning</t>
  </si>
  <si>
    <t>Effective area due to proportion surveyed</t>
  </si>
  <si>
    <t>https://www.thebarn.net.au/Products/Aussie%20Outback%20308WIN%20Sierra%20Tipped%20Matchking%20168GR/84416</t>
  </si>
  <si>
    <t>cost</t>
  </si>
  <si>
    <t>bullets</t>
  </si>
  <si>
    <t>Cost per bullet</t>
  </si>
  <si>
    <t>.308inch rifle bullets</t>
  </si>
  <si>
    <t>shots per hour</t>
  </si>
  <si>
    <t>Cost per hour</t>
  </si>
  <si>
    <t xml:space="preserve">Costs are broken down into  flying to transit, and flying to shoot and work. </t>
  </si>
  <si>
    <t>Fc= hourly cost of helicopter and pilot with ammunition included</t>
  </si>
  <si>
    <t>From whitsundays report</t>
  </si>
  <si>
    <t>Built an aerial culling model for cost</t>
  </si>
  <si>
    <t xml:space="preserve">TotalCost_PV = $3,883 + 0.84*Area_Servcied_ha
(Adj- R2=22.2%, range = 16-249 animals, range=1040-4746 hectares). </t>
  </si>
  <si>
    <t>Aerial culling cost</t>
  </si>
  <si>
    <t>Generic cost $2.34/ha</t>
  </si>
  <si>
    <t xml:space="preserve">Aerial culling cost </t>
  </si>
  <si>
    <t>This is the ground management (mustering)</t>
  </si>
  <si>
    <t>We assume msutering occurs on X% of the area, and requires quadbikes to perform this task (Same cost as utes per day)</t>
  </si>
  <si>
    <t>Percentage left to be mustered by aerial culling</t>
  </si>
  <si>
    <t>Area to be mustered</t>
  </si>
  <si>
    <t xml:space="preserve">We assume </t>
  </si>
  <si>
    <t>Personnel required</t>
  </si>
  <si>
    <t>Time required (days)</t>
  </si>
  <si>
    <t>Standard area to be mustered (km2)</t>
  </si>
  <si>
    <t>L=Ld* Pr*[ 2 *(Di/Sr) + Activity time]/7.5  </t>
  </si>
  <si>
    <t>2nd term is the time required toperform the activity</t>
  </si>
  <si>
    <t>R=Rc*[ 2 *(Di/Sr) + Activity time]/7.5  </t>
  </si>
  <si>
    <t>Mustering vehicles</t>
  </si>
  <si>
    <t>high</t>
  </si>
  <si>
    <t xml:space="preserve"> </t>
  </si>
  <si>
    <t>invasive/problematic vertebrate management (birds)</t>
  </si>
  <si>
    <t>Personnel</t>
  </si>
  <si>
    <t>Vehicle</t>
  </si>
  <si>
    <t>ha</t>
  </si>
  <si>
    <t>Herbicide</t>
  </si>
  <si>
    <t>Habitat restoration</t>
  </si>
  <si>
    <t>Biosecurity</t>
  </si>
  <si>
    <t>4WD</t>
  </si>
  <si>
    <t>Transport</t>
  </si>
  <si>
    <t>Cost per day</t>
  </si>
  <si>
    <t>Signs</t>
  </si>
  <si>
    <t>Cameras</t>
  </si>
  <si>
    <t>Tree guards</t>
  </si>
  <si>
    <t>Field work</t>
  </si>
  <si>
    <t>Invasive weeds</t>
  </si>
  <si>
    <t>Invasive weed management</t>
  </si>
  <si>
    <t>Management Action 1
( L + T + C + E)</t>
  </si>
  <si>
    <t>Management personnel required</t>
  </si>
  <si>
    <t>Experienced staff required</t>
  </si>
  <si>
    <t>Cost for management</t>
  </si>
  <si>
    <t>cost for experiencd personnel</t>
  </si>
  <si>
    <t xml:space="preserve">The overall impact cost of weeds in Australia is ~$5b, annual expenditure is &lt;10% @ $300m. </t>
  </si>
  <si>
    <t>Cost per sandpads</t>
  </si>
  <si>
    <t>Moderate bush regen</t>
  </si>
  <si>
    <t>Light bush regen</t>
  </si>
  <si>
    <t>With road transport and manual activity: the cost is the time it takes for the staff to get from the management depot to the operations centre, and the invasive weed management cost calculated per hectare</t>
  </si>
  <si>
    <t>Item</t>
  </si>
  <si>
    <t xml:space="preserve">** Based on how many days to do job. </t>
  </si>
  <si>
    <t>Total cost for aerial culling</t>
  </si>
  <si>
    <t>Cost for person hours</t>
  </si>
  <si>
    <t>Cost for aerial</t>
  </si>
  <si>
    <t>Consumables (Accom)</t>
  </si>
  <si>
    <t>Cost per km2</t>
  </si>
  <si>
    <t>Aerial baiting, ground baiting when vegetation is too dense</t>
  </si>
  <si>
    <t>Invasive predators (Cats 152 foxes 94  and dingoes 19) threaten 265 species (139 mammals, 91 birds, 27 reptiles and 8 frogs)</t>
  </si>
  <si>
    <t xml:space="preserve">Large invasive ungulates not only have an impact on threatened species through displacement and competition with native species for food sources and habitats, but also have an impact on the agriculture industry through competitive grazing, crop damage etc. </t>
  </si>
  <si>
    <t>Large Invasive ungulates (Goats, deer, horses, wild cattle, donkey, buffalo and camels)</t>
  </si>
  <si>
    <t>Binary presence data of large invasive ungulates (combined layer)</t>
  </si>
  <si>
    <t>3) put on collar</t>
  </si>
  <si>
    <t>Initial setup costs of USD 7.6k 2005 dollars</t>
  </si>
  <si>
    <t>2) Desex the animal in the field.</t>
  </si>
  <si>
    <t>Assumptions for fly in</t>
  </si>
  <si>
    <t>This has to occur every "X" years for battery replacement or death of animal</t>
  </si>
  <si>
    <t>Labour will be flying to find it, desexing it, and putting on collar, then releasing it strategically (assume this is another 10% of flying area)</t>
  </si>
  <si>
    <t>4) release it strategiclally where there are other herds</t>
  </si>
  <si>
    <t>management area</t>
  </si>
  <si>
    <t>To find the right "judas" animal</t>
  </si>
  <si>
    <t>To find the right strategic release area</t>
  </si>
  <si>
    <t>L=Ld* Pr*[ 2 *(Di/Sr) + JudasSearchArea/TW/Sf + DesexTime + CollarTime + StrategicAreaSearch/TW/Sf]/7.5  </t>
  </si>
  <si>
    <t>Number of "Judases" needed per 100km2</t>
  </si>
  <si>
    <t>Exchange rate (AUD/USD)</t>
  </si>
  <si>
    <t>years since 2005</t>
  </si>
  <si>
    <t>USD</t>
  </si>
  <si>
    <t>AUD</t>
  </si>
  <si>
    <t>Initial costs</t>
  </si>
  <si>
    <t>male desexing</t>
  </si>
  <si>
    <t>female desexing</t>
  </si>
  <si>
    <t>Assuming 50 50</t>
  </si>
  <si>
    <t>Collar cost</t>
  </si>
  <si>
    <t>take maximum time</t>
  </si>
  <si>
    <t>males USD5 and takes 14:57+/- 1.08  minutes in field to perform, </t>
  </si>
  <si>
    <t>females USD17 and takes7:20+/- 2.37 &amp;  8:22+/-0.37  minutes to perform in field (both pregnant and non-pregnant) </t>
  </si>
  <si>
    <t>male</t>
  </si>
  <si>
    <t>female</t>
  </si>
  <si>
    <t>This is the time it takes to desex an animal (mins) (we assume 50:50 M:F)</t>
  </si>
  <si>
    <t>Desex cost (we assume 50:50 M:F)</t>
  </si>
  <si>
    <t>Total area needed to be flown</t>
  </si>
  <si>
    <t>Time to put collar on and callibrate gps(mins)</t>
  </si>
  <si>
    <r>
      <t xml:space="preserve">time taken for refuelling trips: </t>
    </r>
    <r>
      <rPr>
        <i/>
        <sz val="12"/>
        <color rgb="FF000000"/>
        <rFont val="Times New Roman"/>
        <family val="1"/>
      </rPr>
      <t>R</t>
    </r>
    <r>
      <rPr>
        <sz val="12"/>
        <color rgb="FF000000"/>
        <rFont val="Times New Roman"/>
        <family val="1"/>
      </rPr>
      <t xml:space="preserve"> = max flight distance in one trip, </t>
    </r>
    <r>
      <rPr>
        <i/>
        <sz val="12"/>
        <color rgb="FF000000"/>
        <rFont val="Times New Roman"/>
        <family val="1"/>
      </rPr>
      <t>Di</t>
    </r>
    <r>
      <rPr>
        <sz val="12"/>
        <color rgb="FF000000"/>
        <rFont val="Times New Roman"/>
        <family val="1"/>
      </rPr>
      <t xml:space="preserve"> = distance from the centroid to the furthest point in the polygon and remains constant for the area.</t>
    </r>
  </si>
  <si>
    <r>
      <t xml:space="preserve"> time flying for one personnel to find the right judas goat AND to find the strategic area. Total flight distance = Area/ transect width; and then divided by aircraft speed (</t>
    </r>
    <r>
      <rPr>
        <i/>
        <sz val="12"/>
        <color rgb="FF000000"/>
        <rFont val="Times New Roman"/>
        <family val="1"/>
      </rPr>
      <t>Sw</t>
    </r>
    <r>
      <rPr>
        <sz val="12"/>
        <color rgb="FF000000"/>
        <rFont val="Times New Roman"/>
        <family val="1"/>
      </rPr>
      <t>).</t>
    </r>
  </si>
  <si>
    <t>Time required to do activity (desex and collaring)</t>
  </si>
  <si>
    <t>"Judas" monitoring of species. Assuming we can catch all judas in one go</t>
  </si>
  <si>
    <t xml:space="preserve">1) fly into area and capture goat with tranquiliser. We assume we need to fly over a decent proportion of area at working speed to find the right goat. </t>
  </si>
  <si>
    <t>This is the total proportion of the field needed to be surveyed before finding the right "judas" animals</t>
  </si>
  <si>
    <t>percentage of area need to be surveyed before finding the right strategic release place</t>
  </si>
  <si>
    <t>Days required to do activity</t>
  </si>
  <si>
    <t>This is capture, desex, collar and release. We assume that it is done at an 'experienced' pay grade (Labour 2 - experienced) with the assumed hours including the 30% on-costs</t>
  </si>
  <si>
    <r>
      <t>1st term is the total time for personnel (</t>
    </r>
    <r>
      <rPr>
        <i/>
        <sz val="12"/>
        <color rgb="FF000000"/>
        <rFont val="Times New Roman"/>
        <family val="1"/>
      </rPr>
      <t>Pr</t>
    </r>
    <r>
      <rPr>
        <sz val="12"/>
        <color rgb="FF000000"/>
        <rFont val="Times New Roman"/>
        <family val="1"/>
      </rPr>
      <t xml:space="preserve">) to travel from aircraft base to operations centre, </t>
    </r>
    <r>
      <rPr>
        <i/>
        <sz val="12"/>
        <color rgb="FF000000"/>
        <rFont val="Times New Roman"/>
        <family val="1"/>
      </rPr>
      <t>Db</t>
    </r>
    <r>
      <rPr>
        <sz val="12"/>
        <color rgb="FF000000"/>
        <rFont val="Times New Roman"/>
        <family val="1"/>
      </rPr>
      <t xml:space="preserve"> = distance from the aircraft base (closest city) to the operations centre, </t>
    </r>
    <r>
      <rPr>
        <i/>
        <sz val="12"/>
        <color rgb="FF000000"/>
        <rFont val="Times New Roman"/>
        <family val="1"/>
      </rPr>
      <t>Sf</t>
    </r>
    <r>
      <rPr>
        <sz val="12"/>
        <color rgb="FF000000"/>
        <rFont val="Times New Roman"/>
        <family val="1"/>
      </rPr>
      <t xml:space="preserve"> = travel speed of aircraft.</t>
    </r>
  </si>
  <si>
    <t>Activity costs</t>
  </si>
  <si>
    <t>Costs are broken down into  flying to transit, and flying for actibity</t>
  </si>
  <si>
    <t>Days required for activity</t>
  </si>
  <si>
    <t>cost for helicopter hire</t>
  </si>
  <si>
    <t>Consumbales</t>
  </si>
  <si>
    <t>Desexing cost</t>
  </si>
  <si>
    <t>Collar costs</t>
  </si>
  <si>
    <t>Cost for accomodation</t>
  </si>
  <si>
    <t>Consumables (Desexing)</t>
  </si>
  <si>
    <t>Desexing equipment</t>
  </si>
  <si>
    <t>Equipment (Desexing)</t>
  </si>
  <si>
    <t>Total cost for Judas</t>
  </si>
  <si>
    <t>Same time as above. ,but paying for the helicopter hire</t>
  </si>
  <si>
    <t>Frequency</t>
  </si>
  <si>
    <t>Management Action 2 (a)
( L + T + C + E)</t>
  </si>
  <si>
    <t>Management Action 2 (b)
(L + T + C + E)</t>
  </si>
  <si>
    <t>Management Action 3
( L + T + C + E)</t>
  </si>
  <si>
    <t>Management activity 2 (a)</t>
  </si>
  <si>
    <t>This is the ground management (ground shooting)</t>
  </si>
  <si>
    <t>Post-action evaluation 
(L only)</t>
  </si>
  <si>
    <t>Binary presence combined layer of cats, foxes and dingoes. Will create exclusion zones n Victoria where  dingoes are protected.</t>
  </si>
  <si>
    <t xml:space="preserve">Complex annuity due ("r" repayments, that occur at the start of every "k" periods (n=r*k) with I=(1+i)^k -1 </t>
  </si>
  <si>
    <t>Ground baiting (if vegetation is too dense)</t>
  </si>
  <si>
    <t>This involves walking through the field and a) conduct a survey of the predators based on tracks b) deploy cameras and sand patches for monitoring density and occupancy</t>
  </si>
  <si>
    <t>Camera</t>
  </si>
  <si>
    <t>Sandpads</t>
  </si>
  <si>
    <t>From WA</t>
  </si>
  <si>
    <t>SoS Costs</t>
  </si>
  <si>
    <t>Sweating Rack</t>
  </si>
  <si>
    <t>Labour costed at Labour 2 - Experienced</t>
  </si>
  <si>
    <t>L=Ld* Pr*[ 2 *(Di/Sr) + Ph*Area + ActivityTime]/7.5 </t>
  </si>
  <si>
    <t>Effective distance (km)</t>
  </si>
  <si>
    <t>Minimised area due to smaller pre-action planning area (km2)</t>
  </si>
  <si>
    <t>Transect Width (km)</t>
  </si>
  <si>
    <t>Cost for tracking activity only</t>
  </si>
  <si>
    <t xml:space="preserve">Cost for all transport </t>
  </si>
  <si>
    <t>Only bought every "X" years</t>
  </si>
  <si>
    <t>Accomodation and baits</t>
  </si>
  <si>
    <t>Cost per GPS collar</t>
  </si>
  <si>
    <t>1 unit needed every "X" km2</t>
  </si>
  <si>
    <t>GPS Collar maintenance cost, after year 1</t>
  </si>
  <si>
    <t>Adjusted GPS collar cost</t>
  </si>
  <si>
    <t>Proportion of field surveyed</t>
  </si>
  <si>
    <t xml:space="preserve">Post-action monitoring assumes only a representative portion needs to be surveyed. </t>
  </si>
  <si>
    <t xml:space="preserve">The post action monitoring needs to be split into two. </t>
  </si>
  <si>
    <t>Post-action monitoring 1 occurs every "Y" years</t>
  </si>
  <si>
    <t>Distanc eto site</t>
  </si>
  <si>
    <t>Hours required to drive</t>
  </si>
  <si>
    <t>Cost per km</t>
  </si>
  <si>
    <t>total cost</t>
  </si>
  <si>
    <t>cost per day</t>
  </si>
  <si>
    <t>Average 15L per 100km</t>
  </si>
  <si>
    <t>So average cosst per 100km is 15*1.50</t>
  </si>
  <si>
    <t>https://www.budgetdirect.com.au/car-insurance/research/average-fuel-consumption-australia.html</t>
  </si>
  <si>
    <t>Passenger cars</t>
  </si>
  <si>
    <t>Utes</t>
  </si>
  <si>
    <t>Rigid Trucks</t>
  </si>
  <si>
    <t>Cost per litre</t>
  </si>
  <si>
    <t>Cost per km based on litre output</t>
  </si>
  <si>
    <t>Cars</t>
  </si>
  <si>
    <t>ute</t>
  </si>
  <si>
    <t>Ute hire for the day</t>
  </si>
  <si>
    <t xml:space="preserve">Maximum distance per day </t>
  </si>
  <si>
    <t>Fuel output (litres) per 100kms</t>
  </si>
  <si>
    <r>
      <t>·</t>
    </r>
    <r>
      <rPr>
        <sz val="7"/>
        <color rgb="FF000000"/>
        <rFont val="Times New Roman"/>
        <family val="1"/>
      </rPr>
      <t xml:space="preserve">      </t>
    </r>
    <r>
      <rPr>
        <sz val="12"/>
        <color rgb="FF000000"/>
        <rFont val="Calibri"/>
        <family val="2"/>
      </rPr>
      <t>Setting up the cameras once every 5 years, and maintain twice a year (including post-action monitoring)</t>
    </r>
  </si>
  <si>
    <r>
      <t>·</t>
    </r>
    <r>
      <rPr>
        <sz val="7"/>
        <color rgb="FF000000"/>
        <rFont val="Times New Roman"/>
        <family val="1"/>
      </rPr>
      <t xml:space="preserve">      </t>
    </r>
    <r>
      <rPr>
        <sz val="12"/>
        <color rgb="FF000000"/>
        <rFont val="Calibri"/>
        <family val="2"/>
      </rPr>
      <t>Setting up the sand pads once every 5 years, and maintain twice a year (including post-action monitoring)</t>
    </r>
  </si>
  <si>
    <r>
      <t>o</t>
    </r>
    <r>
      <rPr>
        <sz val="7"/>
        <color rgb="FF000000"/>
        <rFont val="Times New Roman"/>
        <family val="1"/>
      </rPr>
      <t xml:space="preserve">   </t>
    </r>
    <r>
      <rPr>
        <i/>
        <sz val="12"/>
        <color rgb="FF000000"/>
        <rFont val="Calibri"/>
        <family val="2"/>
        <scheme val="minor"/>
      </rPr>
      <t xml:space="preserve">We need 1 GPS collar every 25km2 and they cost $3000 per collar, it takes 3 hours to track , catch and collar a cat, and needs to be maintained (potted) for $750 every year for a similar 3 hours of time, this occurs once a year during pre-action monitoring. </t>
    </r>
  </si>
  <si>
    <t>Time taken for set up/annual maintenance (hours)</t>
  </si>
  <si>
    <t>Time taken to catch cat and cailar, same time for recollaring (hours)</t>
  </si>
  <si>
    <t>Time needed for tracking per km (hours)</t>
  </si>
  <si>
    <r>
      <t>o</t>
    </r>
    <r>
      <rPr>
        <sz val="7"/>
        <color theme="1"/>
        <rFont val="Times New Roman"/>
        <family val="1"/>
      </rPr>
      <t xml:space="preserve">   </t>
    </r>
    <r>
      <rPr>
        <i/>
        <sz val="12"/>
        <color rgb="FF000000"/>
        <rFont val="Calibri"/>
        <family val="2"/>
      </rPr>
      <t>We place 1 camera every 10km2 and they cost $750 each, it takes 30 minutes to set one up and they take 10 minutes to be maintained (memory card and battery), this occurs twice a year during pre-action field planning and post-action monitoring, all units are replaced completely every 5 years. </t>
    </r>
  </si>
  <si>
    <t>Total units needed for management area</t>
  </si>
  <si>
    <t>Proportion of area managed (km2)</t>
  </si>
  <si>
    <t>Area managed (km2)</t>
  </si>
  <si>
    <t>Time needed for camera setup/maintenance (hours)</t>
  </si>
  <si>
    <t>Cameras, sand pads, and GPS collars replaced every "Y" years</t>
  </si>
  <si>
    <t>Summary</t>
  </si>
  <si>
    <t>Area monitored (km2)</t>
  </si>
  <si>
    <t>Units</t>
  </si>
  <si>
    <t>Time needed for setup/maintenance (hours)</t>
  </si>
  <si>
    <t xml:space="preserve">To make calcs easier we run maintenance cost for every year, and every 5 years we top up with 2250 to make 3000 (750+2250) </t>
  </si>
  <si>
    <t>maintenance costs</t>
  </si>
  <si>
    <t>Setup costs (every "Y" years)</t>
  </si>
  <si>
    <t>Tracking</t>
  </si>
  <si>
    <t>Time needed</t>
  </si>
  <si>
    <t>Total</t>
  </si>
  <si>
    <t>Time needed for all activities (days)</t>
  </si>
  <si>
    <t>Equipment (setup)</t>
  </si>
  <si>
    <t>Extra cost for tranporting the S7 poison bait</t>
  </si>
  <si>
    <t>Cost per km for a refrigerated truck including the drivers labour and accomodation</t>
  </si>
  <si>
    <t>Total time needed for tracking, maintaining cameras and sand pads (hours)</t>
  </si>
  <si>
    <t>Time spent on each bait drop (in minutes)</t>
  </si>
  <si>
    <t>3rd term is the days required  for tracking, maintaining cameras and sand pads (days)</t>
  </si>
  <si>
    <t>Cost for  activity only</t>
  </si>
  <si>
    <t>This involves surveying a representative area (30% of management area) for general observations and checking for cat tracks, done every year. Setting up the cameras once every 5 years, and maintain twice a year (done also during post-action monitoring). Setting up the sand pads once every 5 years, and maintain twice a year (done also during post-action monitoring). Catch cats and set up GPS collars once a year. (only done in pre-action planning)</t>
  </si>
  <si>
    <t xml:space="preserve">Monitoring of action output. Tracking, maintaining cameras, sandc pad checking and resetting. </t>
  </si>
  <si>
    <t>Labour to get monitoring done</t>
  </si>
  <si>
    <t xml:space="preserve">Labour to get tracking done, cameras, sandpads and collars. </t>
  </si>
  <si>
    <t>Aerial baiting - Health department regulations, 1080 is a schedule 7 poison and needs 2 people and a secure transport, transporting this can be costed of $1.60/km for a small refrigerated truck including salary and accommodation for 2 people. 50 baits/km2 at $0.50 per bait delivered at 500m transects. For ground baiting, we assume the baits take 30 seconds/bait to lay down. Aerial baiting does not take any extra time as it is automated. A sweating rack is required to be purchased every 10 years.</t>
  </si>
  <si>
    <t>`</t>
  </si>
  <si>
    <t>Ground shooting contract costs per day</t>
  </si>
  <si>
    <t>Per night</t>
  </si>
  <si>
    <t>SoS costs ($)</t>
  </si>
  <si>
    <t>https://www.smh.com.au/business/small-business/inside-the-feral-animal-trade-20180118-h0k2he.html</t>
  </si>
  <si>
    <t>https://afacms.com.au</t>
  </si>
  <si>
    <t>Featured on SMH, the quoted price is 500-1000 per day</t>
  </si>
  <si>
    <t>Ground shooting per day</t>
  </si>
  <si>
    <t>Australian feral animal control &amp; management services</t>
  </si>
  <si>
    <t>Cost for labour</t>
  </si>
  <si>
    <t xml:space="preserve">Cost for transport </t>
  </si>
  <si>
    <t xml:space="preserve">Pr = personnel required; Di/Sr = transport time, where Di = distance from the depot to operations centre;  Sr = transit speed. </t>
  </si>
  <si>
    <t>Cost for transport time only</t>
  </si>
  <si>
    <t>transport</t>
  </si>
  <si>
    <t>Ground shooting for areas that are too densely vegetated</t>
  </si>
  <si>
    <t xml:space="preserve">1) Application of "judas" animals. 2) (a) Aerial culling accompanied by (b) 10% ground management of the same area, and 3) When vegetation is too dense, ground shooting for the area. </t>
  </si>
  <si>
    <t>This is flying over and assessing the density of threat</t>
  </si>
  <si>
    <t>This is flying over and assessing the effect of action</t>
  </si>
  <si>
    <t>"judas" monitoring. Locate and capture animal, sterilise, collar, and release</t>
  </si>
  <si>
    <t>Ground management (mustering) for the remaining creatures that aren't culled (10% of area above)</t>
  </si>
  <si>
    <t>Aerial culling (accompanied by X% ground management of the area action below)</t>
  </si>
  <si>
    <t>Invasive ungulates (68 pigs, 54 goats, 11 deer, 42 other ungulates) threaten plants (120), birds (26), reptiles, inverts and mammals (18)</t>
  </si>
  <si>
    <t>Frequency (every X years)</t>
  </si>
  <si>
    <t>Cost for ute hire</t>
  </si>
  <si>
    <t>Disease management</t>
  </si>
  <si>
    <t>Land based disease (Phytophtora, chytrid, and others)</t>
  </si>
  <si>
    <t>Area monitored</t>
  </si>
  <si>
    <t>Distance needed to be walked</t>
  </si>
  <si>
    <t>Footwear hygiene station (incl installation)</t>
  </si>
  <si>
    <t>2 for every national park</t>
  </si>
  <si>
    <t>Vehicle washdown station</t>
  </si>
  <si>
    <t>every parks office in susceptible area</t>
  </si>
  <si>
    <t>Frequency (from TAP)</t>
  </si>
  <si>
    <t>Signs needed per 100km2 of area</t>
  </si>
  <si>
    <t>Footwear hygiene stations per 100km2</t>
  </si>
  <si>
    <t>Vehicle washdown stations per 100km2</t>
  </si>
  <si>
    <t>Footwear hygiene</t>
  </si>
  <si>
    <t>L=Ld* Pr*[ 2 *(Di/Sr) + perimeter/Sr + ActivityTime]/7.5  </t>
  </si>
  <si>
    <t>Time to construct one footwear hygiene station (days)</t>
  </si>
  <si>
    <t>Total number of footwear hygiene</t>
  </si>
  <si>
    <t>Total number of Vehicle washdown stations</t>
  </si>
  <si>
    <t xml:space="preserve">These will be set up around the perimeter, so 100km2 assumes there'll be 40km of perimeter </t>
  </si>
  <si>
    <t>In other words, time to drive to the operations centre, and time to drive to the perimeter of the area + activity time to put signs up</t>
  </si>
  <si>
    <t xml:space="preserve">distance to perimeter (assume furthest distance of 100km2 in a square its 10x10 then 5kms) </t>
  </si>
  <si>
    <t>Total number of trips there and back to the perimeter</t>
  </si>
  <si>
    <t>3rd term is days required to put up all the sings/stations</t>
  </si>
  <si>
    <t>2nd term is the time required to the perimeter to get the activity done, then driving back (days)</t>
  </si>
  <si>
    <t>Aerial spraying of phosphite on infected area</t>
  </si>
  <si>
    <t>This is to aerial spray phosphite on to affected areas</t>
  </si>
  <si>
    <t>https://www.cpsm-phytophthora.org/phytophthora.php</t>
  </si>
  <si>
    <t>cost per km2</t>
  </si>
  <si>
    <t>Cost for 100km2</t>
  </si>
  <si>
    <t>cost per hectare for fungicide and aircraft hire</t>
  </si>
  <si>
    <t>Literature method (flat cost per km2)</t>
  </si>
  <si>
    <t>Bottom-up method (L + T + C + E)</t>
  </si>
  <si>
    <t>Phosphite solution/km2 (6000L/km2 @ 40% phosphite 2400kg/km2)</t>
  </si>
  <si>
    <t>Phopshite cost per kg</t>
  </si>
  <si>
    <t>Adjuvant cost per Litre</t>
  </si>
  <si>
    <t>Adjuvant solution/km2 (60L/km2 of 832g/L of canola oil @ 1% v/v of 6000L/km2)</t>
  </si>
  <si>
    <t>Total cost per km2</t>
  </si>
  <si>
    <r>
      <t>§</t>
    </r>
    <r>
      <rPr>
        <sz val="7"/>
        <color rgb="FF000000"/>
        <rFont val="Times New Roman"/>
        <family val="1"/>
      </rPr>
      <t xml:space="preserve">  </t>
    </r>
    <r>
      <rPr>
        <i/>
        <sz val="12"/>
        <color rgb="FF000000"/>
        <rFont val="Calibri"/>
        <family val="2"/>
        <scheme val="minor"/>
      </rPr>
      <t>2400kg per km2 of phosphate application</t>
    </r>
  </si>
  <si>
    <r>
      <t>-</t>
    </r>
    <r>
      <rPr>
        <sz val="7"/>
        <color rgb="FF000000"/>
        <rFont val="Times New Roman"/>
        <family val="1"/>
      </rPr>
      <t xml:space="preserve">       </t>
    </r>
    <r>
      <rPr>
        <i/>
        <sz val="12"/>
        <color rgb="FF000000"/>
        <rFont val="Calibri"/>
        <family val="2"/>
        <scheme val="minor"/>
      </rPr>
      <t xml:space="preserve">We assume maximum application of 2400kg or 6000L per km2 (or 24kg in 60L solution per hectare). </t>
    </r>
  </si>
  <si>
    <r>
      <t>-</t>
    </r>
    <r>
      <rPr>
        <sz val="7"/>
        <color rgb="FF000000"/>
        <rFont val="Times New Roman"/>
        <family val="1"/>
      </rPr>
      <t xml:space="preserve">       </t>
    </r>
    <r>
      <rPr>
        <i/>
        <sz val="12"/>
        <color rgb="FF000000"/>
        <rFont val="Calibri"/>
        <family val="2"/>
        <scheme val="minor"/>
      </rPr>
      <t xml:space="preserve">application of 12-24kg of phosphite/ha OR 30 – 60 litres solution/ha with 40% phosphite, sprayed twice 4-6 weeks apart. </t>
    </r>
  </si>
  <si>
    <t xml:space="preserve"> https://www.cpsm-phytophthora.org/phytophthora.php</t>
  </si>
  <si>
    <r>
      <t>§</t>
    </r>
    <r>
      <rPr>
        <sz val="7"/>
        <color rgb="FF000000"/>
        <rFont val="Times New Roman"/>
        <family val="1"/>
      </rPr>
      <t xml:space="preserve">  </t>
    </r>
    <r>
      <rPr>
        <i/>
        <sz val="12"/>
        <color rgb="FF000000"/>
        <rFont val="Calibri"/>
        <family val="2"/>
        <scheme val="minor"/>
      </rPr>
      <t xml:space="preserve">Cost is $23/kg of Monopotassium phosphate </t>
    </r>
  </si>
  <si>
    <r>
      <t>-</t>
    </r>
    <r>
      <rPr>
        <sz val="7"/>
        <color rgb="FF000000"/>
        <rFont val="Times New Roman"/>
        <family val="1"/>
      </rPr>
      <t xml:space="preserve">       </t>
    </r>
    <r>
      <rPr>
        <i/>
        <sz val="12"/>
        <color rgb="FF000000"/>
        <rFont val="Calibri"/>
        <family val="2"/>
        <scheme val="minor"/>
      </rPr>
      <t>$115 for 5kgs from ebay</t>
    </r>
  </si>
  <si>
    <t>-       https://www.ebay.com.au/itm/Monopotassium-Phosphate-technincal-grade/174310281922?hash=item2895b3d2c2:g:idYAAOSwVzxe3edi</t>
  </si>
  <si>
    <r>
      <t>§</t>
    </r>
    <r>
      <rPr>
        <sz val="7"/>
        <color rgb="FF000000"/>
        <rFont val="Times New Roman"/>
        <family val="1"/>
      </rPr>
      <t xml:space="preserve">  </t>
    </r>
    <r>
      <rPr>
        <i/>
        <sz val="12"/>
        <color rgb="FF000000"/>
        <rFont val="Calibri"/>
        <family val="2"/>
        <scheme val="minor"/>
      </rPr>
      <t>1% of adjuvant added of 832g/L of Canoila oil @ $480/km2</t>
    </r>
  </si>
  <si>
    <r>
      <t>-</t>
    </r>
    <r>
      <rPr>
        <sz val="7"/>
        <color rgb="FF000000"/>
        <rFont val="Times New Roman"/>
        <family val="1"/>
      </rPr>
      <t xml:space="preserve">       </t>
    </r>
    <r>
      <rPr>
        <i/>
        <sz val="12"/>
        <color rgb="FF000000"/>
        <rFont val="Calibri"/>
        <family val="2"/>
        <scheme val="minor"/>
      </rPr>
      <t>Cost Is roughly $8/L</t>
    </r>
  </si>
  <si>
    <r>
      <t>1.</t>
    </r>
    <r>
      <rPr>
        <i/>
        <sz val="7"/>
        <color rgb="FF000000"/>
        <rFont val="Times New Roman"/>
        <family val="1"/>
      </rPr>
      <t xml:space="preserve">     </t>
    </r>
    <r>
      <rPr>
        <i/>
        <sz val="12"/>
        <color rgb="FF000000"/>
        <rFont val="Calibri"/>
        <family val="2"/>
        <scheme val="minor"/>
      </rPr>
      <t>$160 for a 20L container</t>
    </r>
  </si>
  <si>
    <t>2.     https://specialistsales.com.au/shop/woody-weeds/wetting-agents-woody-weeds/protec-plus-spray-adjuvant-canola-oil/</t>
  </si>
  <si>
    <r>
      <t>-</t>
    </r>
    <r>
      <rPr>
        <sz val="7"/>
        <color rgb="FF000000"/>
        <rFont val="Times New Roman"/>
        <family val="1"/>
      </rPr>
      <t xml:space="preserve">       </t>
    </r>
    <r>
      <rPr>
        <i/>
        <sz val="12"/>
        <color rgb="FF000000"/>
        <rFont val="Calibri"/>
        <family val="2"/>
        <scheme val="minor"/>
      </rPr>
      <t xml:space="preserve">For a 6000L per km2, we need 60L of adjuvant, that is $480/km2. </t>
    </r>
  </si>
  <si>
    <r>
      <t>-</t>
    </r>
    <r>
      <rPr>
        <sz val="7"/>
        <color rgb="FF000000"/>
        <rFont val="Times New Roman"/>
        <family val="1"/>
      </rPr>
      <t xml:space="preserve">       </t>
    </r>
    <r>
      <rPr>
        <i/>
        <sz val="12"/>
        <color rgb="FF000000"/>
        <rFont val="Calibri"/>
        <family val="2"/>
        <scheme val="minor"/>
      </rPr>
      <t xml:space="preserve">Addition amount of adjuvant - 1% v/v </t>
    </r>
  </si>
  <si>
    <t>1.     https://www.smbsc.com/pdf/SprayAdjuvants.pdf</t>
  </si>
  <si>
    <t xml:space="preserve">                   -  an adjuvant when applying phosphite as a foliar application. In Western Australia, Synertrol Oil (Organic Crop Protectants Pty Ltd), based on food grade canola oil (832 g L) is used. Synertrol increases spray coverage by droplet spreading, promotes spray retention, reduces spray drift, evaporation and wash-off (Organic Crop Protectants Pty Ltd). (https://www.cpsm-phytophthora.org/phytophthora.php)</t>
  </si>
  <si>
    <t>Application times per year</t>
  </si>
  <si>
    <t># times application required per year (2 applications 4-6 weeks apart)</t>
  </si>
  <si>
    <t>Fc= hourly cost of aircraft with pilot</t>
  </si>
  <si>
    <t>Total days needed for 2 trips</t>
  </si>
  <si>
    <t>Total cost for aerial application of phosphite</t>
  </si>
  <si>
    <t>Labour activity (Aerial spraying)</t>
  </si>
  <si>
    <t>Surveying proportion of field for general observaitons and collecting samples for disease monitoring</t>
  </si>
  <si>
    <t>Perimeter of Management area (10X10km)</t>
  </si>
  <si>
    <t>Perimeter distance</t>
  </si>
  <si>
    <t>Driving around perimeter</t>
  </si>
  <si>
    <t>Surveying perimeter of management area to set up hygiene stations (assuming driving at "working speed" + 1 day of observations is sufficient for 100km2)</t>
  </si>
  <si>
    <t>L=Ld* Pr*[ 2 *(Di/Sr) + Ph*Area + PerimeterSurvey+PerimeterSurveyActivity]/7.5 </t>
  </si>
  <si>
    <t>Days required to survey the perimeter</t>
  </si>
  <si>
    <t>Observing hygiene sites</t>
  </si>
  <si>
    <t>Total number of days needed For all personnel</t>
  </si>
  <si>
    <t xml:space="preserve">Cost for hygiene site observation </t>
  </si>
  <si>
    <t>3rd term is the driving and observing hygiene sites</t>
  </si>
  <si>
    <t>Cost for driving and observing hygiene sites</t>
  </si>
  <si>
    <t>Management Action 3 (a)
( L + T + C + E)</t>
  </si>
  <si>
    <t>Area to cover phosphite injections</t>
  </si>
  <si>
    <t xml:space="preserve">Cost per tree of phosphite injection </t>
  </si>
  <si>
    <t># trees per km2</t>
  </si>
  <si>
    <t>Manual injection of phosphite into trees</t>
  </si>
  <si>
    <t>Time to inject into tree (minutes)</t>
  </si>
  <si>
    <t>Time to inject into tree (days)</t>
  </si>
  <si>
    <t>3rd terms it he number of days required to inject all the trees withini the area</t>
  </si>
  <si>
    <t>L=Ld* Pr*[ 2 *(Di/Sr) + Ph*Area +InjectingActivityy]/7.5 </t>
  </si>
  <si>
    <t>2nd term is days required for walking through</t>
  </si>
  <si>
    <t>Land disease threats include 69 phytophthora, 24 chytrid, 19 biosecurity from pathogens, 12 aerial canker/myrtle rust,  air sac mite and fungal pathogen, that threaten 74 plants, 24 frogs, 15 mammals, 9 birds, 3 inverts, 1 reptile</t>
  </si>
  <si>
    <t xml:space="preserve">There is likely no eradication possibilities for the diseases above, only containment and treatment of infected individuals, with the main mode of spread is likely human transmission. </t>
  </si>
  <si>
    <t>Prevent and contain spread</t>
  </si>
  <si>
    <t xml:space="preserve">Threatened species are persistent over 80 years with threat managed at sustainable levels. </t>
  </si>
  <si>
    <t>Transect width</t>
  </si>
  <si>
    <t>Transect width (km)</t>
  </si>
  <si>
    <t>Area covered 100km2 (threat layer (b)</t>
  </si>
  <si>
    <t>repeating every year</t>
  </si>
  <si>
    <t>3rd term is activity time needed</t>
  </si>
  <si>
    <t>2nd term = days vehicle has to stay or be used at management site for the walking</t>
  </si>
  <si>
    <t>1 tree every "X" m2</t>
  </si>
  <si>
    <t>Area for phosphite injections (km2)</t>
  </si>
  <si>
    <t>Consumable cost for phosphite injections</t>
  </si>
  <si>
    <t>labour (office hours)</t>
  </si>
  <si>
    <t>Days needed to process disease samples</t>
  </si>
  <si>
    <t>Cost to process disease samples</t>
  </si>
  <si>
    <t>Phosphite solution and adjuvant</t>
  </si>
  <si>
    <t>Person hours for 2 trips needed</t>
  </si>
  <si>
    <t>m2</t>
  </si>
  <si>
    <t>Woody weeds</t>
  </si>
  <si>
    <t>Comments</t>
  </si>
  <si>
    <t>cost per hectare</t>
  </si>
  <si>
    <t>Number of minutes per 10m2</t>
  </si>
  <si>
    <t>Assumed person cost per hour</t>
  </si>
  <si>
    <t>If we assume $40/hour,</t>
  </si>
  <si>
    <t>$1300/ha means that we are spending 1.95mins per grid of 10m2</t>
  </si>
  <si>
    <t>$1800/ha means that we are spending 2.7mins per grid of 10m2</t>
  </si>
  <si>
    <t>$450/ha means that we are spending 0.675mins per grid of 10m2</t>
  </si>
  <si>
    <t>units of 10m2</t>
  </si>
  <si>
    <t>Consumables needed for bush regeneration</t>
  </si>
  <si>
    <t>units /km2</t>
  </si>
  <si>
    <t>Unit size (m2)</t>
  </si>
  <si>
    <t>Actioned area (km2)</t>
  </si>
  <si>
    <t>Time needed to manage area (days)</t>
  </si>
  <si>
    <t>These is the annual management of established weeds with the objective to keep weeds at low densities.</t>
  </si>
  <si>
    <t>We assume that the actual areas of weed infestations represent a proportion of the total management area (actual + potential), as our threat maps indicate actual AND potential areas of weed management.</t>
  </si>
  <si>
    <t xml:space="preserve">We assume a fixed percentage of 3 levels of weed management of the actual infested areas (intensive, moderate and light). </t>
  </si>
  <si>
    <t xml:space="preserve">The management percentages are assumed to be constant over time, but the spatial location will most likely vary every year (I.e. we need 10% of intensive weed control every year but this doesn’t necessarily occur in the same 10% area) </t>
  </si>
  <si>
    <t>As the weed management is probably patchy and there is only a proportion of the invasive weed maps that actually need management (potential vs actual;)</t>
  </si>
  <si>
    <t>% of area for this level</t>
  </si>
  <si>
    <t>Intense weed management (days)</t>
  </si>
  <si>
    <t>Moderate weed management (days)</t>
  </si>
  <si>
    <t>Light weed management (days)</t>
  </si>
  <si>
    <t>3rd term = days vehicle has to stay or be used at management site for the weed management</t>
  </si>
  <si>
    <t>Consumable costs (per unit)</t>
  </si>
  <si>
    <t>Total consumables cost</t>
  </si>
  <si>
    <t>Tools for weed management</t>
  </si>
  <si>
    <t xml:space="preserve">We also assume we need 2 people to do it at once that DOESN’T reduce the effort time. </t>
  </si>
  <si>
    <t>Consumables cost $10.60/unit of bush regen ($8.60/unit of seedling establishment and $2/unit of watering that occurs annually)</t>
  </si>
  <si>
    <t>$8 of material costs of 2Xforestry tubes ($3/each) and 2Xtree guard ($1/each)</t>
  </si>
  <si>
    <t xml:space="preserve">$0.6/unit for seeds(10m2) </t>
  </si>
  <si>
    <t>(OR $60,000/km2 for seeds)</t>
  </si>
  <si>
    <t>$0.6/10m2 needed of native seeds</t>
  </si>
  <si>
    <t>0.00012kg/m2 needed of native seeds, $500/kg of seed collection from local areas</t>
  </si>
  <si>
    <t>$60,000/km2 for seeds</t>
  </si>
  <si>
    <t>120kg/km2 needed of native seeds, $500/kg of seed collection in local areas</t>
  </si>
  <si>
    <t>Watering twice over summer</t>
  </si>
  <si>
    <t>2X$1/watering per unit</t>
  </si>
  <si>
    <t>$8.60/seedling establishment by hand per unit (10m2) , OR $860,000/km2 of Establishment of seedlings</t>
  </si>
  <si>
    <t>$2/unit for 2Xwatering OR $200,000/km2</t>
  </si>
  <si>
    <t xml:space="preserve">Adapted from : Seeds of 1.2kg/ha from 400g/km assuming 3km per hectare, with $500 per kg of seeds, watered twice over summer. </t>
  </si>
  <si>
    <t xml:space="preserve">Information taken from NRM Review and Price Guide for Signficant Environmental Benefits (SEB). 29/01/2016 South Australian Government. </t>
  </si>
  <si>
    <t>We will include accomodation, time to walk between patches (like above walking of the whole area), transport, and consumables</t>
  </si>
  <si>
    <t>Occurs annually</t>
  </si>
  <si>
    <t>Regeneration occurs in areas only after they have had intense and moderate weed management (not for light management)</t>
  </si>
  <si>
    <t>Management Area (Only for area that has had intense or moderate weed management)</t>
  </si>
  <si>
    <t>Consumables needed for intense</t>
  </si>
  <si>
    <t>Cost of native seeds per 10m2 (0.12g/m2 of seeds @ $0.5/g)</t>
  </si>
  <si>
    <t>Cost of 1x Tree guard</t>
  </si>
  <si>
    <t>Watering costs</t>
  </si>
  <si>
    <t>Consumables costs for bush regeneration</t>
  </si>
  <si>
    <t>Watering</t>
  </si>
  <si>
    <t>Regen time (mins)</t>
  </si>
  <si>
    <t xml:space="preserve">Post action monitoring assumes only a representative portion needs to be surveyed. </t>
  </si>
  <si>
    <t>Management Action 2
( L + T + C + E)</t>
  </si>
  <si>
    <t>Management Action 4 (a)
( L + T + C + E)</t>
  </si>
  <si>
    <t>2nd term is days required for labour to drive the management site (for one person)</t>
  </si>
  <si>
    <r>
      <t>§</t>
    </r>
    <r>
      <rPr>
        <sz val="7"/>
        <color rgb="FF000000"/>
        <rFont val="Times New Roman"/>
        <family val="1"/>
      </rPr>
      <t xml:space="preserve">  </t>
    </r>
    <r>
      <rPr>
        <i/>
        <sz val="12"/>
        <color rgb="FF000000"/>
        <rFont val="Arial"/>
        <family val="2"/>
      </rPr>
      <t>For a range of environmental and noxious woody and herbaceous weeds</t>
    </r>
  </si>
  <si>
    <r>
      <t>§</t>
    </r>
    <r>
      <rPr>
        <sz val="7"/>
        <color rgb="FF000000"/>
        <rFont val="Times New Roman"/>
        <family val="1"/>
      </rPr>
      <t xml:space="preserve">  </t>
    </r>
    <r>
      <rPr>
        <i/>
        <sz val="12"/>
        <color rgb="FF000000"/>
        <rFont val="Arial"/>
        <family val="2"/>
      </rPr>
      <t>Concentrate is $385 per 20 Litres</t>
    </r>
  </si>
  <si>
    <r>
      <t>§</t>
    </r>
    <r>
      <rPr>
        <sz val="7"/>
        <color rgb="FF000000"/>
        <rFont val="Times New Roman"/>
        <family val="1"/>
      </rPr>
      <t xml:space="preserve">  </t>
    </r>
    <r>
      <rPr>
        <i/>
        <sz val="12"/>
        <color rgb="FF000000"/>
        <rFont val="Arial"/>
        <family val="2"/>
      </rPr>
      <t xml:space="preserve">Mixed rate is 350ml to 500ml per 100L of water. </t>
    </r>
  </si>
  <si>
    <r>
      <t>§</t>
    </r>
    <r>
      <rPr>
        <sz val="7"/>
        <color rgb="FF000000"/>
        <rFont val="Times New Roman"/>
        <family val="1"/>
      </rPr>
      <t xml:space="preserve">  </t>
    </r>
    <r>
      <rPr>
        <i/>
        <sz val="12"/>
        <color rgb="FF000000"/>
        <rFont val="Arial"/>
        <family val="2"/>
      </rPr>
      <t xml:space="preserve">Rough guide for foliar spray: </t>
    </r>
  </si>
  <si>
    <r>
      <t>·</t>
    </r>
    <r>
      <rPr>
        <sz val="7"/>
        <color rgb="FF000000"/>
        <rFont val="Times New Roman"/>
        <family val="1"/>
      </rPr>
      <t xml:space="preserve">      </t>
    </r>
    <r>
      <rPr>
        <i/>
        <sz val="12"/>
        <color rgb="FF000000"/>
        <rFont val="Arial"/>
        <family val="2"/>
      </rPr>
      <t xml:space="preserve">3-4000 litres/ha for woody weeds (i.e. blackberries 1-2m high) </t>
    </r>
  </si>
  <si>
    <r>
      <t>·</t>
    </r>
    <r>
      <rPr>
        <sz val="7"/>
        <color rgb="FF000000"/>
        <rFont val="Times New Roman"/>
        <family val="1"/>
      </rPr>
      <t xml:space="preserve">      </t>
    </r>
    <r>
      <rPr>
        <i/>
        <sz val="12"/>
        <color rgb="FF000000"/>
        <rFont val="Arial"/>
        <family val="2"/>
      </rPr>
      <t>500-1000 litres/ha for herbaceous weeds (i.e. ragwort)</t>
    </r>
  </si>
  <si>
    <t>§  https://specialistsales.com.au/shop/woody-weeds/woody-weed-herbicides/liquid-chemicals/raizon-herbicide-triclopyr-picloram/?attribute_pa_size=5-litre&amp;gclid=CjwKCAjwtNf6BRAwEiwAkt6UQu9U1DcwPzEFvydMQllNbvCYHBEvL6z40f0X1GUym-s8iP-7KXdpoxoC9UgQAvD_BwE</t>
  </si>
  <si>
    <t>Cost per 20 litres</t>
  </si>
  <si>
    <t>herbaceous weeds spray (litres) per hectare</t>
  </si>
  <si>
    <t xml:space="preserve">woody weeds spray (litres) per hectare </t>
  </si>
  <si>
    <t>Litres required of concentrate</t>
  </si>
  <si>
    <t>concentrate litres per litre of water</t>
  </si>
  <si>
    <t>Concentrate rate (ml) per 100Litres of water</t>
  </si>
  <si>
    <t xml:space="preserve">woody weeds spray (litres) per km2 </t>
  </si>
  <si>
    <t>Cost for herbicide per km2</t>
  </si>
  <si>
    <t>Herbaceous weeds</t>
  </si>
  <si>
    <t># of units (10m2) per 1km2</t>
  </si>
  <si>
    <t>Cost per unit of 10m2</t>
  </si>
  <si>
    <t>Grazon (hard to kill weeds)</t>
  </si>
  <si>
    <t>Raizon (all weeds)</t>
  </si>
  <si>
    <t>Average cost for woody weeds per unit</t>
  </si>
  <si>
    <t>Average cost for herbaceous weeds per unit</t>
  </si>
  <si>
    <t>Intensive</t>
  </si>
  <si>
    <t>Light</t>
  </si>
  <si>
    <t>Intensive (mainly woody)</t>
  </si>
  <si>
    <t>Moderate (mix of woody and herbaceous)</t>
  </si>
  <si>
    <t>Light (mainly herbaceous)</t>
  </si>
  <si>
    <r>
      <t>§</t>
    </r>
    <r>
      <rPr>
        <sz val="7"/>
        <color rgb="FF000000"/>
        <rFont val="Times New Roman"/>
        <family val="1"/>
      </rPr>
      <t xml:space="preserve">  </t>
    </r>
    <r>
      <rPr>
        <i/>
        <sz val="12"/>
        <color rgb="FF000000"/>
        <rFont val="Arial"/>
        <family val="2"/>
      </rPr>
      <t>Equivalent to Roundup Biactive Herbicide (Monsanto)</t>
    </r>
  </si>
  <si>
    <r>
      <t>§</t>
    </r>
    <r>
      <rPr>
        <sz val="7"/>
        <color rgb="FF000000"/>
        <rFont val="Times New Roman"/>
        <family val="1"/>
      </rPr>
      <t xml:space="preserve">  </t>
    </r>
    <r>
      <rPr>
        <i/>
        <sz val="12"/>
        <color rgb="FF000000"/>
        <rFont val="Arial"/>
        <family val="2"/>
      </rPr>
      <t>For use in environmentally sensitive areas and registered for use in some aquatic areas</t>
    </r>
  </si>
  <si>
    <r>
      <t>§</t>
    </r>
    <r>
      <rPr>
        <sz val="7"/>
        <color rgb="FF000000"/>
        <rFont val="Times New Roman"/>
        <family val="1"/>
      </rPr>
      <t xml:space="preserve">  </t>
    </r>
    <r>
      <rPr>
        <i/>
        <sz val="12"/>
        <color rgb="FF000000"/>
        <rFont val="Arial"/>
        <family val="2"/>
      </rPr>
      <t>Concentrate is $175 for 20 Litres</t>
    </r>
  </si>
  <si>
    <r>
      <t>§</t>
    </r>
    <r>
      <rPr>
        <sz val="7"/>
        <color rgb="FF000000"/>
        <rFont val="Times New Roman"/>
        <family val="1"/>
      </rPr>
      <t xml:space="preserve">  </t>
    </r>
    <r>
      <rPr>
        <i/>
        <sz val="12"/>
        <color rgb="FF000000"/>
        <rFont val="Arial"/>
        <family val="2"/>
      </rPr>
      <t>Mix rate is 10ml per Litre of water (1L per 100L of water)</t>
    </r>
  </si>
  <si>
    <r>
      <t>§</t>
    </r>
    <r>
      <rPr>
        <sz val="7"/>
        <color rgb="FF000000"/>
        <rFont val="Times New Roman"/>
        <family val="1"/>
      </rPr>
      <t xml:space="preserve">  </t>
    </r>
    <r>
      <rPr>
        <i/>
        <sz val="12"/>
        <color rgb="FF000000"/>
        <rFont val="Arial"/>
        <family val="2"/>
      </rPr>
      <t xml:space="preserve">No information on how much to spray per hectare, should be similar as it is a liquid that needs to cover all the foliage, so assume the same as above spray rate. </t>
    </r>
  </si>
  <si>
    <r>
      <t>o</t>
    </r>
    <r>
      <rPr>
        <sz val="7"/>
        <color rgb="FF000000"/>
        <rFont val="Times New Roman"/>
        <family val="1"/>
      </rPr>
      <t xml:space="preserve">   </t>
    </r>
    <r>
      <rPr>
        <i/>
        <sz val="12"/>
        <color rgb="FF000000"/>
        <rFont val="Arial"/>
        <family val="2"/>
      </rPr>
      <t>Roundup biactive Herbicide (Glyphosate present as Isopropylamine Salt @ 360g/L)</t>
    </r>
  </si>
  <si>
    <r>
      <t>§</t>
    </r>
    <r>
      <rPr>
        <sz val="7"/>
        <color rgb="FF000000"/>
        <rFont val="Times New Roman"/>
        <family val="1"/>
      </rPr>
      <t xml:space="preserve">  </t>
    </r>
    <r>
      <rPr>
        <i/>
        <sz val="12"/>
        <color rgb="FF000000"/>
        <rFont val="Arial"/>
        <family val="2"/>
      </rPr>
      <t>Concentrate is $199 for 20 Litres</t>
    </r>
  </si>
  <si>
    <t>§  https://specialistsales.com.au/shop/woody-weeds/woody-weed-herbicides/liquid-chemicals/roundup-biactive-herbicide-glyphosate/?attribute_pa_size=20-litre&amp;gclid=EAIaIQobChMInuG-nofZ6wIVYZ_CCh2u5AaIEAkYASABEgJor_D_BwE</t>
  </si>
  <si>
    <t>Roundup 360</t>
  </si>
  <si>
    <t>Cost of 1x Forestry tubes with seedling</t>
  </si>
  <si>
    <t>Forestry tubes with seedling</t>
  </si>
  <si>
    <t xml:space="preserve">We have a total of 577 species by threat interactions, of which there were general weeds (531), lantana (26), buffel grass (16), gamba grass (3) and bitou bush (1), threatening plants (497), birds (39), inverts (19), reptiles (14), mammals (7) and fish (1). </t>
  </si>
  <si>
    <t>We will be costing out a generic invasive plant management, as the majority of our weed threats are non-descript general weed species. Along the same lines, we do not assume a threat layer and instead use the entire threatened species distribution as the management area</t>
  </si>
  <si>
    <t>Bush regen action</t>
  </si>
  <si>
    <t>Regen</t>
  </si>
  <si>
    <t>https://landcaresj.com.au/cockatubes-saving-black-cockatoos/</t>
  </si>
  <si>
    <t>Nest protection</t>
  </si>
  <si>
    <t>Ground shooting</t>
  </si>
  <si>
    <t>Notes</t>
  </si>
  <si>
    <t>BIOSECURITY</t>
  </si>
  <si>
    <t>Prevention and preparedness (IC1 and IC2)</t>
  </si>
  <si>
    <t>Eradication and containment (IC3)</t>
  </si>
  <si>
    <t>Established pests and diseases (IC4 IC5)</t>
  </si>
  <si>
    <t xml:space="preserve">Overall </t>
  </si>
  <si>
    <t>Aus Govt</t>
  </si>
  <si>
    <t>States/territories</t>
  </si>
  <si>
    <t xml:space="preserve">2015/16 </t>
  </si>
  <si>
    <t>Dollars ($m)</t>
  </si>
  <si>
    <t>Investment Category</t>
  </si>
  <si>
    <t>IC6</t>
  </si>
  <si>
    <t>2020 Dec</t>
  </si>
  <si>
    <t>Overall spend</t>
  </si>
  <si>
    <t>Governtment spend</t>
  </si>
  <si>
    <t>States/terr</t>
  </si>
  <si>
    <t>External revenue</t>
  </si>
  <si>
    <t>External Revenue</t>
  </si>
  <si>
    <t xml:space="preserve">2015/16 spending ($m) </t>
  </si>
  <si>
    <t>Step 1 - Prevention and preparedness (IC1 and IC2)</t>
  </si>
  <si>
    <t>Step 2 - Eradication and containment (IC3)</t>
  </si>
  <si>
    <t>Step 3 - Established pests and diseases (IC4 IC5)</t>
  </si>
  <si>
    <t>IC6 -  export facilitation</t>
  </si>
  <si>
    <t>Increase to bring costs to an adequate level</t>
  </si>
  <si>
    <t>Final amount to be spent per year ($M)</t>
  </si>
  <si>
    <t>Step1 and Step 2 combined costs in 2015/16 dollars</t>
  </si>
  <si>
    <t>Sense Check</t>
  </si>
  <si>
    <t>Agricultural management</t>
  </si>
  <si>
    <t>Spatial layers</t>
  </si>
  <si>
    <t>Cost/km2</t>
  </si>
  <si>
    <t>Check</t>
  </si>
  <si>
    <t>High</t>
  </si>
  <si>
    <t>Vegetation Type</t>
  </si>
  <si>
    <t>Low</t>
  </si>
  <si>
    <t>post-action evaluation</t>
  </si>
  <si>
    <t>Action 1 - aerial baiting</t>
  </si>
  <si>
    <t>Action 2 - ground baiting</t>
  </si>
  <si>
    <t>Trips needed</t>
  </si>
  <si>
    <t>Cost ($1000/ha)</t>
  </si>
  <si>
    <t>Cost (km2)</t>
  </si>
  <si>
    <t>Rainforest</t>
  </si>
  <si>
    <t>Forest and woodlands</t>
  </si>
  <si>
    <t>Shrublands</t>
  </si>
  <si>
    <t>Grasslands</t>
  </si>
  <si>
    <t>Wetlands</t>
  </si>
  <si>
    <t>Chenopods, samphire shrubs and forblands</t>
  </si>
  <si>
    <t>Mangroves</t>
  </si>
  <si>
    <t>Low resistance</t>
  </si>
  <si>
    <t>Medium resistance</t>
  </si>
  <si>
    <t>Mveg</t>
  </si>
  <si>
    <t>Mnav</t>
  </si>
  <si>
    <t>Smooth</t>
  </si>
  <si>
    <t>Biosecurity stages from:</t>
  </si>
  <si>
    <r>
      <t>Step 1: Prevention and preparedness</t>
    </r>
    <r>
      <rPr>
        <sz val="12"/>
        <color theme="1"/>
        <rFont val="Times New Roman"/>
        <family val="1"/>
      </rPr>
      <t xml:space="preserve"> – highest return on investment and should have the biggest proportion of investment</t>
    </r>
  </si>
  <si>
    <r>
      <t>·</t>
    </r>
    <r>
      <rPr>
        <sz val="7"/>
        <color theme="1"/>
        <rFont val="Times New Roman"/>
        <family val="1"/>
      </rPr>
      <t xml:space="preserve">      </t>
    </r>
    <r>
      <rPr>
        <sz val="12"/>
        <color theme="1"/>
        <rFont val="Calibri"/>
        <family val="2"/>
        <scheme val="minor"/>
      </rPr>
      <t>IC1 Prevention of exotic/emergency pests and diseases (pre-border and border)</t>
    </r>
  </si>
  <si>
    <r>
      <t>·</t>
    </r>
    <r>
      <rPr>
        <sz val="7"/>
        <color theme="1"/>
        <rFont val="Times New Roman"/>
        <family val="1"/>
      </rPr>
      <t xml:space="preserve">      </t>
    </r>
    <r>
      <rPr>
        <sz val="12"/>
        <color theme="1"/>
        <rFont val="Calibri"/>
        <family val="2"/>
        <scheme val="minor"/>
      </rPr>
      <t>IC2 Preparedness for exotic or emergency pests and diseases, including early detection (surveillance)</t>
    </r>
  </si>
  <si>
    <r>
      <t>·</t>
    </r>
    <r>
      <rPr>
        <sz val="7"/>
        <color theme="1"/>
        <rFont val="Times New Roman"/>
        <family val="1"/>
      </rPr>
      <t xml:space="preserve">      </t>
    </r>
    <r>
      <rPr>
        <sz val="12"/>
        <color theme="1"/>
        <rFont val="Calibri"/>
        <family val="2"/>
        <scheme val="minor"/>
      </rPr>
      <t>51% of total reported spending* ($510m) in 2015/16</t>
    </r>
  </si>
  <si>
    <r>
      <t>Step 2: Eradication &amp; containment</t>
    </r>
    <r>
      <rPr>
        <sz val="12"/>
        <color theme="1"/>
        <rFont val="Times New Roman"/>
        <family val="1"/>
      </rPr>
      <t xml:space="preserve"> – moderate return on investment, should have moderate proportion of investment</t>
    </r>
  </si>
  <si>
    <r>
      <t>·</t>
    </r>
    <r>
      <rPr>
        <sz val="7"/>
        <color theme="1"/>
        <rFont val="Times New Roman"/>
        <family val="1"/>
      </rPr>
      <t xml:space="preserve">      </t>
    </r>
    <r>
      <rPr>
        <sz val="12"/>
        <color theme="1"/>
        <rFont val="Calibri"/>
        <family val="2"/>
        <scheme val="minor"/>
      </rPr>
      <t>IC3 National eradication/containment programs (cost-shared national programs)</t>
    </r>
  </si>
  <si>
    <r>
      <t>·</t>
    </r>
    <r>
      <rPr>
        <sz val="7"/>
        <color theme="1"/>
        <rFont val="Times New Roman"/>
        <family val="1"/>
      </rPr>
      <t xml:space="preserve">      </t>
    </r>
    <r>
      <rPr>
        <sz val="12"/>
        <color theme="1"/>
        <rFont val="Calibri"/>
        <family val="2"/>
        <scheme val="minor"/>
      </rPr>
      <t>5% of of total reported spending* ($55m) in 2015/16</t>
    </r>
  </si>
  <si>
    <r>
      <t>Step 3: Established pests and diseases</t>
    </r>
    <r>
      <rPr>
        <sz val="12"/>
        <color theme="1"/>
        <rFont val="Times New Roman"/>
        <family val="1"/>
      </rPr>
      <t xml:space="preserve"> – low return on investment, should have lowest proportion of investment </t>
    </r>
  </si>
  <si>
    <r>
      <t>·</t>
    </r>
    <r>
      <rPr>
        <sz val="7"/>
        <color theme="1"/>
        <rFont val="Times New Roman"/>
        <family val="1"/>
      </rPr>
      <t xml:space="preserve">      </t>
    </r>
    <r>
      <rPr>
        <sz val="12"/>
        <color theme="1"/>
        <rFont val="Calibri"/>
        <family val="2"/>
        <scheme val="minor"/>
      </rPr>
      <t>IC4 Management of established pests and diseases of national significance</t>
    </r>
  </si>
  <si>
    <r>
      <t>·</t>
    </r>
    <r>
      <rPr>
        <sz val="7"/>
        <color theme="1"/>
        <rFont val="Times New Roman"/>
        <family val="1"/>
      </rPr>
      <t xml:space="preserve">      </t>
    </r>
    <r>
      <rPr>
        <sz val="12"/>
        <color theme="1"/>
        <rFont val="Calibri"/>
        <family val="2"/>
        <scheme val="minor"/>
      </rPr>
      <t>IC5 Management of other established pests and diseases</t>
    </r>
  </si>
  <si>
    <r>
      <t>·</t>
    </r>
    <r>
      <rPr>
        <sz val="7"/>
        <color theme="1"/>
        <rFont val="Times New Roman"/>
        <family val="1"/>
      </rPr>
      <t xml:space="preserve">      </t>
    </r>
    <r>
      <rPr>
        <sz val="12"/>
        <color theme="1"/>
        <rFont val="Calibri"/>
        <family val="2"/>
        <scheme val="minor"/>
      </rPr>
      <t>26% of total reported spending* ($264m) in 2015/16</t>
    </r>
  </si>
  <si>
    <t>TOTAL</t>
  </si>
  <si>
    <t>Variable Cost/km2</t>
  </si>
  <si>
    <t>Fixed Cost/km2</t>
  </si>
  <si>
    <t>High resistance</t>
  </si>
  <si>
    <t>Clear</t>
  </si>
  <si>
    <t>Dense</t>
  </si>
  <si>
    <t>Msurf (surface area/planar area)</t>
  </si>
  <si>
    <t>100km2</t>
  </si>
  <si>
    <t>100-120km2</t>
  </si>
  <si>
    <t>120-150km2</t>
  </si>
  <si>
    <t>Overall multiplier</t>
  </si>
  <si>
    <t>Multiplier vegetation (Mveg): based on veg type: 1-clear, 0.9 - moderate, 0.75 - dense</t>
  </si>
  <si>
    <t>(Here it is null, as we have calculated travel time to site as a separate exercise based on time to city)</t>
  </si>
  <si>
    <t>Medium Resistance</t>
  </si>
  <si>
    <t>Effective walking speed - low resistance (km/h)</t>
  </si>
  <si>
    <t>Effective walking speed - moderate resistance (km/h)</t>
  </si>
  <si>
    <t>Effective walking speed - high resistance (km/h)</t>
  </si>
  <si>
    <t>Low resistance multiplier</t>
  </si>
  <si>
    <t>Medium resistance multiplier</t>
  </si>
  <si>
    <t>High ressitance multiplier</t>
  </si>
  <si>
    <t>3rd term is the days required to do all activities (for one person)</t>
  </si>
  <si>
    <t>Total number of days needed for all personnel</t>
  </si>
  <si>
    <t>Low Resistance</t>
  </si>
  <si>
    <t>High Resistance</t>
  </si>
  <si>
    <t>Effective Area</t>
  </si>
  <si>
    <t xml:space="preserve">Medium Resistance </t>
  </si>
  <si>
    <t>Effective walking Speed</t>
  </si>
  <si>
    <t>Days needed</t>
  </si>
  <si>
    <t>Base Walking speed (km/h)</t>
  </si>
  <si>
    <t>Days Needed</t>
  </si>
  <si>
    <t>Resistance level</t>
  </si>
  <si>
    <t>Transport at site</t>
  </si>
  <si>
    <t>Uncertainty planning buffer - to account for underestimation of budgeting (this applies to everything)</t>
  </si>
  <si>
    <t>Map A</t>
  </si>
  <si>
    <t>Map B</t>
  </si>
  <si>
    <t>National level cost that will be distributed across spatial layer</t>
  </si>
  <si>
    <t xml:space="preserve">Low </t>
  </si>
  <si>
    <t>Mod</t>
  </si>
  <si>
    <t>Number of days on site</t>
  </si>
  <si>
    <t>Distance from each grid cell to closest airport</t>
  </si>
  <si>
    <r>
      <t>Annualised Cost</t>
    </r>
    <r>
      <rPr>
        <sz val="12"/>
        <color rgb="FFFF0000"/>
        <rFont val="Calibri (Body)"/>
      </rPr>
      <t xml:space="preserve"> </t>
    </r>
  </si>
  <si>
    <r>
      <t>Total Annualised Cost</t>
    </r>
    <r>
      <rPr>
        <sz val="12"/>
        <color rgb="FFFF0000"/>
        <rFont val="Calibri (Body)"/>
      </rPr>
      <t xml:space="preserve"> </t>
    </r>
  </si>
  <si>
    <t>L</t>
  </si>
  <si>
    <t>T</t>
  </si>
  <si>
    <t>C</t>
  </si>
  <si>
    <t>E</t>
  </si>
  <si>
    <t>Total multiplier Cost</t>
  </si>
  <si>
    <r>
      <t>Annualised Cost</t>
    </r>
    <r>
      <rPr>
        <sz val="12"/>
        <color rgb="FFFF0000"/>
        <rFont val="Calibri (Body)"/>
      </rPr>
      <t xml:space="preserve"> </t>
    </r>
    <r>
      <rPr>
        <sz val="12"/>
        <color theme="1"/>
        <rFont val="Calibri"/>
        <family val="2"/>
        <scheme val="minor"/>
      </rPr>
      <t xml:space="preserve">
</t>
    </r>
    <r>
      <rPr>
        <sz val="12"/>
        <color rgb="FFFF0000"/>
        <rFont val="Calibri (Body)"/>
      </rPr>
      <t>(including multipliers)</t>
    </r>
  </si>
  <si>
    <r>
      <t xml:space="preserve">Total Annualised Cost
</t>
    </r>
    <r>
      <rPr>
        <sz val="12"/>
        <color rgb="FFFF0000"/>
        <rFont val="Calibri (Body)"/>
      </rPr>
      <t>(including multipliers)</t>
    </r>
  </si>
  <si>
    <t>Multipliers</t>
  </si>
  <si>
    <t>Overheads 
(L)</t>
  </si>
  <si>
    <t>Uncertainty 
(L + T + C + E)</t>
  </si>
  <si>
    <t>Contingency - Field only
(L + T + C)</t>
  </si>
  <si>
    <t>Action stages</t>
  </si>
  <si>
    <t>Extra Info</t>
  </si>
  <si>
    <t>LCTE % split</t>
  </si>
  <si>
    <t>Multipliers costs only (Overheads, contingency, planning buffer)</t>
  </si>
  <si>
    <t>2xpersonnel (entry level)</t>
  </si>
  <si>
    <t>Bait Delivery regardless of land or air travel</t>
  </si>
  <si>
    <t>Trips needed for staff travel to and from mgmt area</t>
  </si>
  <si>
    <t>Total Cost/km2</t>
  </si>
  <si>
    <t>+</t>
  </si>
  <si>
    <t>(Total Cost/km2 for Map A) * (Area Covered by Map A)</t>
  </si>
  <si>
    <t>The annualised 80-year Present Value costs/km2 with added multipliers, calculated from a standardised 100km2 grid for a 1km2 grid cell</t>
  </si>
  <si>
    <t>(Total Cost/km2 for Map B) * (Area Covered by Map B for the corresponding resistance level)</t>
  </si>
  <si>
    <t>Land Travel costs per day</t>
  </si>
  <si>
    <t>Map non-spatial</t>
  </si>
  <si>
    <t>Total Cost</t>
  </si>
  <si>
    <t>$850/hr, travelling at 250km/h -  the travel costs to get there and back from the closest airport for helicopter and fuel. Based on #trips required and distance, adjusted for 100 grid window weighting</t>
  </si>
  <si>
    <r>
      <rPr>
        <b/>
        <sz val="12"/>
        <color theme="1"/>
        <rFont val="Calibri"/>
        <family val="2"/>
        <scheme val="minor"/>
      </rPr>
      <t xml:space="preserve">Map Airport </t>
    </r>
    <r>
      <rPr>
        <sz val="12"/>
        <color theme="1"/>
        <rFont val="Calibri"/>
        <family val="2"/>
        <scheme val="minor"/>
      </rPr>
      <t>- Aerial suitable + Distance from grid cell to Closest airport</t>
    </r>
  </si>
  <si>
    <r>
      <rPr>
        <b/>
        <sz val="12"/>
        <color theme="1"/>
        <rFont val="Calibri"/>
        <family val="2"/>
        <scheme val="minor"/>
      </rPr>
      <t xml:space="preserve">Map Roads (Staff) </t>
    </r>
    <r>
      <rPr>
        <sz val="12"/>
        <color theme="1"/>
        <rFont val="Calibri"/>
        <family val="2"/>
        <scheme val="minor"/>
      </rPr>
      <t>- Ground suitable + resistance layer + time to closest big city</t>
    </r>
  </si>
  <si>
    <r>
      <rPr>
        <b/>
        <sz val="12"/>
        <color theme="1"/>
        <rFont val="Calibri"/>
        <family val="2"/>
        <scheme val="minor"/>
      </rPr>
      <t xml:space="preserve">Map Roads (Baits) </t>
    </r>
    <r>
      <rPr>
        <sz val="12"/>
        <color theme="1"/>
        <rFont val="Calibri"/>
        <family val="2"/>
        <scheme val="minor"/>
      </rPr>
      <t>- Time to closest big city</t>
    </r>
  </si>
  <si>
    <t xml:space="preserve">Total Cost layer = </t>
  </si>
  <si>
    <t>Step 1</t>
  </si>
  <si>
    <t>The multipliers are assumed to be additive and not multiplicative</t>
  </si>
  <si>
    <t xml:space="preserve">Table 1. The non-spatial costs, spatial costs/km2, and travel costing information for direct managemnet actions. These are split by the applicable spatial layers </t>
  </si>
  <si>
    <t>Combined threatened species distribution</t>
  </si>
  <si>
    <t>Resistance layer - Low, Moderate, High (1, 0.75, 0.5) as a combined DEM, roughness, vegetation density layer</t>
  </si>
  <si>
    <t>Costing Outline</t>
  </si>
  <si>
    <t>Overlay costing spatial layers above with cost information from Table 1</t>
  </si>
  <si>
    <t>Costing Spatial Layers</t>
  </si>
  <si>
    <t xml:space="preserve">General Spatial Layers </t>
  </si>
  <si>
    <t>Overlay threatened species distribution to get cropped cost layer</t>
  </si>
  <si>
    <t>Pers Comms with Stephen Van Leeuwen DBCA</t>
  </si>
  <si>
    <t>Cost/km2 for L, T (within site), C, and E</t>
  </si>
  <si>
    <t>The cost per grid cell can be extracted by the raster brick - combined cost layers from above at the grid cell layer. Can also create an averaged cost/km2 across the entire extent</t>
  </si>
  <si>
    <t>Ground Staff</t>
  </si>
  <si>
    <t>Cost for ground level staff</t>
  </si>
  <si>
    <t>Joint bioosecurity layer for  disease, invasive weeds and invasive pests.</t>
  </si>
  <si>
    <t>Dollar Term period</t>
  </si>
  <si>
    <t>Sense checking it with number of personnel</t>
  </si>
  <si>
    <t>Assuming there is only labour invovled in this.</t>
  </si>
  <si>
    <t xml:space="preserve">Time taken for set up/annual maintenance (hours) </t>
  </si>
  <si>
    <t xml:space="preserve">These are based off the table to the right but rounded  </t>
  </si>
  <si>
    <t>Total Cost for Non-spatial national level cost (this can just be added in at the end as a non-spatial cost)</t>
  </si>
  <si>
    <t>Threat layer - Presence for foxes, cats, and dingoes</t>
  </si>
  <si>
    <t>Fixed</t>
  </si>
  <si>
    <t>Variable</t>
  </si>
  <si>
    <t>Everywhere</t>
  </si>
  <si>
    <t>Ground baiting only</t>
  </si>
  <si>
    <t>Aerial baiting only</t>
  </si>
  <si>
    <t xml:space="preserve">Time from each grid cell to closest big city layer </t>
  </si>
  <si>
    <t>Map Base Layer</t>
  </si>
  <si>
    <t>Map Road (Staff) + Map B</t>
  </si>
  <si>
    <t>Map Airport + Map A</t>
  </si>
  <si>
    <t>Map Roads (Baits) + Base Layer</t>
  </si>
  <si>
    <t>Sustainable management of land</t>
  </si>
  <si>
    <r>
      <t>·</t>
    </r>
    <r>
      <rPr>
        <sz val="7"/>
        <color rgb="FF000000"/>
        <rFont val="Times New Roman"/>
        <family val="1"/>
      </rPr>
      <t xml:space="preserve">      </t>
    </r>
    <r>
      <rPr>
        <sz val="12"/>
        <color rgb="FF000000"/>
        <rFont val="Calibri"/>
        <family val="2"/>
      </rPr>
      <t>This involves surveying area (30% of management area) for general observations and checking for tracks, done every year. While doing this, the same staff perform other activities (cameras, sandpads, GPS collars)</t>
    </r>
  </si>
  <si>
    <r>
      <t>o</t>
    </r>
    <r>
      <rPr>
        <sz val="7"/>
        <color rgb="FF000000"/>
        <rFont val="Times New Roman"/>
        <family val="1"/>
      </rPr>
      <t xml:space="preserve">   </t>
    </r>
    <r>
      <rPr>
        <i/>
        <sz val="12"/>
        <color rgb="FF000000"/>
        <rFont val="Calibri"/>
        <family val="2"/>
      </rPr>
      <t>Survey 30% of management area tracking for cat tracks at 500m transect widths assuming 10 minutes needed for surveying for every km walked (entry level labour). This occurs twice a year during pre-action field planning and post-action monitoring</t>
    </r>
  </si>
  <si>
    <t>Management activity 3</t>
  </si>
  <si>
    <t>Cattle fence materials (2012 dollars)</t>
  </si>
  <si>
    <t>2020 dollars</t>
  </si>
  <si>
    <t>Small feral animals fence materiasl (2012 dollars)</t>
  </si>
  <si>
    <t>rounded</t>
  </si>
  <si>
    <t>Stephen van leeuwen costs</t>
  </si>
  <si>
    <t>Inflation Rate</t>
  </si>
  <si>
    <t>Rounded</t>
  </si>
  <si>
    <t>Cat fence</t>
  </si>
  <si>
    <t>Tap 2015 costs</t>
  </si>
  <si>
    <t>labour cost/km</t>
  </si>
  <si>
    <t>assumed cost per hour (any time in the past)</t>
  </si>
  <si>
    <t>Hours</t>
  </si>
  <si>
    <t>person hours</t>
  </si>
  <si>
    <t>Kangaroos</t>
  </si>
  <si>
    <t>Fence materials (2016 dollars)</t>
  </si>
  <si>
    <t>Fence line clearing</t>
  </si>
  <si>
    <t>From  Exclusion fencing: fighting ferals: research report January 2016 No. 072 www.farmingahead.com.au</t>
  </si>
  <si>
    <t>https://www.environment.gov.au/system/files/resources/b39c119e-c58a-4473-9507-db68da31a95c/files/fencing.pdf</t>
  </si>
  <si>
    <t>From "Cost Effective Feral Animal Exclusion Fencing for Areas of High Conservation Value in Australia"</t>
  </si>
  <si>
    <t>This is for cat/fox floppy fence</t>
  </si>
  <si>
    <t>Hours of Maintenance per week per km</t>
  </si>
  <si>
    <t>Hours of Maintenance per year per km</t>
  </si>
  <si>
    <t>% of hours constructed</t>
  </si>
  <si>
    <t>roughly 20% of hours spent constructing</t>
  </si>
  <si>
    <t>we assume 10% will need maintenance</t>
  </si>
  <si>
    <t>maintenance</t>
  </si>
  <si>
    <t>Management Area (km2)</t>
  </si>
  <si>
    <r>
      <t>o</t>
    </r>
    <r>
      <rPr>
        <sz val="7"/>
        <color theme="1"/>
        <rFont val="Times New Roman"/>
        <family val="1"/>
      </rPr>
      <t xml:space="preserve">   </t>
    </r>
    <r>
      <rPr>
        <i/>
        <sz val="12"/>
        <color rgb="FF000000"/>
        <rFont val="Calibri"/>
        <family val="2"/>
        <scheme val="minor"/>
      </rPr>
      <t>We place 1 sand pad every 10km2 and they don’t cost anyhting for setup, takes 30 minutes to set up and checking and resetting it takes 15 minutes, this occurs twice a year during pre-action field planning and post-action monitoring, it needs replacing every 5 years. </t>
    </r>
  </si>
  <si>
    <r>
      <t>(NOT DONE) ·</t>
    </r>
    <r>
      <rPr>
        <sz val="7"/>
        <color rgb="FF000000"/>
        <rFont val="Calibri"/>
        <family val="2"/>
      </rPr>
      <t xml:space="preserve">      </t>
    </r>
    <r>
      <rPr>
        <sz val="12"/>
        <color rgb="FF000000"/>
        <rFont val="Calibri"/>
        <family val="2"/>
      </rPr>
      <t>Catch predators and set up GPS collars once a year.</t>
    </r>
  </si>
  <si>
    <t>Base costs</t>
  </si>
  <si>
    <t>Multiplier percentages</t>
  </si>
  <si>
    <t>Annualised Cost/km2</t>
  </si>
  <si>
    <t>Cost across 100km2</t>
  </si>
  <si>
    <t>Combined multipliers</t>
  </si>
  <si>
    <t>Annualised Cost/km2 including multipliers</t>
  </si>
  <si>
    <t>% split by cost components</t>
  </si>
  <si>
    <t>Time spent on each bait drop (minutes)</t>
  </si>
  <si>
    <t>3rd term = days vehicle has to stay or be used at management site for activity</t>
  </si>
  <si>
    <t>Ground Baiting in non-quoll territory</t>
  </si>
  <si>
    <t>Pre and post management actions</t>
  </si>
  <si>
    <r>
      <t xml:space="preserve">Distance from depot to operations centre (km), where depot is the closest city with &gt;2000 people and operations centre is the polygon centroid of action area </t>
    </r>
    <r>
      <rPr>
        <sz val="12"/>
        <color rgb="FFFF0000"/>
        <rFont val="Calibri"/>
        <family val="2"/>
      </rPr>
      <t>[These steps calculated with GIS layer]</t>
    </r>
  </si>
  <si>
    <r>
      <t xml:space="preserve">Distance from mgmt area to closest air base (km) </t>
    </r>
    <r>
      <rPr>
        <sz val="12"/>
        <color rgb="FFFF0000"/>
        <rFont val="Calibri"/>
        <family val="2"/>
      </rPr>
      <t>[These steps calculated with GIS layer]</t>
    </r>
  </si>
  <si>
    <r>
      <t xml:space="preserve">Binary values (Rough or smooth) based on terrain roughness index value - measured by "Depth to regolith" </t>
    </r>
    <r>
      <rPr>
        <sz val="12"/>
        <color rgb="FFFF0000"/>
        <rFont val="Calibri"/>
        <family val="2"/>
      </rPr>
      <t>[These steps calculated with GIS layer]</t>
    </r>
  </si>
  <si>
    <r>
      <t xml:space="preserve">Vegetation type (clear, moderate, dense) </t>
    </r>
    <r>
      <rPr>
        <sz val="12"/>
        <color rgb="FFFF0000"/>
        <rFont val="Calibri"/>
        <family val="2"/>
      </rPr>
      <t>[These steps calculated with GIS layer]</t>
    </r>
  </si>
  <si>
    <r>
      <t xml:space="preserve">Remoteness accessibility cost: Very remote (+50%), remote (+30%) OR City/regional (+0%) (based on ARIA). </t>
    </r>
    <r>
      <rPr>
        <sz val="12"/>
        <color rgb="FFFF0000"/>
        <rFont val="Calibri"/>
        <family val="2"/>
      </rPr>
      <t>[These steps calculated with GIS layer]</t>
    </r>
  </si>
  <si>
    <t>ARIA+ boundaries available https://www.abs.gov.au/websitedbs/d3310114.nsf/home/remoteness+structure</t>
  </si>
  <si>
    <t>Refuelling flying distance (Operations centre to furthest point in polygon (constant for each polygon))</t>
  </si>
  <si>
    <r>
      <t>Surface area of action area (km2) - measured by Digital elevation model (DEM)</t>
    </r>
    <r>
      <rPr>
        <sz val="12"/>
        <color rgb="FFFF0000"/>
        <rFont val="Calibri"/>
        <family val="2"/>
      </rPr>
      <t xml:space="preserve"> [These steps calculated with GIS layer]</t>
    </r>
  </si>
  <si>
    <t xml:space="preserve"> (these will be done via GIS tools to calculate it for each action spatial polygon)</t>
  </si>
  <si>
    <t>Standardised for each 100kmn2</t>
  </si>
  <si>
    <t xml:space="preserve">These can be used but will probably underestimate costs as it is based on car hire companies that don’t allow off road field work. </t>
  </si>
  <si>
    <t>Vehicle Choice/km that includes on-roads, repairs, fuels, maintenance and is turned over every 80,000km</t>
  </si>
  <si>
    <t>On site when activity is being done we assume it gets driven 300km/day</t>
  </si>
  <si>
    <t>Km driven per day</t>
  </si>
  <si>
    <t>Max km driven per day</t>
  </si>
  <si>
    <t>Cost per day if transitting</t>
  </si>
  <si>
    <t>cost/km 4x4 Landcruiser trayback -set up for field work (0.95/km)</t>
  </si>
  <si>
    <t>cost/hour assuming transit speed below</t>
  </si>
  <si>
    <t>cost/day assuming transit speed below</t>
  </si>
  <si>
    <t>Daily rate (AUD) for Ute Hire when on site (assuming that it is driven for 300kms)</t>
  </si>
  <si>
    <t>Travel cost (on site)</t>
  </si>
  <si>
    <t>Travel cost - Road</t>
  </si>
  <si>
    <t>cost/day 4x4 Landcruiser trayback -set up for field work (0.95/km)</t>
  </si>
  <si>
    <t>Cameras + sandpads</t>
  </si>
  <si>
    <t>GPS COLLAR ASSUMPTIONS SHOWN HERE BUT NOT INCLUDED</t>
  </si>
  <si>
    <t>This occurs twice in the period, first for set up and the seocnd for checking the tracks</t>
  </si>
  <si>
    <t>Step 2</t>
  </si>
  <si>
    <t>This scales spatially</t>
  </si>
  <si>
    <t>Travel costings (For GIS layer)</t>
  </si>
  <si>
    <t>Contingency buffer - This incorporates a contingency amount to account for bad weather, unforeseen circumstances (FIELD only, L+T+C)</t>
  </si>
  <si>
    <t>Overhead ogranisational costs  (L only)</t>
  </si>
  <si>
    <r>
      <t xml:space="preserve">Remoteness Multiplier - accesibility cost: Very remote (+50%), remote (+30%) OR City/regional (+0%) (based on ARIA) (this applies to everything) </t>
    </r>
    <r>
      <rPr>
        <sz val="12"/>
        <color rgb="FFFF0000"/>
        <rFont val="Calibri"/>
        <family val="2"/>
      </rPr>
      <t>[Consider not doing?]</t>
    </r>
  </si>
  <si>
    <t>Standardised action area - Planar spatial polygon area of action area (km2)</t>
  </si>
  <si>
    <t>Max number of days allowed to spend in field, if longer than this we will need to make another trip</t>
  </si>
  <si>
    <t>Combining all of the above, we come up with 3 "walking speeds"</t>
  </si>
  <si>
    <t>Primary NPV calculation (set at 80 years)</t>
  </si>
  <si>
    <t>Secondary NPV calculation (set at 5 years)</t>
  </si>
  <si>
    <t>Net Present Values Assumptions</t>
  </si>
  <si>
    <t>Standardised area (km2)</t>
  </si>
  <si>
    <t>Secondary NPV Calculation</t>
  </si>
  <si>
    <t>This is the ground baiting that invovles labour (takes 10. mintues to dig the bait 10cm into the ground)</t>
  </si>
  <si>
    <t xml:space="preserve"> (takes 5 mintues to dig the bait 10cm into the ground)</t>
  </si>
  <si>
    <t>This is applied at the transport layer</t>
  </si>
  <si>
    <t>With road transport and manual activity: the cost is the time to conduct the action and accommodation/meals.</t>
  </si>
  <si>
    <t xml:space="preserve">This table below has each direct managemnet action split by cost components (L, T, C and E). </t>
  </si>
  <si>
    <t xml:space="preserve">Relevant actions that vary by walking speed are shown with different shades of blue. i.e. 1.21 is for low resistance, 1.22 is for medium resistance, and 1.23 is for high resistance. </t>
  </si>
  <si>
    <t>Direct management action details</t>
  </si>
  <si>
    <t>On-costs - Applied to the translation of hourly rates to daily rates/annual rates to include superannuation, leave, payroll etc.  (L only)</t>
  </si>
  <si>
    <t>Percentage of field that needs to be surveyed</t>
  </si>
  <si>
    <t>Accomodation + Meals</t>
  </si>
  <si>
    <t>Distance to fly to refuel (maximum distance from centre of standardised area)</t>
  </si>
  <si>
    <t>Area to be planned for (km2)</t>
  </si>
  <si>
    <t>Days to get to the operations centre from the aircraft base</t>
  </si>
  <si>
    <t>Days to do the operation</t>
  </si>
  <si>
    <t>In hours</t>
  </si>
  <si>
    <t>Effective area managed</t>
  </si>
  <si>
    <t>Effective distance to be walked along</t>
  </si>
  <si>
    <t>Total hours needed for helicopter</t>
  </si>
  <si>
    <t>Cost for secure bait delivery to and fro (calculated in GIS step)</t>
  </si>
  <si>
    <t>Monitoring of action output. Tracking, maintaining cameras, sandc pad checking and resetting. Equipment covered in pre-action field planning.</t>
  </si>
  <si>
    <t>NB this table doesn’t include travel costs to and from site, it only includes vehicle hire on site. The travel costs are calculated in GIS.</t>
  </si>
  <si>
    <t>bring USD to AUD and PV @ 2%</t>
  </si>
  <si>
    <t>Inflation rate</t>
  </si>
  <si>
    <t>Total activity time (minutes)</t>
  </si>
  <si>
    <t>Initial Cost for desex setup (replaced every 10 years)</t>
  </si>
  <si>
    <t>Total flight distance</t>
  </si>
  <si>
    <t>Days required per standard area of 10km2 (days)</t>
  </si>
  <si>
    <t>Total days for one vehiclew</t>
  </si>
  <si>
    <t>Pre-action field planning (Aerial)</t>
  </si>
  <si>
    <t>Time needed for tracking in total (hours)</t>
  </si>
  <si>
    <r>
      <t>·</t>
    </r>
    <r>
      <rPr>
        <sz val="7"/>
        <color rgb="FF000000"/>
        <rFont val="Times New Roman"/>
        <family val="1"/>
      </rPr>
      <t xml:space="preserve">      </t>
    </r>
    <r>
      <rPr>
        <sz val="12"/>
        <color rgb="FF000000"/>
        <rFont val="Calibri"/>
        <family val="2"/>
      </rPr>
      <t>This involves surveying area (30% of management area) for general observations and checking for tracks, done every year.</t>
    </r>
  </si>
  <si>
    <t>Med</t>
  </si>
  <si>
    <t>We assume 250m transect widths as you can shoot accruately within 100m</t>
  </si>
  <si>
    <t>Distance walked</t>
  </si>
  <si>
    <t>Time to walk area (days)</t>
  </si>
  <si>
    <t>Shooting activity (days)</t>
  </si>
  <si>
    <t>2nd term is the time required to walk the area</t>
  </si>
  <si>
    <t>3rd term is the time required to do the activtiy</t>
  </si>
  <si>
    <t>Comapred to industry average, but once we add on transport, accomodation etc. it'll be similar</t>
  </si>
  <si>
    <t>Transport vehicle</t>
  </si>
  <si>
    <t>There is also a ute that is at disposal of shooters</t>
  </si>
  <si>
    <t>Walking speeds</t>
  </si>
  <si>
    <t>On site travel costs</t>
  </si>
  <si>
    <t>On site Vehicle Costs</t>
  </si>
  <si>
    <t>Post action monitoring (Aerial)</t>
  </si>
  <si>
    <t>Pre-action field planning (Ground)</t>
  </si>
  <si>
    <t>Post action monitoring (Ground)</t>
  </si>
  <si>
    <t>Asume the same as pre-action field planning (Aerial)</t>
  </si>
  <si>
    <t>Asume the same as pre-action field planning (Ground)</t>
  </si>
  <si>
    <t>Pre-action field planning - Ground
(L + T)</t>
  </si>
  <si>
    <t>Pre-action field planning - Aerial
(L + T)</t>
  </si>
  <si>
    <t>Management Action 4
(L + T + C + E)</t>
  </si>
  <si>
    <t>Post-action monitoring - Ground
(L + T + C + E)</t>
  </si>
  <si>
    <t>Post-action monitoring - Aerial
( L + T + C + E)</t>
  </si>
  <si>
    <t>Consumables (collars)</t>
  </si>
  <si>
    <t>Accomodation, desexing and collars</t>
  </si>
  <si>
    <t>Shooting time per km2 (minutes)</t>
  </si>
  <si>
    <t>Total shooting time (minutes)</t>
  </si>
  <si>
    <t>We assume 20 minutes to line shot up and ensure animal is humanely killed</t>
  </si>
  <si>
    <t>Shooting time required per animal (minutes)</t>
  </si>
  <si>
    <t>2.2 -3.5 pigs/km2</t>
  </si>
  <si>
    <t>https://www.researchgate.net/profile/Peter_Caley/publication/248882734_Population_Dynamics_of_Feral_Pigs_Sus_Scrofa_in_a_Tropical_Riverine_Habitat_Complex/links/598913480f7e9b6c8539fdde/Population-Dynamics-of-Feral-Pigs-Sus-Scrofa-in-a-Tropical-Riverine-Habitat-Complex.pdf</t>
  </si>
  <si>
    <t>https://www.publish.csiro.au/WR/WR18100</t>
  </si>
  <si>
    <t>1.127 pigs/km2</t>
  </si>
  <si>
    <t>Shooting time per km walked (minutes)</t>
  </si>
  <si>
    <t>Total shooting time (days)</t>
  </si>
  <si>
    <t>Number of animals culled per km2</t>
  </si>
  <si>
    <t>Total animals culled in 100km2</t>
  </si>
  <si>
    <t>Generic Cost</t>
  </si>
  <si>
    <t>Scaled for area</t>
  </si>
  <si>
    <t>Whitsundays aerial culling program report</t>
  </si>
  <si>
    <t>Hourly rates</t>
  </si>
  <si>
    <t>Assumed hourly rates</t>
  </si>
  <si>
    <t>per km2</t>
  </si>
  <si>
    <t>SoS data estimated per ha</t>
  </si>
  <si>
    <t>Cat TAP 2015 aerial costs</t>
  </si>
  <si>
    <t>Aerial cost per km2</t>
  </si>
  <si>
    <t>Aerial culling cost per km2</t>
  </si>
  <si>
    <t>Sense Check (Annual per km2 cost before travel to site cost)</t>
  </si>
  <si>
    <t>Excel to GIS transition</t>
  </si>
  <si>
    <t>Data Table</t>
  </si>
  <si>
    <t>Aerial baiting</t>
  </si>
  <si>
    <t xml:space="preserve">Threat layer - (if available) Presence/absence of large invasive ungulates (i.e. pigs, goats, deer, camels, horses, donkeys) </t>
  </si>
  <si>
    <t>$128/h travelling at 80km/h - Due to hazardous baits there is a cost for a refrigerated truck including the drivers labour and accomodation. Bait delivery is required for Aerial and Ground baiting and is excess to the travel for staff.</t>
  </si>
  <si>
    <t>Action 1 - Judas Monitoring</t>
  </si>
  <si>
    <t>Action 3 - Mustering</t>
  </si>
  <si>
    <t>Action 4 - Ground shooting</t>
  </si>
  <si>
    <t>Post-action monitoring (Aerial)</t>
  </si>
  <si>
    <t>Post-action monitoring (Ground)</t>
  </si>
  <si>
    <t>Action 2 - Aerial culling</t>
  </si>
  <si>
    <t>Roughly overall</t>
  </si>
  <si>
    <t>Aerial activtiy</t>
  </si>
  <si>
    <t>Ground activity</t>
  </si>
  <si>
    <t>Aerial only</t>
  </si>
  <si>
    <t>Ground only</t>
  </si>
  <si>
    <t>This involves surveying a representative area (30% of management area) for general observations and checking for tracks.</t>
  </si>
  <si>
    <t>The multipliers are assumed to be multiplicative</t>
  </si>
  <si>
    <t>LCTE split will vary slightly across actions that have multiple resistance levels, but they are generally very similar (+/- 5%)</t>
  </si>
  <si>
    <t>There is labour only invovled in this, and we assume that it is done at a "higher" pay grade (Experienced)</t>
  </si>
  <si>
    <t xml:space="preserve">There is labour only invovled in this, and we assume that it is done at a "experienced" pay grade (Experienced) </t>
  </si>
  <si>
    <t>(a) Susceptible habitat layer (b) disease distribution (the portion that intersects with distribution of diseases)</t>
  </si>
  <si>
    <t>We also include an extra 3 weeks for lab time to process samples colelcted from pre-action field planning</t>
  </si>
  <si>
    <t>Effective distance(km)</t>
  </si>
  <si>
    <t>Total distance to be walked with TW (km)</t>
  </si>
  <si>
    <t>Effective walking speed</t>
  </si>
  <si>
    <t>Activity time</t>
  </si>
  <si>
    <t>Time required for suverying management area for hygiene stations (hours)</t>
  </si>
  <si>
    <t>Time needed for Surveying in total (days)</t>
  </si>
  <si>
    <t>2nd term is days required for walking through the field</t>
  </si>
  <si>
    <t>Time spend colleting samples</t>
  </si>
  <si>
    <t>Time needed for sampling in total (days)</t>
  </si>
  <si>
    <t>Aerial culling transect width (km)</t>
  </si>
  <si>
    <t>Default transect width (km) - unless otherwise specificed i.e. aerial culling needs 100metre, ground hsooting needs 200metres</t>
  </si>
  <si>
    <t>Ground shooting (km)</t>
  </si>
  <si>
    <t>2nd term = days vehicle has to stay for sampling and observations</t>
  </si>
  <si>
    <t>Biosecurity - Signage for visitor awareness, footwear hygiene station, vehicle washdown station (susceptible habitat layer (a))</t>
  </si>
  <si>
    <t>Time to construct one vehicle washdown station (days)</t>
  </si>
  <si>
    <t>Phythophtora spraying</t>
  </si>
  <si>
    <t>Days required for refuelling</t>
  </si>
  <si>
    <t>Total Aerial Spraying Travel costs</t>
  </si>
  <si>
    <t>Accommodation  for all</t>
  </si>
  <si>
    <t>As this needs two separate trips 4-6 weeks apart, we multiply this by 2</t>
  </si>
  <si>
    <t>Total Days needed for all personnel</t>
  </si>
  <si>
    <t>Nights needed for all accomodation</t>
  </si>
  <si>
    <t>Time needed for observation and sampling per km (hours)</t>
  </si>
  <si>
    <t>Post-action field monitoring</t>
  </si>
  <si>
    <t>Post-aciton monitoring occurs every "X" years</t>
  </si>
  <si>
    <t>Time needed for obsering and sampling in total (days)</t>
  </si>
  <si>
    <t>Post-action monitoring assumes only a representative portion needs to be surveyed. However for phytophthora we survey the whole area</t>
  </si>
  <si>
    <t>Surveyingfor general observaitons and collecting samples for disease monitoring</t>
  </si>
  <si>
    <t>Working speed of vehicle</t>
  </si>
  <si>
    <t xml:space="preserve">Biosecurity - Signage for visitor awareness, footwear hygiene station, vehicle washdown station </t>
  </si>
  <si>
    <t xml:space="preserve">Aerial spraying of phosphite - 2x application within 4-6 weeks </t>
  </si>
  <si>
    <t>Consumables (Accom + Phosphite)</t>
  </si>
  <si>
    <t>Accomodation and Phosphite</t>
  </si>
  <si>
    <t>Management activity 2</t>
  </si>
  <si>
    <t>Accomodation +Phosphite injection costs</t>
  </si>
  <si>
    <t>Consumables (Accomodation + Phosphites)</t>
  </si>
  <si>
    <t>Mid</t>
  </si>
  <si>
    <t>Injection of phosphite (1%  of phytophthora management area)</t>
  </si>
  <si>
    <t xml:space="preserve">This is assessing the effect of phytophthora treatment </t>
  </si>
  <si>
    <t>Post-action monitoring 
(L + T + C + E)</t>
  </si>
  <si>
    <t>Threat layer - Phytophthora threat map</t>
  </si>
  <si>
    <t>Pre-action field planning
(L + T)</t>
  </si>
  <si>
    <t>Action 1 - Signage and Hygiene Stations</t>
  </si>
  <si>
    <t>Action 2 - Aerial spraying of phosphite (phytophthora)</t>
  </si>
  <si>
    <t>Action 3 - Ground injection of phosphite (phytophthora)</t>
  </si>
  <si>
    <t>Post-action monitoring (phytophthora)</t>
  </si>
  <si>
    <t>Post-action evaluation</t>
  </si>
  <si>
    <t>Map Road (Staff) + Map A</t>
  </si>
  <si>
    <r>
      <rPr>
        <b/>
        <sz val="12"/>
        <color theme="1"/>
        <rFont val="Calibri"/>
        <family val="2"/>
        <scheme val="minor"/>
      </rPr>
      <t>Map A</t>
    </r>
    <r>
      <rPr>
        <sz val="12"/>
        <color theme="1"/>
        <rFont val="Calibri"/>
        <family val="2"/>
        <scheme val="minor"/>
      </rPr>
      <t xml:space="preserve"> - Susceptible disease layer</t>
    </r>
  </si>
  <si>
    <t>Entire threatened species distribution</t>
  </si>
  <si>
    <t>Prevent everywhere threatened species occur, additional action of treatment for phytophthora where the disease is prevalent</t>
  </si>
  <si>
    <t xml:space="preserve">Pre-action field planning </t>
  </si>
  <si>
    <t>Management action 1 - weed management (bottom up model)</t>
  </si>
  <si>
    <t>5% of managed area needs Intensive weed control at $1800/ha that takes 2.7mins/10m2</t>
  </si>
  <si>
    <t>10% of managed area needs Moderate weed control at $1300/ha that takes 1.95mins/10m2</t>
  </si>
  <si>
    <t>15% of managed area needs Light weed control at $450/ha that takes 0.67mins/10m2</t>
  </si>
  <si>
    <t>Number of hours per km2</t>
  </si>
  <si>
    <t>Number of minutes per km2</t>
  </si>
  <si>
    <t>Intense</t>
  </si>
  <si>
    <t>Labour back calculations</t>
  </si>
  <si>
    <t>Cost/10m2</t>
  </si>
  <si>
    <t>The 3 levels of cost/ha was adapted from NSW SoS program cost data. (1800,1400,450/ha)</t>
  </si>
  <si>
    <t>Units of 10m2 per km2</t>
  </si>
  <si>
    <t>Number of 10m2 units</t>
  </si>
  <si>
    <t>Consumables (herbicide cost)</t>
  </si>
  <si>
    <t>Transect Width</t>
  </si>
  <si>
    <t>Action distance (km)</t>
  </si>
  <si>
    <t>Activity occurs every "X" years</t>
  </si>
  <si>
    <t>Distance needed to be driven (km)</t>
  </si>
  <si>
    <t>Intesive</t>
  </si>
  <si>
    <t>Labour + consumables Cost</t>
  </si>
  <si>
    <t>2nd term is days required for labour to drive through management site (for one person)</t>
  </si>
  <si>
    <t>Herbicide costs</t>
  </si>
  <si>
    <t>Intense bush regen</t>
  </si>
  <si>
    <t>Consumables (Bush regen material + Accomodation)</t>
  </si>
  <si>
    <t xml:space="preserve">Management action 2 - Bush regeneration </t>
  </si>
  <si>
    <t>Time needed for surveying per km (hours)</t>
  </si>
  <si>
    <t>Time needed for surveying in total (hours)</t>
  </si>
  <si>
    <t xml:space="preserve">1) Surveying area and collecting disease samples by foot </t>
  </si>
  <si>
    <t>Invasive Weed Management - every km2 has intense treatment (5%), moderate treatment (10%), light treatment (15%)</t>
  </si>
  <si>
    <t>Bush regeneration - every km2 has intense regen (5%), moderate regen (10%), light regen (15%)</t>
  </si>
  <si>
    <t>post-action monitoring of invasive weed management and bush regeneration</t>
  </si>
  <si>
    <t>Aerial</t>
  </si>
  <si>
    <t>$1800/ha</t>
  </si>
  <si>
    <t>SOS</t>
  </si>
  <si>
    <t>per ha</t>
  </si>
  <si>
    <t>Habitat loss and degradation</t>
  </si>
  <si>
    <t>We conduct habitat restoration and management for the entire species distribution (known, likely and may) of all threatened species</t>
  </si>
  <si>
    <t>Habitat loss is the single biggest threat</t>
  </si>
  <si>
    <t>Restore habitat to intact condition</t>
  </si>
  <si>
    <t>There are 3 main actions. The first is “do nothing” if the land is non-restorable (even though other direct management actions still occur here). The second is “habitat management” of vegetated and restorable areas, this is an on-going cost that will occur 80 years into the future. The third is “habitat restoration” in areas that are cleared but restorable (potentially split this into passive and active growth?)</t>
  </si>
  <si>
    <t>Low Weed Treatment proportion</t>
  </si>
  <si>
    <t>Intense Weed Treatment proportion</t>
  </si>
  <si>
    <t>Moderate Weed Treatment proportion</t>
  </si>
  <si>
    <t>Assume same proportions are weed treatment proportions</t>
  </si>
  <si>
    <t>moderate bush regen</t>
  </si>
  <si>
    <t>light bush regen</t>
  </si>
  <si>
    <t>Rescaling it to X%</t>
  </si>
  <si>
    <t>Proportions from invasive weed management</t>
  </si>
  <si>
    <t>Management action 2 (a) - Habitat restoration (weed management)</t>
  </si>
  <si>
    <t>Management action 2(b) - Habitat Restoration (Bush regeneration)</t>
  </si>
  <si>
    <t>Action 2(a) - Habitat restoration - Invasive weed control</t>
  </si>
  <si>
    <t>Action 2(b)- Habitat restoration - Bush regeneration</t>
  </si>
  <si>
    <t>Non-scaled</t>
  </si>
  <si>
    <r>
      <rPr>
        <b/>
        <sz val="12"/>
        <color theme="1"/>
        <rFont val="Calibri"/>
        <family val="2"/>
        <scheme val="minor"/>
      </rPr>
      <t xml:space="preserve">Land-use map </t>
    </r>
    <r>
      <rPr>
        <sz val="12"/>
        <color theme="1"/>
        <rFont val="Calibri"/>
        <family val="2"/>
        <scheme val="minor"/>
      </rPr>
      <t>- Vegetated, cleared and restorable, cleared but not restorable, other</t>
    </r>
  </si>
  <si>
    <r>
      <rPr>
        <b/>
        <sz val="12"/>
        <color theme="1"/>
        <rFont val="Calibri"/>
        <family val="2"/>
        <scheme val="minor"/>
      </rPr>
      <t xml:space="preserve">Summarised Pre-1750 Vegetation Restoration layer </t>
    </r>
    <r>
      <rPr>
        <sz val="12"/>
        <color theme="1"/>
        <rFont val="Calibri"/>
        <family val="2"/>
        <scheme val="minor"/>
      </rPr>
      <t>- Pre-european settlement (1750) vegeation map of Rainforest, Forest and woodlands, Shrublands, Grasslands, Wetlands, Chenopods, samphire shrubs and forblands, Mangroves</t>
    </r>
  </si>
  <si>
    <t>Map C</t>
  </si>
  <si>
    <t>Proportions scaling it to grasslands</t>
  </si>
  <si>
    <t>Scaling Factor (adapted from Maggini et al. 2013)</t>
  </si>
  <si>
    <t xml:space="preserve">low resistance level </t>
  </si>
  <si>
    <r>
      <rPr>
        <b/>
        <sz val="12"/>
        <color theme="1"/>
        <rFont val="Calibri"/>
        <family val="2"/>
        <scheme val="minor"/>
      </rPr>
      <t>Weed threat layer</t>
    </r>
    <r>
      <rPr>
        <sz val="12"/>
        <color theme="1"/>
        <rFont val="Calibri"/>
        <family val="2"/>
        <scheme val="minor"/>
      </rPr>
      <t xml:space="preserve"> - Combined species distribution threatened by weeds</t>
    </r>
  </si>
  <si>
    <t>Essentially, if it is cleared and restorable we do habitat restoration, if it is vegetated and theres a weed-threatened species there we do invasive weed management, if it is vegetated with no weed-threateend species there we don't do anyhting</t>
  </si>
  <si>
    <t>Regardless of threatened species distribution, we take all of the "cleared and restorable land". For vegetated areas, we intersect it with weed-threatened threatened species distribution, and ignore any vegetated land with no weed-threatened species.</t>
  </si>
  <si>
    <t xml:space="preserve">We assume our costings line up the most with forest and woodlands. </t>
  </si>
  <si>
    <t>Taken from Maggini et al. 2013</t>
  </si>
  <si>
    <t>Veg Type</t>
  </si>
  <si>
    <t>Proportions scaling it to "forest and woodlands"</t>
  </si>
  <si>
    <t xml:space="preserve"> Map B</t>
  </si>
  <si>
    <t>Habiat Restoration (30% of Invasive weed control + 100% Bush regen)</t>
  </si>
  <si>
    <t>Vegetated land (we crop it to weed-threatened threatened species distribution later)</t>
  </si>
  <si>
    <t>Number of Trips</t>
  </si>
  <si>
    <t>Cleared land (crop it to all threatened species distribution later)</t>
  </si>
  <si>
    <t>Scaling Factor</t>
  </si>
  <si>
    <t>Barriers, policy change, education and awareness, riparian buffers, fences, invasive fish removal, screens</t>
  </si>
  <si>
    <t>Includes labour and equipment (recovery plans)</t>
  </si>
  <si>
    <t>Barriers needed per 10km of major river</t>
  </si>
  <si>
    <t>Total barriers needed</t>
  </si>
  <si>
    <t>Signs needed per 100km of river</t>
  </si>
  <si>
    <t>Screens on irrigation channels in order to prevent transfer of tilapia eggs and larvae</t>
  </si>
  <si>
    <t>Proportion of river surveyed (km)</t>
  </si>
  <si>
    <t>Effective distance to be walked along river (km)</t>
  </si>
  <si>
    <t>Prevent invaisve trout by constructing barriers</t>
  </si>
  <si>
    <t>Length of River</t>
  </si>
  <si>
    <t>Major river (concrete barrier)</t>
  </si>
  <si>
    <t>Minor River (Mesh barrier)</t>
  </si>
  <si>
    <t>Length of river (km)</t>
  </si>
  <si>
    <t xml:space="preserve">Occurs every "X" years </t>
  </si>
  <si>
    <t>Maintenance</t>
  </si>
  <si>
    <t>Maintenance every "X" years</t>
  </si>
  <si>
    <t>-</t>
  </si>
  <si>
    <t>Time to construct barriers</t>
  </si>
  <si>
    <t xml:space="preserve">The minor river mesh barriers consist of wire mesh supported by metal stakes, with nylon fishing net (10 mm aperture). </t>
  </si>
  <si>
    <t xml:space="preserve">Total days needed to consstruct </t>
  </si>
  <si>
    <t>Labour + Equipment Costs</t>
  </si>
  <si>
    <t>Maintenance costs</t>
  </si>
  <si>
    <t>Labour+Equipment costs for construction</t>
  </si>
  <si>
    <t>Maintenance Cost</t>
  </si>
  <si>
    <t>Labour + Equipment</t>
  </si>
  <si>
    <t>Invasive fish barriers (trout) - Major River Concrete Barrier</t>
  </si>
  <si>
    <t>Invasive fish barriers (trout) - Minor River Mesh Barrier</t>
  </si>
  <si>
    <r>
      <t xml:space="preserve">Map A - </t>
    </r>
    <r>
      <rPr>
        <sz val="12"/>
        <color theme="1"/>
        <rFont val="Calibri"/>
        <family val="2"/>
        <scheme val="minor"/>
      </rPr>
      <t>Land-use map (vegetated) + Resistance layer</t>
    </r>
  </si>
  <si>
    <t>For vegetated areas, we intersect it with weed-threatened threatened species distribution, and ignore any vegetated land with no weed-threatened species.</t>
  </si>
  <si>
    <t>Essentially if it is vegetated and theres a weed-threatened species there we do invasive weed management, if it is vegetated with no weed-threateend species there we don't do anyhting</t>
  </si>
  <si>
    <t>Action 1(a) - Habitat restoration - Invasive weed control</t>
  </si>
  <si>
    <t>Action 1(b)- Habitat restoration - Bush regeneration</t>
  </si>
  <si>
    <t>Intense bush regeneration (days)</t>
  </si>
  <si>
    <t>Moderate bush regeneration (days)</t>
  </si>
  <si>
    <t>Light bush regenerationt (days)</t>
  </si>
  <si>
    <t>Habitat Restoration (100% Bush regeneration)- every km2 has intense regen (17%), moderate regen (33%), light regen (50%) (assuming same proportions of 5:10:15 to get to 100%)</t>
  </si>
  <si>
    <t>Habitat Restoration (30% Weed Control) - every km2 has intense treatment (5%), moderate treatment (10%), light treatment (15%)</t>
  </si>
  <si>
    <t>Trout</t>
  </si>
  <si>
    <t>Tilapia</t>
  </si>
  <si>
    <t>TROUT</t>
  </si>
  <si>
    <t>Invasive fish barriers (Tilapia) - Major River irrigation screen</t>
  </si>
  <si>
    <t>Team of liason officers</t>
  </si>
  <si>
    <t>Experienced staff</t>
  </si>
  <si>
    <t>Management level staff</t>
  </si>
  <si>
    <t>Management of liason officers</t>
  </si>
  <si>
    <t>Weeks required</t>
  </si>
  <si>
    <t>This is negotiating change in policy, compliance, and awareness on invasive fish.</t>
  </si>
  <si>
    <t>Policy (national level) - negotiating change, compliance and awareness</t>
  </si>
  <si>
    <t>Policy, compliance and awareness</t>
  </si>
  <si>
    <t>Cost for liaison officers</t>
  </si>
  <si>
    <t>Biosecurity - Signage for invasive fish</t>
  </si>
  <si>
    <t>These will be set up along rivers</t>
  </si>
  <si>
    <t>This is invasive fish barriers</t>
  </si>
  <si>
    <t>Need trout maps? Need tilapia maps?</t>
  </si>
  <si>
    <t>Distance to be driven</t>
  </si>
  <si>
    <t>2nd term is the time required to drive along the perimeter (days)</t>
  </si>
  <si>
    <t>We will include accomodation, time to drive between patches, transport, and consumables</t>
  </si>
  <si>
    <t>Weeding proportions</t>
  </si>
  <si>
    <t>We will include accomodation, time to drive between patches (like above walking of the whole area), transport, and consumables</t>
  </si>
  <si>
    <t>Management action 4 (a) - Riparian restoration (weed control)</t>
  </si>
  <si>
    <t>River length</t>
  </si>
  <si>
    <t>Buffer on riverside for restoration (km)</t>
  </si>
  <si>
    <t>Total area of restoration needed on both sides of river (km2)</t>
  </si>
  <si>
    <t>Driving distance (km)</t>
  </si>
  <si>
    <t>Seeds</t>
  </si>
  <si>
    <t xml:space="preserve">Consumables needed </t>
  </si>
  <si>
    <t>Simon Linke</t>
  </si>
  <si>
    <t>http://www.ga.gov.au/scientific-topics/national-location-information/national-surface-water-information</t>
  </si>
  <si>
    <t>River maps</t>
  </si>
  <si>
    <t>Griffith man that is the river man</t>
  </si>
  <si>
    <t>https://www.theguardian.com/science/alexs-adventures-in-numberland/2015/mar/14/pi-day-2015-pi-rivers-truth-grime</t>
  </si>
  <si>
    <t>Potentially some assumptions around river sinuosity and length (pi!!!!!)</t>
  </si>
  <si>
    <t>i.e. river length = pi*length in grid</t>
  </si>
  <si>
    <t>Tools for bush regeneration</t>
  </si>
  <si>
    <t>Management action 4 - Riparian restoration (regeneration)</t>
  </si>
  <si>
    <t>Riparian restoration (weed control of 30% of river banks)</t>
  </si>
  <si>
    <t>We assume 100m of buffer on each side</t>
  </si>
  <si>
    <t>Riparian restoration (Riparian restoration of 30% of river bank)</t>
  </si>
  <si>
    <t>Days it takes to do planning for 100km</t>
  </si>
  <si>
    <t>Length to be planned for</t>
  </si>
  <si>
    <t>Length to be managed (km)</t>
  </si>
  <si>
    <t>Management occurs every "X" years</t>
  </si>
  <si>
    <t>For one personnel</t>
  </si>
  <si>
    <t>Days for hunting invasive species</t>
  </si>
  <si>
    <t>Cost for all personnel to hunt invasive species</t>
  </si>
  <si>
    <t>Accomodation + food</t>
  </si>
  <si>
    <t>Manual Removal of invasive species</t>
  </si>
  <si>
    <t>Management Action 5 (a)
( L + T + C + E)</t>
  </si>
  <si>
    <t>Management Action 5 (b)
( L + T + C + E)</t>
  </si>
  <si>
    <t>Management Action 4 (b)
( L + T + C + E)</t>
  </si>
  <si>
    <t>Biosecurity (back-calculated from non-spatial estimate of $1.06b)</t>
  </si>
  <si>
    <t>Cost to prevent, detect and eradicate and contain</t>
  </si>
  <si>
    <t>No standardising</t>
  </si>
  <si>
    <t>Area of Australia (km2)</t>
  </si>
  <si>
    <t>Policy change, compliance and awareness (NATIONAL COST)</t>
  </si>
  <si>
    <t xml:space="preserve">Agriculture (Grazing + Cropping/plantations). Grazing threatens 341 species (211 plants, 52 birds, 30 inverts, 18 mammals, 16 fish, 14 reptiles). Cropping and plantations threaten 64 species (44 birds, 6 plants, 6 reptiles, 5 fish, and 3 inverts). </t>
  </si>
  <si>
    <t xml:space="preserve">Agriculture threatens native flora and fauna through land clearing destroying native habitats, grazing pressure causing habitat degradation with loss of ground cover and erosion, and water quality degradation through waterway usage by domestic livestock. </t>
  </si>
  <si>
    <t>Agriculture (grazing pressure, cropping + plantations)</t>
  </si>
  <si>
    <t>Grazing pressure layer, agriculture/cropping layer, waterways layer</t>
  </si>
  <si>
    <t>Stop grazing pressure and habitat loss</t>
  </si>
  <si>
    <r>
      <t>The main actions to abate agricultural threats (both grazing and cropping/plantations) are education/communication, monitoring of threat impacts, co-management of land with farmers (i.e. planning and implementing seasonal spelling, management of stocking rates, management of water point locations</t>
    </r>
    <r>
      <rPr>
        <sz val="12"/>
        <color rgb="FF008080"/>
        <rFont val="Calibri"/>
        <family val="2"/>
      </rPr>
      <t xml:space="preserve"> and key habitat areas</t>
    </r>
    <r>
      <rPr>
        <sz val="12"/>
        <color theme="1"/>
        <rFont val="Calibri"/>
        <family val="2"/>
      </rPr>
      <t xml:space="preserve">), and </t>
    </r>
    <r>
      <rPr>
        <sz val="12"/>
        <color rgb="FF008080"/>
        <rFont val="Calibri"/>
        <family val="2"/>
      </rPr>
      <t>managing key habitat areas</t>
    </r>
    <r>
      <rPr>
        <sz val="12"/>
        <color theme="1"/>
        <rFont val="Calibri"/>
        <family val="2"/>
      </rPr>
      <t xml:space="preserve">  on the agricultural land. An additional action for grazing pressure from domestic livestock is waterway management. </t>
    </r>
  </si>
  <si>
    <t>This involves surveying a representative area (30% of management area) for general observations.</t>
  </si>
  <si>
    <t>Aerial Surveying transect width (km)</t>
  </si>
  <si>
    <t>Labour activity (Aerial surveying)</t>
  </si>
  <si>
    <t>National Level Cost</t>
  </si>
  <si>
    <t>Communication &amp; Education</t>
  </si>
  <si>
    <t>These are the liaison officer (person hour) costs to co-manage the lands for farming impacts.</t>
  </si>
  <si>
    <t>Pr = Liaison officers required</t>
  </si>
  <si>
    <t>Construction occurs every "X" years</t>
  </si>
  <si>
    <t>Initial construction</t>
  </si>
  <si>
    <t xml:space="preserve">initial costs of fence-line clearing and construction (done every 20 years), </t>
  </si>
  <si>
    <t>and then the on-going checking and maintenance costs (done annually).</t>
  </si>
  <si>
    <t>Ongoing</t>
  </si>
  <si>
    <t>Fence construction</t>
  </si>
  <si>
    <t>Assumed rate per hour</t>
  </si>
  <si>
    <t>Person hours per km</t>
  </si>
  <si>
    <t>Materials per km</t>
  </si>
  <si>
    <t>Cattle</t>
  </si>
  <si>
    <t>Vermin</t>
  </si>
  <si>
    <t>5-strand plain wire fence</t>
  </si>
  <si>
    <t>Labour costs per km</t>
  </si>
  <si>
    <t>Floppy top design with hot wires removed (from SA Arid recovery fence)</t>
  </si>
  <si>
    <t>Rounded 2020 dollars</t>
  </si>
  <si>
    <t>Fence line clearing (standard across all fences)</t>
  </si>
  <si>
    <t>Fence Type</t>
  </si>
  <si>
    <t>Clipex posts and 15/180cm/15 tuffknot prefab with a stiff apron (15 horizontal wires, 180cm high section, and 15cm between pickets)</t>
  </si>
  <si>
    <t>Total person hours needed per km</t>
  </si>
  <si>
    <t>Per person hours needed per km</t>
  </si>
  <si>
    <t>Percentage of initial construction time</t>
  </si>
  <si>
    <t>Total person hours of maintenance per km</t>
  </si>
  <si>
    <t>Percentage of materials for maintenance</t>
  </si>
  <si>
    <t>Maintenance materials per km</t>
  </si>
  <si>
    <t>Fence-type</t>
  </si>
  <si>
    <t>Maintenance - fence maintenance hours</t>
  </si>
  <si>
    <t xml:space="preserve">We assume fencing is done at the standard broad-scale of 100km2 in a square (10x10km), and therefor the perimeter is 40km, </t>
  </si>
  <si>
    <t xml:space="preserve">which means that for each 1 km2 we are attributing 400m of fencing. </t>
  </si>
  <si>
    <t xml:space="preserve">This kinda makes sense as of the 100 grid cells of 1km2, there are 64 cells that don’t need fencing, 32 that need one side of fencing and 4 that need 2 sides of fencing. </t>
  </si>
  <si>
    <t>Compared to perimeter of 1km2 which is 4km, so 100km2 would be 400km</t>
  </si>
  <si>
    <t>Fence line length required (km)</t>
  </si>
  <si>
    <t>Length of fence required for standardised action area (km) - we assume that fences run along the perimeter of the 100km2 grid (4x10km)</t>
  </si>
  <si>
    <t>Fence length</t>
  </si>
  <si>
    <t>Initial Construction</t>
  </si>
  <si>
    <t>2nd term is the time required toperform the activity for ALL personnel(days)</t>
  </si>
  <si>
    <t>Total fence line (km)</t>
  </si>
  <si>
    <t>Materials/km</t>
  </si>
  <si>
    <t>we assume the number of personnel halves the hours requierd for work</t>
  </si>
  <si>
    <t>Total Days needed for ONE personnel (and the actual days for job to be complete)</t>
  </si>
  <si>
    <t>Initial fence clearing and fence construction</t>
  </si>
  <si>
    <t>On-going maintenance</t>
  </si>
  <si>
    <t>Materials cost</t>
  </si>
  <si>
    <t>Consumables (total)</t>
  </si>
  <si>
    <t>Consumables (materials)</t>
  </si>
  <si>
    <t>Initial Costs</t>
  </si>
  <si>
    <t>Accomodation/food + Fence Materials</t>
  </si>
  <si>
    <t>Fence Materials</t>
  </si>
  <si>
    <t>Equipment costs</t>
  </si>
  <si>
    <t>Communication and Education - (National Level) Cost for liason officer hours for communicating and the increase of access of farmers to monitoring results, best management practice for long-term sustainability. impacts of artificial water holes</t>
  </si>
  <si>
    <t>Initial - fence line clearing hours per km</t>
  </si>
  <si>
    <t>Initial - fence construction hours per km</t>
  </si>
  <si>
    <t>Management action 3 - Fencing Sensitive areas</t>
  </si>
  <si>
    <r>
      <rPr>
        <b/>
        <sz val="12"/>
        <color theme="1"/>
        <rFont val="Calibri"/>
        <family val="2"/>
      </rPr>
      <t>Maintenance</t>
    </r>
    <r>
      <rPr>
        <sz val="12"/>
        <color theme="1"/>
        <rFont val="Calibri"/>
        <family val="2"/>
      </rPr>
      <t xml:space="preserve"> (“Cost Effective Feral Animal Exclusion Fencing for Areas of High Conservation Value in Australia” National heritage trust 2004)</t>
    </r>
  </si>
  <si>
    <t>Standardised length of river for actioning (km)</t>
  </si>
  <si>
    <t>Standardised river length (km)</t>
  </si>
  <si>
    <t>We assume that river length can be measured and we build fence around it</t>
  </si>
  <si>
    <t>We create a 500m buffer</t>
  </si>
  <si>
    <t>Fence line length required per km of river (both sides)</t>
  </si>
  <si>
    <t>Buffer between river and fence (km)</t>
  </si>
  <si>
    <t>Key Habitat Fencing - Initial fence line clearing and fence construction</t>
  </si>
  <si>
    <t>Management Action 3 (b)
( L + T + C + E)</t>
  </si>
  <si>
    <t>Key Habitat Fencing - On-going Maintenance</t>
  </si>
  <si>
    <t>Waterway Fencing - Initial fence line clearing and fence construction</t>
  </si>
  <si>
    <t>Waerway Fencing - On-going Maintenance</t>
  </si>
  <si>
    <t>This is flying over and assessing the effect of actions</t>
  </si>
  <si>
    <t>Percentage of field that needs to be surveyed (aerial)</t>
  </si>
  <si>
    <t>Percentage of field that needs to be surveyed (ground)</t>
  </si>
  <si>
    <t>replaced every "X" years</t>
  </si>
  <si>
    <t>Action 1 - Policy Change, compliance and awareness</t>
  </si>
  <si>
    <t>Action 2 - Signage for education and awareness</t>
  </si>
  <si>
    <t>Threatened fish layer - Combined threatened species distribution</t>
  </si>
  <si>
    <t>River network layer - calculate the length of each river in each grid cell (km)</t>
  </si>
  <si>
    <t>Cost/km for L, T (within site), C, and E</t>
  </si>
  <si>
    <t>Riparian Restoration (30% of Invasive weed control + 100% Bush regen)</t>
  </si>
  <si>
    <t xml:space="preserve">Table 1. The non-spatial costs, spatial costs/km, and travel costing information for direct managemnet actions. These are split by the applicable spatial layers </t>
  </si>
  <si>
    <t>The annualised 80-year Present Value costs/km2 with added multipliers, calculated from a standardised 100km2 grid for a 1km2 grid cell, or for a 100km length river</t>
  </si>
  <si>
    <t>Total Cost/km</t>
  </si>
  <si>
    <t>Threatened species distribution</t>
  </si>
  <si>
    <r>
      <rPr>
        <b/>
        <sz val="12"/>
        <color theme="1"/>
        <rFont val="Calibri"/>
        <family val="2"/>
        <scheme val="minor"/>
      </rPr>
      <t>Map A</t>
    </r>
    <r>
      <rPr>
        <sz val="12"/>
        <color theme="1"/>
        <rFont val="Calibri"/>
        <family val="2"/>
        <scheme val="minor"/>
      </rPr>
      <t xml:space="preserve"> - Entire threatened species distribution</t>
    </r>
  </si>
  <si>
    <t>Discount Rate</t>
  </si>
  <si>
    <t>Discount rate</t>
  </si>
  <si>
    <t>Nominal Interest Rate</t>
  </si>
  <si>
    <t>Real Discount Rate (afer accounting for inflation)</t>
  </si>
  <si>
    <t>Inflation rate (used for bringing dollars to December 2020)</t>
  </si>
  <si>
    <t>Action 5(a) - Riparian restoration - Invasive weed control</t>
  </si>
  <si>
    <t>Action 5(b)- Riparian restoration - Bush regeneration</t>
  </si>
  <si>
    <t xml:space="preserve">This involves walking through the field and surveying threats and threatened species. </t>
  </si>
  <si>
    <t>Replacement frequency</t>
  </si>
  <si>
    <t>Quantity required/100km2</t>
  </si>
  <si>
    <t>Consumable (materials only)</t>
  </si>
  <si>
    <t>Cockatube</t>
  </si>
  <si>
    <t>https://www.nestingboxes.com.au</t>
  </si>
  <si>
    <t>https://www.nestingboxes.com.au/epages/shsh6893.sf/en_AU/?ObjectPath=/Shops/shsh6893/Categories/Assembly_Mounting__Care</t>
  </si>
  <si>
    <t>assembling nest box from flat pack</t>
  </si>
  <si>
    <t>Painting nest box to protect it</t>
  </si>
  <si>
    <t>Yearly maintenance</t>
  </si>
  <si>
    <t>cleaning out nest box for next season</t>
  </si>
  <si>
    <t>https://birdboxesaustralia.com.au/shop/</t>
  </si>
  <si>
    <t>Metal sheet wrapped around tree to prevent predators climbing up OR install metal cone</t>
  </si>
  <si>
    <t>https://www.bunnings.com.au/australian-handyman-supplies-1200-x-600mm-0-75-galvabond-mini-sheet_p0910181</t>
  </si>
  <si>
    <t>Tree protection</t>
  </si>
  <si>
    <t>Nestbox installation</t>
  </si>
  <si>
    <t>Nestbox protection</t>
  </si>
  <si>
    <t>Time (minutes)</t>
  </si>
  <si>
    <t>TOTAL time for nestbox installation and protection setup</t>
  </si>
  <si>
    <t>The costs of other nestboxes range from $39 - 129 for nest boxes</t>
  </si>
  <si>
    <t>Another source shows 30 - 57 for nest boxes</t>
  </si>
  <si>
    <t>Cocckatubes are sold at $460 a tube</t>
  </si>
  <si>
    <t>TOTAL maintenance time</t>
  </si>
  <si>
    <t>Itemised steps for set up is shown here, we add on an approximate time for each</t>
  </si>
  <si>
    <t>We take maximum of all 3 sources at $460 a nestbox</t>
  </si>
  <si>
    <t>nestboxes needed per 100km2 of area</t>
  </si>
  <si>
    <t>Time to maintain one nestbox (days)</t>
  </si>
  <si>
    <t>Consumables details</t>
  </si>
  <si>
    <t>Labour details</t>
  </si>
  <si>
    <t>Time to construct one netsbox (days)</t>
  </si>
  <si>
    <t>Total number of netsboxes</t>
  </si>
  <si>
    <t>Cost per nestbox</t>
  </si>
  <si>
    <t>Cost per nestbox protection</t>
  </si>
  <si>
    <t>Total cost of consumables</t>
  </si>
  <si>
    <t>Transect Widths</t>
  </si>
  <si>
    <t>2nd term is the time required to walk the distance to be covered (days)</t>
  </si>
  <si>
    <t xml:space="preserve">Med </t>
  </si>
  <si>
    <t>Walking Speed</t>
  </si>
  <si>
    <t>Conusmables (nestbox and protection)</t>
  </si>
  <si>
    <t>med</t>
  </si>
  <si>
    <t>Cost split by resistance level</t>
  </si>
  <si>
    <t>Nest box maintenance</t>
  </si>
  <si>
    <t>This is setting up the nest boxes and the protection.</t>
  </si>
  <si>
    <t xml:space="preserve">This is the annual maintenance of the nestboxes, clearing it out etc. </t>
  </si>
  <si>
    <t>Time to maintain one netsbox (days)</t>
  </si>
  <si>
    <t>We  use all the assumptions from above</t>
  </si>
  <si>
    <t>Nestbox and protection installation</t>
  </si>
  <si>
    <t>Nestbox maintenance (annual cleaning)</t>
  </si>
  <si>
    <t>Threat layer - Combination of all threatened species (SNES)</t>
  </si>
  <si>
    <t>Ground shooting layer - Species that need ground shooting</t>
  </si>
  <si>
    <t>Nest protection layer - species that need nest protection</t>
  </si>
  <si>
    <t>Action 1 - Ground shooting</t>
  </si>
  <si>
    <t>Action 2 - Nestbox and protection</t>
  </si>
  <si>
    <t>Action 3 - Nestbox cleaning</t>
  </si>
  <si>
    <t>nestbox protection layer</t>
  </si>
  <si>
    <t>Transport to grid cell</t>
  </si>
  <si>
    <t>Installing nestbox and mount on tree at least 4metres high with ladder</t>
  </si>
  <si>
    <t>Ground Shooting layer</t>
  </si>
  <si>
    <t>Grazing layer - from land-use map</t>
  </si>
  <si>
    <t>Grazing waterway layer - from land use map + river network</t>
  </si>
  <si>
    <t>Action 1 - Communication &amp; Education</t>
  </si>
  <si>
    <t>Action 2 - Sustainable management of land</t>
  </si>
  <si>
    <t>Action 3 (a) - Key habitat fencing</t>
  </si>
  <si>
    <t>Action 3 (b) - Fencing maintenance</t>
  </si>
  <si>
    <t>Action 4 (b) - Fencing maintenance</t>
  </si>
  <si>
    <t>Action 4 (a) - Waterway fencing</t>
  </si>
  <si>
    <t>Trips required</t>
  </si>
  <si>
    <t>Grazing layer</t>
  </si>
  <si>
    <t>Grazing waterway layer</t>
  </si>
  <si>
    <t>cost/km of rivers</t>
  </si>
  <si>
    <t>Inappropriate fire regime</t>
  </si>
  <si>
    <t>We cost ecologically sensible fire regime management for the entire distribution of threatened species in Australia</t>
  </si>
  <si>
    <t xml:space="preserve">All species have different levels of adaptation and tolerance to fire, and as such the frequency, intensity, extent, and timing is important. Without fire, some plants and communities are unable to persist, while some animals rely on post-fire growth and flowering of plants for habitats and resources. Other native fauna species depend on long unburnt vegetation for the provision of food, development of complex vegetation and ground-level structure for foraging and refuge from predation, and tree hollows for nesting and roosting. </t>
  </si>
  <si>
    <t>All areas</t>
  </si>
  <si>
    <t>Ecologically sensible fire regimes</t>
  </si>
  <si>
    <t>Manage fire regimes to ecologically sensible fire regimes</t>
  </si>
  <si>
    <t>Threatened species are persistent over 80 years with threat managed minimising catastrophic fires</t>
  </si>
  <si>
    <t>All the planning, scoping, meetings, prioritsation that occurs in the office before heading out to the field. Extra time spent anlyising satellite imagery to evaluate distribution of seral stage/fuel age, desired burn patch size range, tolerable fire intervals, retaining long unburnt areas, and the right timing for burning (rain dependent)</t>
  </si>
  <si>
    <t>This is performing the aerial survey before heading out to burn</t>
  </si>
  <si>
    <t xml:space="preserve">This involves surveying a representative area (30% of management area) for general observations of fuel load, dryness, fire breaks etc. </t>
  </si>
  <si>
    <r>
      <t>1)</t>
    </r>
    <r>
      <rPr>
        <sz val="7"/>
        <color rgb="FF000000"/>
        <rFont val="Times New Roman"/>
        <family val="1"/>
      </rPr>
      <t xml:space="preserve">    </t>
    </r>
    <r>
      <rPr>
        <sz val="12"/>
        <color rgb="FF000000"/>
        <rFont val="Arial"/>
        <family val="2"/>
      </rPr>
      <t>Use satellite imagery/aerial survey to evaluate:</t>
    </r>
  </si>
  <si>
    <r>
      <t>a.</t>
    </r>
    <r>
      <rPr>
        <sz val="7"/>
        <color theme="1"/>
        <rFont val="Times New Roman"/>
        <family val="1"/>
      </rPr>
      <t xml:space="preserve">    </t>
    </r>
    <r>
      <rPr>
        <sz val="12"/>
        <color rgb="FF000000"/>
        <rFont val="Arial"/>
        <family val="2"/>
      </rPr>
      <t>Distribution of seral stage/fuel age, Use distribution of seral stage/fuel age to determine how much needs to be burnt</t>
    </r>
  </si>
  <si>
    <r>
      <t>b.</t>
    </r>
    <r>
      <rPr>
        <sz val="7"/>
        <color theme="1"/>
        <rFont val="Times New Roman"/>
        <family val="1"/>
      </rPr>
      <t xml:space="preserve">    </t>
    </r>
    <r>
      <rPr>
        <sz val="12"/>
        <color rgb="FF000000"/>
        <rFont val="Arial"/>
        <family val="2"/>
      </rPr>
      <t>Desired burn patch size range</t>
    </r>
  </si>
  <si>
    <r>
      <t>c.</t>
    </r>
    <r>
      <rPr>
        <sz val="7"/>
        <color theme="1"/>
        <rFont val="Times New Roman"/>
        <family val="1"/>
      </rPr>
      <t xml:space="preserve">     </t>
    </r>
    <r>
      <rPr>
        <sz val="12"/>
        <color rgb="FF000000"/>
        <rFont val="Arial"/>
        <family val="2"/>
      </rPr>
      <t>Tolerable fire intervals</t>
    </r>
  </si>
  <si>
    <r>
      <t>d.</t>
    </r>
    <r>
      <rPr>
        <sz val="7"/>
        <color theme="1"/>
        <rFont val="Times New Roman"/>
        <family val="1"/>
      </rPr>
      <t xml:space="preserve">    </t>
    </r>
    <r>
      <rPr>
        <sz val="12"/>
        <color rgb="FF000000"/>
        <rFont val="Arial"/>
        <family val="2"/>
      </rPr>
      <t>Retaining long unburnt areas</t>
    </r>
  </si>
  <si>
    <r>
      <t>e.</t>
    </r>
    <r>
      <rPr>
        <sz val="7"/>
        <color theme="1"/>
        <rFont val="Times New Roman"/>
        <family val="1"/>
      </rPr>
      <t xml:space="preserve">    </t>
    </r>
    <r>
      <rPr>
        <sz val="12"/>
        <color rgb="FF000000"/>
        <rFont val="Arial"/>
        <family val="2"/>
      </rPr>
      <t>Seasonal burning – rain dependent</t>
    </r>
  </si>
  <si>
    <t>We also include an extra 3 weeks for planning time to prepare burning plan</t>
  </si>
  <si>
    <t>Extra days needed to plan fire planning</t>
  </si>
  <si>
    <t>Cost for extra fire planning</t>
  </si>
  <si>
    <t xml:space="preserve">We survey 30% of one side length of the river. </t>
  </si>
  <si>
    <t>Length of river to be surveyed (Just one side)</t>
  </si>
  <si>
    <t>Post-action field montiroing occurs every "X" years</t>
  </si>
  <si>
    <t>Extra fire planning</t>
  </si>
  <si>
    <t xml:space="preserve">Burn patch sizes </t>
  </si>
  <si>
    <t xml:space="preserve">Median burn patch size (km2) </t>
  </si>
  <si>
    <t xml:space="preserve">~35% burnt by ≤ 200 ha patches </t>
  </si>
  <si>
    <t xml:space="preserve">~35% burnt by &gt;200 ≤ 1000 ha patches </t>
  </si>
  <si>
    <t>~ 30% burnt by &gt; 1000 ≤ 6000 ha patches</t>
  </si>
  <si>
    <t>Total management area</t>
  </si>
  <si>
    <t>Total area allocated</t>
  </si>
  <si>
    <t>Percentage</t>
  </si>
  <si>
    <t>Proportion of seral stages (this will be done by ground managers, not us)</t>
  </si>
  <si>
    <t>&lt;2km2</t>
  </si>
  <si>
    <t>Patch size</t>
  </si>
  <si>
    <t>2-10km2</t>
  </si>
  <si>
    <t>10-60km2</t>
  </si>
  <si>
    <t>Perimeter of patch</t>
  </si>
  <si>
    <t>Total burnt area per year (km2)</t>
  </si>
  <si>
    <t>Number of patches</t>
  </si>
  <si>
    <t>Total perimeter of fire breaks needed (km)</t>
  </si>
  <si>
    <t>we assume a % of area burnt i.e. managed (The managed regime should match the unmanaged regime)</t>
  </si>
  <si>
    <t>Total fire break needed (km)</t>
  </si>
  <si>
    <t>We can produce 1km of fire break in 1.5-2 hours</t>
  </si>
  <si>
    <t>rent a 4WD to drive the perimeter</t>
  </si>
  <si>
    <t>5m harrow to scrape vegetation</t>
  </si>
  <si>
    <t>https://hayesproducts.com.au/product/pasture-harrows-16-1-2ft-folding-1336/</t>
  </si>
  <si>
    <t>personnel to perform ground burning through drip torching</t>
  </si>
  <si>
    <t>drip torch cost</t>
  </si>
  <si>
    <t>https://specialistsales.com.au/shop/farm-chemicals/farm-speciality-products/drip-torch-firelighter/pacific-fire-lighter-mkii-hand-held-drip-torch/</t>
  </si>
  <si>
    <t>https://www.pacfire.com.au/product/fixed-wand-fire-lighter-drip-torch/</t>
  </si>
  <si>
    <t>Mounted flame thrower for 4wd</t>
  </si>
  <si>
    <t>https://www.ebay.com.au/itm/Sheen-Flame-Gun-Weed-Killer-Back-Burning-Machine-Made-in-England/133457489654?hash=item1f12afaef6:g:dMsAAOSwAlJeVd24</t>
  </si>
  <si>
    <t>2nd term is days required to walk through the area (for one person)</t>
  </si>
  <si>
    <t>Crates, R., L. Rayner, M. Webb, D. Stojanovic, C. Wilkie and R. Heinsohn. 2020. Sustained and delayed noisy miner suppression at an avian hotspot: Sustainable and successful noisy miner management. Austral Ecology 45:636-643.</t>
  </si>
  <si>
    <t xml:space="preserve">7 days to cull ~350 miners across 4.3km2 (430ha) </t>
  </si>
  <si>
    <t>area (km2)</t>
  </si>
  <si>
    <t xml:space="preserve">shooting days required for this area </t>
  </si>
  <si>
    <t>Number of miners culled in year 1</t>
  </si>
  <si>
    <t>Year 1</t>
  </si>
  <si>
    <t>Subsequent years</t>
  </si>
  <si>
    <t>Number of miners culled in subsequent years (Averaged over year 2 and year 3)</t>
  </si>
  <si>
    <t>Percentage left in subsequent years</t>
  </si>
  <si>
    <t>Shooting minutes required per miner culled</t>
  </si>
  <si>
    <t>Shooting days required/km2</t>
  </si>
  <si>
    <t>Ground shooting is split in to year 1 and subsequent years</t>
  </si>
  <si>
    <t>Labour details (year 1)</t>
  </si>
  <si>
    <t>Consumables details (year 1)</t>
  </si>
  <si>
    <t>Consumables details (subsequent years)</t>
  </si>
  <si>
    <t>labour details (subsequent years)</t>
  </si>
  <si>
    <t>(check) total shooting days required fopr 4.3km2</t>
  </si>
  <si>
    <t>Management action 1 (b)</t>
  </si>
  <si>
    <t>Management action 1 (a)</t>
  </si>
  <si>
    <t>number of miners culled in year 1/km2</t>
  </si>
  <si>
    <t>number if miners culled in subsequent years/km2</t>
  </si>
  <si>
    <t>% left for subsequent year culling/km2</t>
  </si>
  <si>
    <t>number of miners culled/km2 in year 1</t>
  </si>
  <si>
    <t>Percentage of area that has birds that need culling</t>
  </si>
  <si>
    <t>Total number of miners culled in year 1</t>
  </si>
  <si>
    <t>Total Area</t>
  </si>
  <si>
    <t>Area managed for culling</t>
  </si>
  <si>
    <t>Shooting days required total</t>
  </si>
  <si>
    <t>Total bullet costs</t>
  </si>
  <si>
    <t>Number of miners culled/km2 in subsequent years</t>
  </si>
  <si>
    <t>Total number of miners culled in subseqeuent years</t>
  </si>
  <si>
    <t>Ground shooting assumptions adapted from this paper</t>
  </si>
  <si>
    <t>Our adopted ground shooting assumptions</t>
  </si>
  <si>
    <t>This is the ground management for year 1 ground shooting  (ground shooting)</t>
  </si>
  <si>
    <t>Total birds culled across managed area</t>
  </si>
  <si>
    <t>Area managed for culling (km2)</t>
  </si>
  <si>
    <t>Consumables Cost (bullets)</t>
  </si>
  <si>
    <t>Bullet costs</t>
  </si>
  <si>
    <t>Accomodation/food + Ammunition</t>
  </si>
  <si>
    <t>Occurs from every year onwards</t>
  </si>
  <si>
    <t>(54 miners culled across 4.3km2 in subsequent years but with unknown number of days to do it)</t>
  </si>
  <si>
    <t>This is the ground management fos subsequent year shooting  (ground shooting)</t>
  </si>
  <si>
    <t>Subseqeunt years</t>
  </si>
  <si>
    <t>Occurs evety "X" years</t>
  </si>
  <si>
    <t>Ground shooting for problematic bird species (Year 1)</t>
  </si>
  <si>
    <t>Ground shooting for problematic bird species (Subsequent years)</t>
  </si>
  <si>
    <t>Occurs every X years</t>
  </si>
  <si>
    <t>Management action 2(b)</t>
  </si>
  <si>
    <t>Management action 2 (a)</t>
  </si>
  <si>
    <t>Management Action 1 (a)
(L + T + C + E)</t>
  </si>
  <si>
    <t>Management Action 1 (b)
(L + T + C + E)</t>
  </si>
  <si>
    <t>Management Action 2 (a)
(L + T + C + E)</t>
  </si>
  <si>
    <t xml:space="preserve">Monitoring of action output. </t>
  </si>
  <si>
    <t>Monitoring of action output.</t>
  </si>
  <si>
    <t>Action 1 - Ground shooting (Year1)</t>
  </si>
  <si>
    <t>Action 1 - Ground shooting (Subsequent years)</t>
  </si>
  <si>
    <t>4.5L drip torches with 25% unleaded 75% diesel</t>
  </si>
  <si>
    <t>fuel needed</t>
  </si>
  <si>
    <t>Unleaded</t>
  </si>
  <si>
    <t>Diesel</t>
  </si>
  <si>
    <t>Drip torch</t>
  </si>
  <si>
    <t>“Water Cart (9,000 - 16,000L) wet hire rate: $125 - $178 + GST Per Hour”</t>
  </si>
  <si>
    <t>“The average cost of refilling the water tank in a water cart is around $300 for 14,000 litres”</t>
  </si>
  <si>
    <t>“While delivery is largely dependent on location, we have seen surcharges upwards of $275 each way for local projects.”</t>
  </si>
  <si>
    <t>https://blog.iseekplant.com.au/blog/water-cart-hire-rates</t>
  </si>
  <si>
    <t>Water Cart cost per hour (9-16000L truck)</t>
  </si>
  <si>
    <t>Water refill of 14000 litres</t>
  </si>
  <si>
    <t>Refills needed every 100km</t>
  </si>
  <si>
    <t>Trucky delivery transport</t>
  </si>
  <si>
    <t>personnel to drive 4wd and operate flame thrower (standard ute hire costs)</t>
  </si>
  <si>
    <t>This is the cost of a 4wd to drag a harrow to clear the vegetation for burning, and the flamethrower on it to burn if the drip torching doesn’t work. 2 personnel in the 4wd</t>
  </si>
  <si>
    <t>This is the cost of a team of 4 for drip torching along the cleared track</t>
  </si>
  <si>
    <t>This is the heavy duty stand by truck for putting out the fire when needed</t>
  </si>
  <si>
    <t>Personnel needed to operate truck</t>
  </si>
  <si>
    <t>petrol cost for all drip torches</t>
  </si>
  <si>
    <t>Replaced every "X" years</t>
  </si>
  <si>
    <t>Water refills</t>
  </si>
  <si>
    <t>We assume we need X litres of fuel per 1km of firebreak burning (litres)</t>
  </si>
  <si>
    <t>petrol cost for flame thrower</t>
  </si>
  <si>
    <t>Need to be added in based on transport</t>
  </si>
  <si>
    <t>4wd needed</t>
  </si>
  <si>
    <t xml:space="preserve">Total </t>
  </si>
  <si>
    <t>Number of utes for rest of crew (2 per ute)</t>
  </si>
  <si>
    <t>Total days for all vehicles</t>
  </si>
  <si>
    <t>Total days for one vehicle</t>
  </si>
  <si>
    <t>Trips needed (4 vehicles)</t>
  </si>
  <si>
    <t>Days need in total</t>
  </si>
  <si>
    <t>Water truck hire cost</t>
  </si>
  <si>
    <t>Replaced every "X" Years</t>
  </si>
  <si>
    <t>Consumables (Accomodation, fuel, water truck, water)</t>
  </si>
  <si>
    <t>Accomodation, fuel, water truck, water</t>
  </si>
  <si>
    <t>Labour activity (Aerial burning)</t>
  </si>
  <si>
    <t>Burn Area Assumptions</t>
  </si>
  <si>
    <t>Applies to both ground burning and aerial burning</t>
  </si>
  <si>
    <r>
      <t>a.</t>
    </r>
    <r>
      <rPr>
        <sz val="7"/>
        <color rgb="FF000000"/>
        <rFont val="Times New Roman"/>
        <family val="1"/>
      </rPr>
      <t xml:space="preserve">    </t>
    </r>
    <r>
      <rPr>
        <sz val="12"/>
        <color rgb="FF000000"/>
        <rFont val="Arial"/>
        <family val="2"/>
      </rPr>
      <t>Equipment:</t>
    </r>
  </si>
  <si>
    <r>
      <t>1.</t>
    </r>
    <r>
      <rPr>
        <sz val="7"/>
        <color rgb="FF000000"/>
        <rFont val="Times New Roman"/>
        <family val="1"/>
      </rPr>
      <t xml:space="preserve">    </t>
    </r>
    <r>
      <rPr>
        <sz val="12"/>
        <color rgb="FF000000"/>
        <rFont val="Arial"/>
        <family val="2"/>
      </rPr>
      <t xml:space="preserve">Rough cost $20k </t>
    </r>
  </si>
  <si>
    <t>a.    http://www.bladeslapper.com/viewtopic.php?t=8515</t>
  </si>
  <si>
    <r>
      <t>2.</t>
    </r>
    <r>
      <rPr>
        <sz val="7"/>
        <color rgb="FF000000"/>
        <rFont val="Times New Roman"/>
        <family val="1"/>
      </rPr>
      <t xml:space="preserve">    </t>
    </r>
    <r>
      <rPr>
        <sz val="12"/>
        <color rgb="FF000000"/>
        <rFont val="Arial"/>
        <family val="2"/>
      </rPr>
      <t>Raindance R3 Dispenser</t>
    </r>
  </si>
  <si>
    <r>
      <t>a.</t>
    </r>
    <r>
      <rPr>
        <sz val="7"/>
        <color rgb="FF000000"/>
        <rFont val="Times New Roman"/>
        <family val="1"/>
      </rPr>
      <t xml:space="preserve">    </t>
    </r>
    <r>
      <rPr>
        <sz val="12"/>
        <color rgb="FF000000"/>
        <rFont val="Arial"/>
        <family val="2"/>
      </rPr>
      <t>We assume mid point of 120 capsules a minute</t>
    </r>
  </si>
  <si>
    <r>
      <t>b.</t>
    </r>
    <r>
      <rPr>
        <sz val="7"/>
        <color rgb="FF000000"/>
        <rFont val="Times New Roman"/>
        <family val="1"/>
      </rPr>
      <t xml:space="preserve">    </t>
    </r>
    <r>
      <rPr>
        <sz val="12"/>
        <color rgb="FF000000"/>
        <rFont val="Arial"/>
        <family val="2"/>
      </rPr>
      <t xml:space="preserve">Very unsure, couldn’t find costs. Assume a capsule is about $0.50 per capsule. </t>
    </r>
  </si>
  <si>
    <r>
      <t xml:space="preserve">                                                                                                     </t>
    </r>
    <r>
      <rPr>
        <sz val="12"/>
        <color rgb="FF000000"/>
        <rFont val="Arial"/>
        <family val="2"/>
      </rPr>
      <t>i.</t>
    </r>
    <r>
      <rPr>
        <sz val="7"/>
        <color rgb="FF000000"/>
        <rFont val="Times New Roman"/>
        <family val="1"/>
      </rPr>
      <t xml:space="preserve">     </t>
    </r>
    <r>
      <rPr>
        <sz val="12"/>
        <color rgb="FF000000"/>
        <rFont val="Arial"/>
        <family val="2"/>
      </rPr>
      <t xml:space="preserve">Cost was 8 cents back in 1974 </t>
    </r>
  </si>
  <si>
    <t>https://cfs.nrcan.gc.ca/pubwarehouse/pdfs/12021.pdf</t>
  </si>
  <si>
    <t>Per capsule</t>
  </si>
  <si>
    <t>Flight speed (km/h)</t>
  </si>
  <si>
    <t>km/minute</t>
  </si>
  <si>
    <t>Capsules per km</t>
  </si>
  <si>
    <t>Capsules discharged per minute (Based on Raindance R3 dispenser average dispensable amount)</t>
  </si>
  <si>
    <t>Cost per/km</t>
  </si>
  <si>
    <t>Assumed capsules/km</t>
  </si>
  <si>
    <t>Incendiary capsule dispenser + mounting</t>
  </si>
  <si>
    <t>https://www.raindancesystems.com.au/wp-content/uploads/2014/05/R3-a4-broucher_improved-R3_web.pdf</t>
  </si>
  <si>
    <r>
      <rPr>
        <sz val="12"/>
        <color rgb="FF000000"/>
        <rFont val="Arial"/>
        <family val="2"/>
      </rPr>
      <t>i.</t>
    </r>
    <r>
      <rPr>
        <sz val="7"/>
        <color rgb="FF000000"/>
        <rFont val="Times New Roman"/>
        <family val="1"/>
      </rPr>
      <t xml:space="preserve">     </t>
    </r>
    <r>
      <rPr>
        <sz val="12"/>
        <color rgb="FF000000"/>
        <rFont val="Arial"/>
        <family val="2"/>
      </rPr>
      <t>Range is From 6 to 240 capsules/minute</t>
    </r>
  </si>
  <si>
    <r>
      <rPr>
        <sz val="12"/>
        <color rgb="FF000000"/>
        <rFont val="Arial"/>
        <family val="2"/>
      </rPr>
      <t>i.</t>
    </r>
    <r>
      <rPr>
        <sz val="7"/>
        <color rgb="FF000000"/>
        <rFont val="Times New Roman"/>
        <family val="1"/>
      </rPr>
      <t xml:space="preserve">     </t>
    </r>
    <r>
      <rPr>
        <sz val="12"/>
        <color rgb="FF000000"/>
        <rFont val="Arial"/>
        <family val="2"/>
      </rPr>
      <t>Incendiary capsules + catalyst</t>
    </r>
  </si>
  <si>
    <r>
      <t xml:space="preserve"> </t>
    </r>
    <r>
      <rPr>
        <sz val="12"/>
        <color rgb="FF000000"/>
        <rFont val="Arial"/>
        <family val="2"/>
      </rPr>
      <t>ii.</t>
    </r>
    <r>
      <rPr>
        <sz val="7"/>
        <color rgb="FF000000"/>
        <rFont val="Times New Roman"/>
        <family val="1"/>
      </rPr>
      <t xml:space="preserve">     </t>
    </r>
    <r>
      <rPr>
        <sz val="12"/>
        <color rgb="FF000000"/>
        <rFont val="Arial"/>
        <family val="2"/>
      </rPr>
      <t>Incendiary machine</t>
    </r>
  </si>
  <si>
    <t>Total capsule cost for transect</t>
  </si>
  <si>
    <t>Cost for incendiary capsule dispenser</t>
  </si>
  <si>
    <t>Trips needed (for all vehciles)</t>
  </si>
  <si>
    <t>Vegetation type</t>
  </si>
  <si>
    <t>fuel load</t>
  </si>
  <si>
    <t>natural fire interval</t>
  </si>
  <si>
    <t>managed fire interval</t>
  </si>
  <si>
    <t>resource level</t>
  </si>
  <si>
    <t>Tropical rainforest</t>
  </si>
  <si>
    <t>Desert</t>
  </si>
  <si>
    <t>Dry sclerophyll forest</t>
  </si>
  <si>
    <t>Wet sclerophyll forest</t>
  </si>
  <si>
    <t>Temperate rainforest</t>
  </si>
  <si>
    <t>Shrubland</t>
  </si>
  <si>
    <t xml:space="preserve">Tropical savanna </t>
  </si>
  <si>
    <t>Semi-arid spinifex grasslands</t>
  </si>
  <si>
    <t>Low to high</t>
  </si>
  <si>
    <t>Moderate to High</t>
  </si>
  <si>
    <t>&gt;300 years (very long)</t>
  </si>
  <si>
    <t>2-4 years (very short)</t>
  </si>
  <si>
    <t>10-30 years (intermediate - long) rainfall-spinifex biomass event driven</t>
  </si>
  <si>
    <t>20-50 years (Long) rainfall-annual grass biomass event driven</t>
  </si>
  <si>
    <t>10-30 years (Short - intermediate)</t>
  </si>
  <si>
    <t xml:space="preserve">** Fire history </t>
  </si>
  <si>
    <t>NA</t>
  </si>
  <si>
    <t>1-3 years (very short)</t>
  </si>
  <si>
    <t>3-10 years (short)</t>
  </si>
  <si>
    <t>Intermittent, not actively managed</t>
  </si>
  <si>
    <t>2-5 years (short)</t>
  </si>
  <si>
    <t>6-10 years (intermittent)</t>
  </si>
  <si>
    <t>Assumed Extent for costings</t>
  </si>
  <si>
    <t>Assumed fire interval</t>
  </si>
  <si>
    <t>Dry sclerophyll forest (NB1) (mod to high rates of litter and near surface live fuel accumulation)</t>
  </si>
  <si>
    <t>Dry sclerophyll forest (NB2) (low rates of litter and near surface live fuel accumulation)</t>
  </si>
  <si>
    <t xml:space="preserve">30-100 years (Intermediate - Long) </t>
  </si>
  <si>
    <r>
      <t>o</t>
    </r>
    <r>
      <rPr>
        <sz val="7"/>
        <color rgb="FF000000"/>
        <rFont val="Times New Roman"/>
        <family val="1"/>
      </rPr>
      <t xml:space="preserve">   </t>
    </r>
    <r>
      <rPr>
        <sz val="12"/>
        <color rgb="FF000000"/>
        <rFont val="Arial"/>
        <family val="2"/>
      </rPr>
      <t>Florec et al. (2012) estimate costs at around $92/ha based on a time series of data gathered from WA </t>
    </r>
  </si>
  <si>
    <r>
      <t>o</t>
    </r>
    <r>
      <rPr>
        <sz val="7"/>
        <color rgb="FF000000"/>
        <rFont val="Times New Roman"/>
        <family val="1"/>
      </rPr>
      <t xml:space="preserve">   </t>
    </r>
    <r>
      <rPr>
        <sz val="12"/>
        <color rgb="FF000000"/>
        <rFont val="Arial"/>
        <family val="2"/>
      </rPr>
      <t>Forestry Tasmania indicates that fuel reduction burning costs in Tasmania can range from around $60-300 per ha but average around $115 per ha</t>
    </r>
  </si>
  <si>
    <r>
      <t>o</t>
    </r>
    <r>
      <rPr>
        <sz val="7"/>
        <color rgb="FF000000"/>
        <rFont val="Times New Roman"/>
        <family val="1"/>
      </rPr>
      <t xml:space="preserve">   </t>
    </r>
    <r>
      <rPr>
        <sz val="12"/>
        <color rgb="FF000000"/>
        <rFont val="Arial"/>
        <family val="2"/>
      </rPr>
      <t>Savanna burning project suggest $0.50/ha to $1.00/ha (2020 costs)</t>
    </r>
  </si>
  <si>
    <r>
      <t>o</t>
    </r>
    <r>
      <rPr>
        <sz val="7"/>
        <color rgb="FF000000"/>
        <rFont val="Times New Roman"/>
        <family val="1"/>
      </rPr>
      <t xml:space="preserve">   </t>
    </r>
    <r>
      <rPr>
        <sz val="12"/>
        <color rgb="FF000000"/>
        <rFont val="Arial"/>
        <family val="2"/>
      </rPr>
      <t>QLD Gov suggest $0.50/ha (2020 costs)</t>
    </r>
  </si>
  <si>
    <r>
      <t>o</t>
    </r>
    <r>
      <rPr>
        <sz val="7"/>
        <color rgb="FF000000"/>
        <rFont val="Times New Roman"/>
        <family val="1"/>
      </rPr>
      <t xml:space="preserve">   </t>
    </r>
    <r>
      <rPr>
        <sz val="12"/>
        <color rgb="FF000000"/>
        <rFont val="Arial"/>
        <family val="2"/>
      </rPr>
      <t>NSW Gov = $900/ha for urban, $267/ha for rural, and $750/ha for remote</t>
    </r>
  </si>
  <si>
    <t>Florec et al. 2012 WA</t>
  </si>
  <si>
    <t>Savannah burning</t>
  </si>
  <si>
    <t>WA Cost per km2 for smaller areas (~300km2) Pers comms with stephen van leeuwen</t>
  </si>
  <si>
    <t>WA Cost per km2 for bigger aresa (~1300km2) Pers comms with stephen van leeuwen</t>
  </si>
  <si>
    <t>NSW SoS Urban</t>
  </si>
  <si>
    <t xml:space="preserve">NSW Rural </t>
  </si>
  <si>
    <t>NSW remote</t>
  </si>
  <si>
    <t xml:space="preserve">Extent of managed fire by Aboriginal peoples in the pre-European period (adapted from Enright and Thomas 2008) </t>
  </si>
  <si>
    <t>Pre-action field planning (aerial)</t>
  </si>
  <si>
    <t>This is ground burning when required to burn close to urban areas</t>
  </si>
  <si>
    <t>Total distance of ground burning needed (km)</t>
  </si>
  <si>
    <t>Time needed for burning in total (hours)</t>
  </si>
  <si>
    <t>Total hours needed to perform drip torch burns</t>
  </si>
  <si>
    <t>resistance level</t>
  </si>
  <si>
    <t>Utes needed</t>
  </si>
  <si>
    <t>Trips needed (we have 2 utes needed to take 4 people)</t>
  </si>
  <si>
    <t>Consumables (Accomodation + driptorch petrol + Water truck + water)</t>
  </si>
  <si>
    <t>Driptorches</t>
  </si>
  <si>
    <t>Management action 3 - Ground burning (when aerial burning is not possible, separate water truck as it takes a long time to walk and burn)</t>
  </si>
  <si>
    <t>cost for ute hire while ute is sitting there while activity is done (all utes)</t>
  </si>
  <si>
    <t>Prescibed burning</t>
  </si>
  <si>
    <t>Total days needed to perfrom drip torch burns (Days)</t>
  </si>
  <si>
    <t>Perimter needed to be driven by water truck in case of fire (km)</t>
  </si>
  <si>
    <t>Speed can travel at (km/h)</t>
  </si>
  <si>
    <t>Hours needed for water truck to drive the whole perimiter (hours)</t>
  </si>
  <si>
    <t>Cost for water cart</t>
  </si>
  <si>
    <t>Water refill cost of 14000 litres</t>
  </si>
  <si>
    <t>Cost for water refills</t>
  </si>
  <si>
    <t>total water truck cost</t>
  </si>
  <si>
    <t>Consumables (Capsules + watertruck)</t>
  </si>
  <si>
    <t>Aerial burning (with on-ground water truck)</t>
  </si>
  <si>
    <t>Cost for incendiary capsules + Watertruck</t>
  </si>
  <si>
    <t xml:space="preserve">Ground burning with 4 driptorches personnel and a water truck (Urban area - ARIA) </t>
  </si>
  <si>
    <t>Aerial burning with incendiary capsules and a water truck (Rural + Remote - ARIA)</t>
  </si>
  <si>
    <t>Assumed fire interval (years)</t>
  </si>
  <si>
    <t>Assumed Extent for costings (% of 100km2)</t>
  </si>
  <si>
    <t>Distance from towns</t>
  </si>
  <si>
    <t>&lt;5km</t>
  </si>
  <si>
    <t>5-20km</t>
  </si>
  <si>
    <t>&gt;20km</t>
  </si>
  <si>
    <t>Florec et al. 2019 showed changes in prescribed burning costs based on proximity to town</t>
  </si>
  <si>
    <t>Action 1(a) - Fire Break establishment</t>
  </si>
  <si>
    <t>Action 2(a)- Fire Regimes - Aerial (Rural + remote)</t>
  </si>
  <si>
    <t>Action 2(b)- Fire Regimes - Ground (urban)</t>
  </si>
  <si>
    <t>Managed Fire Regime - Aerial</t>
  </si>
  <si>
    <t>Managed Fire Regime - Ground</t>
  </si>
  <si>
    <t>Fire management area - Combined species distribution (all species)</t>
  </si>
  <si>
    <t>Vegetation alyer - pre 1750 vegetation</t>
  </si>
  <si>
    <t>ARIA layer - aerial suitable to burn (rural + remote) , ground burning (urban)</t>
  </si>
  <si>
    <t>Map B - Aerial burning (ARIA - rural + remote) + Vegetation layer</t>
  </si>
  <si>
    <t>Map C - Ground burning (ARIA - urban) + Vegetation layer</t>
  </si>
  <si>
    <r>
      <rPr>
        <b/>
        <sz val="12"/>
        <color rgb="FF000000"/>
        <rFont val="Calibri"/>
        <family val="2"/>
      </rPr>
      <t>Map C</t>
    </r>
    <r>
      <rPr>
        <sz val="12"/>
        <color rgb="FF000000"/>
        <rFont val="Calibri"/>
        <family val="2"/>
      </rPr>
      <t xml:space="preserve"> - Ground burning (ARIA - urban) + Vegetation layer</t>
    </r>
  </si>
  <si>
    <t>Ground</t>
  </si>
  <si>
    <t>Ground burning occurs every "X" years</t>
  </si>
  <si>
    <t>Effective walking speed - high resistance (km/h) ( we assumed while burning, all personnel walk at the "high"resistance speed)</t>
  </si>
  <si>
    <t>Extra time needed for burning per km (hours)</t>
  </si>
  <si>
    <t>(Total Cost/km2 for Map B) * (Area Covered by Map B )</t>
  </si>
  <si>
    <t>(Total Cost/km2 for Map C) * (Area Covered by Map C)</t>
  </si>
  <si>
    <t>General Costing Outline</t>
  </si>
  <si>
    <t>Unscaled cost</t>
  </si>
  <si>
    <t>Costs/km2</t>
  </si>
  <si>
    <t>Total distance of fire breaking needed per 100km from our assumptions</t>
  </si>
  <si>
    <t>Our cost of fire break establishmnet for 100km2</t>
  </si>
  <si>
    <t>Fire break establishment from cost models (km)</t>
  </si>
  <si>
    <t>fire break establishment (per km) (pers comms with Stephen van leeuwen)</t>
  </si>
  <si>
    <t>Fire break maintenance (per km) (pers comms with Stephen van leeuwen)</t>
  </si>
  <si>
    <t>Firebreak checking (per km)</t>
  </si>
  <si>
    <t>average of fire break quotes costs</t>
  </si>
  <si>
    <t>Difference in percentage</t>
  </si>
  <si>
    <t>difference in dollars</t>
  </si>
  <si>
    <t>QLD governemnt suggest 2020 costs</t>
  </si>
  <si>
    <t>1) Find appropriate ecologically sensible fire regime, 2) Plan burn, 3) Burn (fire break establishmnent + prescribed burning (aerial vs ground) 4) monitor</t>
  </si>
  <si>
    <t>Map A - Ground shooting</t>
  </si>
  <si>
    <t>Map B - Nestbox protection</t>
  </si>
  <si>
    <r>
      <rPr>
        <b/>
        <sz val="12"/>
        <color rgb="FF000000"/>
        <rFont val="Calibri"/>
        <family val="2"/>
      </rPr>
      <t>Map B</t>
    </r>
    <r>
      <rPr>
        <sz val="12"/>
        <color rgb="FF000000"/>
        <rFont val="Calibri"/>
        <family val="2"/>
      </rPr>
      <t xml:space="preserve"> -  Land-use map for habitat restoration (cleared and restorable) + Summarised Pre-1750 Vegetation Restoration layer</t>
    </r>
  </si>
  <si>
    <r>
      <t xml:space="preserve">Map A - </t>
    </r>
    <r>
      <rPr>
        <sz val="12"/>
        <color theme="1"/>
        <rFont val="Calibri"/>
        <family val="2"/>
        <scheme val="minor"/>
      </rPr>
      <t>Land-use map (cleared and restorable) + Resistance layer</t>
    </r>
  </si>
  <si>
    <t xml:space="preserve">Rabbits threaten 127 threatened species, 103 plants, 19 birds, 2 mammals and 3 reptiles. </t>
  </si>
  <si>
    <t xml:space="preserve">Resistance that can be developed to the biocontrol viral strains. It has been estimated to cost agriculture production losses $241m/year (2014 dollars). The removal of rabbits has also been shown to increase native mammal extent and area of occupancy. </t>
  </si>
  <si>
    <t>Invasive vertebrate (rabbits)</t>
  </si>
  <si>
    <t>Binary presence of rabbits</t>
  </si>
  <si>
    <t>Invasive grazer management (Rabbits)</t>
  </si>
  <si>
    <t>Initial reduction (viral), follow up control (fumigation and harbour destruction), and advanced control (shooting, fumigation and harbour destruction)</t>
  </si>
  <si>
    <t>This involves walking through the field and surveying the landscape and threats</t>
  </si>
  <si>
    <t>Initial biocontrol reduction (RHDV1-K5)</t>
  </si>
  <si>
    <t xml:space="preserve">Use viral biocontrol (RHDV1) as it is efficient at the spatial scale. We adapt the administration of viral biocontrol process from PestSmart. (https://pestsmart.org.au/toolkit-resource/bait-delivery-of-rabbit-haemorrhagic-disease-virus-rhdv1-k5-strain/). </t>
  </si>
  <si>
    <t xml:space="preserve">We have to perform “free-feeding” of non-baited feed then feed the rabbits the baited feeds. </t>
  </si>
  <si>
    <t>Supplier of RHDV1 K5: NSW Department of Primary Industries’ (NSW DPI)</t>
  </si>
  <si>
    <t>https://shop.coles.com.au/a/national/product/carrots-prepacked</t>
  </si>
  <si>
    <t>carrots/kg</t>
  </si>
  <si>
    <t>https://shop.coles.com.au/a/national/product/coles-smart-buy-oats-rolled</t>
  </si>
  <si>
    <t>oats/kg</t>
  </si>
  <si>
    <t>Non-baited feed</t>
  </si>
  <si>
    <t xml:space="preserve">We have to perform 1) “free-feeding” of non-baited feed then 2) feed the rabbits the baited feeds. </t>
  </si>
  <si>
    <t xml:space="preserve">We adapt the administration of viral biocontrol process from PestSmart. (https://pestsmart.org.au/toolkit-resource/bait-delivery-of-rabbit-haemorrhagic-disease-virus-rhdv1-k5-strain/). </t>
  </si>
  <si>
    <t>number of feeds</t>
  </si>
  <si>
    <t>We assume 50/50 carrots and oats</t>
  </si>
  <si>
    <t>Kg of carrots needed per km</t>
  </si>
  <si>
    <t>Kg of oats  needed per km</t>
  </si>
  <si>
    <t>Total weight of carrots (kg)</t>
  </si>
  <si>
    <t>Total weight of oats (kg)</t>
  </si>
  <si>
    <t>Baited feed</t>
  </si>
  <si>
    <t>Percentage needed for baited feed</t>
  </si>
  <si>
    <t>Consumables assumptions</t>
  </si>
  <si>
    <t>Number of feeds</t>
  </si>
  <si>
    <t xml:space="preserve">RHDV1-K5 vials (10ml) </t>
  </si>
  <si>
    <t>Cost per 10ml</t>
  </si>
  <si>
    <t>10ml is needed every 5kg of oats</t>
  </si>
  <si>
    <t>10ml is needed every 10kg of carrots</t>
  </si>
  <si>
    <t>Cost of carrots</t>
  </si>
  <si>
    <t>cost of RHDV1-K5</t>
  </si>
  <si>
    <t>Cost of vRHDV1-K5 per kg of carrots</t>
  </si>
  <si>
    <t>Cost of vRHDV1-K5 per kg of oats</t>
  </si>
  <si>
    <t>Cost of oats</t>
  </si>
  <si>
    <t>Cost of baited carrots</t>
  </si>
  <si>
    <t>Cost of baited oats</t>
  </si>
  <si>
    <t>Bait mixer + 5% sodium hypochlorite + PPE</t>
  </si>
  <si>
    <t>Extra days to prep for biocontrol</t>
  </si>
  <si>
    <t>Cost for pre-action planning labour + biocontrol prep</t>
  </si>
  <si>
    <t>Need to add in cost per km to ship viral biocontrol</t>
  </si>
  <si>
    <t>Total vials of RHDv1-K5 (one vial =10ml)</t>
  </si>
  <si>
    <t>Total carrots needed (kg)</t>
  </si>
  <si>
    <t>Total oats needed (kg)</t>
  </si>
  <si>
    <t>Total distance covered</t>
  </si>
  <si>
    <t>Effective Area walked (km)</t>
  </si>
  <si>
    <t>Time spent on distributing baits per km</t>
  </si>
  <si>
    <t>Total number of "feedings" required</t>
  </si>
  <si>
    <t>Including the number of feeds needed</t>
  </si>
  <si>
    <t>Total days that vehicle has to stay on site</t>
  </si>
  <si>
    <t>Consumables cost bait and feed</t>
  </si>
  <si>
    <t>Consumables (Accomodation + Bait)</t>
  </si>
  <si>
    <t>Initial Viral Biocontrol (RHDV1-K5)</t>
  </si>
  <si>
    <t>Accomodation + Bait</t>
  </si>
  <si>
    <t>1xpersonnel (entry level)</t>
  </si>
  <si>
    <t>Driving water truck to location</t>
  </si>
  <si>
    <t>Trailer rental to deliver tractor + driver</t>
  </si>
  <si>
    <t>1xpersonnel (entry level) driver</t>
  </si>
  <si>
    <t>Land travel costs for water truck  per hour (driving water cart to the location + driver cost)</t>
  </si>
  <si>
    <t>Semi trailer service to deliver tractor per day</t>
  </si>
  <si>
    <t>land travel costs to deliver tractor per hour (semi-trailer + driver)</t>
  </si>
  <si>
    <t>Area to be managed for habitat destruction</t>
  </si>
  <si>
    <t>Time to destroy one rabit habitat (warren/harbour) (days)</t>
  </si>
  <si>
    <t>Number of habitats per km2</t>
  </si>
  <si>
    <t xml:space="preserve">To get to all the warrnes, we assume tractor has to drive at 40km/h throughout the whole management area at 1km TW to get to all the warrens that have a density 1 habitat/km2. </t>
  </si>
  <si>
    <t>Tractor hire ($150/hour) + triple tine part ($1800/part renewed every 10 years)</t>
  </si>
  <si>
    <t>Transect width to drive tractor along (km)</t>
  </si>
  <si>
    <t>Effective distance to be driven by tractor</t>
  </si>
  <si>
    <t>3rd term is the time it takes tractor to drive through the whole area (days)</t>
  </si>
  <si>
    <t>Sr = transit speed of tractor (km/h)</t>
  </si>
  <si>
    <t>Time to destroy one rabit habitat (warren/harbour) (minutes)</t>
  </si>
  <si>
    <t>Triple tine part to rip warrens</t>
  </si>
  <si>
    <t>Tractor hire (cost per hour)</t>
  </si>
  <si>
    <t>Total time to perform activity (days)</t>
  </si>
  <si>
    <t>Cost for Tractor hire</t>
  </si>
  <si>
    <r>
      <t>o</t>
    </r>
    <r>
      <rPr>
        <sz val="7"/>
        <color theme="1"/>
        <rFont val="Times New Roman"/>
        <family val="1"/>
      </rPr>
      <t xml:space="preserve">   </t>
    </r>
    <r>
      <rPr>
        <sz val="10.5"/>
        <color rgb="FF505050"/>
        <rFont val="Arial"/>
        <family val="2"/>
      </rPr>
      <t>“Hydraulic-controlled tractor-mounted rippers with single, double or triple tines are the most effective ripping implements as they are usually capable of penetrating the soil to a depth of 60cm or more. This depth is generally required for effective warren ripping. If a plough is used in place of a ripper, then it is important to maximise the ploughing depth.</t>
    </r>
    <r>
      <rPr>
        <sz val="12"/>
        <color theme="1"/>
        <rFont val="Calibri"/>
        <family val="2"/>
        <scheme val="minor"/>
      </rPr>
      <t>”</t>
    </r>
  </si>
  <si>
    <t>o   https://www.agric.wa.gov.au/mechanical-physical-and-cultural/rabbit-warren-and-harbourage-destruction</t>
  </si>
  <si>
    <t xml:space="preserve">$1800 - Triple tine ripper part </t>
  </si>
  <si>
    <t>https://www.tradefarmmachinery.com.au/detail/kanga-m-range-3-tine-ripper-437748</t>
  </si>
  <si>
    <t>“4x4 Tractor (180-229 hp) dry hire rate: $136 - $148 + GST Per Hour”</t>
  </si>
  <si>
    <t>https://blog.iseekplant.com.au/blog/tractor-hire-rates</t>
  </si>
  <si>
    <t>Bought ever "X" years</t>
  </si>
  <si>
    <t>Cost for equipment</t>
  </si>
  <si>
    <t>Accomodation + Tractor hire</t>
  </si>
  <si>
    <t>Equipment (Triple Tine to rip warrens)</t>
  </si>
  <si>
    <t>Area to be managed for fumigation</t>
  </si>
  <si>
    <t>Number of warrens to fumigate</t>
  </si>
  <si>
    <t>●      https://www.agric.wa.gov.au/baits-poisons/rabbit-control-fumigation</t>
  </si>
  <si>
    <r>
      <t>●</t>
    </r>
    <r>
      <rPr>
        <sz val="7"/>
        <color rgb="FF505050"/>
        <rFont val="Times New Roman"/>
        <family val="1"/>
      </rPr>
      <t xml:space="preserve">      </t>
    </r>
    <r>
      <rPr>
        <i/>
        <sz val="12"/>
        <color rgb="FF505050"/>
        <rFont val="Arial"/>
        <family val="2"/>
      </rPr>
      <t>Step 1. Make enough noise or work the area with dogs to encourage rabbits to go underground.</t>
    </r>
  </si>
  <si>
    <r>
      <t>●</t>
    </r>
    <r>
      <rPr>
        <sz val="7"/>
        <color rgb="FF505050"/>
        <rFont val="Times New Roman"/>
        <family val="1"/>
      </rPr>
      <t xml:space="preserve">      </t>
    </r>
    <r>
      <rPr>
        <i/>
        <sz val="12"/>
        <color rgb="FF505050"/>
        <rFont val="Arial"/>
        <family val="2"/>
      </rPr>
      <t>Step 2. Cut back around the hole to provide adequate depth for the soil plug to close the opening later.</t>
    </r>
  </si>
  <si>
    <r>
      <t>●</t>
    </r>
    <r>
      <rPr>
        <sz val="7"/>
        <color rgb="FF505050"/>
        <rFont val="Times New Roman"/>
        <family val="1"/>
      </rPr>
      <t xml:space="preserve">      </t>
    </r>
    <r>
      <rPr>
        <i/>
        <sz val="12"/>
        <color rgb="FF505050"/>
        <rFont val="Arial"/>
        <family val="2"/>
      </rPr>
      <t>Step 3. While wearing PVC gloves, place one or two aluminium phosphide tablets wrapped in moist paper at least 60cm down a tunnel.</t>
    </r>
  </si>
  <si>
    <r>
      <t>●</t>
    </r>
    <r>
      <rPr>
        <sz val="7"/>
        <color rgb="FF505050"/>
        <rFont val="Times New Roman"/>
        <family val="1"/>
      </rPr>
      <t xml:space="preserve">      </t>
    </r>
    <r>
      <rPr>
        <i/>
        <sz val="12"/>
        <color rgb="FF505050"/>
        <rFont val="Arial"/>
        <family val="2"/>
      </rPr>
      <t>Step 4. Place a ball of crumpled paper down the opening. This will prevent loose dirt from covering the fumigant tablets. Block the entrance with a mallee root or something similar.</t>
    </r>
  </si>
  <si>
    <r>
      <t>●</t>
    </r>
    <r>
      <rPr>
        <sz val="7"/>
        <color rgb="FF505050"/>
        <rFont val="Times New Roman"/>
        <family val="1"/>
      </rPr>
      <t xml:space="preserve">      </t>
    </r>
    <r>
      <rPr>
        <i/>
        <sz val="12"/>
        <color rgb="FF505050"/>
        <rFont val="Arial"/>
        <family val="2"/>
      </rPr>
      <t>Step 5. Fill the opening with soil and trample down to give a good seal.</t>
    </r>
  </si>
  <si>
    <r>
      <t>●</t>
    </r>
    <r>
      <rPr>
        <sz val="7"/>
        <color rgb="FF505050"/>
        <rFont val="Times New Roman"/>
        <family val="1"/>
      </rPr>
      <t xml:space="preserve">      </t>
    </r>
    <r>
      <rPr>
        <i/>
        <sz val="12"/>
        <color rgb="FF505050"/>
        <rFont val="Arial"/>
        <family val="2"/>
      </rPr>
      <t>Step 6. Repeat steps 2-4 until all warren entrances are sealed.</t>
    </r>
  </si>
  <si>
    <t>Time to fumigate per warren (minutes) (6 steps to the right)</t>
  </si>
  <si>
    <t>Time to fumigate one rabbit warren (days)</t>
  </si>
  <si>
    <t>weight per aluminium phosphide tablet (kg)</t>
  </si>
  <si>
    <t>https://pestsmart.org.au/toolkit-resource/diffusion-fumigation-of-rabbit-warrens/</t>
  </si>
  <si>
    <t>fumigation tablets contain 560 to 570 g/kg of aluminium phosphide which produces 330 g/kg phosphine gas. Each 3 gram tablet releases 1 gram of phosphine gas when exposed to moisture in the air or soil</t>
  </si>
  <si>
    <t>https://www.alibaba.com/showroom/aluminum-phosphide-tablets.html</t>
  </si>
  <si>
    <t>Number of tablets per kg</t>
  </si>
  <si>
    <t>Cost per tablet</t>
  </si>
  <si>
    <t>Information on Ripping</t>
  </si>
  <si>
    <t>Time to rip one warern (minutes)</t>
  </si>
  <si>
    <t>Fumigation</t>
  </si>
  <si>
    <t>Proportion of area that needs fumigation for warrens that cant be ripped</t>
  </si>
  <si>
    <t>Phosphine tablets cost/kg (from alibaba as couldn’t find costs)</t>
  </si>
  <si>
    <t>Needs special delivery as it’s a poison</t>
  </si>
  <si>
    <t>Phosphite aluminium tablets needed per opening</t>
  </si>
  <si>
    <t>Openings per warren</t>
  </si>
  <si>
    <t>Total tablets per warren</t>
  </si>
  <si>
    <t>Aluminium Phosphide tablets needed in total</t>
  </si>
  <si>
    <t>cost per tablet</t>
  </si>
  <si>
    <t>Cost for all aluminium phosphide tablets for fumigation</t>
  </si>
  <si>
    <t>2nd term is the time required to rip warrens</t>
  </si>
  <si>
    <t>Days it takes to fumigate all the warrens (10% of management area)</t>
  </si>
  <si>
    <t>This is the habitat destruction (warren ripping + Fumigation of 10% of warrens)</t>
  </si>
  <si>
    <t>Time to fumigate per warren (minutes)</t>
  </si>
  <si>
    <t>Shooting minutes required per rabbit culled</t>
  </si>
  <si>
    <t xml:space="preserve">Number of rabbits culled/km2 </t>
  </si>
  <si>
    <t>Total number of rabbits culled</t>
  </si>
  <si>
    <t>This is the ground management for ground shooting of rabbits</t>
  </si>
  <si>
    <t>Total rabbits culled</t>
  </si>
  <si>
    <t>Ground shooting of rabbits</t>
  </si>
  <si>
    <t>3rd term is the time it takes tractor to drive through the management area (days)</t>
  </si>
  <si>
    <t>Tractors</t>
  </si>
  <si>
    <t>Hire cost</t>
  </si>
  <si>
    <t>Accomodation + Aluminium Phosphide tablets</t>
  </si>
  <si>
    <t>Management Action 2 (b)
( L + T + C + E)</t>
  </si>
  <si>
    <t xml:space="preserve">Warren ripping (100%) </t>
  </si>
  <si>
    <t>Fumigation (only 10%)</t>
  </si>
  <si>
    <t>Action 1 -Initial biocontrol (RHDV1-K5)</t>
  </si>
  <si>
    <t>Action 2(a) - Warren Ripping</t>
  </si>
  <si>
    <t>Action 2(b) - Fumigation (10% of area)</t>
  </si>
  <si>
    <t>Action 3 - Ground shooting</t>
  </si>
  <si>
    <t>Rabbit layer - Presence of Rabbits</t>
  </si>
  <si>
    <t>Species distribution  - Combination of all threatened species (SNES)</t>
  </si>
  <si>
    <r>
      <t xml:space="preserve">Management  layer - </t>
    </r>
    <r>
      <rPr>
        <sz val="12"/>
        <color theme="1"/>
        <rFont val="Calibri"/>
        <family val="2"/>
        <scheme val="minor"/>
      </rPr>
      <t>Species distribution overlap with rabbit layer</t>
    </r>
  </si>
  <si>
    <r>
      <rPr>
        <b/>
        <sz val="12"/>
        <color rgb="FF000000"/>
        <rFont val="Calibri"/>
        <family val="2"/>
      </rPr>
      <t>Map A-</t>
    </r>
    <r>
      <rPr>
        <sz val="12"/>
        <color rgb="FF000000"/>
        <rFont val="Calibri"/>
        <family val="2"/>
      </rPr>
      <t xml:space="preserve"> Management layer + resistance layer</t>
    </r>
  </si>
  <si>
    <t>Map A - Management layer</t>
  </si>
  <si>
    <t>Map A + Map Roads (Staff)</t>
  </si>
  <si>
    <r>
      <rPr>
        <b/>
        <sz val="12"/>
        <color theme="1"/>
        <rFont val="Calibri"/>
        <family val="2"/>
        <scheme val="minor"/>
      </rPr>
      <t xml:space="preserve">Map Roads (S7 Poison) </t>
    </r>
    <r>
      <rPr>
        <sz val="12"/>
        <color theme="1"/>
        <rFont val="Calibri"/>
        <family val="2"/>
        <scheme val="minor"/>
      </rPr>
      <t>- Time to closest big city</t>
    </r>
  </si>
  <si>
    <t>$128/h travelling at 80km/h - Due to hazardous posion there is a cost for a refrigerated truck including the drivers labour and accomodation. Bait delivery is required for poisons and is excess to the travel for staff.</t>
  </si>
  <si>
    <t>Map A + Map Roads (Poison)</t>
  </si>
  <si>
    <t>Transport of poison</t>
  </si>
  <si>
    <t>Transit speed (Km/h)</t>
  </si>
  <si>
    <t>Area to be managed</t>
  </si>
  <si>
    <t xml:space="preserve">Ground baiting only layer - Dasyurus maculatus distribution </t>
  </si>
  <si>
    <t># of threatened species affected</t>
  </si>
  <si>
    <t>Labour cost for one threat</t>
  </si>
  <si>
    <t>Labour cost for all threat groups</t>
  </si>
  <si>
    <t>Exery "X" years</t>
  </si>
  <si>
    <t>Policy, awareness and communication (NATIONAL COST) - Cost for negotiation policy change , compliance, communicating the impact of threats on threatened species, and devise best management practice for long-term sustainability.</t>
  </si>
  <si>
    <t>Policy, compliance and communication</t>
  </si>
  <si>
    <t>Policy, compliance and education (NATIONAL COST) - Cost for negotiation policy change , compliance, communicating the impact of threats on threatened species, and devise best management practice for long-term sustainability.</t>
  </si>
  <si>
    <t>Map A + Map Airport</t>
  </si>
  <si>
    <t xml:space="preserve">Native Herbivores threaten 83 threatened species, 69 plants, 9 birds, 4 mammals and 1 reptile. </t>
  </si>
  <si>
    <t>Materials/km for initial construction</t>
  </si>
  <si>
    <t>Materials/km for maintenance</t>
  </si>
  <si>
    <t>Ground shooting assumptions</t>
  </si>
  <si>
    <t>Time per animal culled (generic)</t>
  </si>
  <si>
    <t xml:space="preserve">Time per rabbit culled </t>
  </si>
  <si>
    <t xml:space="preserve">Time per kangaroo culled </t>
  </si>
  <si>
    <t>Rabbits culled per km2</t>
  </si>
  <si>
    <t>Kangaroos culled per km2</t>
  </si>
  <si>
    <t>Myna culling (these assumptions were adapted from a paper)</t>
  </si>
  <si>
    <r>
      <t xml:space="preserve">Management  layer - </t>
    </r>
    <r>
      <rPr>
        <sz val="12"/>
        <color theme="1"/>
        <rFont val="Calibri"/>
        <family val="2"/>
        <scheme val="minor"/>
      </rPr>
      <t>Species distribution overlap with macropod layer</t>
    </r>
  </si>
  <si>
    <t>Human (similar to cattle)</t>
  </si>
  <si>
    <t>Native herbivores</t>
  </si>
  <si>
    <t>Native Herbivore management</t>
  </si>
  <si>
    <t xml:space="preserve">Fencing habitat areas and ground shootin. </t>
  </si>
  <si>
    <t xml:space="preserve">Awareness signs and fencing off areas. </t>
  </si>
  <si>
    <t>Restrict Access</t>
  </si>
  <si>
    <t>We need to restrict access for 82 threat by species interactions that are all human driven activities (see table to right)</t>
  </si>
  <si>
    <t>Human driven activities</t>
  </si>
  <si>
    <t>distribution of threatened species</t>
  </si>
  <si>
    <r>
      <t xml:space="preserve">Management  layer - </t>
    </r>
    <r>
      <rPr>
        <sz val="12"/>
        <color theme="1"/>
        <rFont val="Calibri"/>
        <family val="2"/>
        <scheme val="minor"/>
      </rPr>
      <t>Species distribution</t>
    </r>
  </si>
  <si>
    <t>Policy, awareness and liaison</t>
  </si>
  <si>
    <t>Specis distribution</t>
  </si>
  <si>
    <t xml:space="preserve">Table 1. Grouped up threats for policy change efforts, compliance and education. The grouping has been done based on an assumption of similar policies applying to threats within these groups.  </t>
  </si>
  <si>
    <t>There are a certain number of threats that do not have specific direct management actions, and rather require policy change to abate the threat</t>
  </si>
  <si>
    <t xml:space="preserve">Native herbivores (mainly macropods like kangaroos, wallabies and quokkas) threaten 83 threatened species (69 plants, 9 birds, 4 mammals and 1 reptile) primarily through grazing and to a lesser degree competition. </t>
  </si>
  <si>
    <t>Macropod distribution</t>
  </si>
  <si>
    <t>This involves surveying a representative area (30% of management area) for general observations</t>
  </si>
  <si>
    <t>Action 1 - Policy change and Compliance</t>
  </si>
  <si>
    <t>Liaison officers</t>
  </si>
  <si>
    <t xml:space="preserve">Policy and liaison is an action generic across multiple threats. </t>
  </si>
  <si>
    <t xml:space="preserve">We have first put together similar threats under a “policy and laision – threat group” (Table 1 in tab "GIS - Policy, awareness,liaison). </t>
  </si>
  <si>
    <t>We include a generalised non-spatial labour cost for policy change + liaison, this cost is multiplied by the total number of threat groups (Table 1) regardless of the number of threatened species affected.</t>
  </si>
  <si>
    <t>Policy and liaison - Threat Group</t>
  </si>
  <si>
    <t>Action 1 - Policy and liaison</t>
  </si>
  <si>
    <t>Refugia mapping for climate change affected species</t>
  </si>
  <si>
    <t>Species distribution</t>
  </si>
  <si>
    <t>Refugia mapping</t>
  </si>
  <si>
    <t>We include a generalised non-spatial labour cost for refugia mapping this cost is multiplied by the total number of threat groups (Table 1) regardless of the number of threatened species affected.</t>
  </si>
  <si>
    <t>We then cost the spatial component for a combined layer of all threatened species for all threat groups (ignoring any differentiation and doing it as one large threat group). Spatial costs include 1) an annual general survey of the threats (100% aerial and 30% ground)</t>
  </si>
  <si>
    <t>Refugia Mapping</t>
  </si>
  <si>
    <t>Climate change refugia mapping</t>
  </si>
  <si>
    <t>Manager</t>
  </si>
  <si>
    <t>Cost for Mapping team</t>
  </si>
  <si>
    <t>Action 1 - Climate change refugia mapping</t>
  </si>
  <si>
    <t>Nnumber of species</t>
  </si>
  <si>
    <t>\</t>
  </si>
  <si>
    <t>Number Of Policy Changes X [Total Cost for Non-spatial national level cost (this can just be added in at the end as a non-spatial cost)]</t>
  </si>
  <si>
    <t>Number of policy changes</t>
  </si>
  <si>
    <t>Number of species threatened</t>
  </si>
  <si>
    <t>Species that need climate refugia mapping</t>
  </si>
  <si>
    <t>[Number of species that need climate refugia mapping] X [Total Cost for Non-spatial national level cost] (this can just be added in at the end as a non-spatial cost)</t>
  </si>
  <si>
    <t>Sustainable co-management of land</t>
  </si>
  <si>
    <t>Action 2 - Sustainable co-management of land</t>
  </si>
  <si>
    <t>ARIA map (Urban, inner+outer regional. Remote. Very remote australia)</t>
  </si>
  <si>
    <t>Major Vegetation Group</t>
  </si>
  <si>
    <t>Ground or Aerial</t>
  </si>
  <si>
    <t>Rainforests and Vine Thickets</t>
  </si>
  <si>
    <t>Eucalypt Tall Open Forests</t>
  </si>
  <si>
    <t>Eucalypt Open Forests</t>
  </si>
  <si>
    <t>Eucalypt Low Open Forests</t>
  </si>
  <si>
    <t>Eucalypt Woodlands</t>
  </si>
  <si>
    <t>Acacia Forests and Woodlands</t>
  </si>
  <si>
    <t>Callitris Forests and Woodlands</t>
  </si>
  <si>
    <t>Casuarina Forests and Woodlands</t>
  </si>
  <si>
    <t>Melaleuca Forests and Woodlands</t>
  </si>
  <si>
    <t>Other Forests and Woodlands</t>
  </si>
  <si>
    <t>Tropical Eucalypt Woodlands/Grasslands</t>
  </si>
  <si>
    <t>Mallee Woodlands and Shrublands</t>
  </si>
  <si>
    <t>Unclassified Forest</t>
  </si>
  <si>
    <t>Eucalypt Open Woodlands</t>
  </si>
  <si>
    <t>Acacia Open Woodlands</t>
  </si>
  <si>
    <t>Mallee Open Woodlands and Sparse Mallee Shrublands</t>
  </si>
  <si>
    <t>Other Open Woodlands</t>
  </si>
  <si>
    <t>Low Closed Forests and Tall Closed Shrublands</t>
  </si>
  <si>
    <t>Acacia Shrublands</t>
  </si>
  <si>
    <t>Other Shrublands</t>
  </si>
  <si>
    <t>Heathlands</t>
  </si>
  <si>
    <t>Tussock Grasslands</t>
  </si>
  <si>
    <t>Hummock Grasslands</t>
  </si>
  <si>
    <t>Other Grasslands, Herblands, Sedgelands and Rushlands</t>
  </si>
  <si>
    <t>Chenopod Shrublands, Samphire Shrublands and Forblands</t>
  </si>
  <si>
    <t>Inland Aquatic - freshwater, salt lakes, lagoons</t>
  </si>
  <si>
    <t>Cleared, Non-Native Vegetation, Buildings</t>
  </si>
  <si>
    <t>Unclassified native vegetation</t>
  </si>
  <si>
    <t>Naturally Bare - sand, rock, claypan, mudflat</t>
  </si>
  <si>
    <t>Sea and Estuaries</t>
  </si>
  <si>
    <t>Regrowth, Modified Native Vegetation</t>
  </si>
  <si>
    <t>Unknown/No Data</t>
  </si>
  <si>
    <t xml:space="preserve">Ground </t>
  </si>
  <si>
    <t xml:space="preserve">Table 1. Major Vegetation groups (Department of the Environment and Energy (Australia) 2016) and whether management for invasive species such as baiting and shooting can be done via ground control, or from helicopter. This is subject to conditions, for example, post severe bushfire many habitats become open enough for aerial shooting. In contrast, in wetter conditions vegetation may become thicker and therefore aerial management is not possible. </t>
  </si>
  <si>
    <t>Vegetation (open canopy vs dense) - Table 1</t>
  </si>
  <si>
    <t xml:space="preserve">       Aerial suitable "open canopy + remote/very remote australia" </t>
  </si>
  <si>
    <t xml:space="preserve">Aerial/Ground suitability map </t>
  </si>
  <si>
    <t>Surveying area and collecting disease samples by foot
(susceptible habitat layer)</t>
  </si>
  <si>
    <t>Action 1 - Aerial spraying of phosphite (phytophthora)</t>
  </si>
  <si>
    <t>Action 2 - Ground injection of phosphite (phytophthora)</t>
  </si>
  <si>
    <t>Grazing Pressure</t>
  </si>
  <si>
    <t>Susceptible disease layer - Combined threatened species distribution (this is for all species threatened by diseases)</t>
  </si>
  <si>
    <t>Summary of aerial vs ground</t>
  </si>
  <si>
    <t>high density (urban+inner/outer regional)</t>
  </si>
  <si>
    <t>low density (remote/very remote)</t>
  </si>
  <si>
    <t>Ground suitable</t>
  </si>
  <si>
    <t>Aerial suitable</t>
  </si>
  <si>
    <t>Vegetation (table 1)</t>
  </si>
  <si>
    <t>Population density (ARIA)</t>
  </si>
  <si>
    <t>Gates needed per 100km2 of area</t>
  </si>
  <si>
    <t>Time to construct one gate (days)</t>
  </si>
  <si>
    <t>Gate(materials, not labour)</t>
  </si>
  <si>
    <t>Total number of gates</t>
  </si>
  <si>
    <t>3rd term is days required to put up all the sings/gates</t>
  </si>
  <si>
    <t>Restrict access with gates and Awareness with generic sign cost</t>
  </si>
  <si>
    <t>Action 2 - Gates for access restriction and signs for awareness</t>
  </si>
  <si>
    <t>We assume that for major rivers (&gt;5m width or some other definition) you need a concrete barrier, and for a minor river (&lt;5m width or some other definition) you need a mesh barrier</t>
  </si>
  <si>
    <t>River size i.e. major vs minor based on the order/width of the river</t>
  </si>
  <si>
    <t>Gambusia distribution</t>
  </si>
  <si>
    <t>Tilapia distribution</t>
  </si>
  <si>
    <t>Trout Distribution</t>
  </si>
  <si>
    <t>Map D</t>
  </si>
  <si>
    <t>Map E</t>
  </si>
  <si>
    <r>
      <rPr>
        <b/>
        <sz val="12"/>
        <color rgb="FF000000"/>
        <rFont val="Calibri"/>
        <family val="2"/>
      </rPr>
      <t>Map E</t>
    </r>
    <r>
      <rPr>
        <sz val="12"/>
        <color rgb="FF000000"/>
        <rFont val="Calibri"/>
        <family val="2"/>
      </rPr>
      <t xml:space="preserve"> -  River Network in Australia + Summarised Pre-1750 Vegetation Restoration layer</t>
    </r>
  </si>
  <si>
    <t>Management Action 4 (c)
( L + T + C + E)</t>
  </si>
  <si>
    <t>Action 4(a) - Major Invasive fish barrier (Trout)</t>
  </si>
  <si>
    <t>Action 4(b) - Minor Invasive fish barrier (Trout)</t>
  </si>
  <si>
    <t>Action 4(c) - Major Invasive fish barrier (Tilapia)</t>
  </si>
  <si>
    <t>Action 3 - Manual Removal of invasive species (Gambusia)</t>
  </si>
  <si>
    <r>
      <rPr>
        <b/>
        <sz val="12"/>
        <color theme="1"/>
        <rFont val="Calibri"/>
        <family val="2"/>
        <scheme val="minor"/>
      </rPr>
      <t>Map A</t>
    </r>
    <r>
      <rPr>
        <sz val="12"/>
        <color theme="1"/>
        <rFont val="Calibri"/>
        <family val="2"/>
        <scheme val="minor"/>
      </rPr>
      <t xml:space="preserve"> - River Network in Australia + combined for all threatened species distribution</t>
    </r>
  </si>
  <si>
    <t>Aerial surveys</t>
  </si>
  <si>
    <t>Ground surveys
(L + T)</t>
  </si>
  <si>
    <t>Ground surveys</t>
  </si>
  <si>
    <t>Forestry management</t>
  </si>
  <si>
    <t>Timber harvesting (Habitat loss) threatens 32 species (14 birds, 11 inverts, 10 plants, 1 reptile). Timber plantations (Habitat degradation) threaten 8 mammals. The actions to abate both threats include:</t>
  </si>
  <si>
    <t xml:space="preserve">Our management layer will be the intersection of threatened species distribution and the full extent logging layer, which is the union of the current ABARES production and forestry layers combined with the commercially viable forests </t>
  </si>
  <si>
    <t>Logging</t>
  </si>
  <si>
    <t>1) policy change for both threats (non-spatial) 2) Liaison officers (Spatial) 3) Map out forest extent/age distribution and increase accuracy of species occurrence models (non-spatial work accompanied by field information from below) 4) Aerial/ground surveys for field information (spatial)</t>
  </si>
  <si>
    <t>Threatened species are persistent over 80 years with threat managed</t>
  </si>
  <si>
    <t>No loggin in threatened species habitats</t>
  </si>
  <si>
    <t xml:space="preserve">Forestry liaison officers (spatial) - These are the liaison officer that are on-ground to communicate and monitor the threatened species habitats that overlap with forestry lands. </t>
  </si>
  <si>
    <t xml:space="preserve">Forestry liaison officers that are on-ground to communicate and monitor the threatened species habitats that overlap with forestry lands. (spatial) </t>
  </si>
  <si>
    <t>Map out forest extent/age distribution and increase accuracy of species occurrence models (non-spatial work accompanied by field information from below)</t>
  </si>
  <si>
    <t>Policy change, compliance and awareness 
(non-spatial)</t>
  </si>
  <si>
    <t>Map out forest extent/age distribution and increase accuracy of species occurrence models, based on field information collected from aerial and ground surveys (non-spatial)</t>
  </si>
  <si>
    <t>This is flying over and assessing the area for forestry extent and configuration</t>
  </si>
  <si>
    <t>This involves surveying 100% of area to Increase accuracy of species occurrence models by surveying for threatened species.</t>
  </si>
  <si>
    <t>Management Action 1
(L + T + C)
Aerial Survey</t>
  </si>
  <si>
    <t>Management Action 2
(L + T + C)
Ground surveys</t>
  </si>
  <si>
    <t>Management Action 5
( L + T + C + E)</t>
  </si>
  <si>
    <t>Management action 5</t>
  </si>
  <si>
    <t>Mangement action 4</t>
  </si>
  <si>
    <t>Our management layer will be the intersection of threatened species distribution and the full extent logging layer, which is the union of the current ABARES production and forestry layers combined with the commercially viable forests</t>
  </si>
  <si>
    <t xml:space="preserve">             https://www.agriculture.gov.au/sites/default/files/abares/forestsaustralia/documents/sofr_2018/maps%20and%20other%20graphics/c2/SOFR_2018_Fig_2_1_Native_forest_commerciality.pdf</t>
  </si>
  <si>
    <t>Loggin layer (union of the following two sources)</t>
  </si>
  <si>
    <t xml:space="preserve">        1)  Forest production + plantation from ABARES land use map</t>
  </si>
  <si>
    <t xml:space="preserve">         2) Commercially suitable for harvest forest layer (all levels of value from very low to very high)</t>
  </si>
  <si>
    <t xml:space="preserve">Policy change, compliance and awareness </t>
  </si>
  <si>
    <t>Forestry liaison officers</t>
  </si>
  <si>
    <t>Forestry management layer</t>
  </si>
  <si>
    <r>
      <rPr>
        <b/>
        <sz val="12"/>
        <color rgb="FF000000"/>
        <rFont val="Calibri"/>
        <family val="2"/>
      </rPr>
      <t>Map A -</t>
    </r>
    <r>
      <rPr>
        <sz val="12"/>
        <color rgb="FF000000"/>
        <rFont val="Calibri"/>
        <family val="2"/>
      </rPr>
      <t xml:space="preserve"> Forestry management layer + resistance layer</t>
    </r>
  </si>
  <si>
    <t>Forestry management layer = Overlap of threatened species distribution + Logging layer</t>
  </si>
  <si>
    <t>Mapping of forest and species distribution</t>
  </si>
  <si>
    <t xml:space="preserve">Days it takes to do planning per instream structure </t>
  </si>
  <si>
    <t xml:space="preserve">This involves visiting the instream structure and conducting surveys </t>
  </si>
  <si>
    <t>Liaison with instream structure users </t>
  </si>
  <si>
    <t xml:space="preserve">Days for manual removal of debris </t>
  </si>
  <si>
    <t>Removal of barrier</t>
  </si>
  <si>
    <t>Installation of fishway</t>
  </si>
  <si>
    <t>Multiplier</t>
  </si>
  <si>
    <t>Overall proportion of action that need remediation</t>
  </si>
  <si>
    <t>Removal of barrier of remediation</t>
  </si>
  <si>
    <t>Installation of fishway of remediation</t>
  </si>
  <si>
    <t>Time to perfrom activity</t>
  </si>
  <si>
    <t xml:space="preserve">Includes labour and equipment </t>
  </si>
  <si>
    <t>maintenance days</t>
  </si>
  <si>
    <t>Cost for ute hire for the maintenance activity</t>
  </si>
  <si>
    <t>maintenance accomodation</t>
  </si>
  <si>
    <t>Maintenance related costs</t>
  </si>
  <si>
    <t>Cost for labour, materials and equipment for maintenance</t>
  </si>
  <si>
    <t>Labour, materials and equipment</t>
  </si>
  <si>
    <t>TOTAL MAINTENANCE COST</t>
  </si>
  <si>
    <t>Days for maintenance</t>
  </si>
  <si>
    <t>Total maintenance</t>
  </si>
  <si>
    <t>Days required for travel</t>
  </si>
  <si>
    <t>Action 4(a) - Major Invasive fish barrier (Trout) - Maintenance</t>
  </si>
  <si>
    <t>Action 4(c) - Major Invasive fish barrier (Tilapia) - Maintenance</t>
  </si>
  <si>
    <r>
      <t>1.</t>
    </r>
    <r>
      <rPr>
        <sz val="7"/>
        <color theme="1"/>
        <rFont val="Times New Roman"/>
        <family val="1"/>
      </rPr>
      <t xml:space="preserve">     </t>
    </r>
    <r>
      <rPr>
        <sz val="12"/>
        <color theme="1"/>
        <rFont val="Calibri"/>
        <family val="2"/>
        <scheme val="minor"/>
      </rPr>
      <t xml:space="preserve">For 1/3 of instream structures every 20 years, </t>
    </r>
  </si>
  <si>
    <r>
      <t>a.</t>
    </r>
    <r>
      <rPr>
        <sz val="7"/>
        <color theme="1"/>
        <rFont val="Times New Roman"/>
        <family val="1"/>
      </rPr>
      <t xml:space="preserve">     </t>
    </r>
    <r>
      <rPr>
        <sz val="12"/>
        <color theme="1"/>
        <rFont val="Calibri"/>
        <family val="2"/>
        <scheme val="minor"/>
      </rPr>
      <t xml:space="preserve">We engage commercial and recreational fisheries, recreational users, agricultural stakeholders etc. </t>
    </r>
  </si>
  <si>
    <r>
      <t>a.</t>
    </r>
    <r>
      <rPr>
        <sz val="7"/>
        <color theme="1"/>
        <rFont val="Times New Roman"/>
        <family val="1"/>
      </rPr>
      <t xml:space="preserve">     </t>
    </r>
    <r>
      <rPr>
        <sz val="12"/>
        <color theme="1"/>
        <rFont val="Calibri"/>
        <family val="2"/>
        <scheme val="minor"/>
      </rPr>
      <t xml:space="preserve">For 1/15 (20% of 1/3) we </t>
    </r>
  </si>
  <si>
    <r>
      <t xml:space="preserve">                                      </t>
    </r>
    <r>
      <rPr>
        <sz val="12"/>
        <color theme="1"/>
        <rFont val="Calibri"/>
        <family val="2"/>
        <scheme val="minor"/>
      </rPr>
      <t>i.</t>
    </r>
    <r>
      <rPr>
        <sz val="7"/>
        <color theme="1"/>
        <rFont val="Times New Roman"/>
        <family val="1"/>
      </rPr>
      <t xml:space="preserve">     </t>
    </r>
    <r>
      <rPr>
        <sz val="12"/>
        <color theme="1"/>
        <rFont val="Calibri"/>
        <family val="2"/>
        <scheme val="minor"/>
      </rPr>
      <t>remove the obsolete structure</t>
    </r>
  </si>
  <si>
    <r>
      <t>-</t>
    </r>
    <r>
      <rPr>
        <sz val="7"/>
        <color theme="1"/>
        <rFont val="Times New Roman"/>
        <family val="1"/>
      </rPr>
      <t xml:space="preserve">       </t>
    </r>
    <r>
      <rPr>
        <sz val="12"/>
        <color theme="1"/>
        <rFont val="Calibri"/>
        <family val="2"/>
        <scheme val="minor"/>
      </rPr>
      <t>Cost estimate of $530k ($650k in 2010 $ value @ 1.5% inflation, stripping out implicit 30% contingency multiplier) to remove structure, inclusive of all labour, materials and equipment (this implicitly includes a 30% contingency cost)</t>
    </r>
  </si>
  <si>
    <r>
      <t>-</t>
    </r>
    <r>
      <rPr>
        <sz val="7"/>
        <color theme="1"/>
        <rFont val="Times New Roman"/>
        <family val="1"/>
      </rPr>
      <t xml:space="preserve">       </t>
    </r>
    <r>
      <rPr>
        <sz val="12"/>
        <color theme="1"/>
        <rFont val="Calibri"/>
        <family val="2"/>
        <scheme val="minor"/>
      </rPr>
      <t xml:space="preserve">We add in cost of accommodation and travel for 2 personnel, assuming it takes 30 days for 2 personnel to complete job. </t>
    </r>
  </si>
  <si>
    <r>
      <t xml:space="preserve">                                      </t>
    </r>
    <r>
      <rPr>
        <sz val="12"/>
        <color theme="1"/>
        <rFont val="Calibri"/>
        <family val="2"/>
        <scheme val="minor"/>
      </rPr>
      <t>i.</t>
    </r>
    <r>
      <rPr>
        <sz val="7"/>
        <color theme="1"/>
        <rFont val="Times New Roman"/>
        <family val="1"/>
      </rPr>
      <t xml:space="preserve">     </t>
    </r>
    <r>
      <rPr>
        <sz val="12"/>
        <color theme="1"/>
        <rFont val="Calibri"/>
        <family val="2"/>
        <scheme val="minor"/>
      </rPr>
      <t>modify and install a fishway</t>
    </r>
  </si>
  <si>
    <r>
      <t>-</t>
    </r>
    <r>
      <rPr>
        <sz val="7"/>
        <color theme="1"/>
        <rFont val="Times New Roman"/>
        <family val="1"/>
      </rPr>
      <t xml:space="preserve">       </t>
    </r>
    <r>
      <rPr>
        <sz val="12"/>
        <color theme="1"/>
        <rFont val="Calibri"/>
        <family val="2"/>
        <scheme val="minor"/>
      </rPr>
      <t>Cost estimate of $1.14m in Dec-20 $ ($1.4m in 2010 $ value @ 1.5% inflation, stripping out implicit 30% contingency multiplier) to install fishway</t>
    </r>
  </si>
  <si>
    <r>
      <t>-</t>
    </r>
    <r>
      <rPr>
        <sz val="7"/>
        <color theme="1"/>
        <rFont val="Times New Roman"/>
        <family val="1"/>
      </rPr>
      <t xml:space="preserve">       </t>
    </r>
    <r>
      <rPr>
        <sz val="12"/>
        <color theme="1"/>
        <rFont val="Calibri"/>
        <family val="2"/>
        <scheme val="minor"/>
      </rPr>
      <t xml:space="preserve">We add in cost of accommodation and travel for 2 personnel, assuming it takes 60 days for 2 personnel to complete job. </t>
    </r>
  </si>
  <si>
    <r>
      <t>b.</t>
    </r>
    <r>
      <rPr>
        <sz val="7"/>
        <color theme="1"/>
        <rFont val="Times New Roman"/>
        <family val="1"/>
      </rPr>
      <t xml:space="preserve">     </t>
    </r>
    <r>
      <rPr>
        <sz val="12"/>
        <color theme="1"/>
        <rFont val="Calibri"/>
        <family val="2"/>
        <scheme val="minor"/>
      </rPr>
      <t xml:space="preserve">For 4/15 (80% of 1/3) we </t>
    </r>
  </si>
  <si>
    <t>Removal of obsolete structure</t>
  </si>
  <si>
    <t>Number of inseam structures identified in threatened species habitat</t>
  </si>
  <si>
    <t>days required for 1 instream structure</t>
  </si>
  <si>
    <t>Number of instream structures identified in threatened species habitat</t>
  </si>
  <si>
    <t>Days required for 1 instream structure</t>
  </si>
  <si>
    <t>Total instream structures</t>
  </si>
  <si>
    <t xml:space="preserve">Total days needed to construct </t>
  </si>
  <si>
    <t>Maintenance days</t>
  </si>
  <si>
    <r>
      <t>●</t>
    </r>
    <r>
      <rPr>
        <sz val="7"/>
        <color rgb="FF000000"/>
        <rFont val="Times New Roman"/>
        <family val="1"/>
      </rPr>
      <t xml:space="preserve">      </t>
    </r>
    <r>
      <rPr>
        <sz val="12"/>
        <color rgb="FF000000"/>
        <rFont val="Calibri"/>
        <family val="2"/>
      </rPr>
      <t>This is done for the area around each fishway installation in threatened species habitat.</t>
    </r>
  </si>
  <si>
    <r>
      <t>●</t>
    </r>
    <r>
      <rPr>
        <sz val="7"/>
        <color rgb="FF000000"/>
        <rFont val="Times New Roman"/>
        <family val="1"/>
      </rPr>
      <t xml:space="preserve">      </t>
    </r>
    <r>
      <rPr>
        <sz val="12"/>
        <color rgb="FF000000"/>
        <rFont val="Calibri"/>
        <family val="2"/>
      </rPr>
      <t xml:space="preserve">The riparian area for rehab is 100m up and down stream of barriers. </t>
    </r>
  </si>
  <si>
    <r>
      <t>●</t>
    </r>
    <r>
      <rPr>
        <sz val="7"/>
        <color rgb="FF000000"/>
        <rFont val="Times New Roman"/>
        <family val="1"/>
      </rPr>
      <t xml:space="preserve">      </t>
    </r>
    <r>
      <rPr>
        <sz val="12"/>
        <color rgb="FF000000"/>
        <rFont val="Calibri"/>
        <family val="2"/>
      </rPr>
      <t xml:space="preserve">Buffer them by 100 m either side </t>
    </r>
  </si>
  <si>
    <r>
      <t>o</t>
    </r>
    <r>
      <rPr>
        <sz val="7"/>
        <color rgb="FF000000"/>
        <rFont val="Times New Roman"/>
        <family val="1"/>
      </rPr>
      <t xml:space="preserve">   </t>
    </r>
    <r>
      <rPr>
        <sz val="12"/>
        <color rgb="FF000000"/>
        <rFont val="Calibri"/>
        <family val="2"/>
      </rPr>
      <t>(recommended riparian vegetation widths from: Hansen et al. 2015; Wenger et al. 2018).</t>
    </r>
  </si>
  <si>
    <r>
      <t>●</t>
    </r>
    <r>
      <rPr>
        <sz val="7"/>
        <color rgb="FF000000"/>
        <rFont val="Times New Roman"/>
        <family val="1"/>
      </rPr>
      <t xml:space="preserve">      </t>
    </r>
    <r>
      <rPr>
        <sz val="12"/>
        <color rgb="FF000000"/>
        <rFont val="Calibri"/>
        <family val="2"/>
      </rPr>
      <t xml:space="preserve">Total management area is 0.04km2 per instream structure for both river banks. </t>
    </r>
  </si>
  <si>
    <r>
      <t>o</t>
    </r>
    <r>
      <rPr>
        <sz val="7"/>
        <color rgb="FF000000"/>
        <rFont val="Times New Roman"/>
        <family val="1"/>
      </rPr>
      <t xml:space="preserve">   </t>
    </r>
    <r>
      <rPr>
        <sz val="12"/>
        <color rgb="FF000000"/>
        <rFont val="Calibri"/>
        <family val="2"/>
      </rPr>
      <t>0.04km2 = (0.2km river length*0.1km buffer*2sidesofriverbank )</t>
    </r>
  </si>
  <si>
    <r>
      <t>●</t>
    </r>
    <r>
      <rPr>
        <sz val="7"/>
        <color rgb="FF000000"/>
        <rFont val="Times New Roman"/>
        <family val="1"/>
      </rPr>
      <t xml:space="preserve">      </t>
    </r>
    <r>
      <rPr>
        <sz val="12"/>
        <color rgb="FF000000"/>
        <rFont val="Calibri"/>
        <family val="2"/>
      </rPr>
      <t xml:space="preserve">We then apply a proportionate cost of weed management and bush regeneration. </t>
    </r>
  </si>
  <si>
    <r>
      <t>o</t>
    </r>
    <r>
      <rPr>
        <sz val="7"/>
        <color rgb="FF000000"/>
        <rFont val="Times New Roman"/>
        <family val="1"/>
      </rPr>
      <t xml:space="preserve">   </t>
    </r>
    <r>
      <rPr>
        <sz val="12"/>
        <color rgb="FF000000"/>
        <rFont val="Calibri"/>
        <family val="2"/>
      </rPr>
      <t>This is a proportion cost of 30% of invasive weed control (5% high, 10% medium, 15% low) and 100% bush regeneration.</t>
    </r>
  </si>
  <si>
    <r>
      <t>●</t>
    </r>
    <r>
      <rPr>
        <sz val="7"/>
        <color rgb="FF000000"/>
        <rFont val="Times New Roman"/>
        <family val="1"/>
      </rPr>
      <t xml:space="preserve">      </t>
    </r>
    <r>
      <rPr>
        <sz val="12"/>
        <color rgb="FF000000"/>
        <rFont val="Calibri"/>
        <family val="2"/>
      </rPr>
      <t>Weed control is done annually with 2 personnel</t>
    </r>
  </si>
  <si>
    <r>
      <t>●</t>
    </r>
    <r>
      <rPr>
        <sz val="7"/>
        <color rgb="FF000000"/>
        <rFont val="Times New Roman"/>
        <family val="1"/>
      </rPr>
      <t xml:space="preserve">      </t>
    </r>
    <r>
      <rPr>
        <sz val="12"/>
        <color rgb="FF000000"/>
        <rFont val="Calibri"/>
        <family val="2"/>
      </rPr>
      <t>Riparian regeneration is done 5-yearly with 2 personnel.</t>
    </r>
  </si>
  <si>
    <t>Instream structure assumptions</t>
  </si>
  <si>
    <t>Number of instream structures in threatened species habitat</t>
  </si>
  <si>
    <t>Total length of river to be rehabilitated (up and down stream in km)</t>
  </si>
  <si>
    <t>Instream structures</t>
  </si>
  <si>
    <t xml:space="preserve">Post-action monitoring </t>
  </si>
  <si>
    <t>This involves visiting the post action monitoring to ensure instream structures are working</t>
  </si>
  <si>
    <t>Multiplier (4/15 the proportion of fishway installations from all instream structures)</t>
  </si>
  <si>
    <t>Effective number of instream structures needed to be remediated</t>
  </si>
  <si>
    <t>Management Action 5 - Manual removal of debris (4/15 of all structures, 80% of 1/3)</t>
  </si>
  <si>
    <t>Action occurs every "X" years</t>
  </si>
  <si>
    <t xml:space="preserve">Travel NPV </t>
  </si>
  <si>
    <r>
      <t>Annualised Multiplier for Travel to site</t>
    </r>
    <r>
      <rPr>
        <sz val="12"/>
        <color rgb="FFFF0000"/>
        <rFont val="Calibri (Body)"/>
      </rPr>
      <t xml:space="preserve"> </t>
    </r>
  </si>
  <si>
    <t>Travel to site Annualised NPV multiplier</t>
  </si>
  <si>
    <t>"NPV" of 1 trip for 80 years</t>
  </si>
  <si>
    <t>Annualised NPV Number of Trips</t>
  </si>
  <si>
    <t>Annualised NPV number of trips required (21-day limit)</t>
  </si>
  <si>
    <t xml:space="preserve">The main goal of this threat abatement is to allow connectivity of the streams through removal and rehabilitating key aquatic habitats when a fishway is required, as fishways facilitate higher predation through the congregation of fish at the barrier. </t>
  </si>
  <si>
    <t>Hydrology management</t>
  </si>
  <si>
    <t>Instream structures that fall within threatened species habitat</t>
  </si>
  <si>
    <t>The preferred hierarchy of actions for river/fish population health is the removal of structure, do nothing as it doesn’t act as a barrier to fish, and lastly to modify it to include a fishway and perform riparian habitat rehabilitation</t>
  </si>
  <si>
    <t>Connectivty of streams to allow fish movement</t>
  </si>
  <si>
    <r>
      <t xml:space="preserve">NB for hydrology management the costing is based off the </t>
    </r>
    <r>
      <rPr>
        <b/>
        <sz val="12"/>
        <color rgb="FFFF0000"/>
        <rFont val="Calibri"/>
        <family val="2"/>
        <scheme val="minor"/>
      </rPr>
      <t>number</t>
    </r>
    <r>
      <rPr>
        <sz val="12"/>
        <color rgb="FFFF0000"/>
        <rFont val="Calibri"/>
        <family val="2"/>
        <scheme val="minor"/>
      </rPr>
      <t xml:space="preserve"> of structures and not grid cells</t>
    </r>
  </si>
  <si>
    <t xml:space="preserve">This involves visiting the instream structure and conducting surveys  </t>
  </si>
  <si>
    <t>Management Action 1
(L + T + C)
Liaison</t>
  </si>
  <si>
    <t>Fishway installation</t>
  </si>
  <si>
    <t>Management action 3 - Instream structure mediation - Fishway installation</t>
  </si>
  <si>
    <t>Management action 2 - Instream structure mediation - Obsolote structure removal</t>
  </si>
  <si>
    <t>Mangement Action 2
(L + T + C)
Instream structure removal</t>
  </si>
  <si>
    <t>Mangement Action 3
(L + T + C)
Instream structure removal</t>
  </si>
  <si>
    <t>FREQUENCY</t>
  </si>
  <si>
    <t xml:space="preserve">Manual removal of debris (4/15 of all structures, 80% of 1/3) </t>
  </si>
  <si>
    <t>Liaison with instream structure users (1/3 of structures)</t>
  </si>
  <si>
    <t>Instream structure mediation - Removal of obsolete structures (1/15 of all structures - 20% of 1/3)</t>
  </si>
  <si>
    <t>Instream structure mediation - Installation of fishways (4/15 of all structures - 80% of 1/3)</t>
  </si>
  <si>
    <t>Riparian restoration (weed control of 30% of river banks) - post installation of fishway (4/15 of all structures - 80% of 1/3)</t>
  </si>
  <si>
    <t>Riparian restoration (Riparian restoration of 30% of river bank) - post installation of fishway (4/15 of all structures - 80% of 1/3)</t>
  </si>
  <si>
    <t>Post fishway installation monitoring (4/15 of all structures - 80% of 1/3)</t>
  </si>
  <si>
    <t>This involves the data reporting requirements, the data analysis, and incorporating the insights into the updated management planning. (4/15 of all structures - 80% of 1/3)</t>
  </si>
  <si>
    <t>Standardised per structure</t>
  </si>
  <si>
    <t>Action 1 - Liaison with instream structure users (1/3 of structures)</t>
  </si>
  <si>
    <t>Action 3 - Installation of fishways (4/15 of all structures - 80% of 1/3)</t>
  </si>
  <si>
    <t>Action 2 - Removal of obsolete structures (1/15 of all structures - 20% of 1/3)</t>
  </si>
  <si>
    <t>Action 4(a) - Riparian restoration - Invasive weed control</t>
  </si>
  <si>
    <t>Action 4(b)- Riparian restoration - Bush regeneration</t>
  </si>
  <si>
    <t xml:space="preserve">Action 5 - Manual removal of debris (4/15 of all structures, 80% of 1/3) </t>
  </si>
  <si>
    <t>Hydrology management layer - identifiy all the locations of the weirs and dams</t>
  </si>
  <si>
    <t>All calculations are done on a PER STRUCTURE basis (i.e all costs below are per instream structure, and we also add on the travel to each)</t>
  </si>
  <si>
    <t>Percentage of instream structructures that need mediation</t>
  </si>
  <si>
    <t>Mediation - Removal of obsolete structures</t>
  </si>
  <si>
    <t>Mediation - installation of fishway</t>
  </si>
  <si>
    <t>Effective percentage of obsolete structures</t>
  </si>
  <si>
    <t>Effective percentage of fishway installations</t>
  </si>
  <si>
    <t>Percentage of instream structures that arent a barrier</t>
  </si>
  <si>
    <t>Proportion that needs mediation</t>
  </si>
  <si>
    <t>These multipliers are applied in the summary table (after all calculations)</t>
  </si>
  <si>
    <r>
      <t>Proportioned Annualised Cost</t>
    </r>
    <r>
      <rPr>
        <sz val="12"/>
        <color rgb="FFFF0000"/>
        <rFont val="Calibri"/>
        <family val="2"/>
        <scheme val="minor"/>
      </rPr>
      <t xml:space="preserve"> </t>
    </r>
    <r>
      <rPr>
        <sz val="12"/>
        <color rgb="FFFF0000"/>
        <rFont val="Calibri (Body)"/>
      </rPr>
      <t>(including multipliers)</t>
    </r>
  </si>
  <si>
    <r>
      <rPr>
        <b/>
        <sz val="12"/>
        <color theme="1"/>
        <rFont val="Calibri"/>
        <family val="2"/>
        <scheme val="minor"/>
      </rPr>
      <t>Map A</t>
    </r>
    <r>
      <rPr>
        <sz val="12"/>
        <color theme="1"/>
        <rFont val="Calibri"/>
        <family val="2"/>
        <scheme val="minor"/>
      </rPr>
      <t xml:space="preserve"> - Map of Australia with locations of all instream structures</t>
    </r>
  </si>
  <si>
    <r>
      <rPr>
        <b/>
        <sz val="12"/>
        <color rgb="FF000000"/>
        <rFont val="Calibri"/>
        <family val="2"/>
      </rPr>
      <t>Map B</t>
    </r>
    <r>
      <rPr>
        <sz val="12"/>
        <color rgb="FF000000"/>
        <rFont val="Calibri"/>
        <family val="2"/>
      </rPr>
      <t xml:space="preserve"> - Map of Australia with major vegetation type</t>
    </r>
  </si>
  <si>
    <r>
      <rPr>
        <b/>
        <sz val="12"/>
        <color theme="1"/>
        <rFont val="Calibri"/>
        <family val="2"/>
        <scheme val="minor"/>
      </rPr>
      <t xml:space="preserve">Map Roads (Staff) </t>
    </r>
    <r>
      <rPr>
        <sz val="12"/>
        <color theme="1"/>
        <rFont val="Calibri"/>
        <family val="2"/>
        <scheme val="minor"/>
      </rPr>
      <t>-  time to closest big city</t>
    </r>
  </si>
  <si>
    <t>(Total Cost per instream structure for Map A) * (Number of instream structures in Map A)</t>
  </si>
  <si>
    <t xml:space="preserve">So the costs here wont be per area, but instead based on point locations where the structures are, </t>
  </si>
  <si>
    <t>NPV of trips multiplier</t>
  </si>
  <si>
    <t>trips</t>
  </si>
  <si>
    <t>Annualised "NPV" trip multiplier</t>
  </si>
  <si>
    <t>NPV multipliers</t>
  </si>
  <si>
    <t>M ap Road (Water Truck) + Map B</t>
  </si>
  <si>
    <t>M ap Road (Truck) + Map C</t>
  </si>
  <si>
    <t>Map B (Aerial burning (ARIA - rural + remote) + Vegetation layer)</t>
  </si>
  <si>
    <t>Everywhere (but tropical and temperate rainforest)</t>
  </si>
  <si>
    <t>Map A (everywhere excluding tropical and temperate rainforest)</t>
  </si>
  <si>
    <t>Map C -(Ground burning (ARIA - urban) + Vegetation layer)</t>
  </si>
  <si>
    <t>Map Airport + Map B (Aerial burning (ARIA - rural + remote))+ Vegetation layer</t>
  </si>
  <si>
    <t>Map Road (Staff) + Map B (Aerial burning (ARIA - rural + remote)) + Vegetation layer</t>
  </si>
  <si>
    <t>Map Road (Staff) + Map C (Ground burning (ARIA - urban)) + Vegetation layer</t>
  </si>
  <si>
    <r>
      <t>Map A -</t>
    </r>
    <r>
      <rPr>
        <sz val="12"/>
        <color theme="1"/>
        <rFont val="Calibri"/>
        <family val="2"/>
        <scheme val="minor"/>
      </rPr>
      <t xml:space="preserve"> Fire Management area + resistance layer </t>
    </r>
    <r>
      <rPr>
        <b/>
        <sz val="12"/>
        <color theme="1"/>
        <rFont val="Calibri"/>
        <family val="2"/>
        <scheme val="minor"/>
      </rPr>
      <t>+</t>
    </r>
    <r>
      <rPr>
        <b/>
        <sz val="12"/>
        <color rgb="FFFF0000"/>
        <rFont val="Calibri (Body)"/>
      </rPr>
      <t xml:space="preserve"> Vegetation layer to </t>
    </r>
    <r>
      <rPr>
        <sz val="12"/>
        <color rgb="FFFF0000"/>
        <rFont val="Calibri (Body)"/>
      </rPr>
      <t>exclude tropical and temperate rainforest</t>
    </r>
  </si>
  <si>
    <t>Map Road (Staff) + Map C Base layer</t>
  </si>
  <si>
    <r>
      <rPr>
        <b/>
        <sz val="12"/>
        <color theme="1"/>
        <rFont val="Calibri"/>
        <family val="2"/>
        <scheme val="minor"/>
      </rPr>
      <t>Map C base layer</t>
    </r>
    <r>
      <rPr>
        <sz val="12"/>
        <color theme="1"/>
        <rFont val="Calibri"/>
        <family val="2"/>
        <scheme val="minor"/>
      </rPr>
      <t xml:space="preserve"> - Combined invasive predator presence suitability + Resistance layer</t>
    </r>
  </si>
  <si>
    <t>(Total Cost/km2 for Map A for the corresponding resistance level) * (Area Covered by Map A)</t>
  </si>
  <si>
    <t>Map A - Phytophthora threat map</t>
  </si>
  <si>
    <t>Map Airport - Map A + Distance from grid cell to Closest airport</t>
  </si>
  <si>
    <t>Map Roads (Staff) - Map A + resistance layer + time to closest big city</t>
  </si>
  <si>
    <t>Map A (Aerial and Ground work)</t>
  </si>
  <si>
    <t>(Total Cost/km2 for Map A) * (Area Covered by Map A for the corresponding resistance level )</t>
  </si>
  <si>
    <t>(Total Cost/km2 for Map B for the corresponding vegetation type) * (Area Covered by Map B )</t>
  </si>
  <si>
    <t>Map A - Grazing layer + resistance layer</t>
  </si>
  <si>
    <t>(Total Cost/km2 for Map B) * (Area Covered by Map B)</t>
  </si>
  <si>
    <t>Map B - Grazing layer + waterway layer + resistance layer</t>
  </si>
  <si>
    <t>(Total Cost/km2 for Map B for the corresponding resistance level) * (Area Covered by Map B)</t>
  </si>
  <si>
    <t>(Total Cost/km2 for Map A (excluding tropical and temperate rainforest) for the corresponding resistance level) * (Area Covered by Map A)</t>
  </si>
  <si>
    <t>(Total Cost/km2 for Map B and the corresponding vegetation layer) * (Area Covered by Map B )</t>
  </si>
  <si>
    <t>(Total Cost/km2 for Map C and the corresponding vegetation layer) * (Area Covered by Map C)</t>
  </si>
  <si>
    <t>(Total Cost/km2 for Map A and the correponding resistance level) * (Area Covered by Map A)</t>
  </si>
  <si>
    <t>CJ INSERT 2021/02/13 : WE NEED TO SPECIFY HOW MANY SPECIES WE WANT TO INCLUDE HERE!!!</t>
  </si>
  <si>
    <t>(Total Cost/km2 for Map A at the corresponding resistance level) * (Area Covered by Map A)</t>
  </si>
  <si>
    <t>NB We assume bait only needs to be delivered once regardless of the number of trips for that action</t>
  </si>
  <si>
    <t xml:space="preserve">       Ground baiting suitable area is a union of:  Distribution of Dasyurus maculatus + dense vegetation + urban/regional Australia</t>
  </si>
  <si>
    <t xml:space="preserve">       Aerial baiting suitable in any area not covered by ground baiting, i.e. where Distribution of Dasyurus maculatus do not occur + open canopy + remote/very remote australia Australia</t>
  </si>
  <si>
    <r>
      <rPr>
        <b/>
        <sz val="12"/>
        <color rgb="FF000000"/>
        <rFont val="Calibri"/>
        <family val="2"/>
      </rPr>
      <t>Map B</t>
    </r>
    <r>
      <rPr>
        <sz val="12"/>
        <color rgb="FF000000"/>
        <rFont val="Calibri"/>
        <family val="2"/>
      </rPr>
      <t xml:space="preserve"> - Combined invasive predator habitat suitability + Ground Suitable (Dasyurus distribution + closed canopy (Table 1) + urban and  Inner/outer regional)  + resistance layer</t>
    </r>
  </si>
  <si>
    <r>
      <rPr>
        <b/>
        <sz val="12"/>
        <color rgb="FF000000"/>
        <rFont val="Calibri"/>
        <family val="2"/>
      </rPr>
      <t xml:space="preserve">Map A </t>
    </r>
    <r>
      <rPr>
        <sz val="12"/>
        <color rgb="FF000000"/>
        <rFont val="Calibri"/>
        <family val="2"/>
      </rPr>
      <t xml:space="preserve">- Combined invasive predator habitat suitability + Aerial Suitable (wherever it is not ground suitable, i.e. Dasyurus does not occur + open canopy (table 1) +  remote/very remote Australia) </t>
    </r>
  </si>
  <si>
    <t xml:space="preserve">       Ground suitable (anywhere not suitable for aerial) i.e. "closed canopy in remote/very remote australia + all vegetation in urban &amp; inner/outer regional Australia"</t>
  </si>
  <si>
    <t>2. Urban + inner/outer regional Australia (ARIA) with both open canopy and dense vegetation (Table 1)</t>
  </si>
  <si>
    <r>
      <rPr>
        <b/>
        <sz val="12"/>
        <color rgb="FF000000"/>
        <rFont val="Calibri"/>
        <family val="2"/>
      </rPr>
      <t xml:space="preserve">Map A </t>
    </r>
    <r>
      <rPr>
        <sz val="12"/>
        <color rgb="FF000000"/>
        <rFont val="Calibri"/>
        <family val="2"/>
      </rPr>
      <t>- Combined large invasive ungulates habitat suitability + Aerial Suitable</t>
    </r>
    <r>
      <rPr>
        <sz val="12"/>
        <color rgb="FFFF0000"/>
        <rFont val="Calibri"/>
        <family val="2"/>
      </rPr>
      <t xml:space="preserve"> (Remote + very remote Australia (ARIA) And has open canopy (see Vegetation map (Table 1))</t>
    </r>
  </si>
  <si>
    <t>1. Remote/very remote Australia (ARIA) And has open canopy (see Vegetation map (Table 1));</t>
  </si>
  <si>
    <t>1. Remote/very remote Australia (ARIA) And has dense vegetation (Table 1);</t>
  </si>
  <si>
    <r>
      <rPr>
        <b/>
        <sz val="12"/>
        <color rgb="FF000000"/>
        <rFont val="Calibri"/>
        <family val="2"/>
      </rPr>
      <t>Map B</t>
    </r>
    <r>
      <rPr>
        <sz val="12"/>
        <color rgb="FF000000"/>
        <rFont val="Calibri"/>
        <family val="2"/>
      </rPr>
      <t xml:space="preserve"> - Combined large invasive ungulates habitat suitability + Ground Suitable + resistance layer (</t>
    </r>
    <r>
      <rPr>
        <sz val="12"/>
        <color rgb="FFFF0000"/>
        <rFont val="Calibri"/>
        <family val="2"/>
      </rPr>
      <t>Remote/very remote Australia (ARIA) And has dense vegetation (Table 1), and  Urban + inner/outer regional Australia (ARIA) with both open canopy and dense vegetation (Table 1))</t>
    </r>
  </si>
  <si>
    <t>NB it is only a total of 1 here, as bait needs to be delivered to all areas but not twice as there is no overlap between aerial and ground baiting</t>
  </si>
  <si>
    <t>(Total Cost/km2 for Map A and corresponding resistance level) * (Area Covered by Map A)</t>
  </si>
  <si>
    <t>(Total Cost/km2 for Map D) * (Area Covered by Map D)</t>
  </si>
  <si>
    <t>(Total Cost/km2 for Map E with the corresponding vegetation layer ) * (Area Covered by Map E)</t>
  </si>
  <si>
    <t>Unscaled</t>
  </si>
  <si>
    <t>Annualised NPV multiplier</t>
  </si>
  <si>
    <t>Annualised NPV number of trips required (21-day limit) after applying proportion</t>
  </si>
  <si>
    <t>Check for each instream structure</t>
  </si>
  <si>
    <t>Office planning</t>
  </si>
  <si>
    <t>Field planning</t>
  </si>
  <si>
    <t xml:space="preserve">Action 1 </t>
  </si>
  <si>
    <t>Action 4 (a)</t>
  </si>
  <si>
    <t>Action 4(b)</t>
  </si>
  <si>
    <t>Action 5</t>
  </si>
  <si>
    <t>monitoring</t>
  </si>
  <si>
    <t>Post valuation</t>
  </si>
  <si>
    <t>Action 2 - removal</t>
  </si>
  <si>
    <t>Action 3 - fishway installation</t>
  </si>
  <si>
    <t>These two should add up to 33%</t>
  </si>
  <si>
    <t>These should add up to 100%</t>
  </si>
  <si>
    <t>unscaled</t>
  </si>
  <si>
    <t>Proportion that needs remediation</t>
  </si>
  <si>
    <t>(Total Cost for riparian restoration per instream structure for Map B) * (Number of instream structures in Map B)</t>
  </si>
  <si>
    <t>Total annualised trips</t>
  </si>
  <si>
    <t>Number of Species to map refugia for</t>
  </si>
  <si>
    <t xml:space="preserve">Surveying area and collecting samples by foot </t>
  </si>
  <si>
    <t>waterholes/100km2</t>
  </si>
  <si>
    <t>Fence line required per waterhole (km)</t>
  </si>
  <si>
    <t xml:space="preserve">Each waterhole requires 4km of fencing (1000x1000m square of fencing or 100ha), to create a reasonable distance to reduce macropod pressure on fencing from water source (Kangaroo Management Taskforce 2020). </t>
  </si>
  <si>
    <t>We also assume 2 waterholes are decommissioned every 100km2.</t>
  </si>
  <si>
    <t>This action is to decommission the water-holes to reduce macropod density in the area</t>
  </si>
  <si>
    <t>Total Days needed for job to be completed (as working in team of 2)</t>
  </si>
  <si>
    <t>s</t>
  </si>
  <si>
    <t>Management Action 1
(L + T + C + E)</t>
  </si>
  <si>
    <t>Action 2 (b) - Fencing maintenance</t>
  </si>
  <si>
    <t>Action 3 (b) - Water hole fencing maintenance</t>
  </si>
  <si>
    <t>Percentage of area to be fenced</t>
  </si>
  <si>
    <r>
      <t>o</t>
    </r>
    <r>
      <rPr>
        <sz val="7"/>
        <color rgb="FF000000"/>
        <rFont val="Times New Roman"/>
        <family val="1"/>
      </rPr>
      <t xml:space="preserve">   </t>
    </r>
    <r>
      <rPr>
        <sz val="12"/>
        <color rgb="FF000000"/>
        <rFont val="Arial"/>
        <family val="2"/>
      </rPr>
      <t>Group 1 Narrow-ranged species</t>
    </r>
  </si>
  <si>
    <r>
      <t>o</t>
    </r>
    <r>
      <rPr>
        <sz val="7"/>
        <color rgb="FF000000"/>
        <rFont val="Times New Roman"/>
        <family val="1"/>
      </rPr>
      <t xml:space="preserve">   </t>
    </r>
    <r>
      <rPr>
        <sz val="12"/>
        <color rgb="FF000000"/>
        <rFont val="Arial"/>
        <family val="2"/>
      </rPr>
      <t>0.7 – 946 km</t>
    </r>
    <r>
      <rPr>
        <vertAlign val="superscript"/>
        <sz val="12"/>
        <color rgb="FF000000"/>
        <rFont val="Arial"/>
        <family val="2"/>
      </rPr>
      <t>2</t>
    </r>
    <r>
      <rPr>
        <sz val="12"/>
        <color rgb="FF000000"/>
        <rFont val="Arial"/>
        <family val="2"/>
      </rPr>
      <t> (which could potentially place species in the category for critically endangered depending on other factors) [42 species]: 100% of range fenced</t>
    </r>
  </si>
  <si>
    <r>
      <t>o</t>
    </r>
    <r>
      <rPr>
        <sz val="7"/>
        <color rgb="FF000000"/>
        <rFont val="Times New Roman"/>
        <family val="1"/>
      </rPr>
      <t xml:space="preserve">   </t>
    </r>
    <r>
      <rPr>
        <sz val="12"/>
        <color rgb="FF000000"/>
        <rFont val="Arial"/>
        <family val="2"/>
      </rPr>
      <t>Group 2 Medium-ranged species</t>
    </r>
  </si>
  <si>
    <r>
      <t>o</t>
    </r>
    <r>
      <rPr>
        <sz val="7"/>
        <color rgb="FF000000"/>
        <rFont val="Times New Roman"/>
        <family val="1"/>
      </rPr>
      <t xml:space="preserve">   </t>
    </r>
    <r>
      <rPr>
        <sz val="12"/>
        <color rgb="FF000000"/>
        <rFont val="Arial"/>
        <family val="2"/>
      </rPr>
      <t>1000 km</t>
    </r>
    <r>
      <rPr>
        <vertAlign val="superscript"/>
        <sz val="12"/>
        <color rgb="FF000000"/>
        <rFont val="Arial"/>
        <family val="2"/>
      </rPr>
      <t>2</t>
    </r>
    <r>
      <rPr>
        <sz val="12"/>
        <color rgb="FF000000"/>
        <rFont val="Arial"/>
        <family val="2"/>
      </rPr>
      <t> – 10,000 km</t>
    </r>
    <r>
      <rPr>
        <vertAlign val="superscript"/>
        <sz val="12"/>
        <color rgb="FF000000"/>
        <rFont val="Arial"/>
        <family val="2"/>
      </rPr>
      <t>2</t>
    </r>
    <r>
      <rPr>
        <sz val="12"/>
        <color rgb="FF000000"/>
        <rFont val="Arial"/>
        <family val="2"/>
      </rPr>
      <t> [21 species]: 10% of their range fenced.</t>
    </r>
  </si>
  <si>
    <t>Management action 1 - Fencing Sensitive areas (Narrow ranged species)</t>
  </si>
  <si>
    <t>Total area to be managed</t>
  </si>
  <si>
    <t>Management action 2 - Fencing Sensitive areas (Medium-ranged species)</t>
  </si>
  <si>
    <t>Broad ranged species Exclusion Fencing of water holes - Initial fence line clearing and fence construction</t>
  </si>
  <si>
    <t>Broad ranged species Exclusion Fencing of water holes  - On-going Maintenance</t>
  </si>
  <si>
    <t>Medium Ranged Species Key Habitat Fencing 10%- Initial fence line clearing and fence construction</t>
  </si>
  <si>
    <t>Medium Ranged Species Key Habitat Fencing 10% - On-going Maintenance</t>
  </si>
  <si>
    <t>Narrow Ranged Species Key Habitat Fencing 100% - Initial fence line clearing and fence construction</t>
  </si>
  <si>
    <t>Narrow Ranged Species Key Habitat Fencing 100% - On-going Maintenance</t>
  </si>
  <si>
    <t>Action 2 (a) - Narrow range species key habitat fencing 100%</t>
  </si>
  <si>
    <r>
      <rPr>
        <b/>
        <sz val="12"/>
        <color rgb="FF000000"/>
        <rFont val="Calibri"/>
        <family val="2"/>
      </rPr>
      <t xml:space="preserve">Map C </t>
    </r>
    <r>
      <rPr>
        <sz val="12"/>
        <color rgb="FF000000"/>
        <rFont val="Calibri"/>
        <family val="2"/>
      </rPr>
      <t>- River Network in Australia + Distribution of galaxias threatened by trout + trout layer</t>
    </r>
  </si>
  <si>
    <r>
      <rPr>
        <b/>
        <sz val="12"/>
        <color rgb="FF000000"/>
        <rFont val="Calibri"/>
        <family val="2"/>
      </rPr>
      <t>Map D</t>
    </r>
    <r>
      <rPr>
        <sz val="12"/>
        <color rgb="FF000000"/>
        <rFont val="Calibri"/>
        <family val="2"/>
      </rPr>
      <t xml:space="preserve"> - River Network in Australia (only for Irrigated lands) + Distribution of threatened species threatened by tilapia + Tilapia layer</t>
    </r>
  </si>
  <si>
    <t>Action 3 - Manual Removal of invasive species</t>
  </si>
  <si>
    <t>Action 4(a) - Major Invasive fish barrier (Trout vs galaxias)</t>
  </si>
  <si>
    <t>Action 4(a) - Major Invasive fish barrier (Trout vs galaxias) - Maintenance</t>
  </si>
  <si>
    <t>Action 4(b) - Minor Invasive fish barrier (Trout vs galaxias)</t>
  </si>
  <si>
    <t>Action 4(c) - Major Invasive fish barrier (Tilapia in irrigated waters)</t>
  </si>
  <si>
    <t>Action 4(c) - Major Invasive fish barrier (Tilapia in irrigated waters) - Maintenance</t>
  </si>
  <si>
    <t xml:space="preserve">Management action 3 - Broad -ranged species : Decommissioning water holes by fencing waterholes </t>
  </si>
  <si>
    <t>Poison delivery cost $/km</t>
  </si>
  <si>
    <t>Cost including multipliers</t>
  </si>
  <si>
    <r>
      <t>Poison delivery cost $/km</t>
    </r>
    <r>
      <rPr>
        <sz val="12"/>
        <color rgb="FFFF0000"/>
        <rFont val="Calibri (Body)"/>
      </rPr>
      <t xml:space="preserve"> (with multipliers)</t>
    </r>
  </si>
  <si>
    <r>
      <t>2xpersonnel (entry level)</t>
    </r>
    <r>
      <rPr>
        <sz val="12"/>
        <color rgb="FFFF0000"/>
        <rFont val="Calibri (Body)"/>
      </rPr>
      <t xml:space="preserve"> (with multipliers)</t>
    </r>
  </si>
  <si>
    <r>
      <t xml:space="preserve">cost/day 4x4 Landcruiser trayback -set up for field work (0.95/km)  </t>
    </r>
    <r>
      <rPr>
        <sz val="12"/>
        <color rgb="FFFF0000"/>
        <rFont val="Calibri (Body)"/>
      </rPr>
      <t>(with multipliers)</t>
    </r>
  </si>
  <si>
    <t>Cost component</t>
  </si>
  <si>
    <r>
      <t>Hourly rate for flying (AUD)</t>
    </r>
    <r>
      <rPr>
        <sz val="12"/>
        <color rgb="FFFF0000"/>
        <rFont val="Calibri (Body)"/>
      </rPr>
      <t xml:space="preserve"> (with multipliers)</t>
    </r>
  </si>
  <si>
    <r>
      <t>Poison delivery cost per hour (1080 saf)</t>
    </r>
    <r>
      <rPr>
        <b/>
        <sz val="12"/>
        <color rgb="FFFF0000"/>
        <rFont val="Calibri (Body)"/>
      </rPr>
      <t xml:space="preserve"> (with multipliers)</t>
    </r>
  </si>
  <si>
    <r>
      <t>Land Travel costs per hour</t>
    </r>
    <r>
      <rPr>
        <b/>
        <sz val="12"/>
        <color rgb="FFFF0000"/>
        <rFont val="Calibri (Body)"/>
      </rPr>
      <t xml:space="preserve"> (with multipliers)</t>
    </r>
  </si>
  <si>
    <r>
      <t xml:space="preserve">Air Travel costs per hour </t>
    </r>
    <r>
      <rPr>
        <sz val="12"/>
        <color rgb="FFFF0000"/>
        <rFont val="Calibri (Body)"/>
      </rPr>
      <t>(with multipliers)</t>
    </r>
  </si>
  <si>
    <t>Water-truck driven to location (truck be driven on road at 80km/h)</t>
  </si>
  <si>
    <r>
      <t xml:space="preserve">1xpersonnel (entry level) </t>
    </r>
    <r>
      <rPr>
        <sz val="12"/>
        <color rgb="FFFF0000"/>
        <rFont val="Calibri (Body)"/>
      </rPr>
      <t>(with multipliers)</t>
    </r>
  </si>
  <si>
    <r>
      <t xml:space="preserve">Water Cart cost per hour (9-16000L truck) </t>
    </r>
    <r>
      <rPr>
        <sz val="12"/>
        <color rgb="FFFF0000"/>
        <rFont val="Calibri (Body)"/>
      </rPr>
      <t>(with multipliers)</t>
    </r>
  </si>
  <si>
    <r>
      <t>1xpersonnel (entry level) driver</t>
    </r>
    <r>
      <rPr>
        <sz val="12"/>
        <color rgb="FFFF0000"/>
        <rFont val="Calibri (Body)"/>
      </rPr>
      <t xml:space="preserve"> (with multipliers)</t>
    </r>
  </si>
  <si>
    <r>
      <t xml:space="preserve">Semi trailer service to deliver tractor per day </t>
    </r>
    <r>
      <rPr>
        <sz val="12"/>
        <color rgb="FFFF0000"/>
        <rFont val="Calibri (Body)"/>
      </rPr>
      <t>(with multipliers)</t>
    </r>
  </si>
  <si>
    <t>0.01 * 2 * (Total annualised trips for Map A + Map Road (Poison) ) * (Time to closest city) * $179.20/hour</t>
  </si>
  <si>
    <t>0.01 * 2 * (Total annualised trips for Map Road (Baits) ) * (Time to closest city) * $179.20/hour</t>
  </si>
  <si>
    <t xml:space="preserve">As these costs are added on later, we should incldue the multipliers here. See right hand side box for multiplier applied based on whether these costs fall under the different cost components. </t>
  </si>
  <si>
    <t>Assume quoted price from external supplier so no overheads for delivery labour</t>
  </si>
  <si>
    <r>
      <rPr>
        <b/>
        <sz val="12"/>
        <color rgb="FF000000"/>
        <rFont val="Calibri"/>
        <family val="2"/>
      </rPr>
      <t>Map B</t>
    </r>
    <r>
      <rPr>
        <sz val="12"/>
        <color rgb="FF000000"/>
        <rFont val="Calibri"/>
        <family val="2"/>
      </rPr>
      <t xml:space="preserve"> - Combined Narrow Range species blob</t>
    </r>
  </si>
  <si>
    <r>
      <rPr>
        <b/>
        <sz val="12"/>
        <color theme="1"/>
        <rFont val="Calibri"/>
        <family val="2"/>
        <scheme val="minor"/>
      </rPr>
      <t xml:space="preserve">Map C </t>
    </r>
    <r>
      <rPr>
        <sz val="12"/>
        <color theme="1"/>
        <rFont val="Calibri"/>
        <family val="2"/>
        <scheme val="minor"/>
      </rPr>
      <t>- Combined Medium Range species blob (exluding Narrow Range blob)</t>
    </r>
  </si>
  <si>
    <r>
      <rPr>
        <b/>
        <sz val="12"/>
        <color theme="1"/>
        <rFont val="Calibri"/>
        <family val="2"/>
        <scheme val="minor"/>
      </rPr>
      <t>Map D</t>
    </r>
    <r>
      <rPr>
        <sz val="12"/>
        <color theme="1"/>
        <rFont val="Calibri"/>
        <family val="2"/>
        <scheme val="minor"/>
      </rPr>
      <t xml:space="preserve"> - Combined Broad Range species blob (excluding Combined narrow range and combined medium range blobs)</t>
    </r>
  </si>
  <si>
    <t>Action 3 (a) - Medium range species key habitat fencing 10%</t>
  </si>
  <si>
    <t>Action 23(b) - Fencing maintenance</t>
  </si>
  <si>
    <t>Action 34(a) -Broad ranged species Water hole fencing</t>
  </si>
  <si>
    <r>
      <rPr>
        <b/>
        <sz val="12"/>
        <color rgb="FF000000"/>
        <rFont val="Calibri"/>
        <family val="2"/>
      </rPr>
      <t>Map A -</t>
    </r>
    <r>
      <rPr>
        <sz val="12"/>
        <color rgb="FF000000"/>
        <rFont val="Calibri"/>
        <family val="2"/>
      </rPr>
      <t xml:space="preserve"> All combined management layer + resistance layer</t>
    </r>
  </si>
  <si>
    <t>Map B + Map Roads (Staff)</t>
  </si>
  <si>
    <t>Map C + Map Roads (Staff)</t>
  </si>
  <si>
    <t>Map D + Map Roads (Staff)</t>
  </si>
  <si>
    <t>Management Action 6
(L)</t>
  </si>
  <si>
    <t>Action 6 - Policy Management</t>
  </si>
  <si>
    <r>
      <t>Proportioned Annualised multipliers</t>
    </r>
    <r>
      <rPr>
        <sz val="12"/>
        <color rgb="FFFF0000"/>
        <rFont val="Calibri"/>
        <family val="2"/>
        <scheme val="minor"/>
      </rPr>
      <t xml:space="preserve"> </t>
    </r>
  </si>
  <si>
    <t>Fisheries management (policy &amp; education)</t>
  </si>
  <si>
    <t>Manage nutrient loads (policy &amp; education)</t>
  </si>
  <si>
    <t>Regulation of herbicide &amp; pesticide use (policy, regulation &amp; education)</t>
  </si>
  <si>
    <t>Wind turbine planning (policy &amp; planning)</t>
  </si>
  <si>
    <t>Policy, compliance and education</t>
  </si>
  <si>
    <t>Management of pollution (policy, planning &amp; regulation)</t>
  </si>
  <si>
    <t>1x personnel (entry level)</t>
  </si>
  <si>
    <t>Labour costs</t>
  </si>
  <si>
    <t>Total Labour costs per km2</t>
  </si>
  <si>
    <t>Non Spatal total labour cost</t>
  </si>
  <si>
    <t>Labour costs only</t>
  </si>
  <si>
    <t>To be deducted as there are multiple resistance layers</t>
  </si>
  <si>
    <t>Total Labour costs per site</t>
  </si>
  <si>
    <t>Non-spatial</t>
  </si>
  <si>
    <t>Trips required for on-site actions (21-day limit)</t>
  </si>
  <si>
    <t>Effort Required</t>
  </si>
  <si>
    <t>Assumed inflation rate</t>
  </si>
  <si>
    <t>We do not incur these costs as they have already been applied</t>
  </si>
  <si>
    <t>Total effort in days</t>
  </si>
  <si>
    <t>Effort in days</t>
  </si>
  <si>
    <t>Gates + Signage for education and awareness</t>
  </si>
  <si>
    <t>Management action - Fencing Sensitive areas (This is included here but not used in the final costings)</t>
  </si>
  <si>
    <t xml:space="preserve">There is labour only invovled in this, and we assume that it is done at a "experienced" pay grade </t>
  </si>
  <si>
    <t>Effort costed for all personnel (days)</t>
  </si>
  <si>
    <t>Occurs every "X" years (This includes 2xapplications)</t>
  </si>
  <si>
    <t>Kgs of Phosphite</t>
  </si>
  <si>
    <t>Litres of Adjuvant</t>
  </si>
  <si>
    <t>Time needed for info collection in total (hours)</t>
  </si>
  <si>
    <t>Labour cost</t>
  </si>
  <si>
    <t>total days</t>
  </si>
  <si>
    <t>Management Action 1</t>
  </si>
  <si>
    <t>Management Action 1
( L only)</t>
  </si>
  <si>
    <t>Management Action 3
(L only)</t>
  </si>
  <si>
    <t>Management Action 4
(L only)</t>
  </si>
  <si>
    <t>Time needed per km (hours)</t>
  </si>
  <si>
    <r>
      <t>·</t>
    </r>
    <r>
      <rPr>
        <sz val="7"/>
        <color rgb="FF000000"/>
        <rFont val="Times New Roman"/>
        <family val="1"/>
      </rPr>
      <t xml:space="preserve">      </t>
    </r>
    <r>
      <rPr>
        <sz val="12"/>
        <color rgb="FF000000"/>
        <rFont val="Calibri"/>
        <family val="2"/>
      </rPr>
      <t>This involves surveying area (30% of management area) for general observations and checking done every year.</t>
    </r>
  </si>
  <si>
    <t>Cost for activity only</t>
  </si>
  <si>
    <t>herbaceous weeds spray (litres) per km2</t>
  </si>
  <si>
    <t>2nd term = days vehicle has to stay or be used at management site fo driving through terrain</t>
  </si>
  <si>
    <t>Time Units (days)</t>
  </si>
  <si>
    <t>Trips and Time required</t>
  </si>
  <si>
    <t>Total dayas</t>
  </si>
  <si>
    <t>2010 values</t>
  </si>
  <si>
    <t>remove 30% contingency</t>
  </si>
  <si>
    <t>inflation</t>
  </si>
  <si>
    <t>Years</t>
  </si>
  <si>
    <t>Appendix 1 - cost estimates for preferred options</t>
  </si>
  <si>
    <t>Cunningham weir removal</t>
  </si>
  <si>
    <t xml:space="preserve"> Tilpa vertical slot fishway</t>
  </si>
  <si>
    <t>http://www.dpi.nsw.gov.au/__data/assets/pdf_file/0010/634672/SMEC-Fish-Passage-Engineering-Report-Final-010311_opt.pdf</t>
  </si>
  <si>
    <t>Days Removal</t>
  </si>
  <si>
    <t>Days Installation</t>
  </si>
  <si>
    <t>For al lpersonnel</t>
  </si>
  <si>
    <r>
      <t>Proportioned Total Annualised Cost</t>
    </r>
    <r>
      <rPr>
        <sz val="12"/>
        <color rgb="FFFF0000"/>
        <rFont val="Calibri"/>
        <family val="2"/>
        <scheme val="minor"/>
      </rPr>
      <t xml:space="preserve"> </t>
    </r>
    <r>
      <rPr>
        <sz val="12"/>
        <color rgb="FFFF0000"/>
        <rFont val="Calibri (Body)"/>
      </rPr>
      <t>(including multipliers)</t>
    </r>
  </si>
  <si>
    <t>Total # days</t>
  </si>
  <si>
    <t>Management Action 1 - Policy, compliance and awareness</t>
  </si>
  <si>
    <t>Management Action 3- Manual removal of fish</t>
  </si>
  <si>
    <t>This action involves fisherman actively removing invasive fish</t>
  </si>
  <si>
    <t>Management action 4 - Fish Barriers</t>
  </si>
  <si>
    <t xml:space="preserve">Consumables </t>
  </si>
  <si>
    <t>Total days needed</t>
  </si>
  <si>
    <t>Tilapia major river maintenance</t>
  </si>
  <si>
    <t>Trout major barrier</t>
  </si>
  <si>
    <t>Non-spatial cost</t>
  </si>
  <si>
    <t>Days- Low</t>
  </si>
  <si>
    <t>Days - Med</t>
  </si>
  <si>
    <t>Days - High</t>
  </si>
  <si>
    <t>Bullet cost</t>
  </si>
  <si>
    <t>Bulet costs</t>
  </si>
  <si>
    <t>Bullets</t>
  </si>
  <si>
    <t>Accomodation, food and bullets</t>
  </si>
  <si>
    <t>Time to construct one nestbox (days)</t>
  </si>
  <si>
    <t>Bullet Costs</t>
  </si>
  <si>
    <t>Fencing</t>
  </si>
  <si>
    <t>0.01 * 2 * (Total annualised trips for Map A + Map Road (Staff) for the corresponding resistance level) * (Time to closest city) * $208.40/hour</t>
  </si>
  <si>
    <t xml:space="preserve">$208.40/hour travelling at 80km/h - the travel costs to get there and back from the closest city for ute hire and 2 entry level staff. Based on #trips required and distance, adjusted for 100 grid window weighting </t>
  </si>
  <si>
    <t>0.01 * 2 * ((Total annualised trips for Map A + Map Road (Staff) for the corresponding resistance level) * (Time to closest city) * $208.40/hour</t>
  </si>
  <si>
    <t>0.01 * 2 * (Total annualised trips for Map A (Excluding tropical and temperate rainforest) + Map Road (Staff) for the corresponding resistance level) * (Time to closest city) * $208.40/hour</t>
  </si>
  <si>
    <t>0.01 * 2 * ((Total annualised trips for Aerial burning: Map Road (Staff) + Map B (ARIA - rural + remote) + Vegetation layer) * (Time to closest city) * $208.40/hour</t>
  </si>
  <si>
    <t>0.01 * 2 * ((Total annualised trips for Aerial burning: Map Road (Water Truck) + Map B (ARIA - rural + remote)) * (Time to closest city) * $208.40/hour</t>
  </si>
  <si>
    <t>0.01 * 2 * ((Total annualised trips for Ground burning: Map Road (Staff) +  Map C (Ground burning (ARIA - urban)) + Vegetation layer) * (Time to closest city) * $208.40/hour</t>
  </si>
  <si>
    <t>0.01 * 2 * ((Total annualised trips for Ground burning: Map Road (Water Truck) +  Map C (Ground burning (ARIA - urban)) + Vegetation layer) * (Time to closest city) * $208.40/hour</t>
  </si>
  <si>
    <t>0.01 * 2 * ((Total annualised trips for Map B + Map Road (Staff))* (Time to closest city) * $208.40/hour</t>
  </si>
  <si>
    <t>0.01 * 2 * ((Total annualised trips for Map B + Map Road (Staff) for the corresponding vegetation type) * (Time to closest city) * $208.40/hour</t>
  </si>
  <si>
    <t>2 * ((Total Annualised Trips needed for Map A + Map Road (Staff)) * (Time to closest city) * $208.40/hour</t>
  </si>
  <si>
    <t xml:space="preserve"> 2 * ((Total Annualised Trips needed for Map A + Map Road (Staff) and the corresponding level of vegetation) * (Time to closest city) * $208.40/hour</t>
  </si>
  <si>
    <t>0.01 * 2 * ((Total annualised trips for Map A + Map Road (Staff)) * (Time to closest city) * $208.40/hour</t>
  </si>
  <si>
    <t>0.01 * 2 * ((Total annualised trips for Map B + Map Road (Staff)) * (Time to closest city) * $208.40/hour</t>
  </si>
  <si>
    <t>0.01 * 2 * ((Total annualised trips for Map C + Map Road (Staff)) * (Time to closest city) * $208.40/hour</t>
  </si>
  <si>
    <t>0.01 * 2 * ((Total annualised trips for Map D + Map Road (Staff)) * (Time to closest city) * $208.40/hour</t>
  </si>
  <si>
    <t>0.01 * 2 * ((Total annualised trips for Map E + Map Road (Staff) and the corresponding level of vegetation) * (Time to closest city) * $208.40/hour</t>
  </si>
  <si>
    <t>0.01 * 2 * ((Total annualised trips for Map B + Map Road (Staff) for the corresponding resistance level) * (Time to closest city) * $208.40/hour</t>
  </si>
  <si>
    <t>0.01 * 2 * ((Total annualised trips for Map B + Map Road (Staff) for the corresponding resistance level for ground baiting) * (Time to closest city) * $208.40/hour</t>
  </si>
  <si>
    <t>0.01 * 2 * ((Total annualised trips for Map C Base layer + Map Road (Staff) for the corresponding resistance level for pre-aciton field planning+post action monitoring) * (Time to closest city) * $208.40/hour</t>
  </si>
  <si>
    <t>0.01 * 2 * ((Total annualised trips for Map A + Map Road (Staff) for the corresponding resistance level for activity) * (Time to closest city) * $208.40/hour</t>
  </si>
  <si>
    <t>0.01 * 2 * (Total annualised trips for Map A + Map Airport) * (Distance to closest airport) / (250km/h) * $1241/hour</t>
  </si>
  <si>
    <t>0.01 * 2 * (Total annualised trips for (Map A (excluding tropical and temperate rainforest) + Map Airport ) * (Distance to closest airport) / (250km/h) * $1241/hour</t>
  </si>
  <si>
    <t>0.01 * 2 * (Total annualised trips for Aerial burning: Map Airport + Map B (ARIA - rural + remote) + Vegetation layer) * (Distance to closest airport) / (250km/h) * $1241/hour</t>
  </si>
  <si>
    <t xml:space="preserve">NB MICHELLE to add grazing of native vegetation in </t>
  </si>
  <si>
    <t>if resistance = high, Rh=1, else Rh=0</t>
  </si>
  <si>
    <t>if resistance = medium, Rm=1, else Rm=0</t>
  </si>
  <si>
    <t>Medium resistance penalty</t>
  </si>
  <si>
    <t>Rm</t>
  </si>
  <si>
    <t>Rh</t>
  </si>
  <si>
    <t>High Resistance penalty</t>
  </si>
  <si>
    <t>Non-Spatial cost</t>
  </si>
  <si>
    <t>Variable base (Low resistance)</t>
  </si>
  <si>
    <t>Spatial fixed</t>
  </si>
  <si>
    <t>where</t>
  </si>
  <si>
    <t>(1) Cost per unit area =  (a) Spatial fixed  + (b) Spatial variable base + (c) Spatial variable penalty</t>
  </si>
  <si>
    <t>(a)</t>
  </si>
  <si>
    <t>(b)</t>
  </si>
  <si>
    <t>(c)</t>
  </si>
  <si>
    <t>Cost per unit area</t>
  </si>
  <si>
    <t>This includes pre-action office planning, Gate installation for access restriction and sign installation for awareness, and post action evaluation</t>
  </si>
  <si>
    <t>This includes pre-action field planning and post-action monitoring</t>
  </si>
  <si>
    <t>Terrain ruggedness penalty</t>
  </si>
  <si>
    <t>(2) Travel to site = (a) Number of trips required * (b) Travel cost * (c) Management area scaling factor</t>
  </si>
  <si>
    <t>Distance to site</t>
  </si>
  <si>
    <t xml:space="preserve">(b) Travel cost = (Distance to site/80kmh * Travel cost *2) </t>
  </si>
  <si>
    <t>km</t>
  </si>
  <si>
    <t>Travel speed</t>
  </si>
  <si>
    <t>kmh</t>
  </si>
  <si>
    <t>Travel cost</t>
  </si>
  <si>
    <t>To and fro</t>
  </si>
  <si>
    <t>(c) Management area scaling factor = Resistance specific management area * 1%</t>
  </si>
  <si>
    <t>Resistance specific management area</t>
  </si>
  <si>
    <t>Standard management area of 100km2 multiplier</t>
  </si>
  <si>
    <t>Management area scaling factor</t>
  </si>
  <si>
    <t xml:space="preserve">(a) Number of trips </t>
  </si>
  <si>
    <t>Travel to site cost per km distance and per km2 managed</t>
  </si>
  <si>
    <t>(3) Non-spatial cost</t>
  </si>
  <si>
    <r>
      <t>Total cost = (1) Cost per unit area * (</t>
    </r>
    <r>
      <rPr>
        <b/>
        <sz val="12"/>
        <color theme="5"/>
        <rFont val="Calibri (Body)"/>
      </rPr>
      <t>management area</t>
    </r>
    <r>
      <rPr>
        <b/>
        <sz val="12"/>
        <color theme="1"/>
        <rFont val="Calibri"/>
        <family val="2"/>
        <scheme val="minor"/>
      </rPr>
      <t>) + (2) Travel to site + (3) Non-spatial cost</t>
    </r>
  </si>
  <si>
    <t>Travel to site</t>
  </si>
  <si>
    <t>Travel to site cost per km distance</t>
  </si>
  <si>
    <t>(2) Travel to site cost/km travelled/km2 managed</t>
  </si>
  <si>
    <t>(1) Cost per unit area (km2)</t>
  </si>
  <si>
    <t>(3) Non-spatial costs</t>
  </si>
  <si>
    <t>(3) (if any) Non-spatial cost is Threat Abatement Strategy specific</t>
  </si>
  <si>
    <r>
      <t xml:space="preserve">      Travel to site =  (a) Number of trips required * (b) (</t>
    </r>
    <r>
      <rPr>
        <sz val="12"/>
        <color theme="5"/>
        <rFont val="Calibri (Body)"/>
      </rPr>
      <t>Distance to site</t>
    </r>
    <r>
      <rPr>
        <sz val="12"/>
        <color theme="1"/>
        <rFont val="Calibri"/>
        <family val="2"/>
        <scheme val="minor"/>
      </rPr>
      <t>/80kmh * vehicle cost *2) * (c) (</t>
    </r>
    <r>
      <rPr>
        <sz val="12"/>
        <color theme="5"/>
        <rFont val="Calibri (Body)"/>
      </rPr>
      <t>Resistance specific managed area</t>
    </r>
    <r>
      <rPr>
        <sz val="12"/>
        <color theme="1"/>
        <rFont val="Calibri"/>
        <family val="2"/>
        <scheme val="minor"/>
      </rPr>
      <t xml:space="preserve"> * 1%)</t>
    </r>
  </si>
  <si>
    <t xml:space="preserve">                                =  (a) Number of trips required * (b) (Distance to site/80kmh * vehicle cost *2) * (c) (Resistance specific managed area * 1%)</t>
  </si>
  <si>
    <t>TAS 2 - Critical Sites Access</t>
  </si>
  <si>
    <t>Management area (km2)</t>
  </si>
  <si>
    <t>Distance to centre of site (km)</t>
  </si>
  <si>
    <t>Cost per unit area* management area</t>
  </si>
  <si>
    <t>User input calculations</t>
  </si>
  <si>
    <t>Detailed Calculations of total cost</t>
  </si>
  <si>
    <t>Rough multiplicative combination</t>
  </si>
  <si>
    <t>km/h</t>
  </si>
  <si>
    <t>tractor driving speed(km/h)</t>
  </si>
  <si>
    <t>Total time needed (hours)</t>
  </si>
  <si>
    <t>management area (km2)</t>
  </si>
  <si>
    <t>total distance needed to be driven (km)</t>
  </si>
  <si>
    <t>Hours required for tractor per 10m2</t>
  </si>
  <si>
    <t>Minutes required for tractor per 10m2</t>
  </si>
  <si>
    <t>NVIS</t>
  </si>
  <si>
    <t xml:space="preserve">Maggini </t>
  </si>
  <si>
    <t> 1 </t>
  </si>
  <si>
    <t>Rainforests and Vine Thickets </t>
  </si>
  <si>
    <t>2 </t>
  </si>
  <si>
    <t>Eucalypt Tall Open Forests </t>
  </si>
  <si>
    <t>3 </t>
  </si>
  <si>
    <t>Eucalypt Open Forests </t>
  </si>
  <si>
    <t>4 </t>
  </si>
  <si>
    <t>Eucalypt Low Open Forests </t>
  </si>
  <si>
    <t>5 </t>
  </si>
  <si>
    <t>Eucalypt Woodlands </t>
  </si>
  <si>
    <t>6 </t>
  </si>
  <si>
    <t>Acacia Forests and Woodlands </t>
  </si>
  <si>
    <t>7 </t>
  </si>
  <si>
    <t>Callitris Forests and Woodlands </t>
  </si>
  <si>
    <t>8 </t>
  </si>
  <si>
    <t>Casuarina Forests and Woodlands </t>
  </si>
  <si>
    <t>9 </t>
  </si>
  <si>
    <t>Melaleuca Forests and Woodlands </t>
  </si>
  <si>
    <t>10 </t>
  </si>
  <si>
    <t>Other Forests and Woodlands </t>
  </si>
  <si>
    <t>11 </t>
  </si>
  <si>
    <t>Eucalypt Open Woodlands </t>
  </si>
  <si>
    <t>12 </t>
  </si>
  <si>
    <t>Tropical Eucalypt Woodlands/Grasslands </t>
  </si>
  <si>
    <t>13 </t>
  </si>
  <si>
    <t>Acacia Open Woodlands </t>
  </si>
  <si>
    <t>14 </t>
  </si>
  <si>
    <t>Mallee Woodlands and Shrublands </t>
  </si>
  <si>
    <t>15 </t>
  </si>
  <si>
    <t>Low Closed Forests and Tall Closed Shrublands </t>
  </si>
  <si>
    <t>16 </t>
  </si>
  <si>
    <t>Acacia Shrublands </t>
  </si>
  <si>
    <t>17 </t>
  </si>
  <si>
    <t>Other Shrublands </t>
  </si>
  <si>
    <t>18 </t>
  </si>
  <si>
    <t>Heathlands </t>
  </si>
  <si>
    <t>19 </t>
  </si>
  <si>
    <t>Tussock Grasslands </t>
  </si>
  <si>
    <t>20 </t>
  </si>
  <si>
    <t>Hummock Grasslands </t>
  </si>
  <si>
    <t>21 </t>
  </si>
  <si>
    <t>Other Grasslands, Herblands, Sedgelands and Rushlands </t>
  </si>
  <si>
    <t>22 </t>
  </si>
  <si>
    <t>Chenopod Shrublands, Samphire Shrublands and Forblands </t>
  </si>
  <si>
    <t>23 </t>
  </si>
  <si>
    <t>Mangroves </t>
  </si>
  <si>
    <t>24 </t>
  </si>
  <si>
    <t>Inland Aquatic - freshwater, salt lakes, lagoons </t>
  </si>
  <si>
    <t>Remove</t>
  </si>
  <si>
    <t>25 </t>
  </si>
  <si>
    <t>Cleared, Non-Native Vegetation, Buildings </t>
  </si>
  <si>
    <t>26 </t>
  </si>
  <si>
    <t>Unclassified Native Vegetation </t>
  </si>
  <si>
    <t>27 </t>
  </si>
  <si>
    <t>Naturally Bare - sand, rock, claypan, mudflat </t>
  </si>
  <si>
    <t>28 </t>
  </si>
  <si>
    <t>Sea and Estuaries </t>
  </si>
  <si>
    <t>29 </t>
  </si>
  <si>
    <t>Regrowth, Modified Native Vegetation </t>
  </si>
  <si>
    <t>30 </t>
  </si>
  <si>
    <t>Unclassified Forest </t>
  </si>
  <si>
    <t>31 </t>
  </si>
  <si>
    <t>Other Open Woodlands </t>
  </si>
  <si>
    <t>32 </t>
  </si>
  <si>
    <t>Mallee Open Woodlands and Sparse Mallee Shrublands </t>
  </si>
  <si>
    <t>99 </t>
  </si>
  <si>
    <t>Unknown/No Data </t>
  </si>
  <si>
    <t>Clipped to instream structures</t>
  </si>
  <si>
    <t>Note: management layer = Anna's Rabbit layer</t>
  </si>
  <si>
    <t xml:space="preserve">Note: I haven’t incorporated the species blobs- this map is across the continent. </t>
  </si>
  <si>
    <t>Transect width in km (This is assuming a 10m2 patch size so it'll be 3.16m x3.16m)</t>
  </si>
  <si>
    <t>Firebreak costs per km2</t>
  </si>
  <si>
    <t>per 100km2</t>
  </si>
  <si>
    <t>number of firebreak kms per 100km2</t>
  </si>
  <si>
    <t>Firebreak cost per km</t>
  </si>
  <si>
    <t>1km2 = 100 hectares</t>
  </si>
  <si>
    <t>100 capsules per 1km2</t>
  </si>
  <si>
    <t>40 capsules per 1km2</t>
  </si>
  <si>
    <t>assuming transect widths of 10km</t>
  </si>
  <si>
    <t>transect widht (10Km)</t>
  </si>
  <si>
    <t>Total distance flown</t>
  </si>
  <si>
    <t>capsules per 1km2 for northern part of aus</t>
  </si>
  <si>
    <t>southern aus 1 capsule per hectare</t>
  </si>
  <si>
    <t>Nothern aus 1 capsule per 2.5 hecatres</t>
  </si>
  <si>
    <t>Capsules per 1km2 for southern aus</t>
  </si>
  <si>
    <t>Chats with Rob from https://www.raindancesystems.com.au/capsules/</t>
  </si>
  <si>
    <t>Capsules per 100km2</t>
  </si>
  <si>
    <t>Drops per area</t>
  </si>
  <si>
    <t xml:space="preserve">Drops per time </t>
  </si>
  <si>
    <t xml:space="preserve">$350 for 1000 capsules, at $0.35 a pop. </t>
  </si>
  <si>
    <t>km/second</t>
  </si>
  <si>
    <t>seconds/km</t>
  </si>
  <si>
    <t>Rob: a typical set up is 1 drop per second</t>
  </si>
  <si>
    <t>drops per km (assuming 1 drop per second)</t>
  </si>
  <si>
    <t>Value</t>
  </si>
  <si>
    <t>NVIS categories</t>
  </si>
  <si>
    <t>New Categories</t>
  </si>
  <si>
    <t>Remove- no burns</t>
  </si>
  <si>
    <t>Intense weeding</t>
  </si>
  <si>
    <t>Moderate weeding</t>
  </si>
  <si>
    <t>Light weeding</t>
  </si>
  <si>
    <t>Herbicde required per 10m2</t>
  </si>
  <si>
    <t>Percentage of light weeding</t>
  </si>
  <si>
    <t>Integrity Index</t>
  </si>
  <si>
    <t>Assumed extent required for management</t>
  </si>
  <si>
    <t>0 - 25</t>
  </si>
  <si>
    <t>26 - 75</t>
  </si>
  <si>
    <t>76 - 100</t>
  </si>
  <si>
    <t>Time required per 10m2 (mins)</t>
  </si>
  <si>
    <t>Degraded</t>
  </si>
  <si>
    <t>Intact</t>
  </si>
  <si>
    <t>Invasive weed management mainly conisists of weed control</t>
  </si>
  <si>
    <t>Multiplier (ONLY for fuel reduced buffer installation)</t>
  </si>
  <si>
    <t>Natural Fire Interval</t>
  </si>
  <si>
    <t>10-20 and 50-80 years (NB4) (Intermediate and Long) 
(average of 15 and 65)</t>
  </si>
  <si>
    <t>10-30 years and 50-100 years (intermediate - long) 
(average of 20 and 75)</t>
  </si>
  <si>
    <t>Reduced fuel buffer installation - As an indication of effrot, we assumed ground burning done with 4wd equipped with "drag" and flamethrower, 4 driptroches personnel, and a water truck</t>
  </si>
  <si>
    <t>Management action 1 - Fuel reduced buffer establishment</t>
  </si>
  <si>
    <t>This is to create buffers and prep for prescribed burning, It takes an hour to prepare 1.5-2kms of a 50m buffer along a track (pers comms with Stephen van leeuwen)</t>
  </si>
  <si>
    <t>Hourly rate for aerial burning</t>
  </si>
  <si>
    <t>Fuel reduced buffer</t>
  </si>
  <si>
    <t>Ground action (urban)</t>
  </si>
  <si>
    <t>Aerial action (regional/remote)</t>
  </si>
  <si>
    <t>Cost multiple</t>
  </si>
  <si>
    <t>Adopted multiple</t>
  </si>
  <si>
    <t xml:space="preserve">Reduction multiple </t>
  </si>
  <si>
    <t>Ground support - Water Truck</t>
  </si>
  <si>
    <t>Ground support -  Water Truck</t>
  </si>
  <si>
    <t>Total distance of fuel reduced buffers needed</t>
  </si>
  <si>
    <t>Number of kms of fuel buffer installation done per hour  (Pers comms with Stephen van leeuwen)</t>
  </si>
  <si>
    <t>Time to produce 1km of fuel reduced buffers (hours) (Pers comms with Stephen van leeuwen)</t>
  </si>
  <si>
    <t>Total hours needed to produce fuel reduced buffers</t>
  </si>
  <si>
    <t>Total days needed to produce  fuel reduced buffers(Days)</t>
  </si>
  <si>
    <t xml:space="preserve"> fuel reduced buffers Perimeter and Time</t>
  </si>
  <si>
    <r>
      <rPr>
        <b/>
        <sz val="12"/>
        <color theme="1"/>
        <rFont val="Calibri"/>
        <family val="2"/>
        <scheme val="minor"/>
      </rPr>
      <t>Map B</t>
    </r>
    <r>
      <rPr>
        <sz val="12"/>
        <color theme="1"/>
        <rFont val="Calibri"/>
        <family val="2"/>
        <scheme val="minor"/>
      </rPr>
      <t xml:space="preserve"> - Aerial burning (ARIA - regional + remote) + Vegetation layer</t>
    </r>
  </si>
  <si>
    <t>$1241/hr, travelling at 250km/h -  the travel costs to get there and back from the closest airport for helicopter and fuel. Based on #trips required and distance, adjusted for 100 grid window weighting</t>
  </si>
  <si>
    <t xml:space="preserve">These trips are charged at a higher rate, due to aerial burning aircraft costing more than a regular aircraft. </t>
  </si>
  <si>
    <t>Arid/semi-arid</t>
  </si>
  <si>
    <t>Intactness</t>
  </si>
  <si>
    <t>Rainfall areas</t>
  </si>
  <si>
    <t>Matrix of extent assumed for weed management effort</t>
  </si>
  <si>
    <t>Rainfall Areas</t>
  </si>
  <si>
    <t>Extent Scaling Factor</t>
  </si>
  <si>
    <t>Action 1 - Invasive Weed management - Invasive weed control</t>
  </si>
  <si>
    <t>Scaling factors with 30% being the baseline (degraded rainfall areas)</t>
  </si>
  <si>
    <t>30% of Invasive weed control</t>
  </si>
  <si>
    <t>Effort required (days)</t>
  </si>
  <si>
    <r>
      <rPr>
        <b/>
        <sz val="12"/>
        <color theme="1"/>
        <rFont val="Calibri"/>
        <family val="2"/>
        <scheme val="minor"/>
      </rPr>
      <t xml:space="preserve">Australian ecoregions: Arid/semi-arid vs rainfall areas </t>
    </r>
    <r>
      <rPr>
        <sz val="12"/>
        <color theme="1"/>
        <rFont val="Calibri"/>
        <family val="2"/>
        <scheme val="minor"/>
      </rPr>
      <t>- https://www.environment.gov.au/land/nrs/science/ibra/australias-ecoregions</t>
    </r>
  </si>
  <si>
    <r>
      <rPr>
        <b/>
        <sz val="12"/>
        <color theme="1"/>
        <rFont val="Calibri"/>
        <family val="2"/>
        <scheme val="minor"/>
      </rPr>
      <t xml:space="preserve">Map B - </t>
    </r>
    <r>
      <rPr>
        <sz val="12"/>
        <color theme="1"/>
        <rFont val="Calibri"/>
        <family val="2"/>
        <scheme val="minor"/>
      </rPr>
      <t>Land-use map for invasive weed management (Vegetated) + arid/semi-arid and rainfall Australian ecoregions</t>
    </r>
  </si>
  <si>
    <t>We assume weeding to be done at "moderate" of "arid/semi-arid region"</t>
  </si>
  <si>
    <t>Rural desert area fire management</t>
  </si>
  <si>
    <t>Aerial burning in remote/regional desert areas</t>
  </si>
  <si>
    <t>Fuel buffer installation in remote/regional desert areas</t>
  </si>
  <si>
    <t>Grasslands habitat restoration</t>
  </si>
  <si>
    <t>1) Surveying area and collecting disease samples by foot 2) scoping out the perimeter for signs/hygiene station by vehicle</t>
  </si>
  <si>
    <t>Cost to implement hygiene plans</t>
  </si>
  <si>
    <t>Cost indication per km2</t>
  </si>
  <si>
    <t xml:space="preserve">Difference in $ </t>
  </si>
  <si>
    <t>Tasmania</t>
  </si>
  <si>
    <r>
      <t>o</t>
    </r>
    <r>
      <rPr>
        <sz val="7"/>
        <color rgb="FF000000"/>
        <rFont val="Times New Roman"/>
        <family val="1"/>
      </rPr>
      <t xml:space="preserve">   </t>
    </r>
    <r>
      <rPr>
        <sz val="12"/>
        <color rgb="FF000000"/>
        <rFont val="Arial"/>
        <family val="2"/>
      </rPr>
      <t>Forestry Tasmania indicated that fuel reduction burning costs in Tasmania can range from around $60-300 per ha but average around $115 per ha</t>
    </r>
  </si>
  <si>
    <r>
      <t>o</t>
    </r>
    <r>
      <rPr>
        <sz val="7"/>
        <color rgb="FF000000"/>
        <rFont val="Times New Roman"/>
        <family val="1"/>
      </rPr>
      <t xml:space="preserve">   </t>
    </r>
    <r>
      <rPr>
        <sz val="12"/>
        <color rgb="FF000000"/>
        <rFont val="Arial"/>
        <family val="2"/>
      </rPr>
      <t>Savanna burning project suggested $0.50/ha to $1.00/ha (2020 costs)</t>
    </r>
  </si>
  <si>
    <r>
      <t>o</t>
    </r>
    <r>
      <rPr>
        <sz val="7"/>
        <color rgb="FF000000"/>
        <rFont val="Times New Roman"/>
        <family val="1"/>
      </rPr>
      <t xml:space="preserve">   </t>
    </r>
    <r>
      <rPr>
        <sz val="12"/>
        <color rgb="FF000000"/>
        <rFont val="Arial"/>
        <family val="2"/>
      </rPr>
      <t>QLD Gov suggested $0.50/ha (2020 costs)</t>
    </r>
  </si>
  <si>
    <r>
      <t>o</t>
    </r>
    <r>
      <rPr>
        <sz val="7"/>
        <color rgb="FF000000"/>
        <rFont val="Times New Roman"/>
        <family val="1"/>
      </rPr>
      <t xml:space="preserve">   </t>
    </r>
    <r>
      <rPr>
        <sz val="12"/>
        <color rgb="FF000000"/>
        <rFont val="Arial"/>
        <family val="2"/>
      </rPr>
      <t>NSW SoS suggested $900/ha for urban, $267/ha for rural, and $750/ha for remote</t>
    </r>
  </si>
  <si>
    <t>Our ground prescribed burning costs/km2</t>
  </si>
  <si>
    <t>Our Aerial prescribed burning costs/km2</t>
  </si>
  <si>
    <t>Sense-checking costs</t>
  </si>
  <si>
    <t>Days required per km2</t>
  </si>
  <si>
    <t>Herbicide Costs/10m2</t>
  </si>
  <si>
    <t>Regen Costs/10m2</t>
  </si>
  <si>
    <t>Minutes spent/10m2</t>
  </si>
  <si>
    <t>Effort level</t>
  </si>
  <si>
    <t>Bush regen extent</t>
  </si>
  <si>
    <t>Weed control extent</t>
  </si>
  <si>
    <r>
      <rPr>
        <b/>
        <sz val="12"/>
        <color rgb="FF000000"/>
        <rFont val="Calibri"/>
        <family val="2"/>
      </rPr>
      <t>Map A-</t>
    </r>
    <r>
      <rPr>
        <sz val="12"/>
        <color rgb="FF000000"/>
        <rFont val="Calibri"/>
        <family val="2"/>
      </rPr>
      <t xml:space="preserve"> Ground shooting layer + resistance layer</t>
    </r>
  </si>
  <si>
    <r>
      <rPr>
        <b/>
        <sz val="12"/>
        <color rgb="FF000000"/>
        <rFont val="Calibri"/>
        <family val="2"/>
      </rPr>
      <t>Map B</t>
    </r>
    <r>
      <rPr>
        <sz val="12"/>
        <color rgb="FF000000"/>
        <rFont val="Calibri"/>
        <family val="2"/>
      </rPr>
      <t xml:space="preserve"> - Nest protection layer + resistance layer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</si>
</sst>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_);_(* \(#,##0\);_(* &quot;-&quot;??_);_(@_)"/>
    <numFmt numFmtId="167" formatCode="_(&quot;$&quot;* #,##0_);_(&quot;$&quot;* \(#,##0\);_(&quot;$&quot;* &quot;-&quot;??_);_(@_)"/>
    <numFmt numFmtId="168" formatCode="0.0"/>
    <numFmt numFmtId="169" formatCode="0.000"/>
    <numFmt numFmtId="170" formatCode="_(* #,##0.0_);_(* \(#,##0.0\);_(* &quot;-&quot;??_);_(@_)"/>
    <numFmt numFmtId="171" formatCode="_(&quot;$&quot;* #,##0.0_);_(&quot;$&quot;* \(#,##0.0\);_(&quot;$&quot;* &quot;-&quot;??_);_(@_)"/>
    <numFmt numFmtId="172" formatCode="_(* #,##0.0_);_(* \(#,##0.0\);_(* &quot;-&quot;?_);_(@_)"/>
    <numFmt numFmtId="173" formatCode="0.0000"/>
    <numFmt numFmtId="174" formatCode="_(* #,##0_);_(* \(#,##0\);_(* &quot;-&quot;?_);_(@_)"/>
    <numFmt numFmtId="175" formatCode="_(* #,##0.0000_);_(* \(#,##0.0000\);_(* &quot;-&quot;??_);_(@_)"/>
    <numFmt numFmtId="176" formatCode="0.0%"/>
    <numFmt numFmtId="177" formatCode="#,##0.00;[Red]#,##0.00"/>
    <numFmt numFmtId="178" formatCode="_(* #,##0.000_);_(* \(#,##0.000\);_(* &quot;-&quot;??_);_(@_)"/>
    <numFmt numFmtId="179" formatCode="_(* #,##0.00000_);_(* \(#,##0.00000\);_(* &quot;-&quot;??_);_(@_)"/>
    <numFmt numFmtId="180" formatCode="0.0000000000000000%"/>
    <numFmt numFmtId="181" formatCode="_(&quot;$&quot;* #,##0.000_);_(&quot;$&quot;* \(#,##0.000\);_(&quot;$&quot;* &quot;-&quot;??_);_(@_)"/>
    <numFmt numFmtId="182" formatCode="_(* #,##0.00_);_(* \(#,##0.00\);_(* &quot;-&quot;?_);_(@_)"/>
    <numFmt numFmtId="183" formatCode="_(* #,##0.0000_);_(* \(#,##0.0000\);_(* &quot;-&quot;?_);_(@_)"/>
  </numFmts>
  <fonts count="95">
    <font>
      <sz val="12"/>
      <color theme="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i/>
      <sz val="12"/>
      <color theme="1"/>
      <name val="Calibri"/>
      <family val="2"/>
      <scheme val="minor"/>
    </font>
    <font>
      <sz val="12"/>
      <color rgb="FF000000"/>
      <name val="Calibri"/>
      <family val="2"/>
      <scheme val="minor"/>
    </font>
    <font>
      <b/>
      <u/>
      <sz val="12"/>
      <color theme="1"/>
      <name val="Calibri"/>
      <family val="2"/>
      <scheme val="minor"/>
    </font>
    <font>
      <sz val="14"/>
      <color rgb="FF000000"/>
      <name val="Calibri"/>
      <family val="2"/>
    </font>
    <font>
      <sz val="12"/>
      <color theme="1"/>
      <name val="Calibri"/>
      <family val="2"/>
    </font>
    <font>
      <sz val="27.95"/>
      <color rgb="FF000000"/>
      <name val="Times New Roman"/>
      <family val="1"/>
    </font>
    <font>
      <sz val="14"/>
      <color rgb="FF000000"/>
      <name val="Times New Roman"/>
      <family val="1"/>
    </font>
    <font>
      <i/>
      <sz val="22"/>
      <color rgb="FF000000"/>
      <name val="Times New Roman"/>
      <family val="1"/>
    </font>
    <font>
      <i/>
      <sz val="14"/>
      <color rgb="FF000000"/>
      <name val="Times New Roman"/>
      <family val="1"/>
    </font>
    <font>
      <sz val="12"/>
      <color theme="1"/>
      <name val="Times New Roman"/>
      <family val="1"/>
    </font>
    <font>
      <sz val="12"/>
      <color rgb="FF000000"/>
      <name val="Times New Roman"/>
      <family val="1"/>
    </font>
    <font>
      <i/>
      <sz val="12"/>
      <color rgb="FF000000"/>
      <name val="Times New Roman"/>
      <family val="1"/>
    </font>
    <font>
      <b/>
      <sz val="12"/>
      <color theme="1"/>
      <name val="Calibri"/>
      <family val="2"/>
    </font>
    <font>
      <i/>
      <sz val="12"/>
      <color rgb="FFFF0000"/>
      <name val="Calibri"/>
      <family val="2"/>
    </font>
    <font>
      <i/>
      <sz val="14"/>
      <color rgb="FF000000"/>
      <name val="Calibri"/>
      <family val="2"/>
    </font>
    <font>
      <sz val="12"/>
      <color rgb="FF000000"/>
      <name val="Calibri"/>
      <family val="2"/>
    </font>
    <font>
      <i/>
      <sz val="12"/>
      <color rgb="FF000000"/>
      <name val="Calibri"/>
      <family val="2"/>
    </font>
    <font>
      <i/>
      <sz val="14"/>
      <color theme="1"/>
      <name val="Calibri (Body)"/>
    </font>
    <font>
      <u/>
      <sz val="12"/>
      <color theme="1"/>
      <name val="Calibri"/>
      <family val="2"/>
      <scheme val="minor"/>
    </font>
    <font>
      <sz val="12"/>
      <color rgb="FFFF0000"/>
      <name val="Calibri (Body)"/>
    </font>
    <font>
      <sz val="12"/>
      <color rgb="FF000000"/>
      <name val="Arial"/>
      <family val="2"/>
    </font>
    <font>
      <b/>
      <sz val="12"/>
      <color rgb="FF000000"/>
      <name val="Arial"/>
      <family val="2"/>
    </font>
    <font>
      <sz val="12"/>
      <color theme="1"/>
      <name val="Calibri (Body)"/>
    </font>
    <font>
      <sz val="30"/>
      <color theme="1"/>
      <name val="Calibri"/>
      <family val="2"/>
      <scheme val="minor"/>
    </font>
    <font>
      <sz val="12"/>
      <color rgb="FFFF0000"/>
      <name val="Calibri"/>
      <family val="2"/>
      <scheme val="minor"/>
    </font>
    <font>
      <sz val="10"/>
      <color rgb="FF000000"/>
      <name val="Arial"/>
      <family val="2"/>
    </font>
    <font>
      <sz val="12"/>
      <color theme="1"/>
      <name val="Arial"/>
      <family val="2"/>
    </font>
    <font>
      <sz val="10"/>
      <color theme="1"/>
      <name val="Arial"/>
      <family val="2"/>
    </font>
    <font>
      <b/>
      <sz val="12"/>
      <color theme="1"/>
      <name val="Arial"/>
      <family val="2"/>
    </font>
    <font>
      <b/>
      <sz val="12"/>
      <color rgb="FF000000"/>
      <name val="Calibri"/>
      <family val="2"/>
    </font>
    <font>
      <b/>
      <sz val="10"/>
      <color theme="1"/>
      <name val="Arial"/>
      <family val="2"/>
    </font>
    <font>
      <b/>
      <u/>
      <sz val="12"/>
      <color rgb="FF000000"/>
      <name val="Arial"/>
      <family val="2"/>
    </font>
    <font>
      <b/>
      <sz val="12"/>
      <color rgb="FF000000"/>
      <name val="Calibri"/>
      <family val="2"/>
      <scheme val="minor"/>
    </font>
    <font>
      <sz val="22"/>
      <color rgb="FF000000"/>
      <name val="Times New Roman"/>
      <family val="1"/>
    </font>
    <font>
      <i/>
      <sz val="10"/>
      <color theme="1"/>
      <name val="Arial"/>
      <family val="2"/>
    </font>
    <font>
      <sz val="10"/>
      <color theme="1"/>
      <name val="Calibri"/>
      <family val="2"/>
      <scheme val="minor"/>
    </font>
    <font>
      <i/>
      <sz val="12"/>
      <color rgb="FF000000"/>
      <name val="Arial"/>
      <family val="2"/>
    </font>
    <font>
      <b/>
      <sz val="12"/>
      <color rgb="FF000000"/>
      <name val="Times New Roman"/>
      <family val="1"/>
    </font>
    <font>
      <b/>
      <sz val="12"/>
      <color theme="1"/>
      <name val="Times New Roman"/>
      <family val="1"/>
    </font>
    <font>
      <sz val="12"/>
      <color rgb="FF000000"/>
      <name val="Symbol"/>
      <charset val="2"/>
    </font>
    <font>
      <sz val="7"/>
      <color rgb="FF000000"/>
      <name val="Times New Roman"/>
      <family val="1"/>
    </font>
    <font>
      <sz val="12"/>
      <color rgb="FF000000"/>
      <name val="Courier New"/>
      <family val="1"/>
    </font>
    <font>
      <sz val="12"/>
      <color theme="1"/>
      <name val="Courier New"/>
      <family val="1"/>
    </font>
    <font>
      <sz val="7"/>
      <color theme="1"/>
      <name val="Times New Roman"/>
      <family val="1"/>
    </font>
    <font>
      <i/>
      <sz val="12"/>
      <color rgb="FF000000"/>
      <name val="Calibri"/>
      <family val="2"/>
      <scheme val="minor"/>
    </font>
    <font>
      <u/>
      <sz val="12"/>
      <color theme="10"/>
      <name val="Calibri"/>
      <family val="2"/>
      <scheme val="minor"/>
    </font>
    <font>
      <sz val="10"/>
      <color rgb="FF000000"/>
      <name val="Calibri"/>
      <family val="2"/>
    </font>
    <font>
      <sz val="11"/>
      <color theme="1"/>
      <name val="Calibri"/>
      <family val="2"/>
    </font>
    <font>
      <sz val="11"/>
      <color rgb="FF000000"/>
      <name val="Calibri"/>
      <family val="2"/>
    </font>
    <font>
      <sz val="12"/>
      <color rgb="FF000000"/>
      <name val="Wingdings"/>
      <charset val="2"/>
    </font>
    <font>
      <i/>
      <sz val="7"/>
      <color rgb="FF000000"/>
      <name val="Times New Roman"/>
      <family val="1"/>
    </font>
    <font>
      <u/>
      <sz val="12"/>
      <color theme="10"/>
      <name val="Calibri"/>
      <family val="2"/>
    </font>
    <font>
      <b/>
      <i/>
      <sz val="12"/>
      <color rgb="FF000000"/>
      <name val="Calibri"/>
      <family val="2"/>
    </font>
    <font>
      <b/>
      <i/>
      <sz val="12"/>
      <color theme="1"/>
      <name val="Calibri"/>
      <family val="2"/>
      <scheme val="minor"/>
    </font>
    <font>
      <u/>
      <sz val="11"/>
      <color theme="10"/>
      <name val="Calibri"/>
      <family val="2"/>
      <scheme val="minor"/>
    </font>
    <font>
      <i/>
      <sz val="12"/>
      <color theme="1"/>
      <name val="Calibri"/>
      <family val="2"/>
    </font>
    <font>
      <sz val="12"/>
      <color rgb="FFFF0000"/>
      <name val="Calibri"/>
      <family val="2"/>
    </font>
    <font>
      <sz val="12"/>
      <color theme="1"/>
      <name val="Symbol"/>
      <charset val="2"/>
    </font>
    <font>
      <sz val="10"/>
      <color rgb="FF000000"/>
      <name val="Symbol"/>
      <charset val="2"/>
    </font>
    <font>
      <sz val="10"/>
      <color rgb="FF000000"/>
      <name val="Courier New"/>
      <family val="1"/>
    </font>
    <font>
      <u/>
      <sz val="12"/>
      <color theme="1"/>
      <name val="Times New Roman"/>
      <family val="1"/>
    </font>
    <font>
      <sz val="12"/>
      <color rgb="FF000000"/>
      <name val="Noto Sans Symbols"/>
    </font>
    <font>
      <sz val="7"/>
      <color rgb="FF000000"/>
      <name val="Calibri"/>
      <family val="2"/>
    </font>
    <font>
      <u/>
      <sz val="12"/>
      <color theme="1"/>
      <name val="Calibri"/>
      <family val="2"/>
    </font>
    <font>
      <sz val="16"/>
      <color theme="1"/>
      <name val="Calibri"/>
      <family val="2"/>
      <scheme val="minor"/>
    </font>
    <font>
      <sz val="16"/>
      <color rgb="FFFF0000"/>
      <name val="Calibri"/>
      <family val="2"/>
      <scheme val="minor"/>
    </font>
    <font>
      <u/>
      <sz val="12"/>
      <color rgb="FF000000"/>
      <name val="Arial"/>
      <family val="2"/>
    </font>
    <font>
      <b/>
      <sz val="30"/>
      <color theme="1"/>
      <name val="Calibri"/>
      <family val="2"/>
    </font>
    <font>
      <sz val="15"/>
      <color rgb="FF333333"/>
      <name val="Helvetica"/>
      <family val="2"/>
    </font>
    <font>
      <sz val="12"/>
      <color rgb="FF008080"/>
      <name val="Calibri"/>
      <family val="2"/>
    </font>
    <font>
      <sz val="7"/>
      <color rgb="FF000000"/>
      <name val="Times New Roman"/>
      <family val="2"/>
    </font>
    <font>
      <sz val="12"/>
      <name val="Calibri"/>
      <family val="2"/>
      <scheme val="minor"/>
    </font>
    <font>
      <sz val="12"/>
      <name val="Calibri (Body)"/>
    </font>
    <font>
      <sz val="10.5"/>
      <color rgb="FF505050"/>
      <name val="Arial"/>
      <family val="2"/>
    </font>
    <font>
      <sz val="12"/>
      <color rgb="FF8795A1"/>
      <name val="Helvetica Neue"/>
      <family val="2"/>
    </font>
    <font>
      <sz val="12"/>
      <color rgb="FF505050"/>
      <name val="Noto Sans Symbols"/>
    </font>
    <font>
      <sz val="7"/>
      <color rgb="FF505050"/>
      <name val="Times New Roman"/>
      <family val="1"/>
    </font>
    <font>
      <i/>
      <sz val="12"/>
      <color rgb="FF505050"/>
      <name val="Arial"/>
      <family val="2"/>
    </font>
    <font>
      <sz val="50"/>
      <color rgb="FF000000"/>
      <name val="Courier New"/>
      <family val="1"/>
    </font>
    <font>
      <b/>
      <sz val="12"/>
      <color rgb="FF000000"/>
      <name val="Noto Sans Symbols"/>
    </font>
    <font>
      <b/>
      <sz val="10"/>
      <color rgb="FF000000"/>
      <name val="Arial"/>
      <family val="2"/>
    </font>
    <font>
      <sz val="23"/>
      <color theme="1"/>
      <name val="Calibri"/>
      <family val="2"/>
      <scheme val="minor"/>
    </font>
    <font>
      <b/>
      <sz val="12"/>
      <color rgb="FFFF0000"/>
      <name val="Calibri"/>
      <family val="2"/>
      <scheme val="minor"/>
    </font>
    <font>
      <b/>
      <sz val="12"/>
      <color rgb="FFFF0000"/>
      <name val="Calibri (Body)"/>
    </font>
    <font>
      <vertAlign val="superscript"/>
      <sz val="12"/>
      <color rgb="FF000000"/>
      <name val="Arial"/>
      <family val="2"/>
    </font>
    <font>
      <b/>
      <i/>
      <sz val="22"/>
      <color rgb="FFFF0000"/>
      <name val="Arial"/>
      <family val="2"/>
    </font>
    <font>
      <b/>
      <sz val="12"/>
      <color indexed="8"/>
      <name val="Calibri"/>
      <family val="2"/>
      <scheme val="minor"/>
    </font>
    <font>
      <sz val="12"/>
      <color theme="5"/>
      <name val="Calibri (Body)"/>
    </font>
    <font>
      <b/>
      <sz val="12"/>
      <color theme="5"/>
      <name val="Calibri (Body)"/>
    </font>
    <font>
      <sz val="12"/>
      <color theme="1"/>
      <name val="Helvetica"/>
      <family val="2"/>
    </font>
    <font>
      <sz val="14"/>
      <color theme="1"/>
      <name val="Calibri (Body)"/>
    </font>
  </fonts>
  <fills count="49">
    <fill>
      <patternFill patternType="none"/>
    </fill>
    <fill>
      <patternFill patternType="gray125"/>
    </fill>
    <fill>
      <patternFill patternType="solid">
        <fgColor theme="9" tint="0.59999389629810485"/>
        <bgColor indexed="64"/>
      </patternFill>
    </fill>
    <fill>
      <patternFill patternType="solid">
        <fgColor theme="7"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7"/>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7030A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8A1EC"/>
        <bgColor indexed="64"/>
      </patternFill>
    </fill>
    <fill>
      <patternFill patternType="solid">
        <fgColor theme="5" tint="0.59999389629810485"/>
        <bgColor indexed="64"/>
      </patternFill>
    </fill>
    <fill>
      <patternFill patternType="solid">
        <fgColor rgb="FFFF0000"/>
        <bgColor indexed="64"/>
      </patternFill>
    </fill>
    <fill>
      <patternFill patternType="solid">
        <fgColor rgb="FF00B0F0"/>
        <bgColor rgb="FF00B0F0"/>
      </patternFill>
    </fill>
    <fill>
      <patternFill patternType="solid">
        <fgColor rgb="FFC5E0B3"/>
        <bgColor rgb="FFC5E0B3"/>
      </patternFill>
    </fill>
    <fill>
      <patternFill patternType="solid">
        <fgColor rgb="FFFFF2CC"/>
        <bgColor rgb="FFFFF2CC"/>
      </patternFill>
    </fill>
    <fill>
      <patternFill patternType="solid">
        <fgColor theme="2" tint="-9.9978637043366805E-2"/>
        <bgColor indexed="64"/>
      </patternFill>
    </fill>
    <fill>
      <patternFill patternType="solid">
        <fgColor theme="4"/>
        <bgColor indexed="64"/>
      </patternFill>
    </fill>
    <fill>
      <patternFill patternType="solid">
        <fgColor theme="0"/>
        <bgColor indexed="64"/>
      </patternFill>
    </fill>
    <fill>
      <patternFill patternType="solid">
        <fgColor theme="8" tint="0.59999389629810485"/>
        <bgColor rgb="FFCFE2F3"/>
      </patternFill>
    </fill>
    <fill>
      <patternFill patternType="solid">
        <fgColor theme="8"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E6E400"/>
        <bgColor indexed="64"/>
      </patternFill>
    </fill>
    <fill>
      <patternFill patternType="solid">
        <fgColor theme="7" tint="0.79998168889431442"/>
        <bgColor rgb="FFCFE2F3"/>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rgb="FF0070C0"/>
        <bgColor indexed="64"/>
      </patternFill>
    </fill>
    <fill>
      <patternFill patternType="solid">
        <fgColor theme="5"/>
        <bgColor indexed="64"/>
      </patternFill>
    </fill>
    <fill>
      <patternFill patternType="solid">
        <fgColor theme="2"/>
        <bgColor indexed="64"/>
      </patternFill>
    </fill>
    <fill>
      <patternFill patternType="solid">
        <fgColor theme="9" tint="0.79998168889431442"/>
        <bgColor rgb="FF000000"/>
      </patternFill>
    </fill>
    <fill>
      <patternFill patternType="solid">
        <fgColor rgb="FFFAC6FC"/>
        <bgColor indexed="64"/>
      </patternFill>
    </fill>
    <fill>
      <patternFill patternType="solid">
        <fgColor rgb="FFFF41E4"/>
        <bgColor indexed="64"/>
      </patternFill>
    </fill>
    <fill>
      <patternFill patternType="solid">
        <fgColor rgb="FF00B050"/>
        <bgColor indexed="64"/>
      </patternFill>
    </fill>
    <fill>
      <patternFill patternType="solid">
        <fgColor theme="7" tint="0.79998168889431442"/>
        <bgColor rgb="FF000000"/>
      </patternFill>
    </fill>
    <fill>
      <patternFill patternType="solid">
        <fgColor theme="7" tint="0.59999389629810485"/>
        <bgColor rgb="FF000000"/>
      </patternFill>
    </fill>
    <fill>
      <patternFill patternType="solid">
        <fgColor rgb="FFFF00A8"/>
        <bgColor indexed="64"/>
      </patternFill>
    </fill>
    <fill>
      <patternFill patternType="solid">
        <fgColor theme="6"/>
        <bgColor indexed="64"/>
      </patternFill>
    </fill>
  </fills>
  <borders count="63">
    <border>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s>
  <cellStyleXfs count="17">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9" fillId="0" borderId="0"/>
    <xf numFmtId="0" fontId="30" fillId="0" borderId="0"/>
    <xf numFmtId="0" fontId="49" fillId="0" borderId="0" applyNumberFormat="0" applyFill="0" applyBorder="0" applyAlignment="0" applyProtection="0"/>
    <xf numFmtId="0" fontId="58" fillId="0" borderId="0" applyNumberFormat="0" applyFill="0" applyBorder="0" applyAlignment="0" applyProtection="0"/>
    <xf numFmtId="43" fontId="3" fillId="0" borderId="0" applyFont="0" applyFill="0" applyBorder="0" applyAlignment="0" applyProtection="0"/>
  </cellStyleXfs>
  <cellXfs count="4079">
    <xf numFmtId="0" fontId="0" fillId="0" borderId="0" xfId="0"/>
    <xf numFmtId="0" fontId="2" fillId="0" borderId="0" xfId="0" applyFont="1"/>
    <xf numFmtId="0" fontId="0" fillId="0" borderId="0" xfId="0" applyFont="1"/>
    <xf numFmtId="0" fontId="4" fillId="0" borderId="0" xfId="0" applyFont="1"/>
    <xf numFmtId="0" fontId="2" fillId="0" borderId="4" xfId="0" applyFont="1" applyBorder="1"/>
    <xf numFmtId="0" fontId="1" fillId="0" borderId="0" xfId="7"/>
    <xf numFmtId="0" fontId="5" fillId="0" borderId="0" xfId="0" applyFont="1"/>
    <xf numFmtId="0" fontId="0" fillId="4" borderId="0" xfId="0" applyFill="1"/>
    <xf numFmtId="0" fontId="6" fillId="0" borderId="0" xfId="0" applyFont="1"/>
    <xf numFmtId="0" fontId="0" fillId="0" borderId="0" xfId="0" applyFill="1"/>
    <xf numFmtId="0" fontId="2" fillId="0" borderId="0" xfId="0" applyFont="1" applyBorder="1"/>
    <xf numFmtId="0" fontId="0" fillId="9" borderId="4" xfId="0" applyFill="1" applyBorder="1"/>
    <xf numFmtId="0" fontId="0" fillId="9" borderId="3" xfId="0" applyFill="1" applyBorder="1"/>
    <xf numFmtId="1" fontId="0" fillId="9" borderId="3" xfId="0" applyNumberFormat="1" applyFill="1" applyBorder="1"/>
    <xf numFmtId="44" fontId="0" fillId="9" borderId="3" xfId="2" applyFont="1" applyFill="1" applyBorder="1"/>
    <xf numFmtId="9" fontId="0" fillId="0" borderId="0" xfId="11" applyFont="1"/>
    <xf numFmtId="0" fontId="8" fillId="0" borderId="0" xfId="0" applyFont="1"/>
    <xf numFmtId="0" fontId="9" fillId="0" borderId="0" xfId="0" applyFont="1"/>
    <xf numFmtId="0" fontId="10" fillId="0" borderId="0" xfId="0" applyFont="1"/>
    <xf numFmtId="0" fontId="11" fillId="0" borderId="0" xfId="0" applyFont="1"/>
    <xf numFmtId="2" fontId="13" fillId="0" borderId="0" xfId="0" applyNumberFormat="1" applyFont="1"/>
    <xf numFmtId="0" fontId="13" fillId="0" borderId="0" xfId="0" applyFont="1"/>
    <xf numFmtId="2" fontId="13" fillId="0" borderId="0" xfId="1" applyNumberFormat="1" applyFont="1" applyAlignment="1">
      <alignment horizontal="right"/>
    </xf>
    <xf numFmtId="0" fontId="14" fillId="0" borderId="0" xfId="0" applyFont="1"/>
    <xf numFmtId="0" fontId="16" fillId="0" borderId="0" xfId="0" applyFont="1"/>
    <xf numFmtId="2" fontId="8" fillId="0" borderId="0" xfId="1" applyNumberFormat="1" applyFont="1" applyAlignment="1">
      <alignment horizontal="right"/>
    </xf>
    <xf numFmtId="0" fontId="16" fillId="0" borderId="2" xfId="0" applyFont="1" applyBorder="1"/>
    <xf numFmtId="0" fontId="16" fillId="0" borderId="6" xfId="0" applyFont="1" applyFill="1" applyBorder="1"/>
    <xf numFmtId="0" fontId="17" fillId="0" borderId="0" xfId="0" applyFont="1"/>
    <xf numFmtId="166" fontId="8" fillId="5" borderId="0" xfId="1" applyNumberFormat="1" applyFont="1" applyFill="1"/>
    <xf numFmtId="0" fontId="8" fillId="0" borderId="0" xfId="0" applyFont="1" applyAlignment="1">
      <alignment horizontal="left"/>
    </xf>
    <xf numFmtId="0" fontId="8" fillId="0" borderId="0" xfId="0" applyFont="1" applyAlignment="1">
      <alignment vertical="top"/>
    </xf>
    <xf numFmtId="167" fontId="8" fillId="8" borderId="0" xfId="2" applyNumberFormat="1" applyFont="1" applyFill="1"/>
    <xf numFmtId="167" fontId="8" fillId="0" borderId="0" xfId="2" applyNumberFormat="1" applyFont="1" applyFill="1"/>
    <xf numFmtId="0" fontId="8" fillId="0" borderId="0" xfId="0" applyFont="1" applyFill="1"/>
    <xf numFmtId="0" fontId="16" fillId="4" borderId="0" xfId="0" applyFont="1" applyFill="1"/>
    <xf numFmtId="0" fontId="8" fillId="4" borderId="0" xfId="0" applyFont="1" applyFill="1"/>
    <xf numFmtId="0" fontId="18" fillId="0" borderId="0" xfId="0" applyFont="1"/>
    <xf numFmtId="0" fontId="8" fillId="0" borderId="4" xfId="0" applyFont="1" applyBorder="1"/>
    <xf numFmtId="0" fontId="8" fillId="0" borderId="5" xfId="0" applyFont="1" applyBorder="1"/>
    <xf numFmtId="2" fontId="8" fillId="0" borderId="8" xfId="0" applyNumberFormat="1" applyFont="1" applyBorder="1"/>
    <xf numFmtId="0" fontId="8" fillId="0" borderId="10" xfId="0" applyFont="1" applyBorder="1"/>
    <xf numFmtId="2" fontId="8" fillId="0" borderId="9" xfId="0" applyNumberFormat="1" applyFont="1" applyBorder="1"/>
    <xf numFmtId="0" fontId="8" fillId="0" borderId="12" xfId="0" applyFont="1" applyBorder="1"/>
    <xf numFmtId="2" fontId="8" fillId="0" borderId="9" xfId="0" applyNumberFormat="1" applyFont="1" applyFill="1" applyBorder="1"/>
    <xf numFmtId="0" fontId="8" fillId="0" borderId="11" xfId="0" applyFont="1" applyBorder="1"/>
    <xf numFmtId="2" fontId="8" fillId="0" borderId="0" xfId="0" applyNumberFormat="1" applyFont="1"/>
    <xf numFmtId="0" fontId="16" fillId="0" borderId="5" xfId="0" applyFont="1" applyBorder="1"/>
    <xf numFmtId="2" fontId="8" fillId="0" borderId="0" xfId="0" applyNumberFormat="1" applyFont="1" applyAlignment="1">
      <alignment horizontal="right"/>
    </xf>
    <xf numFmtId="169" fontId="8" fillId="0" borderId="0" xfId="1" applyNumberFormat="1" applyFont="1" applyAlignment="1">
      <alignment horizontal="right"/>
    </xf>
    <xf numFmtId="168" fontId="8" fillId="0" borderId="0" xfId="0" applyNumberFormat="1" applyFont="1"/>
    <xf numFmtId="168" fontId="8" fillId="0" borderId="4" xfId="0" applyNumberFormat="1" applyFont="1" applyBorder="1"/>
    <xf numFmtId="166" fontId="8" fillId="0" borderId="8" xfId="1" applyNumberFormat="1" applyFont="1" applyBorder="1"/>
    <xf numFmtId="0" fontId="18" fillId="0" borderId="10" xfId="0" applyFont="1" applyBorder="1"/>
    <xf numFmtId="166" fontId="8" fillId="0" borderId="9" xfId="1" applyNumberFormat="1" applyFont="1" applyBorder="1"/>
    <xf numFmtId="43" fontId="8" fillId="0" borderId="9" xfId="1" applyNumberFormat="1" applyFont="1" applyBorder="1"/>
    <xf numFmtId="166" fontId="8" fillId="0" borderId="1" xfId="1" applyNumberFormat="1" applyFont="1" applyBorder="1"/>
    <xf numFmtId="167" fontId="16" fillId="0" borderId="0" xfId="0" applyNumberFormat="1" applyFont="1"/>
    <xf numFmtId="43" fontId="16" fillId="0" borderId="0" xfId="0" applyNumberFormat="1" applyFont="1"/>
    <xf numFmtId="0" fontId="19" fillId="0" borderId="0" xfId="0" applyFont="1"/>
    <xf numFmtId="0" fontId="20" fillId="0" borderId="0" xfId="0" applyFont="1"/>
    <xf numFmtId="166" fontId="8" fillId="0" borderId="0" xfId="0" applyNumberFormat="1" applyFont="1"/>
    <xf numFmtId="44" fontId="8" fillId="0" borderId="0" xfId="2" applyFont="1" applyAlignment="1">
      <alignment horizontal="right"/>
    </xf>
    <xf numFmtId="44" fontId="8" fillId="0" borderId="0" xfId="2" applyFont="1"/>
    <xf numFmtId="44" fontId="8" fillId="0" borderId="4" xfId="2" applyFont="1" applyBorder="1" applyAlignment="1">
      <alignment horizontal="right"/>
    </xf>
    <xf numFmtId="44" fontId="8" fillId="0" borderId="0" xfId="2" applyFont="1" applyBorder="1" applyAlignment="1">
      <alignment horizontal="right"/>
    </xf>
    <xf numFmtId="0" fontId="16" fillId="0" borderId="0" xfId="0" applyFont="1" applyBorder="1"/>
    <xf numFmtId="0" fontId="8" fillId="0" borderId="8" xfId="0" applyFont="1" applyBorder="1"/>
    <xf numFmtId="44" fontId="8" fillId="0" borderId="4" xfId="0" applyNumberFormat="1" applyFont="1" applyBorder="1"/>
    <xf numFmtId="2" fontId="8" fillId="4" borderId="0" xfId="1" applyNumberFormat="1" applyFont="1" applyFill="1" applyAlignment="1">
      <alignment horizontal="right"/>
    </xf>
    <xf numFmtId="166" fontId="8" fillId="0" borderId="0" xfId="1" applyNumberFormat="1" applyFont="1"/>
    <xf numFmtId="1" fontId="8" fillId="0" borderId="0" xfId="1" applyNumberFormat="1" applyFont="1" applyAlignment="1">
      <alignment horizontal="right"/>
    </xf>
    <xf numFmtId="44" fontId="8" fillId="0" borderId="4" xfId="2" applyNumberFormat="1" applyFont="1" applyBorder="1" applyAlignment="1">
      <alignment horizontal="right"/>
    </xf>
    <xf numFmtId="167" fontId="8" fillId="0" borderId="0" xfId="2" applyNumberFormat="1" applyFont="1" applyAlignment="1">
      <alignment horizontal="right"/>
    </xf>
    <xf numFmtId="167" fontId="8" fillId="0" borderId="4" xfId="2" applyNumberFormat="1" applyFont="1" applyBorder="1" applyAlignment="1">
      <alignment horizontal="right"/>
    </xf>
    <xf numFmtId="166" fontId="8" fillId="0" borderId="0" xfId="1" applyNumberFormat="1" applyFont="1" applyBorder="1"/>
    <xf numFmtId="0" fontId="8" fillId="0" borderId="0" xfId="0" applyFont="1" applyBorder="1"/>
    <xf numFmtId="43" fontId="8" fillId="0" borderId="0" xfId="0" applyNumberFormat="1" applyFont="1"/>
    <xf numFmtId="0" fontId="20" fillId="0" borderId="0" xfId="0" applyFont="1" applyBorder="1"/>
    <xf numFmtId="0" fontId="0" fillId="0" borderId="0" xfId="0" applyBorder="1"/>
    <xf numFmtId="0" fontId="20" fillId="0" borderId="10" xfId="0" applyFont="1" applyBorder="1" applyAlignment="1">
      <alignment horizontal="left"/>
    </xf>
    <xf numFmtId="0" fontId="8" fillId="0" borderId="12" xfId="0" applyFont="1" applyBorder="1" applyAlignment="1">
      <alignment horizontal="left"/>
    </xf>
    <xf numFmtId="2" fontId="8" fillId="0" borderId="12" xfId="1" applyNumberFormat="1" applyFont="1" applyBorder="1" applyAlignment="1">
      <alignment horizontal="left"/>
    </xf>
    <xf numFmtId="0" fontId="16" fillId="0" borderId="0" xfId="0" applyFont="1" applyBorder="1" applyAlignment="1">
      <alignment horizontal="left"/>
    </xf>
    <xf numFmtId="166" fontId="8" fillId="0" borderId="9" xfId="1" applyNumberFormat="1" applyFont="1" applyBorder="1" applyAlignment="1">
      <alignment horizontal="left"/>
    </xf>
    <xf numFmtId="166" fontId="8" fillId="0" borderId="8" xfId="1" applyNumberFormat="1" applyFont="1" applyBorder="1" applyAlignment="1">
      <alignment horizontal="left" vertical="top"/>
    </xf>
    <xf numFmtId="166" fontId="8" fillId="0" borderId="8" xfId="1" applyNumberFormat="1" applyFont="1" applyBorder="1" applyAlignment="1">
      <alignment horizontal="left"/>
    </xf>
    <xf numFmtId="0" fontId="13" fillId="0" borderId="0" xfId="0" applyFont="1" applyBorder="1"/>
    <xf numFmtId="0" fontId="13" fillId="0" borderId="0" xfId="0" applyFont="1" applyFill="1" applyBorder="1"/>
    <xf numFmtId="167" fontId="13" fillId="0" borderId="0" xfId="2" applyNumberFormat="1" applyFont="1" applyAlignment="1">
      <alignment horizontal="right"/>
    </xf>
    <xf numFmtId="43" fontId="0" fillId="0" borderId="0" xfId="0" applyNumberFormat="1"/>
    <xf numFmtId="167" fontId="8" fillId="0" borderId="0" xfId="2" applyNumberFormat="1" applyFont="1" applyBorder="1" applyAlignment="1">
      <alignment horizontal="right"/>
    </xf>
    <xf numFmtId="44" fontId="8" fillId="0" borderId="0" xfId="0" applyNumberFormat="1" applyFont="1" applyBorder="1"/>
    <xf numFmtId="2" fontId="8" fillId="0" borderId="0" xfId="1" applyNumberFormat="1" applyFont="1" applyFill="1" applyAlignment="1">
      <alignment horizontal="right"/>
    </xf>
    <xf numFmtId="2" fontId="8" fillId="0" borderId="8" xfId="1" applyNumberFormat="1" applyFont="1" applyFill="1" applyBorder="1" applyAlignment="1">
      <alignment horizontal="left" vertical="top"/>
    </xf>
    <xf numFmtId="0" fontId="8" fillId="0" borderId="10" xfId="0" applyFont="1" applyFill="1" applyBorder="1"/>
    <xf numFmtId="0" fontId="8" fillId="0" borderId="12" xfId="0" applyFont="1" applyFill="1" applyBorder="1"/>
    <xf numFmtId="0" fontId="8" fillId="0" borderId="11" xfId="0" applyFont="1" applyFill="1" applyBorder="1"/>
    <xf numFmtId="170" fontId="8" fillId="0" borderId="9" xfId="1" applyNumberFormat="1" applyFont="1" applyFill="1" applyBorder="1" applyAlignment="1">
      <alignment horizontal="left" vertical="top"/>
    </xf>
    <xf numFmtId="0" fontId="8" fillId="0" borderId="0" xfId="0" applyFont="1" applyAlignment="1">
      <alignment horizontal="left" vertical="top"/>
    </xf>
    <xf numFmtId="0" fontId="0" fillId="0" borderId="0" xfId="0" applyAlignment="1">
      <alignment horizontal="right"/>
    </xf>
    <xf numFmtId="0" fontId="8" fillId="0" borderId="0" xfId="11" applyNumberFormat="1" applyFont="1" applyFill="1"/>
    <xf numFmtId="44" fontId="8" fillId="0" borderId="4" xfId="2" applyFont="1" applyBorder="1"/>
    <xf numFmtId="9" fontId="8" fillId="4" borderId="0" xfId="0" applyNumberFormat="1" applyFont="1" applyFill="1"/>
    <xf numFmtId="44" fontId="8" fillId="0" borderId="0" xfId="2" applyNumberFormat="1" applyFont="1" applyBorder="1" applyAlignment="1">
      <alignment horizontal="right"/>
    </xf>
    <xf numFmtId="0" fontId="16" fillId="0" borderId="0" xfId="0" applyFont="1" applyFill="1"/>
    <xf numFmtId="0" fontId="0" fillId="0" borderId="0" xfId="0" applyFont="1" applyFill="1"/>
    <xf numFmtId="0" fontId="0" fillId="0" borderId="8" xfId="0" applyFill="1" applyBorder="1"/>
    <xf numFmtId="0" fontId="0" fillId="0" borderId="10" xfId="0" applyFill="1" applyBorder="1"/>
    <xf numFmtId="0" fontId="0" fillId="0" borderId="12" xfId="0" applyFill="1" applyBorder="1"/>
    <xf numFmtId="167" fontId="8" fillId="0" borderId="9" xfId="0" applyNumberFormat="1" applyFont="1" applyFill="1" applyBorder="1"/>
    <xf numFmtId="0" fontId="0" fillId="0" borderId="12" xfId="0" applyFont="1" applyFill="1" applyBorder="1"/>
    <xf numFmtId="167" fontId="8" fillId="0" borderId="1" xfId="2" applyNumberFormat="1" applyFont="1" applyFill="1" applyBorder="1"/>
    <xf numFmtId="9" fontId="8" fillId="0" borderId="0" xfId="0" applyNumberFormat="1" applyFont="1" applyFill="1"/>
    <xf numFmtId="9" fontId="8" fillId="0" borderId="4" xfId="0" applyNumberFormat="1" applyFont="1" applyFill="1" applyBorder="1"/>
    <xf numFmtId="9" fontId="8" fillId="0" borderId="5" xfId="0" applyNumberFormat="1" applyFont="1" applyFill="1" applyBorder="1"/>
    <xf numFmtId="9" fontId="8" fillId="0" borderId="0" xfId="0" applyNumberFormat="1" applyFont="1" applyFill="1" applyBorder="1"/>
    <xf numFmtId="0" fontId="0" fillId="0" borderId="4" xfId="0" applyFill="1" applyBorder="1"/>
    <xf numFmtId="0" fontId="0" fillId="0" borderId="5" xfId="0" applyFill="1" applyBorder="1"/>
    <xf numFmtId="44" fontId="8" fillId="0" borderId="0" xfId="0" applyNumberFormat="1" applyFont="1" applyFill="1" applyBorder="1"/>
    <xf numFmtId="0" fontId="6" fillId="0" borderId="0" xfId="0" applyFont="1" applyFill="1"/>
    <xf numFmtId="0" fontId="22" fillId="0" borderId="0" xfId="0" applyFont="1" applyFill="1"/>
    <xf numFmtId="0" fontId="0" fillId="0" borderId="0" xfId="0" applyFill="1" applyBorder="1"/>
    <xf numFmtId="167" fontId="8" fillId="0" borderId="0" xfId="2" applyNumberFormat="1" applyFont="1" applyFill="1" applyBorder="1"/>
    <xf numFmtId="0" fontId="8" fillId="0" borderId="0" xfId="0" applyFont="1" applyFill="1" applyBorder="1"/>
    <xf numFmtId="2" fontId="8" fillId="0" borderId="1" xfId="0" applyNumberFormat="1" applyFont="1" applyBorder="1"/>
    <xf numFmtId="9" fontId="8" fillId="0" borderId="9" xfId="11" applyFont="1" applyBorder="1"/>
    <xf numFmtId="9" fontId="0" fillId="0" borderId="0" xfId="0" applyNumberFormat="1" applyBorder="1"/>
    <xf numFmtId="43" fontId="0" fillId="0" borderId="0" xfId="0" applyNumberFormat="1" applyBorder="1"/>
    <xf numFmtId="44" fontId="0" fillId="0" borderId="0" xfId="0" applyNumberFormat="1" applyBorder="1"/>
    <xf numFmtId="166" fontId="8" fillId="12" borderId="9" xfId="1" applyNumberFormat="1" applyFont="1" applyFill="1" applyBorder="1"/>
    <xf numFmtId="0" fontId="8" fillId="12" borderId="12" xfId="0" applyFont="1" applyFill="1" applyBorder="1"/>
    <xf numFmtId="2" fontId="0" fillId="0" borderId="0" xfId="0" applyNumberFormat="1" applyBorder="1"/>
    <xf numFmtId="0" fontId="19" fillId="0" borderId="0" xfId="0" applyFont="1" applyBorder="1"/>
    <xf numFmtId="9" fontId="8" fillId="4" borderId="0" xfId="0" applyNumberFormat="1" applyFont="1" applyFill="1" applyBorder="1"/>
    <xf numFmtId="0" fontId="0" fillId="0" borderId="9" xfId="0" applyFill="1" applyBorder="1"/>
    <xf numFmtId="43" fontId="0" fillId="0" borderId="0" xfId="0" applyNumberFormat="1" applyFont="1" applyFill="1" applyBorder="1"/>
    <xf numFmtId="0" fontId="0" fillId="0" borderId="1" xfId="0" applyFill="1" applyBorder="1"/>
    <xf numFmtId="0" fontId="0" fillId="0" borderId="14" xfId="0" applyFont="1" applyFill="1" applyBorder="1"/>
    <xf numFmtId="44" fontId="8" fillId="0" borderId="14" xfId="0" applyNumberFormat="1" applyFont="1" applyFill="1" applyBorder="1"/>
    <xf numFmtId="44" fontId="8" fillId="0" borderId="11" xfId="0" applyNumberFormat="1" applyFont="1" applyFill="1" applyBorder="1"/>
    <xf numFmtId="166" fontId="0" fillId="0" borderId="0" xfId="0" applyNumberFormat="1" applyFill="1" applyBorder="1"/>
    <xf numFmtId="0" fontId="0" fillId="0" borderId="14" xfId="0" applyFill="1" applyBorder="1"/>
    <xf numFmtId="0" fontId="2" fillId="0" borderId="8" xfId="0" applyFont="1" applyFill="1" applyBorder="1"/>
    <xf numFmtId="0" fontId="2" fillId="0" borderId="13" xfId="0" applyFont="1" applyFill="1" applyBorder="1"/>
    <xf numFmtId="0" fontId="2" fillId="0" borderId="10" xfId="0" applyFont="1" applyFill="1" applyBorder="1"/>
    <xf numFmtId="166" fontId="8" fillId="0" borderId="0" xfId="1" applyNumberFormat="1" applyFont="1" applyBorder="1" applyAlignment="1">
      <alignment horizontal="right"/>
    </xf>
    <xf numFmtId="0" fontId="0" fillId="0" borderId="0" xfId="0" applyFont="1" applyFill="1" applyBorder="1"/>
    <xf numFmtId="0" fontId="0" fillId="0" borderId="3" xfId="0" applyFill="1" applyBorder="1"/>
    <xf numFmtId="167" fontId="0" fillId="0" borderId="4" xfId="2" applyNumberFormat="1" applyFont="1" applyFill="1" applyBorder="1"/>
    <xf numFmtId="167" fontId="0" fillId="0" borderId="3" xfId="2" applyNumberFormat="1" applyFont="1" applyFill="1" applyBorder="1"/>
    <xf numFmtId="0" fontId="16" fillId="0" borderId="8" xfId="0" applyFont="1" applyBorder="1"/>
    <xf numFmtId="0" fontId="16" fillId="0" borderId="9" xfId="0" applyFont="1" applyBorder="1"/>
    <xf numFmtId="0" fontId="16" fillId="0" borderId="12" xfId="0" applyFont="1" applyBorder="1"/>
    <xf numFmtId="0" fontId="16" fillId="0" borderId="1" xfId="0" applyFont="1" applyBorder="1"/>
    <xf numFmtId="166" fontId="16" fillId="0" borderId="0" xfId="0" applyNumberFormat="1" applyFont="1"/>
    <xf numFmtId="167" fontId="16" fillId="0" borderId="0" xfId="2" applyNumberFormat="1" applyFont="1"/>
    <xf numFmtId="0" fontId="0" fillId="9" borderId="19" xfId="0" applyFill="1" applyBorder="1"/>
    <xf numFmtId="1" fontId="0" fillId="9" borderId="19" xfId="0" applyNumberFormat="1" applyFill="1" applyBorder="1"/>
    <xf numFmtId="0" fontId="0" fillId="3" borderId="4" xfId="0" applyFill="1" applyBorder="1"/>
    <xf numFmtId="0" fontId="24" fillId="0" borderId="0" xfId="0" applyFont="1"/>
    <xf numFmtId="0" fontId="0" fillId="0" borderId="10" xfId="0" applyBorder="1"/>
    <xf numFmtId="0" fontId="0" fillId="0" borderId="11" xfId="0" applyBorder="1"/>
    <xf numFmtId="0" fontId="8" fillId="0" borderId="1" xfId="0" applyFont="1" applyBorder="1"/>
    <xf numFmtId="0" fontId="8" fillId="0" borderId="13" xfId="0" applyFont="1" applyBorder="1"/>
    <xf numFmtId="0" fontId="0" fillId="9" borderId="12" xfId="0" applyFill="1" applyBorder="1"/>
    <xf numFmtId="0" fontId="0" fillId="9" borderId="11" xfId="0" applyFill="1" applyBorder="1"/>
    <xf numFmtId="0" fontId="16" fillId="13" borderId="2" xfId="0" applyFont="1" applyFill="1" applyBorder="1"/>
    <xf numFmtId="0" fontId="0" fillId="13" borderId="3" xfId="0" applyFill="1" applyBorder="1"/>
    <xf numFmtId="167" fontId="0" fillId="13" borderId="3" xfId="2" applyNumberFormat="1" applyFont="1" applyFill="1" applyBorder="1"/>
    <xf numFmtId="0" fontId="16" fillId="13" borderId="6" xfId="0" applyFont="1" applyFill="1" applyBorder="1"/>
    <xf numFmtId="1" fontId="0" fillId="9" borderId="2" xfId="0" applyNumberFormat="1" applyFill="1" applyBorder="1"/>
    <xf numFmtId="0" fontId="0" fillId="14" borderId="0" xfId="0" applyFill="1"/>
    <xf numFmtId="0" fontId="16" fillId="14" borderId="0" xfId="0" applyFont="1" applyFill="1"/>
    <xf numFmtId="0" fontId="8" fillId="14" borderId="0" xfId="0" applyFont="1" applyFill="1"/>
    <xf numFmtId="167" fontId="8" fillId="0" borderId="8" xfId="2" applyNumberFormat="1" applyFont="1" applyFill="1" applyBorder="1"/>
    <xf numFmtId="44" fontId="0" fillId="0" borderId="14" xfId="2" applyFont="1" applyFill="1" applyBorder="1"/>
    <xf numFmtId="1" fontId="0" fillId="15" borderId="19" xfId="0" applyNumberFormat="1" applyFill="1" applyBorder="1"/>
    <xf numFmtId="1" fontId="0" fillId="15" borderId="4" xfId="0" applyNumberFormat="1" applyFill="1" applyBorder="1"/>
    <xf numFmtId="167" fontId="0" fillId="0" borderId="14" xfId="2" applyNumberFormat="1" applyFont="1" applyFill="1" applyBorder="1"/>
    <xf numFmtId="167" fontId="0" fillId="15" borderId="0" xfId="2" applyNumberFormat="1" applyFont="1" applyFill="1" applyBorder="1"/>
    <xf numFmtId="0" fontId="0" fillId="15" borderId="33" xfId="0" applyFill="1" applyBorder="1"/>
    <xf numFmtId="0" fontId="0" fillId="16" borderId="0" xfId="0" applyFill="1"/>
    <xf numFmtId="0" fontId="16" fillId="16" borderId="0" xfId="0" applyFont="1" applyFill="1"/>
    <xf numFmtId="0" fontId="8" fillId="16" borderId="0" xfId="0" applyFont="1" applyFill="1"/>
    <xf numFmtId="0" fontId="0" fillId="0" borderId="42" xfId="0" applyFont="1" applyFill="1" applyBorder="1"/>
    <xf numFmtId="0" fontId="0" fillId="0" borderId="42" xfId="0" applyFill="1" applyBorder="1"/>
    <xf numFmtId="167" fontId="0" fillId="13" borderId="7" xfId="2" applyNumberFormat="1" applyFont="1" applyFill="1" applyBorder="1"/>
    <xf numFmtId="167" fontId="0" fillId="9" borderId="3" xfId="2" applyNumberFormat="1" applyFont="1" applyFill="1" applyBorder="1"/>
    <xf numFmtId="167" fontId="0" fillId="9" borderId="3" xfId="0" applyNumberFormat="1" applyFill="1" applyBorder="1"/>
    <xf numFmtId="167" fontId="0" fillId="9" borderId="9" xfId="2" applyNumberFormat="1" applyFont="1" applyFill="1" applyBorder="1"/>
    <xf numFmtId="167" fontId="0" fillId="9" borderId="2" xfId="2" applyNumberFormat="1" applyFont="1" applyFill="1" applyBorder="1"/>
    <xf numFmtId="167" fontId="0" fillId="9" borderId="20" xfId="2" applyNumberFormat="1" applyFont="1" applyFill="1" applyBorder="1"/>
    <xf numFmtId="167" fontId="0" fillId="9" borderId="33" xfId="2" applyNumberFormat="1" applyFont="1" applyFill="1" applyBorder="1"/>
    <xf numFmtId="167" fontId="0" fillId="9" borderId="21" xfId="2" applyNumberFormat="1" applyFont="1" applyFill="1" applyBorder="1"/>
    <xf numFmtId="167" fontId="0" fillId="9" borderId="32" xfId="2" applyNumberFormat="1" applyFont="1" applyFill="1" applyBorder="1"/>
    <xf numFmtId="167" fontId="0" fillId="9" borderId="31" xfId="2" applyNumberFormat="1" applyFont="1" applyFill="1" applyBorder="1"/>
    <xf numFmtId="44" fontId="0" fillId="0" borderId="0" xfId="2" applyFont="1"/>
    <xf numFmtId="0" fontId="22" fillId="0" borderId="0" xfId="0" applyFont="1"/>
    <xf numFmtId="166" fontId="0" fillId="0" borderId="8" xfId="0" applyNumberFormat="1" applyBorder="1"/>
    <xf numFmtId="0" fontId="16" fillId="0" borderId="10" xfId="0" applyFont="1" applyBorder="1"/>
    <xf numFmtId="166" fontId="0" fillId="0" borderId="1" xfId="0" applyNumberFormat="1" applyBorder="1"/>
    <xf numFmtId="0" fontId="16" fillId="0" borderId="11" xfId="0" applyFont="1" applyBorder="1"/>
    <xf numFmtId="8" fontId="0" fillId="0" borderId="0" xfId="0" applyNumberFormat="1"/>
    <xf numFmtId="167" fontId="0" fillId="0" borderId="0" xfId="2" applyNumberFormat="1" applyFont="1"/>
    <xf numFmtId="167" fontId="0" fillId="15" borderId="28" xfId="2" applyNumberFormat="1" applyFont="1" applyFill="1" applyBorder="1"/>
    <xf numFmtId="0" fontId="0" fillId="0" borderId="0" xfId="0" applyFont="1" applyAlignment="1">
      <alignment horizontal="left" vertical="top"/>
    </xf>
    <xf numFmtId="167" fontId="8" fillId="0" borderId="0" xfId="2" applyNumberFormat="1" applyFont="1"/>
    <xf numFmtId="167" fontId="5" fillId="0" borderId="0" xfId="0" applyNumberFormat="1" applyFont="1"/>
    <xf numFmtId="167" fontId="0" fillId="9" borderId="4" xfId="2" applyNumberFormat="1" applyFont="1" applyFill="1" applyBorder="1"/>
    <xf numFmtId="167" fontId="0" fillId="9" borderId="21" xfId="0" applyNumberFormat="1" applyFill="1" applyBorder="1"/>
    <xf numFmtId="167" fontId="0" fillId="9" borderId="18" xfId="0" applyNumberFormat="1" applyFill="1" applyBorder="1"/>
    <xf numFmtId="0" fontId="29" fillId="0" borderId="0" xfId="12"/>
    <xf numFmtId="0" fontId="8" fillId="0" borderId="0" xfId="12" applyFont="1"/>
    <xf numFmtId="0" fontId="16" fillId="0" borderId="0" xfId="12" applyFont="1"/>
    <xf numFmtId="0" fontId="31" fillId="0" borderId="0" xfId="12" applyFont="1"/>
    <xf numFmtId="0" fontId="30" fillId="0" borderId="0" xfId="12" applyFont="1"/>
    <xf numFmtId="0" fontId="24" fillId="0" borderId="0" xfId="12" applyFont="1"/>
    <xf numFmtId="0" fontId="32" fillId="0" borderId="0" xfId="12" applyFont="1"/>
    <xf numFmtId="0" fontId="30" fillId="17" borderId="0" xfId="12" applyFont="1" applyFill="1"/>
    <xf numFmtId="0" fontId="8" fillId="17" borderId="0" xfId="12" applyFont="1" applyFill="1"/>
    <xf numFmtId="0" fontId="8" fillId="0" borderId="43" xfId="12" applyFont="1" applyBorder="1"/>
    <xf numFmtId="2" fontId="8" fillId="0" borderId="0" xfId="12" applyNumberFormat="1" applyFont="1" applyAlignment="1">
      <alignment horizontal="right"/>
    </xf>
    <xf numFmtId="2" fontId="8" fillId="17" borderId="0" xfId="12" applyNumberFormat="1" applyFont="1" applyFill="1" applyAlignment="1">
      <alignment horizontal="right"/>
    </xf>
    <xf numFmtId="0" fontId="19" fillId="0" borderId="0" xfId="12" applyFont="1"/>
    <xf numFmtId="0" fontId="34" fillId="0" borderId="0" xfId="12" applyFont="1"/>
    <xf numFmtId="44" fontId="8" fillId="0" borderId="44" xfId="12" applyNumberFormat="1" applyFont="1" applyBorder="1"/>
    <xf numFmtId="44" fontId="8" fillId="0" borderId="0" xfId="12" applyNumberFormat="1" applyFont="1" applyAlignment="1">
      <alignment horizontal="right"/>
    </xf>
    <xf numFmtId="166" fontId="8" fillId="0" borderId="0" xfId="12" applyNumberFormat="1" applyFont="1" applyAlignment="1">
      <alignment horizontal="right"/>
    </xf>
    <xf numFmtId="166" fontId="8" fillId="0" borderId="0" xfId="12" applyNumberFormat="1" applyFont="1"/>
    <xf numFmtId="43" fontId="16" fillId="0" borderId="0" xfId="12" applyNumberFormat="1" applyFont="1"/>
    <xf numFmtId="0" fontId="8" fillId="18" borderId="0" xfId="12" applyFont="1" applyFill="1"/>
    <xf numFmtId="0" fontId="33" fillId="18" borderId="0" xfId="12" applyFont="1" applyFill="1"/>
    <xf numFmtId="0" fontId="35" fillId="0" borderId="0" xfId="12" applyFont="1"/>
    <xf numFmtId="0" fontId="30" fillId="18" borderId="0" xfId="12" applyFont="1" applyFill="1"/>
    <xf numFmtId="0" fontId="19" fillId="18" borderId="0" xfId="12" applyFont="1" applyFill="1"/>
    <xf numFmtId="44" fontId="19" fillId="0" borderId="0" xfId="12" applyNumberFormat="1" applyFont="1"/>
    <xf numFmtId="0" fontId="25" fillId="0" borderId="0" xfId="12" applyFont="1"/>
    <xf numFmtId="0" fontId="8" fillId="0" borderId="0" xfId="13" applyFont="1"/>
    <xf numFmtId="0" fontId="19" fillId="0" borderId="0" xfId="13" applyFont="1"/>
    <xf numFmtId="167" fontId="0" fillId="9" borderId="13" xfId="2" applyNumberFormat="1" applyFont="1" applyFill="1" applyBorder="1"/>
    <xf numFmtId="167" fontId="0" fillId="9" borderId="0" xfId="0" applyNumberFormat="1" applyFill="1" applyBorder="1"/>
    <xf numFmtId="167" fontId="0" fillId="9" borderId="0" xfId="2" applyNumberFormat="1" applyFont="1" applyFill="1" applyBorder="1"/>
    <xf numFmtId="167" fontId="0" fillId="9" borderId="14" xfId="0" applyNumberFormat="1" applyFill="1" applyBorder="1"/>
    <xf numFmtId="167" fontId="0" fillId="9" borderId="14" xfId="2" applyNumberFormat="1" applyFont="1" applyFill="1" applyBorder="1"/>
    <xf numFmtId="167" fontId="0" fillId="0" borderId="20" xfId="2" applyNumberFormat="1" applyFont="1" applyFill="1" applyBorder="1"/>
    <xf numFmtId="0" fontId="0" fillId="0" borderId="12" xfId="0" applyBorder="1"/>
    <xf numFmtId="166" fontId="0" fillId="0" borderId="0" xfId="0" applyNumberFormat="1" applyFill="1"/>
    <xf numFmtId="0" fontId="34" fillId="0" borderId="0" xfId="12" applyFont="1" applyFill="1"/>
    <xf numFmtId="0" fontId="25" fillId="0" borderId="0" xfId="12" applyFont="1" applyFill="1"/>
    <xf numFmtId="167" fontId="0" fillId="0" borderId="0" xfId="0" applyNumberFormat="1" applyFill="1" applyBorder="1"/>
    <xf numFmtId="0" fontId="36" fillId="0" borderId="0" xfId="0" applyFont="1"/>
    <xf numFmtId="2" fontId="16" fillId="0" borderId="9" xfId="0" applyNumberFormat="1" applyFont="1" applyBorder="1"/>
    <xf numFmtId="0" fontId="16" fillId="0" borderId="12" xfId="0" applyFont="1" applyFill="1" applyBorder="1"/>
    <xf numFmtId="0" fontId="16" fillId="0" borderId="11" xfId="0" applyFont="1" applyFill="1" applyBorder="1"/>
    <xf numFmtId="0" fontId="0" fillId="0" borderId="13" xfId="0" applyBorder="1"/>
    <xf numFmtId="0" fontId="2" fillId="0" borderId="0" xfId="0" applyFont="1" applyFill="1"/>
    <xf numFmtId="0" fontId="8" fillId="10" borderId="0" xfId="0" applyFont="1" applyFill="1"/>
    <xf numFmtId="44" fontId="8" fillId="0" borderId="0" xfId="2" applyNumberFormat="1" applyFont="1"/>
    <xf numFmtId="44" fontId="0" fillId="0" borderId="0" xfId="0" applyNumberFormat="1"/>
    <xf numFmtId="0" fontId="16" fillId="9" borderId="2" xfId="0" applyFont="1" applyFill="1" applyBorder="1"/>
    <xf numFmtId="0" fontId="16" fillId="9" borderId="6" xfId="0" applyFont="1" applyFill="1" applyBorder="1"/>
    <xf numFmtId="166" fontId="8" fillId="9" borderId="0" xfId="1" applyNumberFormat="1" applyFont="1" applyFill="1"/>
    <xf numFmtId="9" fontId="8" fillId="0" borderId="0" xfId="0" applyNumberFormat="1" applyFont="1" applyFill="1" applyAlignment="1">
      <alignment horizontal="right"/>
    </xf>
    <xf numFmtId="170" fontId="16" fillId="3" borderId="9" xfId="1" applyNumberFormat="1" applyFont="1" applyFill="1" applyBorder="1" applyAlignment="1">
      <alignment horizontal="right"/>
    </xf>
    <xf numFmtId="44" fontId="16" fillId="3" borderId="1" xfId="2" applyFont="1" applyFill="1" applyBorder="1" applyAlignment="1">
      <alignment horizontal="right"/>
    </xf>
    <xf numFmtId="0" fontId="0" fillId="3" borderId="0" xfId="0" applyFill="1"/>
    <xf numFmtId="44" fontId="8" fillId="0" borderId="0" xfId="2" applyFont="1" applyFill="1"/>
    <xf numFmtId="0" fontId="8" fillId="12" borderId="9" xfId="0" applyFont="1" applyFill="1" applyBorder="1"/>
    <xf numFmtId="9" fontId="8" fillId="0" borderId="10" xfId="0" applyNumberFormat="1" applyFont="1" applyFill="1" applyBorder="1"/>
    <xf numFmtId="9" fontId="8" fillId="0" borderId="11" xfId="0" applyNumberFormat="1" applyFont="1" applyFill="1" applyBorder="1"/>
    <xf numFmtId="1" fontId="8" fillId="12" borderId="1" xfId="0" applyNumberFormat="1" applyFont="1" applyFill="1" applyBorder="1"/>
    <xf numFmtId="1" fontId="0" fillId="0" borderId="4" xfId="0" applyNumberFormat="1" applyFill="1" applyBorder="1"/>
    <xf numFmtId="0" fontId="8" fillId="0" borderId="42" xfId="0" applyFont="1" applyBorder="1"/>
    <xf numFmtId="0" fontId="0" fillId="0" borderId="5" xfId="0" applyBorder="1"/>
    <xf numFmtId="44" fontId="8" fillId="0" borderId="0" xfId="2" applyFont="1" applyBorder="1"/>
    <xf numFmtId="0" fontId="2" fillId="0" borderId="0" xfId="0" applyFont="1" applyFill="1" applyBorder="1"/>
    <xf numFmtId="0" fontId="14" fillId="0" borderId="0" xfId="0" applyFont="1" applyBorder="1"/>
    <xf numFmtId="2" fontId="8" fillId="0" borderId="0" xfId="1" applyNumberFormat="1" applyFont="1" applyBorder="1" applyAlignment="1">
      <alignment horizontal="right"/>
    </xf>
    <xf numFmtId="44" fontId="8" fillId="0" borderId="0" xfId="2" applyNumberFormat="1" applyFont="1" applyBorder="1"/>
    <xf numFmtId="0" fontId="0" fillId="0" borderId="0" xfId="0" applyFont="1" applyBorder="1"/>
    <xf numFmtId="0" fontId="0" fillId="4" borderId="0" xfId="0" applyFill="1" applyBorder="1"/>
    <xf numFmtId="166" fontId="8" fillId="0" borderId="0" xfId="1" applyNumberFormat="1" applyFont="1" applyBorder="1" applyAlignment="1">
      <alignment horizontal="left" vertical="top"/>
    </xf>
    <xf numFmtId="166" fontId="8" fillId="0" borderId="0" xfId="1" applyNumberFormat="1" applyFont="1" applyBorder="1" applyAlignment="1">
      <alignment horizontal="left"/>
    </xf>
    <xf numFmtId="0" fontId="20" fillId="0" borderId="0" xfId="0" applyFont="1" applyBorder="1" applyAlignment="1">
      <alignment horizontal="left"/>
    </xf>
    <xf numFmtId="0" fontId="32" fillId="0" borderId="0" xfId="12" applyFont="1" applyFill="1"/>
    <xf numFmtId="0" fontId="29" fillId="0" borderId="0" xfId="12" applyFill="1"/>
    <xf numFmtId="0" fontId="8" fillId="0" borderId="0" xfId="12" applyFont="1" applyBorder="1"/>
    <xf numFmtId="0" fontId="31" fillId="0" borderId="0" xfId="12" applyFont="1" applyFill="1"/>
    <xf numFmtId="0" fontId="30" fillId="0" borderId="0" xfId="12" applyFont="1" applyFill="1"/>
    <xf numFmtId="44" fontId="8" fillId="0" borderId="0" xfId="2" applyFont="1" applyFill="1" applyBorder="1" applyAlignment="1">
      <alignment horizontal="right"/>
    </xf>
    <xf numFmtId="170" fontId="8" fillId="3" borderId="0" xfId="1" applyNumberFormat="1" applyFont="1" applyFill="1" applyBorder="1" applyAlignment="1">
      <alignment horizontal="right"/>
    </xf>
    <xf numFmtId="166" fontId="8" fillId="3" borderId="0" xfId="12" applyNumberFormat="1" applyFont="1" applyFill="1" applyBorder="1"/>
    <xf numFmtId="166" fontId="8" fillId="3" borderId="0" xfId="1" applyNumberFormat="1" applyFont="1" applyFill="1" applyBorder="1" applyAlignment="1">
      <alignment horizontal="right"/>
    </xf>
    <xf numFmtId="166" fontId="8" fillId="0" borderId="0" xfId="1" applyNumberFormat="1" applyFont="1" applyAlignment="1">
      <alignment horizontal="right"/>
    </xf>
    <xf numFmtId="43" fontId="8" fillId="3" borderId="9" xfId="1" applyNumberFormat="1" applyFont="1" applyFill="1" applyBorder="1"/>
    <xf numFmtId="170" fontId="8" fillId="0" borderId="0" xfId="0" applyNumberFormat="1" applyFont="1"/>
    <xf numFmtId="170" fontId="0" fillId="0" borderId="0" xfId="0" applyNumberFormat="1" applyFont="1" applyBorder="1"/>
    <xf numFmtId="0" fontId="33" fillId="0" borderId="45" xfId="12" applyFont="1" applyBorder="1"/>
    <xf numFmtId="0" fontId="8" fillId="0" borderId="46" xfId="12" applyFont="1" applyBorder="1"/>
    <xf numFmtId="0" fontId="24" fillId="0" borderId="47" xfId="12" applyFont="1" applyBorder="1"/>
    <xf numFmtId="0" fontId="24" fillId="0" borderId="48" xfId="12" applyFont="1" applyBorder="1"/>
    <xf numFmtId="0" fontId="33" fillId="19" borderId="9" xfId="12" applyFont="1" applyFill="1" applyBorder="1"/>
    <xf numFmtId="0" fontId="8" fillId="0" borderId="12" xfId="12" applyFont="1" applyBorder="1"/>
    <xf numFmtId="0" fontId="8" fillId="0" borderId="9" xfId="12" applyFont="1" applyBorder="1"/>
    <xf numFmtId="0" fontId="19" fillId="0" borderId="12" xfId="12" applyFont="1" applyBorder="1"/>
    <xf numFmtId="0" fontId="19" fillId="0" borderId="9" xfId="12" applyFont="1" applyBorder="1"/>
    <xf numFmtId="0" fontId="33" fillId="18" borderId="12" xfId="12" applyFont="1" applyFill="1" applyBorder="1"/>
    <xf numFmtId="0" fontId="30" fillId="0" borderId="12" xfId="12" applyFont="1" applyBorder="1"/>
    <xf numFmtId="167" fontId="16" fillId="0" borderId="0" xfId="12" applyNumberFormat="1" applyFont="1" applyFill="1"/>
    <xf numFmtId="0" fontId="8" fillId="0" borderId="0" xfId="12" applyFont="1" applyFill="1"/>
    <xf numFmtId="167" fontId="8" fillId="0" borderId="8" xfId="12" applyNumberFormat="1" applyFont="1" applyBorder="1"/>
    <xf numFmtId="0" fontId="8" fillId="0" borderId="13" xfId="12" applyFont="1" applyBorder="1"/>
    <xf numFmtId="0" fontId="30" fillId="0" borderId="13" xfId="12" applyFont="1" applyBorder="1"/>
    <xf numFmtId="0" fontId="30" fillId="0" borderId="10" xfId="12" applyFont="1" applyBorder="1"/>
    <xf numFmtId="0" fontId="30" fillId="0" borderId="1" xfId="12" applyFont="1" applyBorder="1"/>
    <xf numFmtId="0" fontId="30" fillId="0" borderId="14" xfId="12" applyFont="1" applyBorder="1"/>
    <xf numFmtId="0" fontId="19" fillId="0" borderId="14" xfId="12" applyFont="1" applyBorder="1"/>
    <xf numFmtId="0" fontId="30" fillId="0" borderId="11" xfId="12" applyFont="1" applyBorder="1"/>
    <xf numFmtId="0" fontId="8" fillId="0" borderId="13" xfId="0" applyFont="1" applyFill="1" applyBorder="1"/>
    <xf numFmtId="0" fontId="0" fillId="0" borderId="13" xfId="0" applyFill="1" applyBorder="1"/>
    <xf numFmtId="167" fontId="8" fillId="0" borderId="14" xfId="2" applyNumberFormat="1" applyFont="1" applyFill="1" applyBorder="1"/>
    <xf numFmtId="0" fontId="8" fillId="0" borderId="14" xfId="0" applyFont="1" applyFill="1" applyBorder="1"/>
    <xf numFmtId="0" fontId="0" fillId="0" borderId="11" xfId="0" applyFill="1" applyBorder="1"/>
    <xf numFmtId="2" fontId="33" fillId="0" borderId="0" xfId="12" applyNumberFormat="1" applyFont="1" applyBorder="1" applyAlignment="1">
      <alignment horizontal="left"/>
    </xf>
    <xf numFmtId="0" fontId="30" fillId="0" borderId="0" xfId="12" applyFont="1" applyBorder="1"/>
    <xf numFmtId="0" fontId="30" fillId="0" borderId="0" xfId="12" applyFont="1" applyFill="1" applyBorder="1"/>
    <xf numFmtId="0" fontId="8" fillId="0" borderId="0" xfId="12" applyFont="1" applyFill="1" applyBorder="1"/>
    <xf numFmtId="167" fontId="8" fillId="0" borderId="0" xfId="2" applyNumberFormat="1" applyFont="1" applyFill="1" applyBorder="1" applyAlignment="1">
      <alignment horizontal="right"/>
    </xf>
    <xf numFmtId="166" fontId="16" fillId="0" borderId="0" xfId="0" applyNumberFormat="1" applyFont="1" applyBorder="1"/>
    <xf numFmtId="0" fontId="16" fillId="3" borderId="0" xfId="0" applyFont="1" applyFill="1" applyBorder="1"/>
    <xf numFmtId="2" fontId="8" fillId="0" borderId="9" xfId="1" applyNumberFormat="1" applyFont="1" applyBorder="1" applyAlignment="1">
      <alignment horizontal="left" vertical="top"/>
    </xf>
    <xf numFmtId="0" fontId="8" fillId="0" borderId="9" xfId="0" applyFont="1" applyBorder="1"/>
    <xf numFmtId="0" fontId="8" fillId="0" borderId="14" xfId="0" applyFont="1" applyBorder="1"/>
    <xf numFmtId="0" fontId="0" fillId="0" borderId="42" xfId="0" applyFont="1" applyBorder="1"/>
    <xf numFmtId="0" fontId="0" fillId="0" borderId="12" xfId="0" applyFont="1" applyBorder="1"/>
    <xf numFmtId="166" fontId="0" fillId="0" borderId="0" xfId="0" applyNumberFormat="1" applyBorder="1"/>
    <xf numFmtId="167" fontId="0" fillId="0" borderId="0" xfId="2" applyNumberFormat="1" applyFont="1" applyBorder="1"/>
    <xf numFmtId="167" fontId="0" fillId="0" borderId="14" xfId="2" applyNumberFormat="1" applyFont="1" applyBorder="1"/>
    <xf numFmtId="0" fontId="25" fillId="3" borderId="0" xfId="12" applyFont="1" applyFill="1"/>
    <xf numFmtId="167" fontId="0" fillId="9" borderId="12" xfId="2" applyNumberFormat="1" applyFont="1" applyFill="1" applyBorder="1"/>
    <xf numFmtId="166" fontId="0" fillId="0" borderId="4" xfId="1" applyNumberFormat="1" applyFont="1" applyFill="1" applyBorder="1"/>
    <xf numFmtId="167" fontId="0" fillId="9" borderId="6" xfId="2" applyNumberFormat="1" applyFont="1" applyFill="1" applyBorder="1"/>
    <xf numFmtId="167" fontId="0" fillId="9" borderId="7" xfId="2" applyNumberFormat="1" applyFont="1" applyFill="1" applyBorder="1"/>
    <xf numFmtId="1" fontId="8" fillId="3" borderId="0" xfId="1" applyNumberFormat="1" applyFont="1" applyFill="1" applyAlignment="1">
      <alignment horizontal="right"/>
    </xf>
    <xf numFmtId="0" fontId="37" fillId="0" borderId="0" xfId="0" applyFont="1"/>
    <xf numFmtId="0" fontId="0" fillId="3" borderId="0" xfId="0" applyFill="1" applyBorder="1"/>
    <xf numFmtId="0" fontId="8" fillId="3" borderId="12" xfId="0" applyFont="1" applyFill="1" applyBorder="1" applyAlignment="1">
      <alignment horizontal="left"/>
    </xf>
    <xf numFmtId="9" fontId="8" fillId="3" borderId="8" xfId="0" applyNumberFormat="1" applyFont="1" applyFill="1" applyBorder="1"/>
    <xf numFmtId="6" fontId="0" fillId="0" borderId="0" xfId="0" applyNumberFormat="1"/>
    <xf numFmtId="8" fontId="0" fillId="0" borderId="0" xfId="0" applyNumberFormat="1" applyFill="1"/>
    <xf numFmtId="0" fontId="0" fillId="21" borderId="0" xfId="0" applyFill="1" applyBorder="1"/>
    <xf numFmtId="2" fontId="8" fillId="21" borderId="0" xfId="1" applyNumberFormat="1" applyFont="1" applyFill="1" applyBorder="1" applyAlignment="1">
      <alignment horizontal="right"/>
    </xf>
    <xf numFmtId="0" fontId="8" fillId="21" borderId="0" xfId="0" applyFont="1" applyFill="1" applyBorder="1"/>
    <xf numFmtId="166" fontId="8" fillId="3" borderId="9" xfId="1" applyNumberFormat="1" applyFont="1" applyFill="1" applyBorder="1"/>
    <xf numFmtId="0" fontId="18" fillId="0" borderId="12" xfId="0" applyFont="1" applyBorder="1"/>
    <xf numFmtId="9" fontId="33" fillId="18" borderId="0" xfId="12" applyNumberFormat="1" applyFont="1" applyFill="1"/>
    <xf numFmtId="44" fontId="8" fillId="0" borderId="0" xfId="2" applyFont="1" applyBorder="1" applyAlignment="1">
      <alignment horizontal="left"/>
    </xf>
    <xf numFmtId="44" fontId="8" fillId="0" borderId="12" xfId="0" applyNumberFormat="1" applyFont="1" applyFill="1" applyBorder="1"/>
    <xf numFmtId="0" fontId="0" fillId="0" borderId="0" xfId="0" applyAlignment="1">
      <alignment horizontal="left" vertical="top"/>
    </xf>
    <xf numFmtId="0" fontId="0" fillId="0" borderId="0" xfId="0" applyAlignment="1">
      <alignment horizontal="left"/>
    </xf>
    <xf numFmtId="0" fontId="19" fillId="0" borderId="12" xfId="12" applyFont="1" applyFill="1" applyBorder="1"/>
    <xf numFmtId="167" fontId="8" fillId="0" borderId="0" xfId="12" applyNumberFormat="1" applyFont="1" applyFill="1"/>
    <xf numFmtId="167" fontId="8" fillId="0" borderId="14" xfId="12" applyNumberFormat="1" applyFont="1" applyFill="1" applyBorder="1"/>
    <xf numFmtId="0" fontId="38" fillId="0" borderId="0" xfId="0" applyFont="1"/>
    <xf numFmtId="0" fontId="39" fillId="0" borderId="0" xfId="0" applyFont="1"/>
    <xf numFmtId="9" fontId="0" fillId="3" borderId="0" xfId="0" applyNumberFormat="1" applyFill="1"/>
    <xf numFmtId="1" fontId="8" fillId="0" borderId="0" xfId="1" applyNumberFormat="1" applyFont="1" applyFill="1" applyAlignment="1">
      <alignment horizontal="right"/>
    </xf>
    <xf numFmtId="0" fontId="2" fillId="0" borderId="3" xfId="0" applyFont="1" applyBorder="1"/>
    <xf numFmtId="44" fontId="28" fillId="0" borderId="6" xfId="11" applyNumberFormat="1" applyFont="1" applyFill="1" applyBorder="1"/>
    <xf numFmtId="167" fontId="0" fillId="10" borderId="3" xfId="2" applyNumberFormat="1" applyFont="1" applyFill="1" applyBorder="1"/>
    <xf numFmtId="1" fontId="0" fillId="10" borderId="4" xfId="0" applyNumberFormat="1" applyFill="1" applyBorder="1"/>
    <xf numFmtId="0" fontId="16" fillId="10" borderId="6" xfId="0" applyFont="1" applyFill="1" applyBorder="1"/>
    <xf numFmtId="0" fontId="0" fillId="10" borderId="3" xfId="0" applyFill="1" applyBorder="1"/>
    <xf numFmtId="0" fontId="0" fillId="10" borderId="4" xfId="0" applyFill="1" applyBorder="1"/>
    <xf numFmtId="0" fontId="0" fillId="10" borderId="3" xfId="2" applyNumberFormat="1" applyFont="1" applyFill="1" applyBorder="1"/>
    <xf numFmtId="0" fontId="0" fillId="0" borderId="3" xfId="2" applyNumberFormat="1" applyFont="1" applyFill="1" applyBorder="1"/>
    <xf numFmtId="0" fontId="0" fillId="9" borderId="3" xfId="2" applyNumberFormat="1" applyFont="1" applyFill="1" applyBorder="1"/>
    <xf numFmtId="0" fontId="13" fillId="0" borderId="0" xfId="0" applyFont="1" applyAlignment="1">
      <alignment vertical="center"/>
    </xf>
    <xf numFmtId="1" fontId="0" fillId="0" borderId="19" xfId="0" applyNumberFormat="1" applyFill="1" applyBorder="1"/>
    <xf numFmtId="1" fontId="0" fillId="0" borderId="3" xfId="0" applyNumberFormat="1" applyFill="1" applyBorder="1"/>
    <xf numFmtId="167" fontId="0" fillId="0" borderId="9" xfId="2" applyNumberFormat="1" applyFont="1" applyFill="1" applyBorder="1"/>
    <xf numFmtId="167" fontId="0" fillId="0" borderId="21" xfId="2" applyNumberFormat="1" applyFont="1" applyFill="1" applyBorder="1"/>
    <xf numFmtId="167" fontId="0" fillId="0" borderId="13" xfId="2" applyNumberFormat="1" applyFont="1" applyFill="1" applyBorder="1"/>
    <xf numFmtId="167" fontId="0" fillId="0" borderId="0" xfId="2" applyNumberFormat="1" applyFont="1" applyFill="1" applyBorder="1"/>
    <xf numFmtId="167" fontId="0" fillId="0" borderId="1" xfId="2" applyNumberFormat="1" applyFont="1" applyFill="1" applyBorder="1"/>
    <xf numFmtId="1" fontId="0" fillId="10" borderId="19" xfId="0" applyNumberFormat="1" applyFill="1" applyBorder="1"/>
    <xf numFmtId="1" fontId="0" fillId="10" borderId="3" xfId="0" applyNumberFormat="1" applyFill="1" applyBorder="1"/>
    <xf numFmtId="167" fontId="0" fillId="10" borderId="0" xfId="2" applyNumberFormat="1" applyFont="1" applyFill="1" applyBorder="1"/>
    <xf numFmtId="0" fontId="0" fillId="10" borderId="12" xfId="0" applyFill="1" applyBorder="1"/>
    <xf numFmtId="0" fontId="0" fillId="10" borderId="0" xfId="0" applyFill="1"/>
    <xf numFmtId="167" fontId="0" fillId="10" borderId="9" xfId="2" applyNumberFormat="1" applyFont="1" applyFill="1" applyBorder="1"/>
    <xf numFmtId="167" fontId="0" fillId="10" borderId="21" xfId="2" applyNumberFormat="1" applyFont="1" applyFill="1" applyBorder="1"/>
    <xf numFmtId="167" fontId="0" fillId="10" borderId="21" xfId="0" applyNumberFormat="1" applyFill="1" applyBorder="1"/>
    <xf numFmtId="167" fontId="0" fillId="10" borderId="0" xfId="0" applyNumberFormat="1" applyFill="1" applyBorder="1"/>
    <xf numFmtId="167" fontId="0" fillId="10" borderId="1" xfId="2" applyNumberFormat="1" applyFont="1" applyFill="1" applyBorder="1"/>
    <xf numFmtId="167" fontId="0" fillId="10" borderId="18" xfId="2" applyNumberFormat="1" applyFont="1" applyFill="1" applyBorder="1"/>
    <xf numFmtId="167" fontId="2" fillId="0" borderId="0" xfId="0" applyNumberFormat="1" applyFont="1" applyBorder="1"/>
    <xf numFmtId="0" fontId="8" fillId="3" borderId="9" xfId="0" applyFont="1" applyFill="1" applyBorder="1"/>
    <xf numFmtId="167" fontId="8" fillId="3" borderId="9" xfId="0" applyNumberFormat="1" applyFont="1" applyFill="1" applyBorder="1"/>
    <xf numFmtId="44" fontId="8" fillId="0" borderId="8" xfId="2" applyFont="1" applyBorder="1" applyAlignment="1">
      <alignment horizontal="right"/>
    </xf>
    <xf numFmtId="0" fontId="0" fillId="0" borderId="42" xfId="0" applyBorder="1"/>
    <xf numFmtId="0" fontId="0" fillId="0" borderId="8" xfId="0" applyBorder="1"/>
    <xf numFmtId="9" fontId="0" fillId="3" borderId="9" xfId="0" applyNumberFormat="1" applyFill="1" applyBorder="1"/>
    <xf numFmtId="0" fontId="0" fillId="0" borderId="9" xfId="0" applyBorder="1"/>
    <xf numFmtId="0" fontId="0" fillId="0" borderId="1" xfId="0" applyBorder="1"/>
    <xf numFmtId="166" fontId="0" fillId="0" borderId="0" xfId="0" applyNumberFormat="1" applyFont="1" applyFill="1" applyBorder="1"/>
    <xf numFmtId="0" fontId="40" fillId="0" borderId="0" xfId="0" applyFont="1"/>
    <xf numFmtId="9" fontId="8" fillId="3" borderId="9" xfId="0" applyNumberFormat="1" applyFont="1" applyFill="1" applyBorder="1"/>
    <xf numFmtId="9" fontId="8" fillId="0" borderId="12" xfId="0" applyNumberFormat="1" applyFont="1" applyFill="1" applyBorder="1"/>
    <xf numFmtId="0" fontId="8" fillId="3" borderId="9" xfId="0" applyNumberFormat="1" applyFont="1" applyFill="1" applyBorder="1"/>
    <xf numFmtId="166" fontId="8" fillId="3" borderId="9" xfId="1" applyNumberFormat="1" applyFont="1" applyFill="1" applyBorder="1" applyAlignment="1">
      <alignment horizontal="left"/>
    </xf>
    <xf numFmtId="170" fontId="8" fillId="3" borderId="9" xfId="1" applyNumberFormat="1" applyFont="1" applyFill="1" applyBorder="1" applyAlignment="1">
      <alignment horizontal="left"/>
    </xf>
    <xf numFmtId="1" fontId="8" fillId="3" borderId="1" xfId="0" applyNumberFormat="1" applyFont="1" applyFill="1" applyBorder="1"/>
    <xf numFmtId="171" fontId="0" fillId="0" borderId="0" xfId="2" applyNumberFormat="1" applyFont="1" applyFill="1"/>
    <xf numFmtId="171" fontId="8" fillId="3" borderId="9" xfId="0" applyNumberFormat="1" applyFont="1" applyFill="1" applyBorder="1"/>
    <xf numFmtId="44" fontId="0" fillId="0" borderId="0" xfId="0" applyNumberFormat="1" applyFill="1"/>
    <xf numFmtId="44" fontId="8" fillId="3" borderId="9" xfId="0" applyNumberFormat="1" applyFont="1" applyFill="1" applyBorder="1"/>
    <xf numFmtId="167" fontId="8" fillId="3" borderId="9" xfId="2" applyNumberFormat="1" applyFont="1" applyFill="1" applyBorder="1"/>
    <xf numFmtId="0" fontId="32" fillId="0" borderId="0" xfId="12" applyFont="1" applyFill="1" applyBorder="1"/>
    <xf numFmtId="167" fontId="16" fillId="0" borderId="0" xfId="12" applyNumberFormat="1" applyFont="1" applyFill="1" applyBorder="1"/>
    <xf numFmtId="167" fontId="8" fillId="0" borderId="0" xfId="12" applyNumberFormat="1" applyFont="1" applyBorder="1"/>
    <xf numFmtId="0" fontId="0" fillId="0" borderId="0" xfId="0" applyNumberFormat="1" applyFill="1"/>
    <xf numFmtId="167" fontId="8" fillId="0" borderId="0" xfId="12" applyNumberFormat="1" applyFont="1" applyFill="1" applyBorder="1"/>
    <xf numFmtId="2" fontId="8" fillId="0" borderId="0" xfId="1" applyNumberFormat="1" applyFont="1" applyAlignment="1">
      <alignment horizontal="left"/>
    </xf>
    <xf numFmtId="2" fontId="13" fillId="0" borderId="0" xfId="1" applyNumberFormat="1" applyFont="1" applyAlignment="1">
      <alignment horizontal="left" vertical="top"/>
    </xf>
    <xf numFmtId="2" fontId="14" fillId="0" borderId="0" xfId="0" applyNumberFormat="1" applyFont="1"/>
    <xf numFmtId="43" fontId="14" fillId="0" borderId="0" xfId="0" applyNumberFormat="1" applyFont="1"/>
    <xf numFmtId="166" fontId="8" fillId="0" borderId="4" xfId="1" applyNumberFormat="1" applyFont="1" applyBorder="1" applyAlignment="1">
      <alignment horizontal="left"/>
    </xf>
    <xf numFmtId="0" fontId="20" fillId="0" borderId="5" xfId="0" applyFont="1" applyBorder="1" applyAlignment="1">
      <alignment horizontal="left"/>
    </xf>
    <xf numFmtId="44" fontId="41" fillId="0" borderId="4" xfId="2" applyFont="1" applyBorder="1"/>
    <xf numFmtId="44" fontId="42" fillId="0" borderId="5" xfId="2" applyFont="1" applyBorder="1"/>
    <xf numFmtId="44" fontId="8" fillId="0" borderId="0" xfId="0" applyNumberFormat="1" applyFont="1"/>
    <xf numFmtId="44" fontId="14" fillId="0" borderId="0" xfId="2" applyFont="1"/>
    <xf numFmtId="171" fontId="0" fillId="0" borderId="0" xfId="0" applyNumberFormat="1" applyFill="1"/>
    <xf numFmtId="0" fontId="30" fillId="3" borderId="0" xfId="12" applyFont="1" applyFill="1" applyBorder="1"/>
    <xf numFmtId="44" fontId="0" fillId="0" borderId="0" xfId="2" applyFont="1" applyAlignment="1">
      <alignment horizontal="left"/>
    </xf>
    <xf numFmtId="0" fontId="2" fillId="0" borderId="9" xfId="0" applyFont="1" applyFill="1" applyBorder="1"/>
    <xf numFmtId="44" fontId="8" fillId="0" borderId="14" xfId="2" applyFont="1" applyBorder="1" applyAlignment="1">
      <alignment horizontal="right"/>
    </xf>
    <xf numFmtId="0" fontId="0" fillId="0" borderId="14" xfId="0" applyBorder="1"/>
    <xf numFmtId="170" fontId="8" fillId="0" borderId="9" xfId="1" applyNumberFormat="1" applyFont="1" applyBorder="1"/>
    <xf numFmtId="44" fontId="8" fillId="0" borderId="0" xfId="2" applyFont="1" applyFill="1" applyAlignment="1">
      <alignment horizontal="right"/>
    </xf>
    <xf numFmtId="167" fontId="8" fillId="3" borderId="9" xfId="2" applyNumberFormat="1" applyFont="1" applyFill="1" applyBorder="1" applyAlignment="1">
      <alignment horizontal="right"/>
    </xf>
    <xf numFmtId="0" fontId="8" fillId="3" borderId="13" xfId="0" applyFont="1" applyFill="1" applyBorder="1"/>
    <xf numFmtId="0" fontId="8" fillId="3" borderId="8" xfId="0" applyFont="1" applyFill="1" applyBorder="1"/>
    <xf numFmtId="166" fontId="8" fillId="0" borderId="8" xfId="0" applyNumberFormat="1" applyFont="1" applyBorder="1"/>
    <xf numFmtId="166" fontId="8" fillId="0" borderId="9" xfId="0" applyNumberFormat="1" applyFont="1" applyBorder="1"/>
    <xf numFmtId="1" fontId="8" fillId="3" borderId="9" xfId="0" applyNumberFormat="1" applyFont="1" applyFill="1" applyBorder="1"/>
    <xf numFmtId="9" fontId="8" fillId="3" borderId="10" xfId="0" applyNumberFormat="1" applyFont="1" applyFill="1" applyBorder="1"/>
    <xf numFmtId="9" fontId="8" fillId="3" borderId="12" xfId="0" applyNumberFormat="1" applyFont="1" applyFill="1" applyBorder="1"/>
    <xf numFmtId="1" fontId="8" fillId="3" borderId="1" xfId="1" applyNumberFormat="1" applyFont="1" applyFill="1" applyBorder="1" applyAlignment="1">
      <alignment horizontal="right"/>
    </xf>
    <xf numFmtId="0" fontId="8" fillId="3" borderId="11" xfId="0" applyFont="1" applyFill="1" applyBorder="1"/>
    <xf numFmtId="0" fontId="0" fillId="3" borderId="12" xfId="0" applyFill="1" applyBorder="1"/>
    <xf numFmtId="0" fontId="0" fillId="3" borderId="11" xfId="0" applyFill="1" applyBorder="1"/>
    <xf numFmtId="167" fontId="0" fillId="0" borderId="0" xfId="0" applyNumberFormat="1"/>
    <xf numFmtId="0" fontId="43" fillId="0" borderId="0" xfId="0" applyFont="1" applyAlignment="1">
      <alignment horizontal="left" vertical="center" indent="6"/>
    </xf>
    <xf numFmtId="0" fontId="45" fillId="0" borderId="0" xfId="0" applyFont="1" applyAlignment="1">
      <alignment horizontal="left" vertical="center" indent="4"/>
    </xf>
    <xf numFmtId="0" fontId="46" fillId="0" borderId="0" xfId="0" applyFont="1" applyAlignment="1">
      <alignment horizontal="left" vertical="center" indent="4"/>
    </xf>
    <xf numFmtId="166" fontId="8" fillId="0" borderId="0" xfId="0" applyNumberFormat="1" applyFont="1" applyBorder="1"/>
    <xf numFmtId="44" fontId="8" fillId="3" borderId="9" xfId="2" applyFont="1" applyFill="1" applyBorder="1"/>
    <xf numFmtId="167" fontId="0" fillId="0" borderId="0" xfId="0" applyNumberFormat="1" applyBorder="1"/>
    <xf numFmtId="167" fontId="8" fillId="0" borderId="0" xfId="2" applyNumberFormat="1" applyFont="1" applyBorder="1"/>
    <xf numFmtId="1" fontId="8" fillId="3" borderId="4" xfId="0" applyNumberFormat="1" applyFont="1" applyFill="1" applyBorder="1"/>
    <xf numFmtId="0" fontId="8" fillId="3" borderId="42" xfId="0" applyFont="1" applyFill="1" applyBorder="1"/>
    <xf numFmtId="0" fontId="0" fillId="3" borderId="42" xfId="0" applyFill="1" applyBorder="1"/>
    <xf numFmtId="0" fontId="0" fillId="3" borderId="13" xfId="0" applyFill="1" applyBorder="1"/>
    <xf numFmtId="0" fontId="0" fillId="3" borderId="10" xfId="0" applyFill="1" applyBorder="1"/>
    <xf numFmtId="166" fontId="8" fillId="0" borderId="9" xfId="1" applyNumberFormat="1" applyFont="1" applyFill="1" applyBorder="1"/>
    <xf numFmtId="170" fontId="8" fillId="0" borderId="9" xfId="1" applyNumberFormat="1" applyFont="1" applyFill="1" applyBorder="1"/>
    <xf numFmtId="167" fontId="8" fillId="0" borderId="8" xfId="2" applyNumberFormat="1" applyFont="1" applyBorder="1" applyAlignment="1">
      <alignment horizontal="right"/>
    </xf>
    <xf numFmtId="0" fontId="16" fillId="0" borderId="13" xfId="0" applyFont="1" applyBorder="1"/>
    <xf numFmtId="171" fontId="8" fillId="3" borderId="9" xfId="2" applyNumberFormat="1" applyFont="1" applyFill="1" applyBorder="1" applyAlignment="1">
      <alignment horizontal="right"/>
    </xf>
    <xf numFmtId="0" fontId="8" fillId="12" borderId="1" xfId="0" applyFont="1" applyFill="1" applyBorder="1"/>
    <xf numFmtId="0" fontId="49" fillId="0" borderId="0" xfId="14" applyBorder="1"/>
    <xf numFmtId="166" fontId="8" fillId="3" borderId="8" xfId="1" applyNumberFormat="1" applyFont="1" applyFill="1" applyBorder="1"/>
    <xf numFmtId="9" fontId="33" fillId="0" borderId="0" xfId="12" applyNumberFormat="1" applyFont="1" applyFill="1"/>
    <xf numFmtId="171" fontId="0" fillId="0" borderId="0" xfId="0" applyNumberFormat="1" applyFill="1" applyBorder="1"/>
    <xf numFmtId="167" fontId="0" fillId="9" borderId="6" xfId="0" applyNumberFormat="1" applyFill="1" applyBorder="1"/>
    <xf numFmtId="167" fontId="0" fillId="9" borderId="7" xfId="0" applyNumberFormat="1" applyFill="1" applyBorder="1"/>
    <xf numFmtId="0" fontId="0" fillId="0" borderId="3" xfId="2" applyNumberFormat="1" applyFont="1" applyFill="1" applyBorder="1" applyAlignment="1">
      <alignment horizontal="left" vertical="top"/>
    </xf>
    <xf numFmtId="0" fontId="0" fillId="0" borderId="2" xfId="0" applyBorder="1"/>
    <xf numFmtId="0" fontId="0" fillId="0" borderId="7" xfId="0" applyBorder="1"/>
    <xf numFmtId="2" fontId="8" fillId="3" borderId="9" xfId="0" applyNumberFormat="1" applyFont="1" applyFill="1" applyBorder="1"/>
    <xf numFmtId="9" fontId="8" fillId="0" borderId="12" xfId="0" applyNumberFormat="1" applyFont="1" applyBorder="1"/>
    <xf numFmtId="168" fontId="8" fillId="0" borderId="8" xfId="0" applyNumberFormat="1" applyFont="1" applyBorder="1"/>
    <xf numFmtId="0" fontId="2" fillId="0" borderId="12" xfId="0" applyFont="1" applyFill="1" applyBorder="1"/>
    <xf numFmtId="43" fontId="0" fillId="0" borderId="14" xfId="0" applyNumberFormat="1" applyFont="1" applyFill="1" applyBorder="1"/>
    <xf numFmtId="166" fontId="0" fillId="0" borderId="14" xfId="0" applyNumberFormat="1" applyFill="1" applyBorder="1"/>
    <xf numFmtId="44" fontId="8" fillId="0" borderId="13" xfId="2" applyFont="1" applyBorder="1"/>
    <xf numFmtId="44" fontId="8" fillId="0" borderId="0" xfId="2" applyFont="1" applyBorder="1" applyAlignment="1">
      <alignment horizontal="left" vertical="top"/>
    </xf>
    <xf numFmtId="0" fontId="50" fillId="0" borderId="0" xfId="12" applyFont="1"/>
    <xf numFmtId="0" fontId="51" fillId="0" borderId="0" xfId="0" applyFont="1" applyBorder="1"/>
    <xf numFmtId="0" fontId="52" fillId="0" borderId="0" xfId="12" applyFont="1"/>
    <xf numFmtId="0" fontId="51" fillId="0" borderId="0" xfId="12" applyFont="1"/>
    <xf numFmtId="0" fontId="51" fillId="0" borderId="0" xfId="12" applyFont="1" applyBorder="1"/>
    <xf numFmtId="2" fontId="52" fillId="0" borderId="0" xfId="12" applyNumberFormat="1" applyFont="1" applyBorder="1" applyAlignment="1">
      <alignment horizontal="left"/>
    </xf>
    <xf numFmtId="44" fontId="51" fillId="0" borderId="0" xfId="12" applyNumberFormat="1" applyFont="1" applyBorder="1" applyAlignment="1">
      <alignment horizontal="left"/>
    </xf>
    <xf numFmtId="0" fontId="51" fillId="0" borderId="0" xfId="12" applyFont="1" applyBorder="1" applyAlignment="1">
      <alignment horizontal="left"/>
    </xf>
    <xf numFmtId="167" fontId="52" fillId="23" borderId="0" xfId="2" applyNumberFormat="1" applyFont="1" applyFill="1" applyBorder="1" applyAlignment="1">
      <alignment horizontal="right" vertical="top"/>
    </xf>
    <xf numFmtId="0" fontId="52" fillId="23" borderId="0" xfId="12" applyFont="1" applyFill="1" applyBorder="1"/>
    <xf numFmtId="0" fontId="51" fillId="23" borderId="0" xfId="12" applyFont="1" applyFill="1" applyBorder="1"/>
    <xf numFmtId="167" fontId="52" fillId="23" borderId="0" xfId="2" applyNumberFormat="1" applyFont="1" applyFill="1" applyBorder="1" applyAlignment="1">
      <alignment horizontal="right"/>
    </xf>
    <xf numFmtId="167" fontId="52" fillId="24" borderId="0" xfId="2" applyNumberFormat="1" applyFont="1" applyFill="1" applyBorder="1"/>
    <xf numFmtId="0" fontId="52" fillId="24" borderId="0" xfId="12" applyFont="1" applyFill="1" applyBorder="1"/>
    <xf numFmtId="167" fontId="8" fillId="3" borderId="0" xfId="2" applyNumberFormat="1" applyFont="1" applyFill="1" applyBorder="1" applyAlignment="1">
      <alignment horizontal="right"/>
    </xf>
    <xf numFmtId="170" fontId="8" fillId="12" borderId="0" xfId="12" applyNumberFormat="1" applyFont="1" applyFill="1" applyBorder="1"/>
    <xf numFmtId="43" fontId="8" fillId="0" borderId="9" xfId="1" applyNumberFormat="1" applyFont="1" applyFill="1" applyBorder="1"/>
    <xf numFmtId="166" fontId="8" fillId="7" borderId="9" xfId="1" applyNumberFormat="1" applyFont="1" applyFill="1" applyBorder="1"/>
    <xf numFmtId="0" fontId="8" fillId="7" borderId="12" xfId="0" applyFont="1" applyFill="1" applyBorder="1"/>
    <xf numFmtId="166" fontId="0" fillId="0" borderId="14" xfId="1" applyNumberFormat="1" applyFont="1" applyFill="1" applyBorder="1"/>
    <xf numFmtId="166" fontId="19" fillId="3" borderId="0" xfId="1" applyNumberFormat="1" applyFont="1" applyFill="1"/>
    <xf numFmtId="166" fontId="19" fillId="0" borderId="0" xfId="1" applyNumberFormat="1" applyFont="1" applyFill="1"/>
    <xf numFmtId="44" fontId="19" fillId="0" borderId="4" xfId="2" applyFont="1" applyFill="1" applyBorder="1"/>
    <xf numFmtId="0" fontId="8" fillId="0" borderId="42" xfId="0" applyFont="1" applyFill="1" applyBorder="1"/>
    <xf numFmtId="0" fontId="49" fillId="0" borderId="0" xfId="14"/>
    <xf numFmtId="0" fontId="53" fillId="0" borderId="0" xfId="0" applyFont="1" applyAlignment="1">
      <alignment horizontal="left" vertical="center" indent="2"/>
    </xf>
    <xf numFmtId="0" fontId="5" fillId="0" borderId="0" xfId="0" applyFont="1" applyAlignment="1">
      <alignment horizontal="left" vertical="center" indent="6"/>
    </xf>
    <xf numFmtId="0" fontId="49" fillId="0" borderId="0" xfId="14" applyAlignment="1">
      <alignment vertical="center"/>
    </xf>
    <xf numFmtId="0" fontId="49" fillId="0" borderId="0" xfId="14" applyAlignment="1">
      <alignment horizontal="left" vertical="center" indent="6"/>
    </xf>
    <xf numFmtId="0" fontId="48" fillId="0" borderId="0" xfId="0" applyFont="1" applyAlignment="1">
      <alignment horizontal="left" vertical="center" indent="10"/>
    </xf>
    <xf numFmtId="0" fontId="49" fillId="0" borderId="0" xfId="14" applyAlignment="1">
      <alignment horizontal="left" vertical="center" indent="10"/>
    </xf>
    <xf numFmtId="0" fontId="55" fillId="0" borderId="0" xfId="14" applyFont="1"/>
    <xf numFmtId="0" fontId="56" fillId="0" borderId="0" xfId="0" applyFont="1"/>
    <xf numFmtId="0" fontId="57" fillId="0" borderId="0" xfId="0" applyFont="1" applyFill="1"/>
    <xf numFmtId="43" fontId="8" fillId="3" borderId="9" xfId="1" applyNumberFormat="1" applyFont="1" applyFill="1" applyBorder="1" applyAlignment="1">
      <alignment horizontal="left"/>
    </xf>
    <xf numFmtId="0" fontId="19" fillId="3" borderId="0" xfId="12" applyFont="1" applyFill="1"/>
    <xf numFmtId="2" fontId="0" fillId="0" borderId="0" xfId="0" applyNumberFormat="1" applyFill="1"/>
    <xf numFmtId="0" fontId="0" fillId="3" borderId="1" xfId="0" applyFill="1" applyBorder="1"/>
    <xf numFmtId="170" fontId="8" fillId="0" borderId="12" xfId="0" applyNumberFormat="1" applyFont="1" applyBorder="1"/>
    <xf numFmtId="1" fontId="8" fillId="0" borderId="9" xfId="0" applyNumberFormat="1" applyFont="1" applyFill="1" applyBorder="1"/>
    <xf numFmtId="0" fontId="8" fillId="3" borderId="12" xfId="0" applyFont="1" applyFill="1" applyBorder="1"/>
    <xf numFmtId="166" fontId="0" fillId="0" borderId="0" xfId="0" applyNumberFormat="1"/>
    <xf numFmtId="2" fontId="0" fillId="0" borderId="0" xfId="0" applyNumberFormat="1"/>
    <xf numFmtId="166" fontId="0" fillId="0" borderId="0" xfId="1" applyNumberFormat="1" applyFont="1" applyFill="1"/>
    <xf numFmtId="44" fontId="2" fillId="0" borderId="0" xfId="2" applyFont="1" applyBorder="1"/>
    <xf numFmtId="166" fontId="8" fillId="3" borderId="9" xfId="1" applyNumberFormat="1" applyFont="1" applyFill="1" applyBorder="1" applyAlignment="1">
      <alignment horizontal="left" vertical="top"/>
    </xf>
    <xf numFmtId="166" fontId="16" fillId="0" borderId="1" xfId="1" applyNumberFormat="1" applyFont="1" applyFill="1" applyBorder="1" applyAlignment="1">
      <alignment horizontal="right"/>
    </xf>
    <xf numFmtId="173" fontId="8" fillId="0" borderId="9" xfId="2" applyNumberFormat="1" applyFont="1" applyBorder="1"/>
    <xf numFmtId="44" fontId="0" fillId="3" borderId="0" xfId="2" applyFont="1" applyFill="1" applyBorder="1"/>
    <xf numFmtId="43" fontId="0" fillId="0" borderId="0" xfId="1" applyFont="1"/>
    <xf numFmtId="166" fontId="0" fillId="0" borderId="0" xfId="1" applyNumberFormat="1" applyFont="1"/>
    <xf numFmtId="0" fontId="5" fillId="0" borderId="0" xfId="0" applyFont="1" applyAlignment="1">
      <alignment vertical="top"/>
    </xf>
    <xf numFmtId="9" fontId="0" fillId="0" borderId="0" xfId="0" applyNumberFormat="1" applyFill="1" applyBorder="1"/>
    <xf numFmtId="44" fontId="0" fillId="0" borderId="0" xfId="2" applyFont="1" applyFill="1" applyBorder="1"/>
    <xf numFmtId="44" fontId="8" fillId="3" borderId="0" xfId="2" applyFont="1" applyFill="1" applyAlignment="1">
      <alignment horizontal="right"/>
    </xf>
    <xf numFmtId="8" fontId="0" fillId="3" borderId="9" xfId="0" applyNumberFormat="1" applyFill="1" applyBorder="1"/>
    <xf numFmtId="6" fontId="0" fillId="3" borderId="9" xfId="0" applyNumberFormat="1" applyFill="1" applyBorder="1"/>
    <xf numFmtId="6" fontId="0" fillId="3" borderId="1" xfId="0" applyNumberFormat="1" applyFill="1" applyBorder="1"/>
    <xf numFmtId="0" fontId="0" fillId="3" borderId="9" xfId="0" applyFill="1" applyBorder="1"/>
    <xf numFmtId="0" fontId="5" fillId="3" borderId="0" xfId="0" applyFont="1" applyFill="1" applyBorder="1"/>
    <xf numFmtId="44" fontId="0" fillId="0" borderId="1" xfId="2" applyFont="1" applyFill="1" applyBorder="1"/>
    <xf numFmtId="174" fontId="0" fillId="0" borderId="0" xfId="0" applyNumberFormat="1" applyFill="1" applyBorder="1"/>
    <xf numFmtId="44" fontId="0" fillId="0" borderId="12" xfId="2" applyFont="1" applyFill="1" applyBorder="1"/>
    <xf numFmtId="9" fontId="0" fillId="0" borderId="14" xfId="0" applyNumberFormat="1" applyBorder="1"/>
    <xf numFmtId="0" fontId="0" fillId="0" borderId="14" xfId="0" applyNumberFormat="1" applyBorder="1"/>
    <xf numFmtId="166" fontId="1" fillId="0" borderId="14" xfId="1" applyNumberFormat="1" applyFont="1" applyBorder="1"/>
    <xf numFmtId="166" fontId="1" fillId="0" borderId="11" xfId="1" applyNumberFormat="1" applyFont="1" applyBorder="1"/>
    <xf numFmtId="1" fontId="0" fillId="0" borderId="0" xfId="0" applyNumberFormat="1" applyFill="1"/>
    <xf numFmtId="1" fontId="0" fillId="0" borderId="0" xfId="0" applyNumberFormat="1"/>
    <xf numFmtId="167" fontId="8" fillId="0" borderId="12" xfId="12" applyNumberFormat="1" applyFont="1" applyBorder="1"/>
    <xf numFmtId="167" fontId="8" fillId="0" borderId="12" xfId="12" applyNumberFormat="1" applyFont="1" applyFill="1" applyBorder="1"/>
    <xf numFmtId="167" fontId="8" fillId="0" borderId="11" xfId="12" applyNumberFormat="1" applyFont="1" applyBorder="1"/>
    <xf numFmtId="0" fontId="45" fillId="0" borderId="0" xfId="0" applyFont="1" applyAlignment="1">
      <alignment horizontal="left" vertical="center" indent="8"/>
    </xf>
    <xf numFmtId="0" fontId="53" fillId="0" borderId="0" xfId="0" applyFont="1" applyAlignment="1">
      <alignment horizontal="left" vertical="center" indent="12"/>
    </xf>
    <xf numFmtId="0" fontId="43" fillId="0" borderId="0" xfId="0" applyFont="1" applyAlignment="1">
      <alignment horizontal="left" vertical="center" indent="15"/>
    </xf>
    <xf numFmtId="0" fontId="49" fillId="0" borderId="0" xfId="14" applyAlignment="1">
      <alignment horizontal="left" vertical="center" indent="12"/>
    </xf>
    <xf numFmtId="166" fontId="0" fillId="3" borderId="0" xfId="1" applyNumberFormat="1" applyFont="1" applyFill="1"/>
    <xf numFmtId="167" fontId="0" fillId="3" borderId="0" xfId="2" applyNumberFormat="1" applyFont="1" applyFill="1"/>
    <xf numFmtId="44" fontId="0" fillId="0" borderId="0" xfId="2" applyNumberFormat="1" applyFont="1"/>
    <xf numFmtId="167" fontId="0" fillId="0" borderId="0" xfId="2" applyNumberFormat="1" applyFont="1" applyFill="1"/>
    <xf numFmtId="44" fontId="0" fillId="0" borderId="0" xfId="2" applyNumberFormat="1" applyFont="1" applyFill="1"/>
    <xf numFmtId="0" fontId="5" fillId="0" borderId="0" xfId="0" applyFont="1" applyFill="1" applyBorder="1"/>
    <xf numFmtId="0" fontId="0" fillId="0" borderId="0" xfId="0" applyFill="1" applyAlignment="1">
      <alignment horizontal="left" vertical="top"/>
    </xf>
    <xf numFmtId="0" fontId="0" fillId="0" borderId="33" xfId="0" applyBorder="1"/>
    <xf numFmtId="0" fontId="0" fillId="0" borderId="38" xfId="0" applyBorder="1"/>
    <xf numFmtId="0" fontId="0" fillId="0" borderId="34" xfId="0" applyBorder="1"/>
    <xf numFmtId="0" fontId="0" fillId="0" borderId="0" xfId="0" applyAlignment="1">
      <alignment vertical="center"/>
    </xf>
    <xf numFmtId="0" fontId="61" fillId="0" borderId="0" xfId="0" applyFont="1" applyAlignment="1">
      <alignment horizontal="left" vertical="center" indent="4"/>
    </xf>
    <xf numFmtId="9" fontId="0" fillId="0" borderId="0" xfId="0" applyNumberFormat="1"/>
    <xf numFmtId="9" fontId="13" fillId="0" borderId="0" xfId="0" applyNumberFormat="1" applyFont="1" applyAlignment="1">
      <alignment vertical="center"/>
    </xf>
    <xf numFmtId="167" fontId="13" fillId="0" borderId="0" xfId="2" applyNumberFormat="1" applyFont="1" applyAlignment="1">
      <alignment vertical="center"/>
    </xf>
    <xf numFmtId="176" fontId="0" fillId="0" borderId="0" xfId="11" applyNumberFormat="1" applyFont="1"/>
    <xf numFmtId="44" fontId="0" fillId="0" borderId="33" xfId="2" applyFont="1" applyFill="1" applyBorder="1"/>
    <xf numFmtId="167" fontId="0" fillId="9" borderId="27" xfId="2" applyNumberFormat="1" applyFont="1" applyFill="1" applyBorder="1"/>
    <xf numFmtId="167" fontId="0" fillId="9" borderId="28" xfId="0" applyNumberFormat="1" applyFill="1" applyBorder="1"/>
    <xf numFmtId="167" fontId="0" fillId="9" borderId="28" xfId="2" applyNumberFormat="1" applyFont="1" applyFill="1" applyBorder="1"/>
    <xf numFmtId="1" fontId="0" fillId="9" borderId="4" xfId="0" applyNumberFormat="1" applyFill="1" applyBorder="1"/>
    <xf numFmtId="0" fontId="0" fillId="0" borderId="0" xfId="2" applyNumberFormat="1" applyFont="1" applyFill="1" applyBorder="1"/>
    <xf numFmtId="167" fontId="0" fillId="0" borderId="27" xfId="2" applyNumberFormat="1" applyFont="1" applyFill="1" applyBorder="1"/>
    <xf numFmtId="44" fontId="0" fillId="0" borderId="28" xfId="2" applyFont="1" applyFill="1" applyBorder="1"/>
    <xf numFmtId="44" fontId="28" fillId="0" borderId="28" xfId="11" applyNumberFormat="1" applyFont="1" applyFill="1" applyBorder="1"/>
    <xf numFmtId="0" fontId="0" fillId="0" borderId="6" xfId="0" applyBorder="1"/>
    <xf numFmtId="0" fontId="0" fillId="0" borderId="4" xfId="0" applyBorder="1"/>
    <xf numFmtId="0" fontId="0" fillId="0" borderId="3" xfId="0" applyBorder="1"/>
    <xf numFmtId="0" fontId="25" fillId="0" borderId="0" xfId="0" applyFont="1"/>
    <xf numFmtId="0" fontId="25" fillId="0" borderId="0" xfId="0" applyFont="1" applyAlignment="1">
      <alignment vertical="center"/>
    </xf>
    <xf numFmtId="0" fontId="24" fillId="0" borderId="0" xfId="0" applyFont="1" applyAlignment="1">
      <alignment vertical="center"/>
    </xf>
    <xf numFmtId="0" fontId="24" fillId="0" borderId="0" xfId="0" applyFont="1" applyAlignment="1">
      <alignment horizontal="left" vertical="center" indent="1"/>
    </xf>
    <xf numFmtId="0" fontId="40" fillId="0" borderId="0" xfId="0" applyFont="1" applyAlignment="1">
      <alignment vertical="center"/>
    </xf>
    <xf numFmtId="0" fontId="40" fillId="0" borderId="0" xfId="0" applyFont="1" applyAlignment="1">
      <alignment horizontal="left" vertical="center" indent="12"/>
    </xf>
    <xf numFmtId="0" fontId="24" fillId="0" borderId="0" xfId="0" applyFont="1" applyAlignment="1">
      <alignment horizontal="left" vertical="center" indent="2"/>
    </xf>
    <xf numFmtId="0" fontId="24" fillId="0" borderId="0" xfId="0" applyFont="1" applyAlignment="1">
      <alignment horizontal="left" vertical="center" indent="3"/>
    </xf>
    <xf numFmtId="0" fontId="62" fillId="0" borderId="0" xfId="0" applyFont="1" applyAlignment="1">
      <alignment horizontal="left" vertical="center" indent="12"/>
    </xf>
    <xf numFmtId="0" fontId="63" fillId="0" borderId="0" xfId="0" applyFont="1" applyAlignment="1">
      <alignment horizontal="left" vertical="center" indent="15"/>
    </xf>
    <xf numFmtId="0" fontId="0" fillId="0" borderId="12" xfId="0" applyBorder="1" applyAlignment="1">
      <alignment horizontal="center" wrapText="1"/>
    </xf>
    <xf numFmtId="9" fontId="0" fillId="0" borderId="12" xfId="11" applyFont="1" applyBorder="1"/>
    <xf numFmtId="0" fontId="0" fillId="28" borderId="6" xfId="0" applyFill="1" applyBorder="1"/>
    <xf numFmtId="0" fontId="0" fillId="28" borderId="7" xfId="0" applyFill="1" applyBorder="1"/>
    <xf numFmtId="9" fontId="0" fillId="0" borderId="0" xfId="11" applyFont="1" applyBorder="1"/>
    <xf numFmtId="9" fontId="0" fillId="0" borderId="0" xfId="11" applyFont="1" applyFill="1" applyBorder="1"/>
    <xf numFmtId="0" fontId="33" fillId="0" borderId="0" xfId="12" applyFont="1"/>
    <xf numFmtId="167" fontId="0" fillId="9" borderId="0" xfId="0" applyNumberFormat="1" applyFill="1"/>
    <xf numFmtId="0" fontId="16" fillId="0" borderId="6" xfId="0" applyFont="1" applyBorder="1"/>
    <xf numFmtId="0" fontId="0" fillId="10" borderId="3" xfId="0" applyFill="1" applyBorder="1" applyAlignment="1">
      <alignment horizontal="left" vertical="top"/>
    </xf>
    <xf numFmtId="167" fontId="8" fillId="0" borderId="9" xfId="0" applyNumberFormat="1" applyFont="1" applyBorder="1"/>
    <xf numFmtId="167" fontId="0" fillId="0" borderId="14" xfId="0" applyNumberFormat="1" applyBorder="1"/>
    <xf numFmtId="43" fontId="8" fillId="0" borderId="9" xfId="1" applyFont="1" applyBorder="1"/>
    <xf numFmtId="0" fontId="2" fillId="0" borderId="8" xfId="0" applyFont="1" applyBorder="1"/>
    <xf numFmtId="0" fontId="2" fillId="0" borderId="13" xfId="0" applyFont="1" applyBorder="1"/>
    <xf numFmtId="0" fontId="2" fillId="0" borderId="10" xfId="0" applyFont="1" applyBorder="1"/>
    <xf numFmtId="166" fontId="0" fillId="0" borderId="0" xfId="1" applyNumberFormat="1" applyFont="1" applyFill="1" applyBorder="1"/>
    <xf numFmtId="166" fontId="0" fillId="0" borderId="0" xfId="1" applyNumberFormat="1" applyFont="1" applyBorder="1"/>
    <xf numFmtId="44" fontId="8" fillId="0" borderId="14" xfId="0" applyNumberFormat="1" applyFont="1" applyBorder="1"/>
    <xf numFmtId="44" fontId="8" fillId="0" borderId="11" xfId="0" applyNumberFormat="1" applyFont="1" applyBorder="1"/>
    <xf numFmtId="0" fontId="8" fillId="3" borderId="0" xfId="0" applyFont="1" applyFill="1"/>
    <xf numFmtId="0" fontId="0" fillId="28" borderId="12" xfId="0" applyFill="1" applyBorder="1"/>
    <xf numFmtId="0" fontId="0" fillId="28" borderId="11" xfId="0" applyFill="1" applyBorder="1"/>
    <xf numFmtId="0" fontId="8" fillId="0" borderId="0" xfId="0" applyFont="1" applyAlignment="1">
      <alignment vertical="center"/>
    </xf>
    <xf numFmtId="0" fontId="64" fillId="0" borderId="0" xfId="0" applyFont="1" applyAlignment="1">
      <alignment vertical="center"/>
    </xf>
    <xf numFmtId="2" fontId="8" fillId="0" borderId="0" xfId="0" applyNumberFormat="1" applyFont="1" applyBorder="1"/>
    <xf numFmtId="0" fontId="33" fillId="0" borderId="0" xfId="0" applyFont="1"/>
    <xf numFmtId="2" fontId="8" fillId="0" borderId="12" xfId="0" applyNumberFormat="1" applyFont="1" applyBorder="1"/>
    <xf numFmtId="2" fontId="8" fillId="12" borderId="8" xfId="0" applyNumberFormat="1" applyFont="1" applyFill="1" applyBorder="1"/>
    <xf numFmtId="2" fontId="8" fillId="12" borderId="9" xfId="0" applyNumberFormat="1" applyFont="1" applyFill="1" applyBorder="1"/>
    <xf numFmtId="2" fontId="8" fillId="12" borderId="1" xfId="0" applyNumberFormat="1" applyFont="1" applyFill="1" applyBorder="1"/>
    <xf numFmtId="2" fontId="8" fillId="0" borderId="11" xfId="0" applyNumberFormat="1" applyFont="1" applyBorder="1"/>
    <xf numFmtId="1" fontId="0" fillId="10" borderId="30" xfId="0" applyNumberFormat="1" applyFill="1" applyBorder="1"/>
    <xf numFmtId="167" fontId="0" fillId="10" borderId="11" xfId="2" applyNumberFormat="1" applyFont="1" applyFill="1" applyBorder="1"/>
    <xf numFmtId="44" fontId="0" fillId="10" borderId="27" xfId="2" applyFont="1" applyFill="1" applyBorder="1"/>
    <xf numFmtId="167" fontId="0" fillId="10" borderId="27" xfId="2" applyNumberFormat="1" applyFont="1" applyFill="1" applyBorder="1"/>
    <xf numFmtId="167" fontId="0" fillId="10" borderId="5" xfId="2" applyNumberFormat="1" applyFont="1" applyFill="1" applyBorder="1"/>
    <xf numFmtId="44" fontId="0" fillId="10" borderId="28" xfId="2" applyFont="1" applyFill="1" applyBorder="1"/>
    <xf numFmtId="167" fontId="0" fillId="10" borderId="28" xfId="2" applyNumberFormat="1" applyFont="1" applyFill="1" applyBorder="1"/>
    <xf numFmtId="0" fontId="0" fillId="10" borderId="28" xfId="0" applyFill="1" applyBorder="1"/>
    <xf numFmtId="167" fontId="0" fillId="10" borderId="28" xfId="0" applyNumberFormat="1" applyFill="1" applyBorder="1"/>
    <xf numFmtId="167" fontId="0" fillId="29" borderId="3" xfId="2" applyNumberFormat="1" applyFont="1" applyFill="1" applyBorder="1"/>
    <xf numFmtId="0" fontId="0" fillId="29" borderId="3" xfId="2" applyNumberFormat="1" applyFont="1" applyFill="1" applyBorder="1"/>
    <xf numFmtId="1" fontId="0" fillId="29" borderId="4" xfId="0" applyNumberFormat="1" applyFill="1" applyBorder="1"/>
    <xf numFmtId="1" fontId="0" fillId="29" borderId="19" xfId="0" applyNumberFormat="1" applyFill="1" applyBorder="1"/>
    <xf numFmtId="1" fontId="0" fillId="29" borderId="3" xfId="0" applyNumberFormat="1" applyFill="1" applyBorder="1"/>
    <xf numFmtId="167" fontId="0" fillId="29" borderId="13" xfId="2" applyNumberFormat="1" applyFont="1" applyFill="1" applyBorder="1"/>
    <xf numFmtId="1" fontId="0" fillId="29" borderId="30" xfId="0" applyNumberFormat="1" applyFill="1" applyBorder="1"/>
    <xf numFmtId="167" fontId="0" fillId="29" borderId="1" xfId="2" applyNumberFormat="1" applyFont="1" applyFill="1" applyBorder="1"/>
    <xf numFmtId="167" fontId="0" fillId="29" borderId="11" xfId="2" applyNumberFormat="1" applyFont="1" applyFill="1" applyBorder="1"/>
    <xf numFmtId="44" fontId="0" fillId="29" borderId="27" xfId="2" applyFont="1" applyFill="1" applyBorder="1"/>
    <xf numFmtId="167" fontId="0" fillId="29" borderId="27" xfId="2" applyNumberFormat="1" applyFont="1" applyFill="1" applyBorder="1"/>
    <xf numFmtId="0" fontId="0" fillId="29" borderId="0" xfId="0" applyFill="1"/>
    <xf numFmtId="0" fontId="16" fillId="29" borderId="6" xfId="0" applyFont="1" applyFill="1" applyBorder="1"/>
    <xf numFmtId="167" fontId="0" fillId="29" borderId="9" xfId="2" applyNumberFormat="1" applyFont="1" applyFill="1" applyBorder="1"/>
    <xf numFmtId="167" fontId="0" fillId="29" borderId="0" xfId="2" applyNumberFormat="1" applyFont="1" applyFill="1" applyBorder="1"/>
    <xf numFmtId="167" fontId="0" fillId="29" borderId="5" xfId="2" applyNumberFormat="1" applyFont="1" applyFill="1" applyBorder="1"/>
    <xf numFmtId="44" fontId="0" fillId="29" borderId="28" xfId="2" applyFont="1" applyFill="1" applyBorder="1"/>
    <xf numFmtId="167" fontId="0" fillId="29" borderId="28" xfId="2" applyNumberFormat="1" applyFont="1" applyFill="1" applyBorder="1"/>
    <xf numFmtId="0" fontId="0" fillId="29" borderId="28" xfId="0" applyFill="1" applyBorder="1"/>
    <xf numFmtId="167" fontId="0" fillId="29" borderId="28" xfId="0" applyNumberFormat="1" applyFill="1" applyBorder="1"/>
    <xf numFmtId="167" fontId="0" fillId="24" borderId="3" xfId="2" applyNumberFormat="1" applyFont="1" applyFill="1" applyBorder="1"/>
    <xf numFmtId="0" fontId="0" fillId="24" borderId="3" xfId="2" applyNumberFormat="1" applyFont="1" applyFill="1" applyBorder="1"/>
    <xf numFmtId="1" fontId="0" fillId="24" borderId="4" xfId="0" applyNumberFormat="1" applyFill="1" applyBorder="1"/>
    <xf numFmtId="1" fontId="0" fillId="24" borderId="19" xfId="0" applyNumberFormat="1" applyFill="1" applyBorder="1"/>
    <xf numFmtId="1" fontId="0" fillId="24" borderId="3" xfId="0" applyNumberFormat="1" applyFill="1" applyBorder="1"/>
    <xf numFmtId="167" fontId="0" fillId="24" borderId="13" xfId="2" applyNumberFormat="1" applyFont="1" applyFill="1" applyBorder="1"/>
    <xf numFmtId="1" fontId="0" fillId="24" borderId="30" xfId="0" applyNumberFormat="1" applyFill="1" applyBorder="1"/>
    <xf numFmtId="167" fontId="0" fillId="24" borderId="1" xfId="2" applyNumberFormat="1" applyFont="1" applyFill="1" applyBorder="1"/>
    <xf numFmtId="167" fontId="0" fillId="24" borderId="11" xfId="2" applyNumberFormat="1" applyFont="1" applyFill="1" applyBorder="1"/>
    <xf numFmtId="44" fontId="0" fillId="24" borderId="27" xfId="2" applyFont="1" applyFill="1" applyBorder="1"/>
    <xf numFmtId="167" fontId="0" fillId="24" borderId="27" xfId="2" applyNumberFormat="1" applyFont="1" applyFill="1" applyBorder="1"/>
    <xf numFmtId="0" fontId="0" fillId="24" borderId="0" xfId="0" applyFill="1"/>
    <xf numFmtId="0" fontId="16" fillId="24" borderId="6" xfId="0" applyFont="1" applyFill="1" applyBorder="1"/>
    <xf numFmtId="167" fontId="0" fillId="24" borderId="9" xfId="2" applyNumberFormat="1" applyFont="1" applyFill="1" applyBorder="1"/>
    <xf numFmtId="167" fontId="0" fillId="24" borderId="0" xfId="2" applyNumberFormat="1" applyFont="1" applyFill="1" applyBorder="1"/>
    <xf numFmtId="167" fontId="0" fillId="24" borderId="5" xfId="2" applyNumberFormat="1" applyFont="1" applyFill="1" applyBorder="1"/>
    <xf numFmtId="44" fontId="0" fillId="24" borderId="28" xfId="2" applyFont="1" applyFill="1" applyBorder="1"/>
    <xf numFmtId="167" fontId="0" fillId="24" borderId="28" xfId="2" applyNumberFormat="1" applyFont="1" applyFill="1" applyBorder="1"/>
    <xf numFmtId="0" fontId="0" fillId="24" borderId="28" xfId="0" applyFill="1" applyBorder="1"/>
    <xf numFmtId="167" fontId="0" fillId="24" borderId="28" xfId="0" applyNumberFormat="1" applyFill="1" applyBorder="1"/>
    <xf numFmtId="0" fontId="0" fillId="24" borderId="3" xfId="0" applyFill="1" applyBorder="1"/>
    <xf numFmtId="0" fontId="0" fillId="29" borderId="3" xfId="0" applyFill="1" applyBorder="1"/>
    <xf numFmtId="166" fontId="0" fillId="0" borderId="12" xfId="1" applyNumberFormat="1" applyFont="1" applyBorder="1"/>
    <xf numFmtId="2" fontId="8" fillId="29" borderId="9" xfId="0" applyNumberFormat="1" applyFont="1" applyFill="1" applyBorder="1"/>
    <xf numFmtId="167" fontId="0" fillId="0" borderId="6" xfId="2" applyNumberFormat="1" applyFont="1" applyBorder="1"/>
    <xf numFmtId="167" fontId="0" fillId="28" borderId="0" xfId="2" applyNumberFormat="1" applyFont="1" applyFill="1" applyBorder="1"/>
    <xf numFmtId="167" fontId="0" fillId="28" borderId="6" xfId="2" applyNumberFormat="1" applyFont="1" applyFill="1" applyBorder="1"/>
    <xf numFmtId="0" fontId="65" fillId="0" borderId="0" xfId="0" applyFont="1" applyAlignment="1">
      <alignment horizontal="left" vertical="center" indent="12"/>
    </xf>
    <xf numFmtId="0" fontId="19" fillId="0" borderId="0" xfId="0" applyFont="1" applyAlignment="1">
      <alignment horizontal="left" vertical="top"/>
    </xf>
    <xf numFmtId="166" fontId="0" fillId="0" borderId="6" xfId="1" applyNumberFormat="1" applyFont="1" applyBorder="1"/>
    <xf numFmtId="2" fontId="8" fillId="0" borderId="14" xfId="0" applyNumberFormat="1" applyFont="1" applyBorder="1"/>
    <xf numFmtId="2" fontId="2" fillId="0" borderId="0" xfId="0" applyNumberFormat="1" applyFont="1"/>
    <xf numFmtId="2" fontId="16" fillId="0" borderId="1" xfId="0" applyNumberFormat="1" applyFont="1" applyBorder="1"/>
    <xf numFmtId="0" fontId="16" fillId="10" borderId="7" xfId="0" applyFont="1" applyFill="1" applyBorder="1"/>
    <xf numFmtId="167" fontId="0" fillId="10" borderId="14" xfId="2" applyNumberFormat="1" applyFont="1" applyFill="1" applyBorder="1"/>
    <xf numFmtId="167" fontId="0" fillId="10" borderId="26" xfId="2" applyNumberFormat="1" applyFont="1" applyFill="1" applyBorder="1"/>
    <xf numFmtId="0" fontId="0" fillId="24" borderId="4" xfId="0" applyFill="1" applyBorder="1"/>
    <xf numFmtId="0" fontId="16" fillId="24" borderId="7" xfId="0" applyFont="1" applyFill="1" applyBorder="1"/>
    <xf numFmtId="167" fontId="0" fillId="24" borderId="14" xfId="2" applyNumberFormat="1" applyFont="1" applyFill="1" applyBorder="1"/>
    <xf numFmtId="167" fontId="0" fillId="24" borderId="26" xfId="2" applyNumberFormat="1" applyFont="1" applyFill="1" applyBorder="1"/>
    <xf numFmtId="0" fontId="0" fillId="29" borderId="4" xfId="0" applyFill="1" applyBorder="1"/>
    <xf numFmtId="0" fontId="16" fillId="29" borderId="7" xfId="0" applyFont="1" applyFill="1" applyBorder="1"/>
    <xf numFmtId="167" fontId="0" fillId="29" borderId="14" xfId="2" applyNumberFormat="1" applyFont="1" applyFill="1" applyBorder="1"/>
    <xf numFmtId="167" fontId="0" fillId="29" borderId="26" xfId="2" applyNumberFormat="1" applyFont="1" applyFill="1" applyBorder="1"/>
    <xf numFmtId="2" fontId="16" fillId="10" borderId="2" xfId="0" applyNumberFormat="1" applyFont="1" applyFill="1" applyBorder="1"/>
    <xf numFmtId="2" fontId="16" fillId="10" borderId="6" xfId="0" applyNumberFormat="1" applyFont="1" applyFill="1" applyBorder="1"/>
    <xf numFmtId="2" fontId="16" fillId="24" borderId="2" xfId="0" applyNumberFormat="1" applyFont="1" applyFill="1" applyBorder="1"/>
    <xf numFmtId="2" fontId="16" fillId="24" borderId="6" xfId="0" applyNumberFormat="1" applyFont="1" applyFill="1" applyBorder="1"/>
    <xf numFmtId="2" fontId="16" fillId="29" borderId="2" xfId="0" applyNumberFormat="1" applyFont="1" applyFill="1" applyBorder="1"/>
    <xf numFmtId="2" fontId="16" fillId="29" borderId="6" xfId="0" applyNumberFormat="1" applyFont="1" applyFill="1" applyBorder="1"/>
    <xf numFmtId="167" fontId="0" fillId="0" borderId="6" xfId="2" applyNumberFormat="1" applyFont="1" applyFill="1" applyBorder="1"/>
    <xf numFmtId="167" fontId="0" fillId="24" borderId="20" xfId="2" applyNumberFormat="1" applyFont="1" applyFill="1" applyBorder="1"/>
    <xf numFmtId="167" fontId="0" fillId="29" borderId="20" xfId="2" applyNumberFormat="1" applyFont="1" applyFill="1" applyBorder="1"/>
    <xf numFmtId="167" fontId="0" fillId="24" borderId="18" xfId="2" applyNumberFormat="1" applyFont="1" applyFill="1" applyBorder="1"/>
    <xf numFmtId="167" fontId="0" fillId="29" borderId="18" xfId="2" applyNumberFormat="1" applyFont="1" applyFill="1" applyBorder="1"/>
    <xf numFmtId="167" fontId="0" fillId="24" borderId="21" xfId="2" applyNumberFormat="1" applyFont="1" applyFill="1" applyBorder="1"/>
    <xf numFmtId="167" fontId="0" fillId="24" borderId="21" xfId="0" applyNumberFormat="1" applyFill="1" applyBorder="1"/>
    <xf numFmtId="167" fontId="0" fillId="29" borderId="21" xfId="2" applyNumberFormat="1" applyFont="1" applyFill="1" applyBorder="1"/>
    <xf numFmtId="167" fontId="0" fillId="29" borderId="21" xfId="0" applyNumberFormat="1" applyFill="1" applyBorder="1"/>
    <xf numFmtId="167" fontId="0" fillId="9" borderId="53" xfId="0" applyNumberFormat="1" applyFill="1" applyBorder="1"/>
    <xf numFmtId="167" fontId="0" fillId="9" borderId="55" xfId="0" applyNumberFormat="1" applyFill="1" applyBorder="1"/>
    <xf numFmtId="167" fontId="0" fillId="9" borderId="38" xfId="0" applyNumberFormat="1" applyFill="1" applyBorder="1"/>
    <xf numFmtId="9" fontId="0" fillId="9" borderId="32" xfId="11" applyFont="1" applyFill="1" applyBorder="1"/>
    <xf numFmtId="9" fontId="0" fillId="9" borderId="33" xfId="2" applyNumberFormat="1" applyFont="1" applyFill="1" applyBorder="1"/>
    <xf numFmtId="9" fontId="0" fillId="10" borderId="32" xfId="11" applyFont="1" applyFill="1" applyBorder="1"/>
    <xf numFmtId="9" fontId="0" fillId="24" borderId="32" xfId="11" applyFont="1" applyFill="1" applyBorder="1"/>
    <xf numFmtId="9" fontId="0" fillId="29" borderId="32" xfId="11" applyFont="1" applyFill="1" applyBorder="1"/>
    <xf numFmtId="9" fontId="0" fillId="9" borderId="33" xfId="0" applyNumberFormat="1" applyFill="1" applyBorder="1"/>
    <xf numFmtId="167" fontId="0" fillId="9" borderId="41" xfId="2" applyNumberFormat="1" applyFont="1" applyFill="1" applyBorder="1"/>
    <xf numFmtId="167" fontId="0" fillId="10" borderId="41" xfId="2" applyNumberFormat="1" applyFont="1" applyFill="1" applyBorder="1"/>
    <xf numFmtId="167" fontId="0" fillId="10" borderId="41" xfId="0" applyNumberFormat="1" applyFill="1" applyBorder="1"/>
    <xf numFmtId="167" fontId="0" fillId="24" borderId="54" xfId="2" applyNumberFormat="1" applyFont="1" applyFill="1" applyBorder="1"/>
    <xf numFmtId="167" fontId="0" fillId="24" borderId="41" xfId="2" applyNumberFormat="1" applyFont="1" applyFill="1" applyBorder="1"/>
    <xf numFmtId="167" fontId="0" fillId="24" borderId="41" xfId="0" applyNumberFormat="1" applyFill="1" applyBorder="1"/>
    <xf numFmtId="167" fontId="0" fillId="29" borderId="54" xfId="2" applyNumberFormat="1" applyFont="1" applyFill="1" applyBorder="1"/>
    <xf numFmtId="167" fontId="0" fillId="29" borderId="41" xfId="2" applyNumberFormat="1" applyFont="1" applyFill="1" applyBorder="1"/>
    <xf numFmtId="167" fontId="0" fillId="29" borderId="41" xfId="0" applyNumberFormat="1" applyFill="1" applyBorder="1"/>
    <xf numFmtId="167" fontId="0" fillId="9" borderId="54" xfId="2" applyNumberFormat="1" applyFont="1" applyFill="1" applyBorder="1"/>
    <xf numFmtId="167" fontId="0" fillId="10" borderId="49" xfId="2" applyNumberFormat="1" applyFont="1" applyFill="1" applyBorder="1"/>
    <xf numFmtId="167" fontId="0" fillId="24" borderId="49" xfId="2" applyNumberFormat="1" applyFont="1" applyFill="1" applyBorder="1"/>
    <xf numFmtId="167" fontId="0" fillId="29" borderId="49" xfId="2" applyNumberFormat="1" applyFont="1" applyFill="1" applyBorder="1"/>
    <xf numFmtId="167" fontId="0" fillId="9" borderId="41" xfId="0" applyNumberFormat="1" applyFill="1" applyBorder="1"/>
    <xf numFmtId="167" fontId="0" fillId="9" borderId="39" xfId="0" applyNumberFormat="1" applyFill="1" applyBorder="1"/>
    <xf numFmtId="167" fontId="0" fillId="22" borderId="0" xfId="2" applyNumberFormat="1" applyFont="1" applyFill="1" applyBorder="1"/>
    <xf numFmtId="0" fontId="0" fillId="28" borderId="2" xfId="0" applyFill="1" applyBorder="1"/>
    <xf numFmtId="0" fontId="2" fillId="0" borderId="42" xfId="0" applyFont="1" applyBorder="1"/>
    <xf numFmtId="9" fontId="0" fillId="0" borderId="6" xfId="11" applyFont="1" applyBorder="1"/>
    <xf numFmtId="9" fontId="0" fillId="0" borderId="7" xfId="11" applyFont="1" applyBorder="1"/>
    <xf numFmtId="9" fontId="0" fillId="0" borderId="11" xfId="11" applyFont="1" applyBorder="1"/>
    <xf numFmtId="0" fontId="4" fillId="0" borderId="2" xfId="0" applyFont="1" applyBorder="1"/>
    <xf numFmtId="167" fontId="4" fillId="22" borderId="13" xfId="2" applyNumberFormat="1" applyFont="1" applyFill="1" applyBorder="1"/>
    <xf numFmtId="167" fontId="4" fillId="22" borderId="10" xfId="2" applyNumberFormat="1" applyFont="1" applyFill="1" applyBorder="1"/>
    <xf numFmtId="0" fontId="4" fillId="0" borderId="6" xfId="0" applyFont="1" applyBorder="1"/>
    <xf numFmtId="167" fontId="4" fillId="0" borderId="0" xfId="2" applyNumberFormat="1" applyFont="1" applyBorder="1"/>
    <xf numFmtId="167" fontId="4" fillId="0" borderId="12" xfId="2" applyNumberFormat="1" applyFont="1" applyBorder="1"/>
    <xf numFmtId="167" fontId="4" fillId="28" borderId="0" xfId="2" applyNumberFormat="1" applyFont="1" applyFill="1" applyBorder="1"/>
    <xf numFmtId="167" fontId="4" fillId="28" borderId="12" xfId="2" applyNumberFormat="1" applyFont="1" applyFill="1" applyBorder="1"/>
    <xf numFmtId="0" fontId="4" fillId="0" borderId="7" xfId="0" applyFont="1" applyBorder="1"/>
    <xf numFmtId="167" fontId="4" fillId="28" borderId="14" xfId="2" applyNumberFormat="1" applyFont="1" applyFill="1" applyBorder="1"/>
    <xf numFmtId="0" fontId="4" fillId="28" borderId="7" xfId="0" applyFont="1" applyFill="1" applyBorder="1"/>
    <xf numFmtId="167" fontId="4" fillId="0" borderId="42" xfId="2" applyNumberFormat="1" applyFont="1" applyBorder="1"/>
    <xf numFmtId="167" fontId="4" fillId="0" borderId="5" xfId="2" applyNumberFormat="1" applyFont="1" applyBorder="1"/>
    <xf numFmtId="9" fontId="0" fillId="9" borderId="34" xfId="0" applyNumberFormat="1" applyFill="1" applyBorder="1"/>
    <xf numFmtId="167" fontId="4" fillId="22" borderId="0" xfId="2" applyNumberFormat="1" applyFont="1" applyFill="1" applyBorder="1"/>
    <xf numFmtId="0" fontId="0" fillId="0" borderId="12" xfId="0" applyBorder="1" applyAlignment="1">
      <alignment horizontal="center" vertical="top" wrapText="1"/>
    </xf>
    <xf numFmtId="0" fontId="0" fillId="0" borderId="11" xfId="0" applyBorder="1" applyAlignment="1">
      <alignment horizontal="center" vertical="top" wrapText="1"/>
    </xf>
    <xf numFmtId="0" fontId="2" fillId="3" borderId="3" xfId="0" applyFont="1" applyFill="1" applyBorder="1"/>
    <xf numFmtId="167" fontId="2" fillId="3" borderId="3" xfId="2" applyNumberFormat="1" applyFont="1" applyFill="1" applyBorder="1"/>
    <xf numFmtId="167" fontId="1" fillId="3" borderId="42" xfId="2" applyNumberFormat="1" applyFont="1" applyFill="1" applyBorder="1"/>
    <xf numFmtId="0" fontId="4" fillId="0" borderId="8" xfId="0" applyFont="1" applyBorder="1"/>
    <xf numFmtId="0" fontId="4" fillId="0" borderId="9" xfId="0" applyFont="1" applyBorder="1"/>
    <xf numFmtId="0" fontId="4" fillId="0" borderId="1" xfId="0" applyFont="1" applyBorder="1"/>
    <xf numFmtId="0" fontId="4" fillId="28" borderId="14" xfId="0" applyFont="1" applyFill="1" applyBorder="1"/>
    <xf numFmtId="167" fontId="1" fillId="3" borderId="3" xfId="2" applyNumberFormat="1" applyFont="1" applyFill="1" applyBorder="1"/>
    <xf numFmtId="167" fontId="4" fillId="0" borderId="0" xfId="2" applyNumberFormat="1" applyFont="1" applyFill="1" applyBorder="1"/>
    <xf numFmtId="44" fontId="2" fillId="0" borderId="4" xfId="0" applyNumberFormat="1" applyFont="1" applyBorder="1"/>
    <xf numFmtId="44" fontId="0" fillId="0" borderId="4" xfId="2" applyFont="1" applyBorder="1"/>
    <xf numFmtId="44" fontId="2" fillId="0" borderId="4" xfId="2" applyFont="1" applyBorder="1"/>
    <xf numFmtId="0" fontId="21" fillId="10"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0" fillId="0" borderId="5" xfId="0" applyBorder="1" applyAlignment="1">
      <alignment horizontal="center"/>
    </xf>
    <xf numFmtId="0" fontId="0" fillId="0" borderId="6" xfId="0" applyBorder="1" applyAlignment="1">
      <alignment horizontal="center" wrapText="1"/>
    </xf>
    <xf numFmtId="0" fontId="2" fillId="0" borderId="0" xfId="0" applyFont="1" applyAlignment="1">
      <alignment horizontal="center"/>
    </xf>
    <xf numFmtId="0" fontId="0" fillId="0" borderId="2"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30" fillId="3" borderId="0" xfId="12" applyFont="1" applyFill="1"/>
    <xf numFmtId="9" fontId="8" fillId="25" borderId="0" xfId="0" applyNumberFormat="1" applyFont="1" applyFill="1"/>
    <xf numFmtId="0" fontId="0" fillId="0" borderId="13" xfId="0" applyBorder="1" applyAlignment="1">
      <alignment horizontal="right"/>
    </xf>
    <xf numFmtId="0" fontId="0" fillId="0" borderId="10" xfId="0" applyBorder="1" applyAlignment="1">
      <alignment horizontal="right"/>
    </xf>
    <xf numFmtId="0" fontId="0" fillId="0" borderId="12" xfId="0" applyBorder="1" applyAlignment="1">
      <alignment horizontal="right"/>
    </xf>
    <xf numFmtId="178" fontId="0" fillId="0" borderId="13" xfId="1" applyNumberFormat="1" applyFont="1" applyBorder="1" applyAlignment="1">
      <alignment horizontal="right"/>
    </xf>
    <xf numFmtId="178" fontId="0" fillId="0" borderId="0" xfId="1" applyNumberFormat="1" applyFont="1" applyBorder="1" applyAlignment="1">
      <alignment horizontal="right"/>
    </xf>
    <xf numFmtId="178" fontId="0" fillId="0" borderId="14" xfId="1" applyNumberFormat="1" applyFont="1" applyBorder="1" applyAlignment="1">
      <alignment horizontal="right"/>
    </xf>
    <xf numFmtId="166" fontId="0" fillId="3" borderId="4" xfId="1" applyNumberFormat="1" applyFont="1" applyFill="1" applyBorder="1"/>
    <xf numFmtId="166" fontId="0" fillId="28" borderId="12" xfId="1" applyNumberFormat="1" applyFont="1" applyFill="1" applyBorder="1"/>
    <xf numFmtId="0" fontId="0" fillId="0" borderId="15" xfId="0" applyBorder="1" applyAlignment="1">
      <alignment horizontal="right"/>
    </xf>
    <xf numFmtId="0" fontId="0" fillId="0" borderId="37" xfId="0" applyBorder="1"/>
    <xf numFmtId="0" fontId="0" fillId="0" borderId="29" xfId="0" applyBorder="1"/>
    <xf numFmtId="0" fontId="0" fillId="0" borderId="41" xfId="0" applyBorder="1" applyAlignment="1">
      <alignment horizontal="right"/>
    </xf>
    <xf numFmtId="0" fontId="0" fillId="0" borderId="39" xfId="0" applyBorder="1" applyAlignment="1">
      <alignment horizontal="right"/>
    </xf>
    <xf numFmtId="0" fontId="0" fillId="0" borderId="6" xfId="0" applyBorder="1" applyAlignment="1">
      <alignment horizontal="center"/>
    </xf>
    <xf numFmtId="0" fontId="0" fillId="0" borderId="6" xfId="0" applyBorder="1" applyAlignment="1">
      <alignment horizontal="center" vertical="top"/>
    </xf>
    <xf numFmtId="9" fontId="0" fillId="0" borderId="0" xfId="0" applyNumberFormat="1" applyAlignment="1">
      <alignment horizontal="right"/>
    </xf>
    <xf numFmtId="0" fontId="4" fillId="0" borderId="14" xfId="0" applyFont="1" applyBorder="1"/>
    <xf numFmtId="0" fontId="21" fillId="0" borderId="0" xfId="0" applyFont="1" applyAlignment="1">
      <alignment vertical="top" wrapText="1"/>
    </xf>
    <xf numFmtId="0" fontId="26" fillId="0" borderId="0" xfId="0" applyFont="1" applyAlignment="1">
      <alignment vertical="top" wrapText="1"/>
    </xf>
    <xf numFmtId="0" fontId="0" fillId="0" borderId="28" xfId="0" applyBorder="1"/>
    <xf numFmtId="177" fontId="0" fillId="0" borderId="0" xfId="0" applyNumberFormat="1"/>
    <xf numFmtId="167" fontId="0" fillId="10" borderId="0" xfId="0" applyNumberFormat="1" applyFill="1"/>
    <xf numFmtId="0" fontId="0" fillId="24" borderId="3" xfId="0" applyFill="1" applyBorder="1" applyAlignment="1">
      <alignment horizontal="left" vertical="top"/>
    </xf>
    <xf numFmtId="167" fontId="0" fillId="24" borderId="0" xfId="0" applyNumberFormat="1" applyFill="1"/>
    <xf numFmtId="0" fontId="0" fillId="29" borderId="3" xfId="0" applyFill="1" applyBorder="1" applyAlignment="1">
      <alignment horizontal="left" vertical="top"/>
    </xf>
    <xf numFmtId="167" fontId="0" fillId="29" borderId="0" xfId="0" applyNumberFormat="1" applyFill="1"/>
    <xf numFmtId="44" fontId="0" fillId="10" borderId="26" xfId="2" applyFont="1" applyFill="1" applyBorder="1"/>
    <xf numFmtId="44" fontId="0" fillId="24" borderId="26" xfId="2" applyFont="1" applyFill="1" applyBorder="1"/>
    <xf numFmtId="44" fontId="0" fillId="29" borderId="26" xfId="2" applyFont="1" applyFill="1" applyBorder="1"/>
    <xf numFmtId="9" fontId="8" fillId="0" borderId="0" xfId="0" applyNumberFormat="1" applyFont="1"/>
    <xf numFmtId="6" fontId="8" fillId="3" borderId="0" xfId="0" applyNumberFormat="1" applyFont="1" applyFill="1"/>
    <xf numFmtId="0" fontId="8" fillId="22" borderId="0" xfId="0" applyFont="1" applyFill="1"/>
    <xf numFmtId="0" fontId="0" fillId="22" borderId="0" xfId="0" applyFill="1"/>
    <xf numFmtId="43" fontId="8" fillId="0" borderId="12" xfId="1" applyFont="1" applyBorder="1"/>
    <xf numFmtId="44" fontId="8" fillId="0" borderId="12" xfId="0" applyNumberFormat="1" applyFont="1" applyBorder="1"/>
    <xf numFmtId="0" fontId="16" fillId="0" borderId="0" xfId="0" applyFont="1" applyAlignment="1">
      <alignment horizontal="left"/>
    </xf>
    <xf numFmtId="0" fontId="2" fillId="0" borderId="9" xfId="0" applyFont="1" applyBorder="1"/>
    <xf numFmtId="43" fontId="8" fillId="0" borderId="0" xfId="1" applyFont="1" applyBorder="1"/>
    <xf numFmtId="2" fontId="0" fillId="0" borderId="8" xfId="0" applyNumberFormat="1" applyBorder="1"/>
    <xf numFmtId="2" fontId="0" fillId="0" borderId="10" xfId="0" applyNumberFormat="1" applyBorder="1"/>
    <xf numFmtId="43" fontId="16" fillId="0" borderId="0" xfId="1" applyFont="1"/>
    <xf numFmtId="43" fontId="8" fillId="0" borderId="0" xfId="1" applyFont="1"/>
    <xf numFmtId="0" fontId="0" fillId="28" borderId="0" xfId="0" applyFill="1"/>
    <xf numFmtId="167" fontId="0" fillId="22" borderId="9" xfId="2" applyNumberFormat="1" applyFont="1" applyFill="1" applyBorder="1"/>
    <xf numFmtId="167" fontId="0" fillId="22" borderId="12" xfId="2" applyNumberFormat="1" applyFont="1" applyFill="1" applyBorder="1"/>
    <xf numFmtId="167" fontId="0" fillId="0" borderId="9" xfId="2" applyNumberFormat="1" applyFont="1" applyBorder="1"/>
    <xf numFmtId="167" fontId="0" fillId="0" borderId="12" xfId="2" applyNumberFormat="1" applyFont="1" applyBorder="1"/>
    <xf numFmtId="167" fontId="0" fillId="28" borderId="9" xfId="2" applyNumberFormat="1" applyFont="1" applyFill="1" applyBorder="1"/>
    <xf numFmtId="167" fontId="0" fillId="28" borderId="12" xfId="2" applyNumberFormat="1" applyFont="1" applyFill="1" applyBorder="1"/>
    <xf numFmtId="0" fontId="0" fillId="28" borderId="9" xfId="0" applyFill="1" applyBorder="1"/>
    <xf numFmtId="0" fontId="0" fillId="28" borderId="0" xfId="0" applyFill="1" applyBorder="1"/>
    <xf numFmtId="167" fontId="0" fillId="0" borderId="11" xfId="2" applyNumberFormat="1" applyFont="1" applyFill="1" applyBorder="1"/>
    <xf numFmtId="167" fontId="1" fillId="3" borderId="4" xfId="2" applyNumberFormat="1" applyFont="1" applyFill="1" applyBorder="1"/>
    <xf numFmtId="167" fontId="1" fillId="3" borderId="5" xfId="2" applyNumberFormat="1" applyFont="1" applyFill="1" applyBorder="1"/>
    <xf numFmtId="167" fontId="4" fillId="28" borderId="9" xfId="2" applyNumberFormat="1" applyFont="1" applyFill="1" applyBorder="1"/>
    <xf numFmtId="167" fontId="4" fillId="0" borderId="9" xfId="2" applyNumberFormat="1" applyFont="1" applyBorder="1"/>
    <xf numFmtId="167" fontId="4" fillId="0" borderId="11" xfId="2" applyNumberFormat="1" applyFont="1" applyBorder="1"/>
    <xf numFmtId="167" fontId="4" fillId="28" borderId="1" xfId="2" applyNumberFormat="1" applyFont="1" applyFill="1" applyBorder="1"/>
    <xf numFmtId="0" fontId="0" fillId="28" borderId="8" xfId="0" applyFill="1" applyBorder="1"/>
    <xf numFmtId="0" fontId="0" fillId="28" borderId="13" xfId="0" applyFill="1" applyBorder="1"/>
    <xf numFmtId="0" fontId="0" fillId="28" borderId="1" xfId="0" applyFill="1" applyBorder="1"/>
    <xf numFmtId="0" fontId="21" fillId="0" borderId="0" xfId="0" applyFont="1" applyAlignment="1">
      <alignment horizontal="left" vertical="top" wrapText="1"/>
    </xf>
    <xf numFmtId="0" fontId="26" fillId="0" borderId="0" xfId="0" applyFont="1" applyAlignment="1">
      <alignment horizontal="left" vertical="top" wrapText="1"/>
    </xf>
    <xf numFmtId="0" fontId="21" fillId="10" borderId="6" xfId="0" applyFont="1" applyFill="1" applyBorder="1" applyAlignment="1">
      <alignment horizontal="left" vertical="top" wrapText="1"/>
    </xf>
    <xf numFmtId="0" fontId="2" fillId="0" borderId="0" xfId="0" applyFont="1" applyAlignment="1">
      <alignment horizontal="center"/>
    </xf>
    <xf numFmtId="0" fontId="21" fillId="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9" fontId="8" fillId="0" borderId="0" xfId="11" applyFont="1"/>
    <xf numFmtId="0" fontId="8" fillId="0" borderId="3" xfId="0" applyFont="1" applyFill="1" applyBorder="1"/>
    <xf numFmtId="43" fontId="8" fillId="0" borderId="0" xfId="1" applyFont="1" applyFill="1" applyBorder="1"/>
    <xf numFmtId="0" fontId="19" fillId="0" borderId="0" xfId="0" applyFont="1" applyAlignment="1">
      <alignment vertical="top"/>
    </xf>
    <xf numFmtId="0" fontId="19" fillId="0" borderId="0" xfId="0" applyFont="1" applyAlignment="1">
      <alignment horizontal="left" vertical="center" indent="6"/>
    </xf>
    <xf numFmtId="167" fontId="8" fillId="0" borderId="0" xfId="0" applyNumberFormat="1" applyFont="1" applyBorder="1"/>
    <xf numFmtId="43" fontId="8" fillId="0" borderId="0" xfId="0" applyNumberFormat="1" applyFont="1" applyBorder="1"/>
    <xf numFmtId="0" fontId="67" fillId="0" borderId="0" xfId="0" applyFont="1" applyFill="1"/>
    <xf numFmtId="0" fontId="67" fillId="0" borderId="0" xfId="0" applyFont="1"/>
    <xf numFmtId="166" fontId="8" fillId="0" borderId="4" xfId="1" applyNumberFormat="1" applyFont="1" applyBorder="1"/>
    <xf numFmtId="176" fontId="8" fillId="0" borderId="0" xfId="0" applyNumberFormat="1" applyFont="1" applyFill="1"/>
    <xf numFmtId="170" fontId="8" fillId="3" borderId="9" xfId="1" applyNumberFormat="1" applyFont="1" applyFill="1" applyBorder="1" applyAlignment="1">
      <alignment horizontal="left" vertical="top"/>
    </xf>
    <xf numFmtId="170" fontId="8" fillId="3" borderId="9" xfId="1" applyNumberFormat="1" applyFont="1" applyFill="1" applyBorder="1"/>
    <xf numFmtId="1" fontId="8" fillId="3" borderId="9" xfId="1" applyNumberFormat="1" applyFont="1" applyFill="1" applyBorder="1" applyAlignment="1">
      <alignment horizontal="right"/>
    </xf>
    <xf numFmtId="170" fontId="8" fillId="0" borderId="1" xfId="1" applyNumberFormat="1" applyFont="1" applyBorder="1"/>
    <xf numFmtId="1" fontId="0" fillId="10" borderId="1" xfId="0" applyNumberFormat="1" applyFill="1" applyBorder="1"/>
    <xf numFmtId="1" fontId="0" fillId="24" borderId="1" xfId="0" applyNumberFormat="1" applyFill="1" applyBorder="1"/>
    <xf numFmtId="1" fontId="0" fillId="29" borderId="1" xfId="0" applyNumberFormat="1" applyFill="1" applyBorder="1"/>
    <xf numFmtId="167" fontId="0" fillId="10" borderId="7" xfId="2" applyNumberFormat="1" applyFont="1" applyFill="1" applyBorder="1"/>
    <xf numFmtId="167" fontId="0" fillId="24" borderId="7" xfId="2" applyNumberFormat="1" applyFont="1" applyFill="1" applyBorder="1"/>
    <xf numFmtId="167" fontId="0" fillId="29" borderId="7" xfId="2" applyNumberFormat="1" applyFont="1" applyFill="1" applyBorder="1"/>
    <xf numFmtId="0" fontId="0" fillId="10" borderId="7" xfId="0" applyFill="1" applyBorder="1"/>
    <xf numFmtId="0" fontId="0" fillId="10" borderId="7" xfId="0" applyFill="1" applyBorder="1" applyAlignment="1">
      <alignment horizontal="left" vertical="top"/>
    </xf>
    <xf numFmtId="0" fontId="0" fillId="10" borderId="7" xfId="2" applyNumberFormat="1" applyFont="1" applyFill="1" applyBorder="1"/>
    <xf numFmtId="9" fontId="0" fillId="10" borderId="33" xfId="11" applyFont="1" applyFill="1" applyBorder="1"/>
    <xf numFmtId="9" fontId="0" fillId="9" borderId="10" xfId="11" applyFont="1" applyFill="1" applyBorder="1"/>
    <xf numFmtId="9" fontId="0" fillId="9" borderId="12" xfId="2" applyNumberFormat="1" applyFont="1" applyFill="1" applyBorder="1"/>
    <xf numFmtId="167" fontId="0" fillId="9" borderId="26" xfId="2" applyNumberFormat="1" applyFont="1" applyFill="1" applyBorder="1"/>
    <xf numFmtId="9" fontId="0" fillId="9" borderId="11" xfId="2" applyNumberFormat="1" applyFont="1" applyFill="1" applyBorder="1"/>
    <xf numFmtId="0" fontId="0" fillId="0" borderId="0" xfId="0" applyAlignment="1">
      <alignment horizontal="center" vertical="center"/>
    </xf>
    <xf numFmtId="0" fontId="0" fillId="0" borderId="0" xfId="0" applyAlignment="1">
      <alignment horizontal="center" vertical="center" wrapText="1"/>
    </xf>
    <xf numFmtId="0" fontId="0" fillId="0" borderId="16" xfId="0" applyBorder="1" applyAlignment="1">
      <alignment horizontal="center"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167" fontId="4" fillId="28" borderId="8" xfId="2" applyNumberFormat="1" applyFont="1" applyFill="1" applyBorder="1"/>
    <xf numFmtId="167" fontId="4" fillId="22" borderId="8" xfId="2" applyNumberFormat="1" applyFont="1" applyFill="1" applyBorder="1"/>
    <xf numFmtId="167" fontId="4" fillId="0" borderId="1" xfId="2" applyNumberFormat="1" applyFont="1" applyBorder="1"/>
    <xf numFmtId="167" fontId="4" fillId="0" borderId="14" xfId="2" applyNumberFormat="1" applyFont="1" applyBorder="1"/>
    <xf numFmtId="0" fontId="27" fillId="0" borderId="0" xfId="0" applyFont="1" applyAlignment="1">
      <alignment horizontal="center" vertical="center" wrapText="1"/>
    </xf>
    <xf numFmtId="0" fontId="16" fillId="0" borderId="0" xfId="0" applyFont="1" applyAlignment="1">
      <alignment horizontal="left" vertical="center"/>
    </xf>
    <xf numFmtId="44" fontId="8" fillId="0" borderId="42" xfId="2" applyFont="1" applyBorder="1" applyAlignment="1">
      <alignment horizontal="right"/>
    </xf>
    <xf numFmtId="44" fontId="8" fillId="0" borderId="42" xfId="0" applyNumberFormat="1" applyFont="1" applyBorder="1"/>
    <xf numFmtId="44" fontId="8" fillId="0" borderId="42" xfId="2" applyFont="1" applyBorder="1"/>
    <xf numFmtId="170" fontId="8" fillId="0" borderId="0" xfId="0" applyNumberFormat="1" applyFont="1" applyFill="1"/>
    <xf numFmtId="0" fontId="1" fillId="0" borderId="24" xfId="7" applyBorder="1" applyAlignment="1">
      <alignment horizontal="center" vertical="center"/>
    </xf>
    <xf numFmtId="0" fontId="8" fillId="27" borderId="0" xfId="0" applyFont="1" applyFill="1" applyAlignment="1">
      <alignment horizontal="right"/>
    </xf>
    <xf numFmtId="9" fontId="8" fillId="27" borderId="0" xfId="0" applyNumberFormat="1" applyFont="1" applyFill="1" applyAlignment="1">
      <alignment horizontal="right"/>
    </xf>
    <xf numFmtId="166" fontId="8" fillId="0" borderId="0" xfId="1" applyNumberFormat="1" applyFont="1" applyFill="1"/>
    <xf numFmtId="166" fontId="8" fillId="27" borderId="0" xfId="1" applyNumberFormat="1" applyFont="1" applyFill="1" applyAlignment="1">
      <alignment horizontal="right"/>
    </xf>
    <xf numFmtId="166" fontId="59" fillId="0" borderId="0" xfId="1" applyNumberFormat="1" applyFont="1" applyFill="1"/>
    <xf numFmtId="167" fontId="0" fillId="0" borderId="5" xfId="2" applyNumberFormat="1" applyFont="1" applyFill="1" applyBorder="1"/>
    <xf numFmtId="44" fontId="0" fillId="0" borderId="27" xfId="2" applyNumberFormat="1" applyFont="1" applyFill="1" applyBorder="1"/>
    <xf numFmtId="167" fontId="0" fillId="0" borderId="54" xfId="2" applyNumberFormat="1" applyFont="1" applyFill="1" applyBorder="1"/>
    <xf numFmtId="9" fontId="0" fillId="0" borderId="32" xfId="11" applyFont="1" applyFill="1" applyBorder="1"/>
    <xf numFmtId="167" fontId="0" fillId="0" borderId="28" xfId="2" applyNumberFormat="1" applyFont="1" applyFill="1" applyBorder="1"/>
    <xf numFmtId="167" fontId="0" fillId="0" borderId="41" xfId="2" applyNumberFormat="1" applyFont="1" applyFill="1" applyBorder="1"/>
    <xf numFmtId="0" fontId="0" fillId="9" borderId="3" xfId="0" applyFill="1" applyBorder="1" applyAlignment="1">
      <alignment horizontal="left" vertical="top"/>
    </xf>
    <xf numFmtId="0" fontId="21" fillId="9" borderId="7" xfId="0" applyFont="1" applyFill="1" applyBorder="1" applyAlignment="1">
      <alignment horizontal="left" vertical="top" wrapText="1"/>
    </xf>
    <xf numFmtId="0" fontId="16" fillId="9" borderId="7" xfId="0" applyFont="1" applyFill="1" applyBorder="1"/>
    <xf numFmtId="0" fontId="60" fillId="0" borderId="9" xfId="0" applyFont="1" applyBorder="1"/>
    <xf numFmtId="0" fontId="0" fillId="0" borderId="11" xfId="0" applyBorder="1" applyAlignment="1">
      <alignment horizontal="center" vertical="center" wrapText="1"/>
    </xf>
    <xf numFmtId="168" fontId="16" fillId="9" borderId="2" xfId="0" applyNumberFormat="1" applyFont="1" applyFill="1" applyBorder="1"/>
    <xf numFmtId="0" fontId="21" fillId="0" borderId="0" xfId="0" applyFont="1" applyBorder="1" applyAlignment="1">
      <alignment horizontal="left" vertical="top"/>
    </xf>
    <xf numFmtId="0" fontId="26" fillId="0" borderId="0" xfId="0" applyFont="1" applyBorder="1" applyAlignment="1">
      <alignment horizontal="left" vertical="top" wrapText="1"/>
    </xf>
    <xf numFmtId="1" fontId="0" fillId="0" borderId="0" xfId="0" applyNumberFormat="1" applyBorder="1"/>
    <xf numFmtId="0" fontId="70" fillId="0" borderId="0" xfId="0" applyFont="1" applyAlignment="1">
      <alignment vertical="center"/>
    </xf>
    <xf numFmtId="167" fontId="0" fillId="29" borderId="2" xfId="2" applyNumberFormat="1" applyFont="1" applyFill="1" applyBorder="1"/>
    <xf numFmtId="167" fontId="0" fillId="29" borderId="6" xfId="2" applyNumberFormat="1" applyFont="1" applyFill="1" applyBorder="1"/>
    <xf numFmtId="167" fontId="0" fillId="29" borderId="6" xfId="0" applyNumberFormat="1" applyFill="1" applyBorder="1"/>
    <xf numFmtId="167" fontId="0" fillId="29" borderId="7" xfId="0" applyNumberFormat="1" applyFill="1" applyBorder="1"/>
    <xf numFmtId="9" fontId="0" fillId="24" borderId="3" xfId="11" applyFont="1" applyFill="1" applyBorder="1"/>
    <xf numFmtId="9" fontId="0" fillId="10" borderId="3" xfId="11" applyFont="1" applyFill="1" applyBorder="1"/>
    <xf numFmtId="9" fontId="0" fillId="10" borderId="3" xfId="2" applyNumberFormat="1" applyFont="1" applyFill="1" applyBorder="1"/>
    <xf numFmtId="9" fontId="0" fillId="24" borderId="3" xfId="2" applyNumberFormat="1" applyFont="1" applyFill="1" applyBorder="1"/>
    <xf numFmtId="9" fontId="0" fillId="29" borderId="3" xfId="11" applyFont="1" applyFill="1" applyBorder="1"/>
    <xf numFmtId="9" fontId="0" fillId="29" borderId="3" xfId="2" applyNumberFormat="1" applyFont="1" applyFill="1" applyBorder="1"/>
    <xf numFmtId="44" fontId="0" fillId="0" borderId="32" xfId="2" applyFont="1" applyFill="1" applyBorder="1"/>
    <xf numFmtId="44" fontId="0" fillId="0" borderId="31" xfId="2" applyFont="1" applyFill="1" applyBorder="1"/>
    <xf numFmtId="0" fontId="0" fillId="0" borderId="8" xfId="0" applyBorder="1" applyAlignment="1">
      <alignment horizontal="center" vertical="center"/>
    </xf>
    <xf numFmtId="1" fontId="0" fillId="9" borderId="6" xfId="0" applyNumberFormat="1" applyFill="1" applyBorder="1"/>
    <xf numFmtId="1" fontId="0" fillId="9" borderId="7" xfId="0" applyNumberFormat="1" applyFill="1" applyBorder="1"/>
    <xf numFmtId="0" fontId="21" fillId="0" borderId="13" xfId="0" applyFont="1" applyBorder="1" applyAlignment="1">
      <alignment horizontal="left" vertical="top"/>
    </xf>
    <xf numFmtId="0" fontId="26" fillId="0" borderId="13" xfId="0" applyFont="1" applyBorder="1" applyAlignment="1">
      <alignment horizontal="left" vertical="top" wrapText="1"/>
    </xf>
    <xf numFmtId="0" fontId="1" fillId="0" borderId="0" xfId="7" applyBorder="1"/>
    <xf numFmtId="9" fontId="0" fillId="4" borderId="0" xfId="11" applyFont="1" applyFill="1"/>
    <xf numFmtId="166" fontId="0" fillId="4" borderId="0" xfId="1" applyNumberFormat="1" applyFont="1" applyFill="1"/>
    <xf numFmtId="167" fontId="8" fillId="3" borderId="8" xfId="2" applyNumberFormat="1" applyFont="1" applyFill="1" applyBorder="1" applyAlignment="1">
      <alignment horizontal="right"/>
    </xf>
    <xf numFmtId="167" fontId="8" fillId="3" borderId="1" xfId="2" applyNumberFormat="1" applyFont="1" applyFill="1" applyBorder="1" applyAlignment="1">
      <alignment horizontal="right"/>
    </xf>
    <xf numFmtId="167" fontId="8" fillId="0" borderId="11" xfId="2" applyNumberFormat="1" applyFont="1" applyBorder="1" applyAlignment="1">
      <alignment horizontal="left"/>
    </xf>
    <xf numFmtId="167" fontId="8" fillId="0" borderId="10" xfId="2" applyNumberFormat="1" applyFont="1" applyBorder="1" applyAlignment="1">
      <alignment horizontal="left" vertical="top"/>
    </xf>
    <xf numFmtId="0" fontId="8" fillId="0" borderId="0" xfId="0" applyFont="1" applyBorder="1" applyAlignment="1">
      <alignment vertical="top"/>
    </xf>
    <xf numFmtId="167" fontId="8" fillId="9" borderId="0" xfId="2" applyNumberFormat="1" applyFont="1" applyFill="1"/>
    <xf numFmtId="0" fontId="8" fillId="13" borderId="0" xfId="0" applyFont="1" applyFill="1"/>
    <xf numFmtId="167" fontId="8" fillId="13" borderId="0" xfId="2" applyNumberFormat="1" applyFont="1" applyFill="1"/>
    <xf numFmtId="0" fontId="8" fillId="30" borderId="0" xfId="0" applyFont="1" applyFill="1"/>
    <xf numFmtId="9" fontId="8" fillId="30" borderId="0" xfId="0" applyNumberFormat="1" applyFont="1" applyFill="1"/>
    <xf numFmtId="0" fontId="8" fillId="30" borderId="0" xfId="11" applyNumberFormat="1" applyFont="1" applyFill="1"/>
    <xf numFmtId="166" fontId="8" fillId="13" borderId="0" xfId="0" applyNumberFormat="1" applyFont="1" applyFill="1"/>
    <xf numFmtId="0" fontId="8" fillId="0" borderId="0" xfId="0" applyFont="1" applyBorder="1" applyAlignment="1">
      <alignment horizontal="left"/>
    </xf>
    <xf numFmtId="0" fontId="8" fillId="3" borderId="0" xfId="0" applyFont="1" applyFill="1" applyBorder="1" applyAlignment="1">
      <alignment horizontal="left"/>
    </xf>
    <xf numFmtId="2" fontId="8" fillId="3" borderId="0" xfId="1" applyNumberFormat="1" applyFont="1" applyFill="1" applyBorder="1" applyAlignment="1">
      <alignment horizontal="left"/>
    </xf>
    <xf numFmtId="2" fontId="8" fillId="0" borderId="0" xfId="1" applyNumberFormat="1" applyFont="1" applyBorder="1" applyAlignment="1">
      <alignment horizontal="left"/>
    </xf>
    <xf numFmtId="0" fontId="20" fillId="0" borderId="12" xfId="0" applyFont="1" applyBorder="1"/>
    <xf numFmtId="166" fontId="8" fillId="0" borderId="1" xfId="1" applyNumberFormat="1" applyFont="1" applyBorder="1" applyAlignment="1">
      <alignment horizontal="left"/>
    </xf>
    <xf numFmtId="0" fontId="8" fillId="0" borderId="14" xfId="0" applyFont="1" applyBorder="1" applyAlignment="1">
      <alignment horizontal="left"/>
    </xf>
    <xf numFmtId="0" fontId="8" fillId="0" borderId="5" xfId="0" applyFont="1" applyFill="1" applyBorder="1"/>
    <xf numFmtId="2" fontId="13" fillId="0" borderId="0" xfId="1" applyNumberFormat="1" applyFont="1" applyAlignment="1">
      <alignment horizontal="left"/>
    </xf>
    <xf numFmtId="166" fontId="0" fillId="0" borderId="9" xfId="0" applyNumberFormat="1" applyFill="1" applyBorder="1"/>
    <xf numFmtId="1" fontId="8" fillId="12" borderId="0" xfId="0" applyNumberFormat="1" applyFont="1" applyFill="1" applyBorder="1"/>
    <xf numFmtId="166" fontId="0" fillId="0" borderId="9" xfId="0" applyNumberFormat="1" applyBorder="1"/>
    <xf numFmtId="170" fontId="8" fillId="12" borderId="9" xfId="1" applyNumberFormat="1" applyFont="1" applyFill="1" applyBorder="1"/>
    <xf numFmtId="9" fontId="0" fillId="0" borderId="0" xfId="0" applyNumberFormat="1" applyFill="1"/>
    <xf numFmtId="44" fontId="8" fillId="4" borderId="0" xfId="0" applyNumberFormat="1" applyFont="1" applyFill="1"/>
    <xf numFmtId="44" fontId="8" fillId="0" borderId="0" xfId="2" applyFont="1" applyFill="1" applyBorder="1" applyAlignment="1">
      <alignment horizontal="left"/>
    </xf>
    <xf numFmtId="170" fontId="0" fillId="0" borderId="0" xfId="0" applyNumberFormat="1" applyBorder="1"/>
    <xf numFmtId="167" fontId="0" fillId="10" borderId="2" xfId="2" applyNumberFormat="1" applyFont="1" applyFill="1" applyBorder="1"/>
    <xf numFmtId="167" fontId="0" fillId="10" borderId="6" xfId="2" applyNumberFormat="1" applyFont="1" applyFill="1" applyBorder="1"/>
    <xf numFmtId="167" fontId="0" fillId="10" borderId="6" xfId="0" applyNumberFormat="1" applyFill="1" applyBorder="1"/>
    <xf numFmtId="167" fontId="0" fillId="24" borderId="2" xfId="2" applyNumberFormat="1" applyFont="1" applyFill="1" applyBorder="1"/>
    <xf numFmtId="167" fontId="0" fillId="24" borderId="6" xfId="2" applyNumberFormat="1" applyFont="1" applyFill="1" applyBorder="1"/>
    <xf numFmtId="167" fontId="0" fillId="24" borderId="6" xfId="0" applyNumberFormat="1" applyFill="1" applyBorder="1"/>
    <xf numFmtId="2" fontId="16" fillId="0" borderId="6" xfId="0" applyNumberFormat="1" applyFont="1" applyFill="1" applyBorder="1"/>
    <xf numFmtId="0" fontId="0" fillId="0" borderId="7" xfId="0" applyFill="1" applyBorder="1"/>
    <xf numFmtId="167" fontId="0" fillId="0" borderId="7" xfId="2" applyNumberFormat="1" applyFont="1" applyFill="1" applyBorder="1"/>
    <xf numFmtId="0" fontId="0" fillId="0" borderId="7" xfId="0" applyFill="1" applyBorder="1" applyAlignment="1">
      <alignment horizontal="left" vertical="top"/>
    </xf>
    <xf numFmtId="0" fontId="0" fillId="0" borderId="7" xfId="2" applyNumberFormat="1" applyFont="1" applyFill="1" applyBorder="1"/>
    <xf numFmtId="1" fontId="0" fillId="0" borderId="1" xfId="0" applyNumberFormat="1" applyFill="1" applyBorder="1"/>
    <xf numFmtId="1" fontId="0" fillId="0" borderId="30" xfId="0" applyNumberFormat="1" applyFill="1" applyBorder="1"/>
    <xf numFmtId="167" fontId="0" fillId="0" borderId="28" xfId="0" applyNumberFormat="1" applyFill="1" applyBorder="1"/>
    <xf numFmtId="9" fontId="0" fillId="0" borderId="33" xfId="11" applyFont="1" applyFill="1" applyBorder="1"/>
    <xf numFmtId="177" fontId="0" fillId="0" borderId="0" xfId="0" applyNumberFormat="1" applyFill="1"/>
    <xf numFmtId="0" fontId="0" fillId="0" borderId="3" xfId="0" applyFill="1" applyBorder="1" applyAlignment="1">
      <alignment horizontal="left" vertical="top"/>
    </xf>
    <xf numFmtId="0" fontId="0" fillId="0" borderId="28" xfId="0" applyFill="1" applyBorder="1"/>
    <xf numFmtId="167" fontId="0" fillId="0" borderId="21" xfId="0" applyNumberFormat="1" applyFill="1" applyBorder="1"/>
    <xf numFmtId="167" fontId="0" fillId="0" borderId="41" xfId="0" applyNumberFormat="1" applyFill="1" applyBorder="1"/>
    <xf numFmtId="43" fontId="0" fillId="0" borderId="13" xfId="0" applyNumberFormat="1" applyFont="1" applyFill="1" applyBorder="1"/>
    <xf numFmtId="166" fontId="0" fillId="0" borderId="13" xfId="0" applyNumberFormat="1" applyFill="1" applyBorder="1"/>
    <xf numFmtId="44" fontId="8" fillId="0" borderId="13" xfId="0" applyNumberFormat="1" applyFont="1" applyFill="1" applyBorder="1"/>
    <xf numFmtId="43" fontId="0" fillId="0" borderId="42" xfId="0" applyNumberFormat="1" applyFont="1" applyFill="1" applyBorder="1"/>
    <xf numFmtId="166" fontId="0" fillId="0" borderId="42" xfId="0" applyNumberFormat="1" applyFill="1" applyBorder="1"/>
    <xf numFmtId="171" fontId="0" fillId="0" borderId="42" xfId="0" applyNumberFormat="1" applyFill="1" applyBorder="1"/>
    <xf numFmtId="1" fontId="30" fillId="0" borderId="0" xfId="12" applyNumberFormat="1" applyFont="1" applyFill="1" applyBorder="1"/>
    <xf numFmtId="0" fontId="30" fillId="0" borderId="10" xfId="12" applyFont="1" applyFill="1" applyBorder="1"/>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7" xfId="0" applyFont="1" applyBorder="1" applyAlignment="1">
      <alignment horizontal="center" vertical="center"/>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0" fillId="0" borderId="6" xfId="0" applyBorder="1" applyAlignment="1">
      <alignment horizontal="center" wrapText="1"/>
    </xf>
    <xf numFmtId="0" fontId="0" fillId="0" borderId="5" xfId="0" applyBorder="1" applyAlignment="1">
      <alignment horizontal="center"/>
    </xf>
    <xf numFmtId="43" fontId="8" fillId="0" borderId="9" xfId="1" applyFont="1" applyFill="1" applyBorder="1"/>
    <xf numFmtId="2" fontId="8" fillId="0" borderId="12" xfId="0" applyNumberFormat="1" applyFont="1" applyFill="1" applyBorder="1"/>
    <xf numFmtId="0" fontId="72" fillId="0" borderId="0" xfId="0" applyFont="1"/>
    <xf numFmtId="0" fontId="49" fillId="0" borderId="0" xfId="14" applyFill="1" applyBorder="1"/>
    <xf numFmtId="167" fontId="0" fillId="24" borderId="0" xfId="0" applyNumberFormat="1" applyFill="1" applyBorder="1"/>
    <xf numFmtId="167" fontId="0" fillId="29" borderId="0" xfId="0" applyNumberFormat="1" applyFill="1" applyBorder="1"/>
    <xf numFmtId="9" fontId="0" fillId="9" borderId="0" xfId="2" applyNumberFormat="1" applyFont="1" applyFill="1" applyBorder="1"/>
    <xf numFmtId="9" fontId="0" fillId="10" borderId="0" xfId="11" applyFont="1" applyFill="1" applyBorder="1"/>
    <xf numFmtId="9" fontId="0" fillId="9" borderId="0" xfId="0" applyNumberFormat="1" applyFill="1" applyBorder="1"/>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6" fillId="0" borderId="10" xfId="0" applyFont="1" applyBorder="1" applyAlignment="1">
      <alignment horizontal="left" vertical="top" wrapText="1"/>
    </xf>
    <xf numFmtId="0" fontId="26" fillId="0" borderId="12" xfId="0" applyFont="1" applyBorder="1" applyAlignment="1">
      <alignment horizontal="left" vertical="top" wrapText="1"/>
    </xf>
    <xf numFmtId="0" fontId="26" fillId="0" borderId="11" xfId="0" applyFont="1" applyBorder="1" applyAlignment="1">
      <alignment horizontal="left" vertical="top" wrapText="1"/>
    </xf>
    <xf numFmtId="0" fontId="26" fillId="10" borderId="12" xfId="0" applyFont="1" applyFill="1" applyBorder="1" applyAlignment="1">
      <alignment horizontal="left" vertical="top" wrapText="1"/>
    </xf>
    <xf numFmtId="0" fontId="26" fillId="24" borderId="10" xfId="0" applyFont="1" applyFill="1" applyBorder="1" applyAlignment="1">
      <alignment horizontal="left" vertical="top" wrapText="1"/>
    </xf>
    <xf numFmtId="0" fontId="26" fillId="24" borderId="12" xfId="0" applyFont="1" applyFill="1" applyBorder="1" applyAlignment="1">
      <alignment horizontal="left" vertical="top" wrapText="1"/>
    </xf>
    <xf numFmtId="0" fontId="26" fillId="29" borderId="10" xfId="0" applyFont="1" applyFill="1" applyBorder="1" applyAlignment="1">
      <alignment horizontal="left" vertical="top" wrapText="1"/>
    </xf>
    <xf numFmtId="0" fontId="26" fillId="29" borderId="12" xfId="0" applyFont="1" applyFill="1" applyBorder="1" applyAlignment="1">
      <alignment horizontal="left" vertical="top" wrapText="1"/>
    </xf>
    <xf numFmtId="0" fontId="26" fillId="10" borderId="10" xfId="0" applyFont="1" applyFill="1" applyBorder="1" applyAlignment="1">
      <alignment horizontal="left" vertical="top" wrapText="1"/>
    </xf>
    <xf numFmtId="0" fontId="26" fillId="10" borderId="11" xfId="0" applyFont="1" applyFill="1" applyBorder="1" applyAlignment="1">
      <alignment horizontal="left" vertical="top" wrapText="1"/>
    </xf>
    <xf numFmtId="0" fontId="26" fillId="24" borderId="11" xfId="0" applyFont="1" applyFill="1" applyBorder="1" applyAlignment="1">
      <alignment horizontal="left" vertical="top" wrapText="1"/>
    </xf>
    <xf numFmtId="0" fontId="26" fillId="29" borderId="11" xfId="0" applyFont="1" applyFill="1" applyBorder="1" applyAlignment="1">
      <alignment horizontal="left" vertical="top" wrapText="1"/>
    </xf>
    <xf numFmtId="1" fontId="0" fillId="9" borderId="54" xfId="0" applyNumberFormat="1" applyFill="1" applyBorder="1"/>
    <xf numFmtId="1" fontId="0" fillId="9" borderId="41" xfId="0" applyNumberFormat="1" applyFill="1" applyBorder="1"/>
    <xf numFmtId="1" fontId="0" fillId="9" borderId="49" xfId="0" applyNumberFormat="1" applyFill="1" applyBorder="1"/>
    <xf numFmtId="1" fontId="0" fillId="9" borderId="22" xfId="0" applyNumberFormat="1" applyFill="1" applyBorder="1"/>
    <xf numFmtId="1" fontId="0" fillId="9" borderId="40" xfId="0" applyNumberFormat="1" applyFill="1" applyBorder="1"/>
    <xf numFmtId="167" fontId="0" fillId="9" borderId="23" xfId="2" applyNumberFormat="1" applyFont="1" applyFill="1" applyBorder="1"/>
    <xf numFmtId="9" fontId="0" fillId="9" borderId="13" xfId="11" applyFont="1" applyFill="1" applyBorder="1"/>
    <xf numFmtId="9" fontId="0" fillId="9" borderId="14" xfId="2" applyNumberFormat="1" applyFont="1" applyFill="1" applyBorder="1"/>
    <xf numFmtId="9" fontId="0" fillId="10" borderId="13" xfId="11" applyFont="1" applyFill="1" applyBorder="1"/>
    <xf numFmtId="9" fontId="0" fillId="24" borderId="13" xfId="11" applyFont="1" applyFill="1" applyBorder="1"/>
    <xf numFmtId="9" fontId="0" fillId="29" borderId="13" xfId="11" applyFont="1" applyFill="1" applyBorder="1"/>
    <xf numFmtId="9" fontId="0" fillId="0" borderId="13" xfId="11" applyFont="1" applyFill="1" applyBorder="1"/>
    <xf numFmtId="9" fontId="0" fillId="10" borderId="4" xfId="11" applyFont="1" applyFill="1" applyBorder="1"/>
    <xf numFmtId="9" fontId="0" fillId="10" borderId="4" xfId="2" applyNumberFormat="1" applyFont="1" applyFill="1" applyBorder="1"/>
    <xf numFmtId="9" fontId="0" fillId="24" borderId="4" xfId="11" applyFont="1" applyFill="1" applyBorder="1"/>
    <xf numFmtId="9" fontId="0" fillId="24" borderId="4" xfId="2" applyNumberFormat="1" applyFont="1" applyFill="1" applyBorder="1"/>
    <xf numFmtId="9" fontId="0" fillId="29" borderId="4" xfId="11" applyFont="1" applyFill="1" applyBorder="1"/>
    <xf numFmtId="9" fontId="0" fillId="29" borderId="4" xfId="2" applyNumberFormat="1" applyFont="1" applyFill="1" applyBorder="1"/>
    <xf numFmtId="9" fontId="0" fillId="9" borderId="38" xfId="0" applyNumberFormat="1" applyFill="1" applyBorder="1"/>
    <xf numFmtId="44" fontId="0" fillId="0" borderId="27" xfId="2" applyFont="1" applyFill="1" applyBorder="1"/>
    <xf numFmtId="0" fontId="0" fillId="0" borderId="32" xfId="0" applyBorder="1"/>
    <xf numFmtId="44" fontId="0" fillId="0" borderId="26" xfId="2" applyFont="1" applyFill="1" applyBorder="1"/>
    <xf numFmtId="0" fontId="0" fillId="0" borderId="31" xfId="0" applyBorder="1"/>
    <xf numFmtId="0" fontId="0" fillId="10" borderId="33" xfId="0" applyFill="1" applyBorder="1"/>
    <xf numFmtId="0" fontId="0" fillId="24" borderId="33" xfId="0" applyFill="1" applyBorder="1"/>
    <xf numFmtId="0" fontId="0" fillId="29" borderId="33" xfId="0" applyFill="1" applyBorder="1"/>
    <xf numFmtId="0" fontId="1" fillId="10" borderId="33" xfId="7" applyFill="1" applyBorder="1"/>
    <xf numFmtId="0" fontId="1" fillId="24" borderId="33" xfId="7" applyFill="1" applyBorder="1"/>
    <xf numFmtId="0" fontId="1" fillId="29" borderId="33" xfId="7" applyFill="1" applyBorder="1"/>
    <xf numFmtId="0" fontId="1" fillId="0" borderId="33" xfId="7" applyBorder="1"/>
    <xf numFmtId="0" fontId="0" fillId="0" borderId="53" xfId="0" applyBorder="1"/>
    <xf numFmtId="0" fontId="1" fillId="0" borderId="34" xfId="7" applyBorder="1"/>
    <xf numFmtId="0" fontId="0" fillId="0" borderId="33" xfId="0" applyFill="1" applyBorder="1"/>
    <xf numFmtId="0" fontId="26" fillId="0" borderId="12" xfId="0" applyFont="1" applyFill="1" applyBorder="1" applyAlignment="1">
      <alignment horizontal="left" vertical="top" wrapText="1"/>
    </xf>
    <xf numFmtId="8" fontId="0" fillId="0" borderId="2" xfId="2" applyNumberFormat="1" applyFont="1" applyFill="1" applyBorder="1"/>
    <xf numFmtId="44" fontId="0" fillId="0" borderId="6" xfId="2" applyFont="1" applyFill="1" applyBorder="1"/>
    <xf numFmtId="44" fontId="0" fillId="0" borderId="7" xfId="2" applyFont="1" applyFill="1" applyBorder="1"/>
    <xf numFmtId="0" fontId="0" fillId="10" borderId="6" xfId="0" applyFill="1" applyBorder="1"/>
    <xf numFmtId="6" fontId="16" fillId="0" borderId="0" xfId="0" applyNumberFormat="1" applyFont="1"/>
    <xf numFmtId="0" fontId="0" fillId="24" borderId="3" xfId="0" applyFill="1" applyBorder="1" applyAlignment="1"/>
    <xf numFmtId="0" fontId="0" fillId="29" borderId="3" xfId="0" applyFill="1" applyBorder="1" applyAlignment="1"/>
    <xf numFmtId="0" fontId="8" fillId="0" borderId="0" xfId="0" applyFont="1" applyBorder="1" applyAlignment="1">
      <alignment horizontal="left" vertical="top"/>
    </xf>
    <xf numFmtId="167" fontId="0" fillId="0" borderId="3" xfId="2" applyNumberFormat="1" applyFont="1" applyFill="1" applyBorder="1" applyAlignment="1">
      <alignment horizontal="left" vertical="top"/>
    </xf>
    <xf numFmtId="167" fontId="0" fillId="10" borderId="3" xfId="2" applyNumberFormat="1" applyFont="1" applyFill="1" applyBorder="1" applyAlignment="1">
      <alignment horizontal="left" vertical="top"/>
    </xf>
    <xf numFmtId="167" fontId="0" fillId="29" borderId="3" xfId="2" applyNumberFormat="1" applyFont="1" applyFill="1" applyBorder="1" applyAlignment="1">
      <alignment horizontal="left" vertical="top"/>
    </xf>
    <xf numFmtId="167" fontId="0" fillId="9" borderId="3" xfId="2" applyNumberFormat="1" applyFont="1" applyFill="1" applyBorder="1" applyAlignment="1">
      <alignment horizontal="left" vertical="top"/>
    </xf>
    <xf numFmtId="0" fontId="0" fillId="4" borderId="0" xfId="0" applyFill="1" applyAlignment="1">
      <alignment horizontal="left" vertical="top"/>
    </xf>
    <xf numFmtId="0" fontId="0" fillId="0" borderId="13" xfId="0" applyBorder="1" applyAlignment="1">
      <alignment horizontal="left" vertical="top"/>
    </xf>
    <xf numFmtId="0" fontId="8" fillId="0" borderId="14" xfId="0" applyFont="1" applyBorder="1" applyAlignment="1">
      <alignment horizontal="left" vertical="top"/>
    </xf>
    <xf numFmtId="44" fontId="8" fillId="0" borderId="0" xfId="0" applyNumberFormat="1" applyFont="1" applyFill="1" applyBorder="1" applyAlignment="1">
      <alignment horizontal="left" vertical="top"/>
    </xf>
    <xf numFmtId="0" fontId="0" fillId="0" borderId="0" xfId="0" applyFill="1" applyBorder="1" applyAlignment="1">
      <alignment horizontal="left" vertical="top"/>
    </xf>
    <xf numFmtId="0" fontId="2" fillId="0" borderId="13" xfId="0" applyFont="1" applyFill="1" applyBorder="1" applyAlignment="1">
      <alignment horizontal="left" vertical="top"/>
    </xf>
    <xf numFmtId="166" fontId="0" fillId="0" borderId="0" xfId="0" applyNumberFormat="1" applyFill="1" applyBorder="1" applyAlignment="1">
      <alignment horizontal="left" vertical="top"/>
    </xf>
    <xf numFmtId="0" fontId="0" fillId="0" borderId="14" xfId="0" applyFill="1" applyBorder="1" applyAlignment="1">
      <alignment horizontal="left" vertical="top"/>
    </xf>
    <xf numFmtId="0" fontId="0" fillId="3" borderId="13" xfId="0" applyFill="1" applyBorder="1" applyAlignment="1">
      <alignment horizontal="left" vertical="top"/>
    </xf>
    <xf numFmtId="0" fontId="0" fillId="0" borderId="14" xfId="0" applyBorder="1" applyAlignment="1">
      <alignment horizontal="left" vertical="top"/>
    </xf>
    <xf numFmtId="44" fontId="8" fillId="0" borderId="0" xfId="0" applyNumberFormat="1" applyFont="1" applyAlignment="1">
      <alignment horizontal="left" vertical="top"/>
    </xf>
    <xf numFmtId="0" fontId="4" fillId="0" borderId="0" xfId="0" applyFont="1" applyAlignment="1">
      <alignment horizontal="left" vertical="top"/>
    </xf>
    <xf numFmtId="0" fontId="8" fillId="0" borderId="5" xfId="0" applyFont="1" applyBorder="1" applyAlignment="1">
      <alignment horizontal="left" vertical="top"/>
    </xf>
    <xf numFmtId="0" fontId="16" fillId="0" borderId="0" xfId="0" applyFont="1" applyAlignment="1">
      <alignment horizontal="left" vertical="top"/>
    </xf>
    <xf numFmtId="0" fontId="2" fillId="0" borderId="13" xfId="0" applyFont="1" applyBorder="1" applyAlignment="1">
      <alignment horizontal="left" vertical="top"/>
    </xf>
    <xf numFmtId="166" fontId="0" fillId="0" borderId="0" xfId="0" applyNumberFormat="1" applyAlignment="1">
      <alignment horizontal="left" vertical="top"/>
    </xf>
    <xf numFmtId="0" fontId="30" fillId="0" borderId="0" xfId="12" applyFont="1" applyAlignment="1">
      <alignment horizontal="left" vertical="top"/>
    </xf>
    <xf numFmtId="0" fontId="24" fillId="0" borderId="0" xfId="12" applyFont="1" applyAlignment="1">
      <alignment horizontal="left" vertical="top"/>
    </xf>
    <xf numFmtId="0" fontId="31" fillId="0" borderId="0" xfId="12" applyFont="1" applyAlignment="1">
      <alignment horizontal="left" vertical="top"/>
    </xf>
    <xf numFmtId="0" fontId="29" fillId="0" borderId="0" xfId="12" applyAlignment="1">
      <alignment horizontal="left" vertical="top"/>
    </xf>
    <xf numFmtId="0" fontId="30" fillId="0" borderId="0" xfId="12" applyFont="1" applyBorder="1" applyAlignment="1">
      <alignment horizontal="left" vertical="top"/>
    </xf>
    <xf numFmtId="44" fontId="8" fillId="0" borderId="10" xfId="0" applyNumberFormat="1" applyFont="1" applyFill="1" applyBorder="1" applyAlignment="1">
      <alignment horizontal="left" vertical="top"/>
    </xf>
    <xf numFmtId="44" fontId="8" fillId="0" borderId="12" xfId="0" applyNumberFormat="1" applyFont="1" applyFill="1" applyBorder="1" applyAlignment="1">
      <alignment horizontal="left" vertical="top"/>
    </xf>
    <xf numFmtId="44" fontId="8" fillId="0" borderId="11" xfId="0" applyNumberFormat="1" applyFont="1" applyFill="1" applyBorder="1" applyAlignment="1">
      <alignment horizontal="left" vertical="top"/>
    </xf>
    <xf numFmtId="171" fontId="0" fillId="0" borderId="5" xfId="0" applyNumberFormat="1" applyFill="1" applyBorder="1" applyAlignment="1">
      <alignment horizontal="left" vertical="top"/>
    </xf>
    <xf numFmtId="44" fontId="0" fillId="0" borderId="0" xfId="0" applyNumberFormat="1" applyFill="1" applyAlignment="1">
      <alignment horizontal="left" vertical="top"/>
    </xf>
    <xf numFmtId="171" fontId="0" fillId="0" borderId="0" xfId="0" applyNumberFormat="1" applyFill="1" applyAlignment="1">
      <alignment horizontal="left" vertical="top"/>
    </xf>
    <xf numFmtId="44" fontId="8" fillId="0" borderId="14" xfId="0" applyNumberFormat="1" applyFont="1" applyFill="1" applyBorder="1" applyAlignment="1">
      <alignment horizontal="left" vertical="top"/>
    </xf>
    <xf numFmtId="0" fontId="19" fillId="0" borderId="0" xfId="12" applyFont="1" applyBorder="1" applyAlignment="1">
      <alignment horizontal="left" vertical="top"/>
    </xf>
    <xf numFmtId="0" fontId="0" fillId="0" borderId="5" xfId="0" applyBorder="1" applyAlignment="1">
      <alignment horizontal="left" vertical="top"/>
    </xf>
    <xf numFmtId="0" fontId="0" fillId="0" borderId="0" xfId="0" applyBorder="1" applyAlignment="1">
      <alignment horizontal="left" vertical="top"/>
    </xf>
    <xf numFmtId="0" fontId="31" fillId="0" borderId="0" xfId="12" applyFont="1" applyBorder="1" applyAlignment="1">
      <alignment horizontal="left" vertical="top"/>
    </xf>
    <xf numFmtId="0" fontId="31" fillId="0" borderId="0" xfId="12" applyFont="1" applyFill="1" applyAlignment="1">
      <alignment horizontal="left" vertical="top"/>
    </xf>
    <xf numFmtId="0" fontId="0" fillId="21" borderId="0" xfId="0" applyFill="1" applyBorder="1" applyAlignment="1">
      <alignment horizontal="left" vertical="top"/>
    </xf>
    <xf numFmtId="0" fontId="20" fillId="0" borderId="0" xfId="0" applyFont="1" applyAlignment="1">
      <alignment horizontal="left" vertical="top"/>
    </xf>
    <xf numFmtId="0" fontId="8" fillId="0" borderId="0" xfId="0" applyFont="1" applyFill="1" applyBorder="1" applyAlignment="1">
      <alignment horizontal="left" vertical="top"/>
    </xf>
    <xf numFmtId="0" fontId="8" fillId="0" borderId="0" xfId="0" applyFont="1" applyFill="1" applyAlignment="1">
      <alignment horizontal="left" vertical="top"/>
    </xf>
    <xf numFmtId="0" fontId="16" fillId="0" borderId="5" xfId="0" applyFont="1" applyBorder="1" applyAlignment="1">
      <alignment horizontal="left" vertical="top"/>
    </xf>
    <xf numFmtId="0" fontId="8" fillId="0" borderId="0" xfId="12" applyFont="1" applyAlignment="1">
      <alignment horizontal="left" vertical="top"/>
    </xf>
    <xf numFmtId="0" fontId="16" fillId="0" borderId="0" xfId="12" applyFont="1" applyAlignment="1">
      <alignment horizontal="left" vertical="top"/>
    </xf>
    <xf numFmtId="0" fontId="8" fillId="0" borderId="43" xfId="12" applyFont="1" applyBorder="1" applyAlignment="1">
      <alignment horizontal="left" vertical="top"/>
    </xf>
    <xf numFmtId="0" fontId="2" fillId="0" borderId="0" xfId="0" applyFont="1" applyAlignment="1">
      <alignment horizontal="left" vertical="top"/>
    </xf>
    <xf numFmtId="0" fontId="0" fillId="16" borderId="0" xfId="0" applyFill="1" applyAlignment="1">
      <alignment horizontal="left" vertical="top"/>
    </xf>
    <xf numFmtId="167" fontId="8" fillId="0" borderId="0" xfId="2" applyNumberFormat="1" applyFont="1" applyAlignment="1">
      <alignment horizontal="left" vertical="top"/>
    </xf>
    <xf numFmtId="167" fontId="0" fillId="0" borderId="0" xfId="2" applyNumberFormat="1" applyFont="1" applyAlignment="1">
      <alignment horizontal="left" vertical="top"/>
    </xf>
    <xf numFmtId="167" fontId="0" fillId="0" borderId="13" xfId="2" applyNumberFormat="1" applyFont="1" applyFill="1" applyBorder="1" applyAlignment="1">
      <alignment horizontal="left" vertical="top"/>
    </xf>
    <xf numFmtId="167" fontId="0" fillId="0" borderId="0" xfId="2" applyNumberFormat="1" applyFont="1" applyFill="1" applyBorder="1" applyAlignment="1">
      <alignment horizontal="left" vertical="top"/>
    </xf>
    <xf numFmtId="0" fontId="0" fillId="3" borderId="42" xfId="0" applyFill="1" applyBorder="1" applyAlignment="1">
      <alignment horizontal="left" vertical="top"/>
    </xf>
    <xf numFmtId="167" fontId="8" fillId="0" borderId="0" xfId="2" applyNumberFormat="1" applyFont="1" applyBorder="1" applyAlignment="1">
      <alignment horizontal="left" vertical="top"/>
    </xf>
    <xf numFmtId="167" fontId="0" fillId="0" borderId="0" xfId="0" applyNumberFormat="1" applyAlignment="1">
      <alignment horizontal="left" vertical="top"/>
    </xf>
    <xf numFmtId="0" fontId="0" fillId="0" borderId="10" xfId="0" applyBorder="1" applyAlignment="1">
      <alignment horizontal="left" vertical="top"/>
    </xf>
    <xf numFmtId="0" fontId="0" fillId="0" borderId="12" xfId="0" applyBorder="1" applyAlignment="1">
      <alignment horizontal="left" vertical="top"/>
    </xf>
    <xf numFmtId="0" fontId="5" fillId="0" borderId="12" xfId="0" applyFont="1" applyBorder="1" applyAlignment="1">
      <alignment horizontal="left" vertical="top"/>
    </xf>
    <xf numFmtId="0" fontId="5" fillId="0" borderId="11" xfId="0" applyFont="1" applyBorder="1" applyAlignment="1">
      <alignment horizontal="left" vertical="top"/>
    </xf>
    <xf numFmtId="172" fontId="0" fillId="0" borderId="0" xfId="0" applyNumberFormat="1" applyAlignment="1">
      <alignment horizontal="left" vertical="top"/>
    </xf>
    <xf numFmtId="0" fontId="0" fillId="9" borderId="0" xfId="0" applyFill="1"/>
    <xf numFmtId="44" fontId="0" fillId="9" borderId="3" xfId="2" applyNumberFormat="1" applyFont="1" applyFill="1" applyBorder="1" applyAlignment="1">
      <alignment horizontal="left" vertical="top"/>
    </xf>
    <xf numFmtId="166" fontId="0" fillId="9" borderId="4" xfId="1" applyNumberFormat="1" applyFont="1" applyFill="1" applyBorder="1"/>
    <xf numFmtId="167" fontId="0" fillId="9" borderId="5" xfId="2" applyNumberFormat="1" applyFont="1" applyFill="1" applyBorder="1"/>
    <xf numFmtId="0" fontId="26" fillId="9" borderId="10" xfId="0" applyFont="1" applyFill="1" applyBorder="1" applyAlignment="1">
      <alignment horizontal="left" vertical="top" wrapText="1"/>
    </xf>
    <xf numFmtId="44" fontId="0" fillId="9" borderId="27" xfId="2" applyNumberFormat="1" applyFont="1" applyFill="1" applyBorder="1"/>
    <xf numFmtId="6" fontId="0" fillId="9" borderId="20" xfId="2" applyNumberFormat="1" applyFont="1" applyFill="1" applyBorder="1"/>
    <xf numFmtId="0" fontId="0" fillId="9" borderId="10" xfId="0" applyFill="1" applyBorder="1"/>
    <xf numFmtId="0" fontId="26" fillId="9" borderId="12" xfId="0" applyFont="1" applyFill="1" applyBorder="1" applyAlignment="1">
      <alignment horizontal="left" vertical="top" wrapText="1"/>
    </xf>
    <xf numFmtId="44" fontId="28" fillId="9" borderId="21" xfId="11" applyNumberFormat="1" applyFont="1" applyFill="1" applyBorder="1"/>
    <xf numFmtId="43" fontId="0" fillId="9" borderId="20" xfId="2" applyNumberFormat="1" applyFont="1" applyFill="1" applyBorder="1"/>
    <xf numFmtId="0" fontId="0" fillId="9" borderId="3" xfId="2" applyNumberFormat="1" applyFont="1" applyFill="1" applyBorder="1" applyAlignment="1">
      <alignment horizontal="left" vertical="top"/>
    </xf>
    <xf numFmtId="0" fontId="26" fillId="9" borderId="11" xfId="0" applyFont="1" applyFill="1" applyBorder="1" applyAlignment="1">
      <alignment horizontal="left" vertical="top" wrapText="1"/>
    </xf>
    <xf numFmtId="44" fontId="28" fillId="9" borderId="18" xfId="11" applyNumberFormat="1" applyFont="1" applyFill="1" applyBorder="1"/>
    <xf numFmtId="0" fontId="0" fillId="0" borderId="13" xfId="0" applyBorder="1" applyAlignment="1">
      <alignment horizontal="center" vertical="center"/>
    </xf>
    <xf numFmtId="0" fontId="2" fillId="0" borderId="8" xfId="0" applyFont="1" applyBorder="1" applyAlignment="1">
      <alignment vertical="center"/>
    </xf>
    <xf numFmtId="0" fontId="2" fillId="0" borderId="10" xfId="0" applyFont="1" applyBorder="1" applyAlignment="1">
      <alignment vertical="center"/>
    </xf>
    <xf numFmtId="0" fontId="0" fillId="0" borderId="1" xfId="0" applyBorder="1" applyAlignment="1">
      <alignment horizontal="center" vertical="center"/>
    </xf>
    <xf numFmtId="0" fontId="0" fillId="9" borderId="3" xfId="0" applyFill="1" applyBorder="1" applyAlignment="1">
      <alignment horizontal="right" vertical="top"/>
    </xf>
    <xf numFmtId="0" fontId="0" fillId="0" borderId="2" xfId="0" applyFill="1" applyBorder="1"/>
    <xf numFmtId="167" fontId="0" fillId="0" borderId="2" xfId="2" applyNumberFormat="1" applyFont="1" applyFill="1" applyBorder="1" applyAlignment="1">
      <alignment horizontal="left" vertical="top"/>
    </xf>
    <xf numFmtId="167" fontId="0" fillId="0" borderId="2" xfId="2" applyNumberFormat="1" applyFont="1" applyFill="1" applyBorder="1"/>
    <xf numFmtId="0" fontId="0" fillId="0" borderId="2" xfId="2" applyNumberFormat="1" applyFont="1" applyFill="1" applyBorder="1"/>
    <xf numFmtId="1" fontId="0" fillId="0" borderId="8" xfId="0" applyNumberFormat="1" applyFill="1" applyBorder="1"/>
    <xf numFmtId="1" fontId="0" fillId="0" borderId="36" xfId="0" applyNumberFormat="1" applyFill="1" applyBorder="1"/>
    <xf numFmtId="167" fontId="0" fillId="0" borderId="10" xfId="2" applyNumberFormat="1" applyFont="1" applyFill="1" applyBorder="1"/>
    <xf numFmtId="0" fontId="5" fillId="0" borderId="0" xfId="0" applyFont="1" applyAlignment="1">
      <alignment horizontal="left" vertical="top"/>
    </xf>
    <xf numFmtId="2" fontId="5" fillId="0" borderId="0" xfId="0" applyNumberFormat="1" applyFont="1"/>
    <xf numFmtId="166" fontId="0" fillId="9" borderId="3" xfId="1" applyNumberFormat="1" applyFont="1" applyFill="1" applyBorder="1" applyAlignment="1">
      <alignment horizontal="right" vertical="top"/>
    </xf>
    <xf numFmtId="166" fontId="0" fillId="0" borderId="7" xfId="1" applyNumberFormat="1" applyFont="1" applyFill="1" applyBorder="1" applyAlignment="1">
      <alignment horizontal="right" vertical="top"/>
    </xf>
    <xf numFmtId="166" fontId="0" fillId="0" borderId="3" xfId="1" applyNumberFormat="1" applyFont="1" applyFill="1" applyBorder="1" applyAlignment="1">
      <alignment horizontal="right" vertical="top"/>
    </xf>
    <xf numFmtId="166" fontId="0" fillId="0" borderId="2" xfId="1" applyNumberFormat="1" applyFont="1" applyFill="1" applyBorder="1" applyAlignment="1">
      <alignment horizontal="right" vertical="top"/>
    </xf>
    <xf numFmtId="166" fontId="0" fillId="10" borderId="3" xfId="1" applyNumberFormat="1" applyFont="1" applyFill="1" applyBorder="1" applyAlignment="1">
      <alignment horizontal="right" vertical="top"/>
    </xf>
    <xf numFmtId="166" fontId="0" fillId="24" borderId="3" xfId="1" applyNumberFormat="1" applyFont="1" applyFill="1" applyBorder="1" applyAlignment="1">
      <alignment horizontal="right" vertical="top"/>
    </xf>
    <xf numFmtId="166" fontId="0" fillId="29" borderId="3" xfId="1" applyNumberFormat="1" applyFont="1" applyFill="1" applyBorder="1" applyAlignment="1">
      <alignment horizontal="right" vertical="top"/>
    </xf>
    <xf numFmtId="0" fontId="0" fillId="0" borderId="6" xfId="0" applyFill="1" applyBorder="1"/>
    <xf numFmtId="167" fontId="0" fillId="22" borderId="2" xfId="2" applyNumberFormat="1" applyFont="1" applyFill="1" applyBorder="1"/>
    <xf numFmtId="167" fontId="0" fillId="22" borderId="8" xfId="2" applyNumberFormat="1" applyFont="1" applyFill="1" applyBorder="1"/>
    <xf numFmtId="167" fontId="0" fillId="22" borderId="13" xfId="2" applyNumberFormat="1" applyFont="1" applyFill="1" applyBorder="1"/>
    <xf numFmtId="167" fontId="0" fillId="22" borderId="10" xfId="2" applyNumberFormat="1" applyFont="1" applyFill="1" applyBorder="1"/>
    <xf numFmtId="167" fontId="0" fillId="28" borderId="11" xfId="2" applyNumberFormat="1" applyFont="1" applyFill="1" applyBorder="1"/>
    <xf numFmtId="166" fontId="0" fillId="10" borderId="7" xfId="1" applyNumberFormat="1" applyFont="1" applyFill="1" applyBorder="1" applyAlignment="1">
      <alignment horizontal="right" vertical="top"/>
    </xf>
    <xf numFmtId="0" fontId="16" fillId="0" borderId="2" xfId="0" applyFont="1" applyBorder="1" applyAlignment="1">
      <alignment horizontal="center" vertical="center"/>
    </xf>
    <xf numFmtId="0" fontId="0" fillId="0" borderId="4" xfId="0" applyBorder="1" applyAlignment="1">
      <alignment horizontal="center" vertical="center"/>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21" fillId="0" borderId="0" xfId="0" applyFont="1" applyAlignment="1">
      <alignment horizontal="left" vertical="top" wrapText="1"/>
    </xf>
    <xf numFmtId="0" fontId="26" fillId="0" borderId="0" xfId="0" applyFont="1" applyAlignment="1">
      <alignment horizontal="left" vertical="top" wrapText="1"/>
    </xf>
    <xf numFmtId="0" fontId="0" fillId="0" borderId="0" xfId="0" applyAlignment="1">
      <alignment horizontal="center" vertical="center"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0" fillId="0" borderId="6" xfId="0" applyBorder="1" applyAlignment="1">
      <alignment horizontal="center" wrapText="1"/>
    </xf>
    <xf numFmtId="166" fontId="0" fillId="28" borderId="11" xfId="1" applyNumberFormat="1" applyFont="1" applyFill="1" applyBorder="1"/>
    <xf numFmtId="166" fontId="0" fillId="28" borderId="2" xfId="1" applyNumberFormat="1" applyFont="1" applyFill="1" applyBorder="1"/>
    <xf numFmtId="166" fontId="0" fillId="28" borderId="10" xfId="1" applyNumberFormat="1" applyFont="1" applyFill="1" applyBorder="1"/>
    <xf numFmtId="9" fontId="0" fillId="0" borderId="2" xfId="11" applyFont="1" applyBorder="1"/>
    <xf numFmtId="0" fontId="4" fillId="0" borderId="0" xfId="0" applyFont="1" applyBorder="1"/>
    <xf numFmtId="0" fontId="2" fillId="0" borderId="5" xfId="0" applyFont="1" applyBorder="1" applyAlignment="1">
      <alignment horizontal="center" vertical="center"/>
    </xf>
    <xf numFmtId="0" fontId="2" fillId="3" borderId="3" xfId="0" applyFont="1" applyFill="1" applyBorder="1" applyAlignment="1">
      <alignment wrapText="1"/>
    </xf>
    <xf numFmtId="167" fontId="2" fillId="3" borderId="3" xfId="2" applyNumberFormat="1" applyFont="1" applyFill="1" applyBorder="1" applyAlignment="1">
      <alignment wrapText="1"/>
    </xf>
    <xf numFmtId="167" fontId="4" fillId="0" borderId="4" xfId="2" applyNumberFormat="1" applyFont="1" applyBorder="1"/>
    <xf numFmtId="167" fontId="0" fillId="0" borderId="6" xfId="0" applyNumberFormat="1" applyFill="1" applyBorder="1"/>
    <xf numFmtId="0" fontId="18" fillId="0" borderId="0" xfId="0" applyFont="1" applyBorder="1"/>
    <xf numFmtId="166" fontId="8" fillId="0" borderId="0" xfId="1" applyNumberFormat="1" applyFont="1" applyFill="1" applyBorder="1"/>
    <xf numFmtId="166" fontId="8" fillId="0" borderId="9" xfId="0" applyNumberFormat="1" applyFont="1" applyFill="1" applyBorder="1"/>
    <xf numFmtId="2" fontId="19" fillId="0" borderId="0" xfId="0" applyNumberFormat="1" applyFont="1"/>
    <xf numFmtId="2" fontId="0" fillId="0" borderId="0" xfId="0" applyNumberFormat="1" applyFont="1"/>
    <xf numFmtId="43" fontId="5" fillId="0" borderId="1" xfId="0" applyNumberFormat="1" applyFont="1" applyFill="1" applyBorder="1"/>
    <xf numFmtId="43" fontId="8" fillId="0" borderId="1" xfId="0" applyNumberFormat="1" applyFont="1" applyBorder="1"/>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0" fillId="0" borderId="0" xfId="0" applyAlignment="1">
      <alignment horizontal="center" vertic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wrapText="1"/>
    </xf>
    <xf numFmtId="43" fontId="8" fillId="3" borderId="9" xfId="0" applyNumberFormat="1" applyFont="1" applyFill="1" applyBorder="1"/>
    <xf numFmtId="170" fontId="8" fillId="10" borderId="0" xfId="1" applyNumberFormat="1" applyFont="1" applyFill="1"/>
    <xf numFmtId="168" fontId="8" fillId="10" borderId="0" xfId="11" applyNumberFormat="1" applyFont="1" applyFill="1"/>
    <xf numFmtId="169" fontId="8" fillId="3" borderId="8" xfId="0" applyNumberFormat="1" applyFont="1" applyFill="1" applyBorder="1"/>
    <xf numFmtId="167" fontId="0" fillId="3" borderId="8" xfId="2" applyNumberFormat="1" applyFont="1" applyFill="1" applyBorder="1"/>
    <xf numFmtId="166" fontId="0" fillId="3" borderId="9" xfId="0" applyNumberFormat="1" applyFill="1" applyBorder="1"/>
    <xf numFmtId="43" fontId="0" fillId="0" borderId="9" xfId="0" applyNumberFormat="1" applyBorder="1"/>
    <xf numFmtId="43" fontId="8" fillId="0" borderId="9" xfId="0" applyNumberFormat="1" applyFont="1" applyBorder="1"/>
    <xf numFmtId="0" fontId="14" fillId="0" borderId="0" xfId="0" applyFont="1" applyAlignment="1">
      <alignment horizontal="right"/>
    </xf>
    <xf numFmtId="167" fontId="16" fillId="0" borderId="0" xfId="0" applyNumberFormat="1" applyFont="1" applyBorder="1"/>
    <xf numFmtId="9" fontId="8" fillId="3" borderId="9" xfId="2" applyNumberFormat="1" applyFont="1" applyFill="1" applyBorder="1" applyAlignment="1">
      <alignment horizontal="right"/>
    </xf>
    <xf numFmtId="0" fontId="16" fillId="3" borderId="9" xfId="0" applyFont="1" applyFill="1" applyBorder="1"/>
    <xf numFmtId="8" fontId="8" fillId="3" borderId="9" xfId="2" applyNumberFormat="1" applyFont="1" applyFill="1" applyBorder="1" applyAlignment="1">
      <alignment horizontal="right"/>
    </xf>
    <xf numFmtId="0" fontId="8" fillId="3" borderId="9" xfId="2" applyNumberFormat="1" applyFont="1" applyFill="1" applyBorder="1" applyAlignment="1">
      <alignment horizontal="right"/>
    </xf>
    <xf numFmtId="167" fontId="8" fillId="0" borderId="9" xfId="2" applyNumberFormat="1" applyFont="1" applyFill="1" applyBorder="1" applyAlignment="1">
      <alignment horizontal="right"/>
    </xf>
    <xf numFmtId="0" fontId="0" fillId="4" borderId="0" xfId="0" applyFont="1" applyFill="1" applyBorder="1"/>
    <xf numFmtId="44" fontId="8" fillId="4" borderId="0" xfId="0" applyNumberFormat="1" applyFont="1" applyFill="1" applyBorder="1"/>
    <xf numFmtId="166" fontId="0" fillId="0" borderId="14" xfId="1" applyNumberFormat="1" applyFont="1" applyBorder="1"/>
    <xf numFmtId="0" fontId="49" fillId="0" borderId="33" xfId="14" applyBorder="1"/>
    <xf numFmtId="0" fontId="2" fillId="0" borderId="0" xfId="0" applyFont="1" applyAlignment="1"/>
    <xf numFmtId="167" fontId="0" fillId="0" borderId="12" xfId="2" applyNumberFormat="1" applyFont="1" applyFill="1" applyBorder="1"/>
    <xf numFmtId="167" fontId="1" fillId="3" borderId="14" xfId="2" applyNumberFormat="1" applyFont="1" applyFill="1" applyBorder="1"/>
    <xf numFmtId="0" fontId="0" fillId="28" borderId="10" xfId="0" applyFill="1" applyBorder="1"/>
    <xf numFmtId="167" fontId="0" fillId="28" borderId="1" xfId="2" applyNumberFormat="1" applyFont="1" applyFill="1" applyBorder="1"/>
    <xf numFmtId="167" fontId="0" fillId="0" borderId="1" xfId="2" applyNumberFormat="1" applyFont="1" applyBorder="1"/>
    <xf numFmtId="167" fontId="0" fillId="0" borderId="11" xfId="2" applyNumberFormat="1" applyFont="1" applyBorder="1"/>
    <xf numFmtId="167" fontId="1" fillId="3" borderId="1" xfId="2" applyNumberFormat="1" applyFont="1" applyFill="1" applyBorder="1"/>
    <xf numFmtId="167" fontId="1" fillId="3" borderId="11" xfId="2" applyNumberFormat="1" applyFont="1" applyFill="1" applyBorder="1"/>
    <xf numFmtId="167" fontId="1" fillId="0" borderId="4" xfId="2" applyNumberFormat="1" applyFont="1" applyBorder="1"/>
    <xf numFmtId="167" fontId="1" fillId="0" borderId="42" xfId="2" applyNumberFormat="1" applyFont="1" applyBorder="1"/>
    <xf numFmtId="167" fontId="1" fillId="0" borderId="5" xfId="2" applyNumberFormat="1" applyFont="1" applyBorder="1"/>
    <xf numFmtId="0" fontId="0" fillId="0" borderId="12" xfId="0" applyBorder="1" applyAlignment="1">
      <alignment horizontal="center"/>
    </xf>
    <xf numFmtId="167" fontId="2" fillId="3" borderId="5" xfId="2" applyNumberFormat="1" applyFont="1" applyFill="1" applyBorder="1"/>
    <xf numFmtId="0" fontId="0" fillId="0" borderId="12" xfId="0" applyBorder="1" applyAlignment="1">
      <alignment horizontal="center" vertical="top"/>
    </xf>
    <xf numFmtId="0" fontId="65" fillId="0" borderId="0" xfId="0" applyFont="1" applyFill="1" applyBorder="1" applyAlignment="1">
      <alignment horizontal="left" vertical="center" indent="12"/>
    </xf>
    <xf numFmtId="0" fontId="45" fillId="0" borderId="0" xfId="0" applyFont="1" applyFill="1" applyBorder="1" applyAlignment="1">
      <alignment horizontal="left" vertical="center" indent="8"/>
    </xf>
    <xf numFmtId="0" fontId="4" fillId="0" borderId="0" xfId="0" applyFont="1" applyFill="1" applyBorder="1"/>
    <xf numFmtId="0" fontId="0" fillId="0" borderId="0" xfId="0" applyFill="1" applyBorder="1" applyAlignment="1">
      <alignment vertical="top"/>
    </xf>
    <xf numFmtId="0" fontId="0" fillId="0" borderId="9" xfId="0" applyFill="1" applyBorder="1" applyAlignment="1">
      <alignment vertical="top"/>
    </xf>
    <xf numFmtId="0" fontId="0" fillId="0" borderId="12" xfId="0" applyFill="1" applyBorder="1" applyAlignment="1">
      <alignment vertical="top"/>
    </xf>
    <xf numFmtId="166" fontId="0" fillId="28" borderId="13" xfId="1" applyNumberFormat="1" applyFont="1" applyFill="1" applyBorder="1"/>
    <xf numFmtId="166" fontId="0" fillId="28" borderId="8" xfId="1" applyNumberFormat="1" applyFont="1" applyFill="1" applyBorder="1"/>
    <xf numFmtId="166" fontId="0" fillId="0" borderId="9" xfId="1" applyNumberFormat="1" applyFont="1" applyBorder="1"/>
    <xf numFmtId="166" fontId="0" fillId="28" borderId="0" xfId="1" applyNumberFormat="1" applyFont="1" applyFill="1" applyBorder="1"/>
    <xf numFmtId="166" fontId="0" fillId="28" borderId="9" xfId="1" applyNumberFormat="1" applyFont="1" applyFill="1" applyBorder="1"/>
    <xf numFmtId="166" fontId="0" fillId="28" borderId="14" xfId="1" applyNumberFormat="1" applyFont="1" applyFill="1" applyBorder="1"/>
    <xf numFmtId="166" fontId="0" fillId="28" borderId="1" xfId="1" applyNumberFormat="1" applyFont="1" applyFill="1" applyBorder="1"/>
    <xf numFmtId="167" fontId="1" fillId="0" borderId="3" xfId="2" applyNumberFormat="1" applyFont="1" applyBorder="1"/>
    <xf numFmtId="0" fontId="0" fillId="3" borderId="6" xfId="0" applyFill="1" applyBorder="1"/>
    <xf numFmtId="167" fontId="0" fillId="0" borderId="0" xfId="0" applyNumberFormat="1" applyFill="1"/>
    <xf numFmtId="43" fontId="0" fillId="3" borderId="0" xfId="0" applyNumberFormat="1" applyFill="1" applyBorder="1"/>
    <xf numFmtId="167" fontId="0" fillId="28" borderId="0" xfId="2" applyNumberFormat="1" applyFont="1" applyFill="1"/>
    <xf numFmtId="166" fontId="0" fillId="28" borderId="0" xfId="0" applyNumberFormat="1" applyFill="1"/>
    <xf numFmtId="0" fontId="2" fillId="28" borderId="0" xfId="0" applyFont="1" applyFill="1"/>
    <xf numFmtId="166" fontId="0" fillId="28" borderId="0" xfId="1" applyNumberFormat="1" applyFont="1" applyFill="1"/>
    <xf numFmtId="44" fontId="0" fillId="28" borderId="0" xfId="2" applyNumberFormat="1" applyFont="1" applyFill="1"/>
    <xf numFmtId="0" fontId="49" fillId="0" borderId="0" xfId="14" applyAlignment="1">
      <alignment horizontal="left" vertical="top"/>
    </xf>
    <xf numFmtId="0" fontId="53" fillId="0" borderId="0" xfId="0" applyFont="1" applyAlignment="1">
      <alignment horizontal="left" vertical="top"/>
    </xf>
    <xf numFmtId="0" fontId="43" fillId="0" borderId="0" xfId="0" applyFont="1" applyAlignment="1">
      <alignment horizontal="left" vertical="top"/>
    </xf>
    <xf numFmtId="44" fontId="0" fillId="3" borderId="9" xfId="2" applyFont="1" applyFill="1" applyBorder="1"/>
    <xf numFmtId="44" fontId="0" fillId="0" borderId="9" xfId="0" applyNumberFormat="1" applyFill="1" applyBorder="1"/>
    <xf numFmtId="44" fontId="0" fillId="0" borderId="0" xfId="0" applyNumberFormat="1" applyFill="1" applyBorder="1"/>
    <xf numFmtId="174" fontId="0" fillId="0" borderId="9" xfId="0" applyNumberFormat="1" applyFill="1" applyBorder="1"/>
    <xf numFmtId="166" fontId="16" fillId="0" borderId="9" xfId="1" applyNumberFormat="1" applyFont="1" applyFill="1" applyBorder="1" applyAlignment="1">
      <alignment horizontal="right"/>
    </xf>
    <xf numFmtId="0" fontId="2" fillId="0" borderId="11" xfId="0" applyFont="1" applyFill="1" applyBorder="1"/>
    <xf numFmtId="43" fontId="2" fillId="0" borderId="4" xfId="0" applyNumberFormat="1" applyFont="1" applyBorder="1"/>
    <xf numFmtId="43" fontId="2" fillId="0" borderId="42" xfId="0" applyNumberFormat="1" applyFont="1" applyBorder="1"/>
    <xf numFmtId="0" fontId="2" fillId="0" borderId="5" xfId="0" applyFont="1" applyBorder="1"/>
    <xf numFmtId="0" fontId="2" fillId="0" borderId="5" xfId="0" applyFont="1" applyFill="1" applyBorder="1"/>
    <xf numFmtId="43" fontId="0" fillId="0" borderId="9" xfId="0" applyNumberFormat="1" applyFill="1" applyBorder="1"/>
    <xf numFmtId="2" fontId="8" fillId="0" borderId="4" xfId="1" applyNumberFormat="1" applyFont="1" applyFill="1" applyBorder="1" applyAlignment="1">
      <alignment horizontal="left" vertical="top"/>
    </xf>
    <xf numFmtId="179" fontId="0" fillId="3" borderId="9" xfId="1" applyNumberFormat="1" applyFont="1" applyFill="1" applyBorder="1"/>
    <xf numFmtId="175" fontId="8" fillId="0" borderId="9" xfId="1" applyNumberFormat="1" applyFont="1" applyFill="1" applyBorder="1"/>
    <xf numFmtId="44" fontId="1" fillId="0" borderId="0" xfId="2" applyFont="1" applyFill="1" applyBorder="1"/>
    <xf numFmtId="9" fontId="0" fillId="3" borderId="8" xfId="0" applyNumberFormat="1" applyFill="1" applyBorder="1"/>
    <xf numFmtId="9" fontId="0" fillId="3" borderId="13" xfId="0" applyNumberFormat="1" applyFill="1" applyBorder="1"/>
    <xf numFmtId="44" fontId="1" fillId="0" borderId="9" xfId="2" applyFont="1" applyFill="1" applyBorder="1"/>
    <xf numFmtId="166" fontId="0" fillId="0" borderId="4" xfId="0" applyNumberFormat="1" applyFont="1" applyBorder="1"/>
    <xf numFmtId="166" fontId="0" fillId="0" borderId="42" xfId="0" applyNumberFormat="1" applyFont="1" applyBorder="1"/>
    <xf numFmtId="44" fontId="1" fillId="0" borderId="1" xfId="2" applyFont="1" applyFill="1" applyBorder="1"/>
    <xf numFmtId="44" fontId="1" fillId="0" borderId="14" xfId="2" applyFont="1" applyFill="1" applyBorder="1"/>
    <xf numFmtId="44" fontId="2" fillId="3" borderId="1" xfId="0" applyNumberFormat="1" applyFont="1" applyFill="1" applyBorder="1"/>
    <xf numFmtId="44" fontId="2" fillId="3" borderId="14" xfId="0" applyNumberFormat="1" applyFont="1" applyFill="1" applyBorder="1"/>
    <xf numFmtId="44" fontId="8" fillId="0" borderId="3" xfId="2" applyFont="1" applyBorder="1"/>
    <xf numFmtId="0" fontId="0" fillId="0" borderId="0" xfId="0" applyBorder="1" applyAlignment="1">
      <alignment vertical="center" wrapText="1"/>
    </xf>
    <xf numFmtId="166" fontId="0" fillId="3" borderId="3" xfId="1" applyNumberFormat="1" applyFont="1" applyFill="1" applyBorder="1"/>
    <xf numFmtId="0" fontId="2" fillId="3" borderId="5" xfId="0" applyFont="1" applyFill="1" applyBorder="1"/>
    <xf numFmtId="167" fontId="1" fillId="3" borderId="7" xfId="2" applyNumberFormat="1" applyFont="1" applyFill="1" applyBorder="1"/>
    <xf numFmtId="0" fontId="2" fillId="3" borderId="42" xfId="0" applyFont="1" applyFill="1" applyBorder="1"/>
    <xf numFmtId="167" fontId="0" fillId="28" borderId="10" xfId="2" applyNumberFormat="1" applyFont="1" applyFill="1" applyBorder="1"/>
    <xf numFmtId="167" fontId="0" fillId="28" borderId="2" xfId="2" applyNumberFormat="1" applyFont="1" applyFill="1" applyBorder="1"/>
    <xf numFmtId="0" fontId="4" fillId="0" borderId="4" xfId="0" applyFont="1" applyBorder="1"/>
    <xf numFmtId="9" fontId="0" fillId="0" borderId="9" xfId="11" applyFont="1" applyBorder="1"/>
    <xf numFmtId="9" fontId="0" fillId="0" borderId="4" xfId="11" applyFont="1" applyFill="1" applyBorder="1"/>
    <xf numFmtId="9" fontId="0" fillId="0" borderId="42" xfId="11" applyFont="1" applyFill="1" applyBorder="1"/>
    <xf numFmtId="9" fontId="0" fillId="0" borderId="8" xfId="11" applyFont="1" applyBorder="1"/>
    <xf numFmtId="9" fontId="0" fillId="0" borderId="13" xfId="11" applyFont="1" applyBorder="1"/>
    <xf numFmtId="166" fontId="1" fillId="3" borderId="4" xfId="1" applyNumberFormat="1" applyFont="1" applyFill="1" applyBorder="1"/>
    <xf numFmtId="166" fontId="1" fillId="3" borderId="42" xfId="1" applyNumberFormat="1" applyFont="1" applyFill="1" applyBorder="1"/>
    <xf numFmtId="166" fontId="1" fillId="3" borderId="5" xfId="1" applyNumberFormat="1" applyFont="1" applyFill="1" applyBorder="1"/>
    <xf numFmtId="1" fontId="8" fillId="28" borderId="0" xfId="1" applyNumberFormat="1" applyFont="1" applyFill="1" applyBorder="1" applyAlignment="1">
      <alignment horizontal="right"/>
    </xf>
    <xf numFmtId="9" fontId="0" fillId="3" borderId="1" xfId="0" applyNumberFormat="1" applyFill="1" applyBorder="1"/>
    <xf numFmtId="9" fontId="8" fillId="3" borderId="2" xfId="11" applyFont="1" applyFill="1" applyBorder="1" applyAlignment="1">
      <alignment horizontal="right"/>
    </xf>
    <xf numFmtId="9" fontId="8" fillId="3" borderId="6" xfId="11" applyFont="1" applyFill="1" applyBorder="1" applyAlignment="1">
      <alignment horizontal="right"/>
    </xf>
    <xf numFmtId="9" fontId="8" fillId="3" borderId="7" xfId="11" applyFont="1" applyFill="1" applyBorder="1" applyAlignment="1">
      <alignment horizontal="right"/>
    </xf>
    <xf numFmtId="1" fontId="8" fillId="0" borderId="0" xfId="1" applyNumberFormat="1" applyFont="1" applyFill="1" applyBorder="1" applyAlignment="1">
      <alignment horizontal="right"/>
    </xf>
    <xf numFmtId="9" fontId="0" fillId="0" borderId="2" xfId="11" applyFont="1" applyFill="1" applyBorder="1"/>
    <xf numFmtId="9" fontId="0" fillId="0" borderId="6" xfId="11" applyFont="1" applyFill="1" applyBorder="1"/>
    <xf numFmtId="9" fontId="0" fillId="0" borderId="7" xfId="11" applyFont="1" applyFill="1" applyBorder="1"/>
    <xf numFmtId="9" fontId="0" fillId="0" borderId="8" xfId="0" applyNumberFormat="1" applyFill="1" applyBorder="1"/>
    <xf numFmtId="0" fontId="0" fillId="13" borderId="0" xfId="0" applyFill="1"/>
    <xf numFmtId="166" fontId="0" fillId="13" borderId="3" xfId="1" applyNumberFormat="1" applyFont="1" applyFill="1" applyBorder="1" applyAlignment="1">
      <alignment horizontal="right" vertical="top"/>
    </xf>
    <xf numFmtId="0" fontId="0" fillId="13" borderId="3" xfId="2" applyNumberFormat="1" applyFont="1" applyFill="1" applyBorder="1"/>
    <xf numFmtId="166" fontId="0" fillId="13" borderId="4" xfId="1" applyNumberFormat="1" applyFont="1" applyFill="1" applyBorder="1"/>
    <xf numFmtId="1" fontId="0" fillId="13" borderId="19" xfId="0" applyNumberFormat="1" applyFill="1" applyBorder="1"/>
    <xf numFmtId="1" fontId="0" fillId="13" borderId="4" xfId="0" applyNumberFormat="1" applyFill="1" applyBorder="1"/>
    <xf numFmtId="167" fontId="0" fillId="13" borderId="5" xfId="2" applyNumberFormat="1" applyFont="1" applyFill="1" applyBorder="1"/>
    <xf numFmtId="167" fontId="0" fillId="13" borderId="20" xfId="2" applyNumberFormat="1" applyFont="1" applyFill="1" applyBorder="1"/>
    <xf numFmtId="0" fontId="26" fillId="13" borderId="10" xfId="0" applyFont="1" applyFill="1" applyBorder="1" applyAlignment="1">
      <alignment horizontal="left" vertical="top" wrapText="1"/>
    </xf>
    <xf numFmtId="44" fontId="0" fillId="13" borderId="27" xfId="2" applyNumberFormat="1" applyFont="1" applyFill="1" applyBorder="1"/>
    <xf numFmtId="167" fontId="0" fillId="13" borderId="27" xfId="2" applyNumberFormat="1" applyFont="1" applyFill="1" applyBorder="1"/>
    <xf numFmtId="167" fontId="0" fillId="13" borderId="13" xfId="2" applyNumberFormat="1" applyFont="1" applyFill="1" applyBorder="1"/>
    <xf numFmtId="167" fontId="0" fillId="13" borderId="54" xfId="2" applyNumberFormat="1" applyFont="1" applyFill="1" applyBorder="1"/>
    <xf numFmtId="9" fontId="0" fillId="13" borderId="13" xfId="11" applyFont="1" applyFill="1" applyBorder="1"/>
    <xf numFmtId="44" fontId="0" fillId="13" borderId="20" xfId="2" applyFont="1" applyFill="1" applyBorder="1"/>
    <xf numFmtId="0" fontId="0" fillId="13" borderId="10" xfId="0" applyFill="1" applyBorder="1"/>
    <xf numFmtId="0" fontId="0" fillId="13" borderId="0" xfId="2" applyNumberFormat="1" applyFont="1" applyFill="1" applyBorder="1"/>
    <xf numFmtId="177" fontId="0" fillId="13" borderId="0" xfId="0" applyNumberFormat="1" applyFill="1"/>
    <xf numFmtId="1" fontId="0" fillId="13" borderId="3" xfId="0" applyNumberFormat="1" applyFill="1" applyBorder="1"/>
    <xf numFmtId="167" fontId="0" fillId="13" borderId="2" xfId="2" applyNumberFormat="1" applyFont="1" applyFill="1" applyBorder="1"/>
    <xf numFmtId="167" fontId="0" fillId="13" borderId="21" xfId="2" applyNumberFormat="1" applyFont="1" applyFill="1" applyBorder="1"/>
    <xf numFmtId="0" fontId="26" fillId="13" borderId="12" xfId="0" applyFont="1" applyFill="1" applyBorder="1" applyAlignment="1">
      <alignment horizontal="left" vertical="top" wrapText="1"/>
    </xf>
    <xf numFmtId="167" fontId="0" fillId="13" borderId="28" xfId="2" applyNumberFormat="1" applyFont="1" applyFill="1" applyBorder="1"/>
    <xf numFmtId="167" fontId="0" fillId="13" borderId="0" xfId="2" applyNumberFormat="1" applyFont="1" applyFill="1" applyBorder="1"/>
    <xf numFmtId="167" fontId="0" fillId="13" borderId="41" xfId="2" applyNumberFormat="1" applyFont="1" applyFill="1" applyBorder="1"/>
    <xf numFmtId="44" fontId="28" fillId="13" borderId="21" xfId="11" applyNumberFormat="1" applyFont="1" applyFill="1" applyBorder="1"/>
    <xf numFmtId="0" fontId="0" fillId="13" borderId="12" xfId="0" applyFill="1" applyBorder="1"/>
    <xf numFmtId="167" fontId="0" fillId="13" borderId="6" xfId="2" applyNumberFormat="1" applyFont="1" applyFill="1" applyBorder="1"/>
    <xf numFmtId="44" fontId="0" fillId="13" borderId="21" xfId="2" applyFont="1" applyFill="1" applyBorder="1"/>
    <xf numFmtId="0" fontId="26" fillId="13" borderId="11" xfId="0" applyFont="1" applyFill="1" applyBorder="1" applyAlignment="1">
      <alignment horizontal="left" vertical="top" wrapText="1"/>
    </xf>
    <xf numFmtId="0" fontId="49" fillId="13" borderId="12" xfId="14" applyFill="1" applyBorder="1"/>
    <xf numFmtId="167" fontId="0" fillId="13" borderId="8" xfId="2" applyNumberFormat="1" applyFont="1" applyFill="1" applyBorder="1"/>
    <xf numFmtId="167" fontId="0" fillId="13" borderId="36" xfId="2" applyNumberFormat="1" applyFont="1" applyFill="1" applyBorder="1"/>
    <xf numFmtId="167" fontId="0" fillId="13" borderId="9" xfId="2" applyNumberFormat="1" applyFont="1" applyFill="1" applyBorder="1"/>
    <xf numFmtId="167" fontId="0" fillId="13" borderId="35" xfId="2" applyNumberFormat="1" applyFont="1" applyFill="1" applyBorder="1"/>
    <xf numFmtId="167" fontId="0" fillId="13" borderId="1" xfId="2" applyNumberFormat="1" applyFont="1" applyFill="1" applyBorder="1"/>
    <xf numFmtId="167" fontId="0" fillId="13" borderId="18" xfId="2" applyNumberFormat="1" applyFont="1" applyFill="1" applyBorder="1"/>
    <xf numFmtId="167" fontId="0" fillId="13" borderId="49" xfId="2" applyNumberFormat="1" applyFont="1" applyFill="1" applyBorder="1"/>
    <xf numFmtId="167" fontId="0" fillId="13" borderId="30" xfId="2" applyNumberFormat="1" applyFont="1" applyFill="1" applyBorder="1"/>
    <xf numFmtId="167" fontId="1" fillId="0" borderId="0" xfId="2" applyNumberFormat="1" applyFont="1" applyBorder="1"/>
    <xf numFmtId="0" fontId="0" fillId="0" borderId="2" xfId="0" applyBorder="1" applyAlignment="1">
      <alignment horizontal="center"/>
    </xf>
    <xf numFmtId="167" fontId="8" fillId="0" borderId="4" xfId="2" applyNumberFormat="1" applyFont="1" applyBorder="1"/>
    <xf numFmtId="166" fontId="1" fillId="3" borderId="3" xfId="1" applyNumberFormat="1" applyFont="1" applyFill="1" applyBorder="1"/>
    <xf numFmtId="167" fontId="0" fillId="28" borderId="7" xfId="2" applyNumberFormat="1" applyFont="1" applyFill="1" applyBorder="1"/>
    <xf numFmtId="167" fontId="0" fillId="28" borderId="8" xfId="2" applyNumberFormat="1" applyFont="1" applyFill="1" applyBorder="1"/>
    <xf numFmtId="0" fontId="28" fillId="0" borderId="0" xfId="0" applyFont="1"/>
    <xf numFmtId="0" fontId="28" fillId="0" borderId="0" xfId="0" applyFont="1" applyAlignment="1">
      <alignment horizontal="left" vertical="top"/>
    </xf>
    <xf numFmtId="0" fontId="0" fillId="0" borderId="0" xfId="0" applyFill="1" applyBorder="1" applyAlignment="1">
      <alignment horizontal="left"/>
    </xf>
    <xf numFmtId="170" fontId="0" fillId="0" borderId="14" xfId="0" applyNumberFormat="1" applyFont="1" applyBorder="1"/>
    <xf numFmtId="170" fontId="0" fillId="0" borderId="14" xfId="0" applyNumberFormat="1" applyBorder="1"/>
    <xf numFmtId="170" fontId="0" fillId="0" borderId="11" xfId="0" applyNumberFormat="1" applyBorder="1"/>
    <xf numFmtId="0" fontId="2" fillId="0" borderId="0" xfId="0" applyFont="1" applyAlignment="1">
      <alignment horizontal="center"/>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0" fillId="0" borderId="0" xfId="0" applyAlignment="1">
      <alignment horizontal="center" vertic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24" fillId="0" borderId="12" xfId="0" applyFont="1" applyBorder="1"/>
    <xf numFmtId="0" fontId="24" fillId="0" borderId="11" xfId="0" applyFont="1" applyBorder="1"/>
    <xf numFmtId="0" fontId="0" fillId="15" borderId="0" xfId="0" applyFill="1"/>
    <xf numFmtId="44" fontId="0" fillId="15" borderId="28" xfId="2" applyFont="1" applyFill="1" applyBorder="1"/>
    <xf numFmtId="44" fontId="60" fillId="0" borderId="0" xfId="2" applyNumberFormat="1" applyFont="1" applyBorder="1"/>
    <xf numFmtId="0" fontId="0" fillId="3" borderId="0" xfId="0" applyFill="1" applyBorder="1" applyAlignment="1">
      <alignment horizontal="right"/>
    </xf>
    <xf numFmtId="167" fontId="0" fillId="3" borderId="0" xfId="2" applyNumberFormat="1" applyFont="1" applyFill="1" applyBorder="1" applyAlignment="1">
      <alignment horizontal="right"/>
    </xf>
    <xf numFmtId="0" fontId="24" fillId="0" borderId="0" xfId="12" applyFont="1" applyFill="1"/>
    <xf numFmtId="0" fontId="25" fillId="0" borderId="8" xfId="12" applyFont="1" applyFill="1" applyBorder="1"/>
    <xf numFmtId="170" fontId="8" fillId="3" borderId="9" xfId="1" applyNumberFormat="1" applyFont="1" applyFill="1" applyBorder="1" applyAlignment="1">
      <alignment horizontal="right"/>
    </xf>
    <xf numFmtId="0" fontId="0" fillId="3" borderId="9" xfId="0" applyFill="1" applyBorder="1" applyAlignment="1">
      <alignment horizontal="right"/>
    </xf>
    <xf numFmtId="0" fontId="25" fillId="0" borderId="12" xfId="12" applyFont="1" applyFill="1" applyBorder="1"/>
    <xf numFmtId="167" fontId="0" fillId="3" borderId="9" xfId="2" applyNumberFormat="1" applyFont="1" applyFill="1" applyBorder="1" applyAlignment="1">
      <alignment horizontal="right"/>
    </xf>
    <xf numFmtId="166" fontId="8" fillId="0" borderId="1" xfId="0" applyNumberFormat="1" applyFont="1" applyFill="1" applyBorder="1"/>
    <xf numFmtId="166" fontId="8" fillId="0" borderId="14" xfId="0" applyNumberFormat="1" applyFont="1" applyFill="1" applyBorder="1"/>
    <xf numFmtId="0" fontId="32" fillId="0" borderId="11" xfId="12" applyFont="1" applyFill="1" applyBorder="1"/>
    <xf numFmtId="166" fontId="0" fillId="0" borderId="8" xfId="0" applyNumberFormat="1" applyBorder="1" applyAlignment="1">
      <alignment horizontal="right"/>
    </xf>
    <xf numFmtId="166" fontId="0" fillId="0" borderId="13" xfId="0" applyNumberFormat="1" applyBorder="1" applyAlignment="1">
      <alignment horizontal="right"/>
    </xf>
    <xf numFmtId="167" fontId="24" fillId="31" borderId="9" xfId="2" applyNumberFormat="1" applyFont="1" applyFill="1" applyBorder="1" applyAlignment="1">
      <alignment horizontal="right"/>
    </xf>
    <xf numFmtId="0" fontId="8" fillId="3" borderId="9" xfId="0" applyFont="1" applyFill="1" applyBorder="1" applyAlignment="1">
      <alignment horizontal="right"/>
    </xf>
    <xf numFmtId="0" fontId="8" fillId="3" borderId="0" xfId="0" applyFont="1" applyFill="1" applyBorder="1" applyAlignment="1">
      <alignment horizontal="right"/>
    </xf>
    <xf numFmtId="166" fontId="8" fillId="0" borderId="8" xfId="1" applyNumberFormat="1" applyFont="1" applyFill="1" applyBorder="1" applyAlignment="1">
      <alignment horizontal="right"/>
    </xf>
    <xf numFmtId="166" fontId="8" fillId="0" borderId="13" xfId="1" applyNumberFormat="1" applyFont="1" applyFill="1" applyBorder="1" applyAlignment="1">
      <alignment horizontal="right"/>
    </xf>
    <xf numFmtId="44" fontId="0" fillId="0" borderId="42" xfId="2" applyFont="1" applyBorder="1"/>
    <xf numFmtId="44" fontId="0" fillId="9" borderId="28" xfId="2" applyFont="1" applyFill="1" applyBorder="1"/>
    <xf numFmtId="0" fontId="0" fillId="9" borderId="33" xfId="0" applyFill="1" applyBorder="1"/>
    <xf numFmtId="0" fontId="0" fillId="9" borderId="0" xfId="2" applyNumberFormat="1" applyFont="1" applyFill="1" applyBorder="1"/>
    <xf numFmtId="177" fontId="0" fillId="9" borderId="0" xfId="0" applyNumberFormat="1" applyFill="1"/>
    <xf numFmtId="44" fontId="28" fillId="9" borderId="28" xfId="11" applyNumberFormat="1" applyFont="1" applyFill="1" applyBorder="1"/>
    <xf numFmtId="0" fontId="0" fillId="32" borderId="0" xfId="0" applyFill="1"/>
    <xf numFmtId="0" fontId="16" fillId="32" borderId="2" xfId="0" applyFont="1" applyFill="1" applyBorder="1"/>
    <xf numFmtId="0" fontId="0" fillId="32" borderId="3" xfId="0" applyFill="1" applyBorder="1"/>
    <xf numFmtId="166" fontId="0" fillId="32" borderId="3" xfId="1" applyNumberFormat="1" applyFont="1" applyFill="1" applyBorder="1" applyAlignment="1">
      <alignment horizontal="right" vertical="top"/>
    </xf>
    <xf numFmtId="167" fontId="0" fillId="32" borderId="3" xfId="2" applyNumberFormat="1" applyFont="1" applyFill="1" applyBorder="1"/>
    <xf numFmtId="167" fontId="0" fillId="32" borderId="3" xfId="2" applyNumberFormat="1" applyFont="1" applyFill="1" applyBorder="1" applyAlignment="1">
      <alignment horizontal="left" vertical="top"/>
    </xf>
    <xf numFmtId="0" fontId="0" fillId="32" borderId="3" xfId="2" applyNumberFormat="1" applyFont="1" applyFill="1" applyBorder="1"/>
    <xf numFmtId="166" fontId="0" fillId="32" borderId="4" xfId="1" applyNumberFormat="1" applyFont="1" applyFill="1" applyBorder="1"/>
    <xf numFmtId="1" fontId="0" fillId="32" borderId="19" xfId="0" applyNumberFormat="1" applyFill="1" applyBorder="1"/>
    <xf numFmtId="1" fontId="0" fillId="32" borderId="4" xfId="0" applyNumberFormat="1" applyFill="1" applyBorder="1"/>
    <xf numFmtId="167" fontId="0" fillId="32" borderId="5" xfId="2" applyNumberFormat="1" applyFont="1" applyFill="1" applyBorder="1"/>
    <xf numFmtId="167" fontId="0" fillId="32" borderId="20" xfId="2" applyNumberFormat="1" applyFont="1" applyFill="1" applyBorder="1"/>
    <xf numFmtId="0" fontId="26" fillId="32" borderId="10" xfId="0" applyFont="1" applyFill="1" applyBorder="1" applyAlignment="1">
      <alignment horizontal="left" vertical="top" wrapText="1"/>
    </xf>
    <xf numFmtId="44" fontId="0" fillId="32" borderId="27" xfId="2" applyNumberFormat="1" applyFont="1" applyFill="1" applyBorder="1"/>
    <xf numFmtId="167" fontId="0" fillId="32" borderId="27" xfId="2" applyNumberFormat="1" applyFont="1" applyFill="1" applyBorder="1"/>
    <xf numFmtId="167" fontId="0" fillId="32" borderId="13" xfId="2" applyNumberFormat="1" applyFont="1" applyFill="1" applyBorder="1"/>
    <xf numFmtId="167" fontId="0" fillId="32" borderId="54" xfId="2" applyNumberFormat="1" applyFont="1" applyFill="1" applyBorder="1"/>
    <xf numFmtId="9" fontId="0" fillId="32" borderId="32" xfId="11" applyFont="1" applyFill="1" applyBorder="1"/>
    <xf numFmtId="44" fontId="0" fillId="32" borderId="28" xfId="2" applyFont="1" applyFill="1" applyBorder="1"/>
    <xf numFmtId="0" fontId="0" fillId="32" borderId="33" xfId="0" applyFill="1" applyBorder="1"/>
    <xf numFmtId="0" fontId="0" fillId="32" borderId="0" xfId="2" applyNumberFormat="1" applyFont="1" applyFill="1" applyBorder="1"/>
    <xf numFmtId="177" fontId="0" fillId="32" borderId="0" xfId="0" applyNumberFormat="1" applyFill="1"/>
    <xf numFmtId="1" fontId="0" fillId="32" borderId="3" xfId="0" applyNumberFormat="1" applyFill="1" applyBorder="1"/>
    <xf numFmtId="167" fontId="0" fillId="32" borderId="2" xfId="2" applyNumberFormat="1" applyFont="1" applyFill="1" applyBorder="1"/>
    <xf numFmtId="0" fontId="16" fillId="32" borderId="6" xfId="0" applyFont="1" applyFill="1" applyBorder="1"/>
    <xf numFmtId="167" fontId="0" fillId="32" borderId="21" xfId="2" applyNumberFormat="1" applyFont="1" applyFill="1" applyBorder="1"/>
    <xf numFmtId="0" fontId="26" fillId="32" borderId="12" xfId="0" applyFont="1" applyFill="1" applyBorder="1" applyAlignment="1">
      <alignment horizontal="left" vertical="top" wrapText="1"/>
    </xf>
    <xf numFmtId="167" fontId="0" fillId="32" borderId="28" xfId="2" applyNumberFormat="1" applyFont="1" applyFill="1" applyBorder="1"/>
    <xf numFmtId="167" fontId="0" fillId="32" borderId="0" xfId="2" applyNumberFormat="1" applyFont="1" applyFill="1" applyBorder="1"/>
    <xf numFmtId="167" fontId="0" fillId="32" borderId="41" xfId="2" applyNumberFormat="1" applyFont="1" applyFill="1" applyBorder="1"/>
    <xf numFmtId="44" fontId="28" fillId="32" borderId="28" xfId="11" applyNumberFormat="1" applyFont="1" applyFill="1" applyBorder="1"/>
    <xf numFmtId="167" fontId="0" fillId="32" borderId="6" xfId="2" applyNumberFormat="1" applyFont="1" applyFill="1" applyBorder="1"/>
    <xf numFmtId="0" fontId="26" fillId="32" borderId="11" xfId="0" applyFont="1" applyFill="1" applyBorder="1" applyAlignment="1">
      <alignment horizontal="left" vertical="top" wrapText="1"/>
    </xf>
    <xf numFmtId="167" fontId="0" fillId="33" borderId="27" xfId="2" applyNumberFormat="1" applyFont="1" applyFill="1" applyBorder="1"/>
    <xf numFmtId="167" fontId="0" fillId="33" borderId="28" xfId="2" applyNumberFormat="1" applyFont="1" applyFill="1" applyBorder="1"/>
    <xf numFmtId="167" fontId="0" fillId="33" borderId="28" xfId="0" applyNumberFormat="1" applyFill="1" applyBorder="1"/>
    <xf numFmtId="167" fontId="0" fillId="33" borderId="53" xfId="0" applyNumberFormat="1" applyFill="1" applyBorder="1"/>
    <xf numFmtId="167" fontId="0" fillId="33" borderId="26" xfId="2" applyNumberFormat="1" applyFont="1" applyFill="1" applyBorder="1"/>
    <xf numFmtId="2" fontId="16" fillId="0" borderId="0" xfId="0" applyNumberFormat="1" applyFont="1" applyBorder="1"/>
    <xf numFmtId="0" fontId="0" fillId="26" borderId="0" xfId="0" applyFill="1" applyBorder="1"/>
    <xf numFmtId="166" fontId="16" fillId="0" borderId="0" xfId="1" applyNumberFormat="1" applyFont="1" applyBorder="1" applyAlignment="1">
      <alignment horizontal="left"/>
    </xf>
    <xf numFmtId="0" fontId="0" fillId="3" borderId="0" xfId="2" applyNumberFormat="1" applyFont="1" applyFill="1" applyBorder="1"/>
    <xf numFmtId="0" fontId="0" fillId="12" borderId="0" xfId="2" applyNumberFormat="1" applyFont="1" applyFill="1" applyBorder="1"/>
    <xf numFmtId="167" fontId="8" fillId="12" borderId="9" xfId="0" applyNumberFormat="1" applyFont="1" applyFill="1" applyBorder="1"/>
    <xf numFmtId="167" fontId="8" fillId="12" borderId="1" xfId="2" applyNumberFormat="1" applyFont="1" applyFill="1" applyBorder="1"/>
    <xf numFmtId="0" fontId="16" fillId="22" borderId="2" xfId="0" applyFont="1" applyFill="1" applyBorder="1"/>
    <xf numFmtId="0" fontId="0" fillId="22" borderId="3" xfId="0" applyFill="1" applyBorder="1"/>
    <xf numFmtId="166" fontId="0" fillId="22" borderId="3" xfId="1" applyNumberFormat="1" applyFont="1" applyFill="1" applyBorder="1" applyAlignment="1">
      <alignment horizontal="right" vertical="top"/>
    </xf>
    <xf numFmtId="167" fontId="0" fillId="22" borderId="3" xfId="2" applyNumberFormat="1" applyFont="1" applyFill="1" applyBorder="1"/>
    <xf numFmtId="167" fontId="0" fillId="22" borderId="3" xfId="2" applyNumberFormat="1" applyFont="1" applyFill="1" applyBorder="1" applyAlignment="1">
      <alignment horizontal="left" vertical="top"/>
    </xf>
    <xf numFmtId="0" fontId="0" fillId="22" borderId="3" xfId="2" applyNumberFormat="1" applyFont="1" applyFill="1" applyBorder="1"/>
    <xf numFmtId="166" fontId="0" fillId="22" borderId="4" xfId="1" applyNumberFormat="1" applyFont="1" applyFill="1" applyBorder="1"/>
    <xf numFmtId="1" fontId="0" fillId="22" borderId="19" xfId="0" applyNumberFormat="1" applyFill="1" applyBorder="1"/>
    <xf numFmtId="1" fontId="0" fillId="22" borderId="4" xfId="0" applyNumberFormat="1" applyFill="1" applyBorder="1"/>
    <xf numFmtId="167" fontId="0" fillId="22" borderId="5" xfId="2" applyNumberFormat="1" applyFont="1" applyFill="1" applyBorder="1"/>
    <xf numFmtId="167" fontId="0" fillId="22" borderId="20" xfId="2" applyNumberFormat="1" applyFont="1" applyFill="1" applyBorder="1"/>
    <xf numFmtId="0" fontId="26" fillId="22" borderId="10" xfId="0" applyFont="1" applyFill="1" applyBorder="1" applyAlignment="1">
      <alignment horizontal="left" vertical="top" wrapText="1"/>
    </xf>
    <xf numFmtId="167" fontId="0" fillId="22" borderId="27" xfId="2" applyNumberFormat="1" applyFont="1" applyFill="1" applyBorder="1"/>
    <xf numFmtId="167" fontId="0" fillId="22" borderId="54" xfId="2" applyNumberFormat="1" applyFont="1" applyFill="1" applyBorder="1"/>
    <xf numFmtId="9" fontId="0" fillId="22" borderId="32" xfId="11" applyFont="1" applyFill="1" applyBorder="1"/>
    <xf numFmtId="44" fontId="0" fillId="22" borderId="28" xfId="2" applyFont="1" applyFill="1" applyBorder="1"/>
    <xf numFmtId="0" fontId="0" fillId="22" borderId="33" xfId="0" applyFill="1" applyBorder="1"/>
    <xf numFmtId="0" fontId="0" fillId="22" borderId="0" xfId="2" applyNumberFormat="1" applyFont="1" applyFill="1" applyBorder="1"/>
    <xf numFmtId="177" fontId="0" fillId="22" borderId="0" xfId="0" applyNumberFormat="1" applyFill="1"/>
    <xf numFmtId="1" fontId="0" fillId="22" borderId="3" xfId="0" applyNumberFormat="1" applyFill="1" applyBorder="1"/>
    <xf numFmtId="0" fontId="16" fillId="22" borderId="6" xfId="0" applyFont="1" applyFill="1" applyBorder="1"/>
    <xf numFmtId="167" fontId="0" fillId="22" borderId="21" xfId="2" applyNumberFormat="1" applyFont="1" applyFill="1" applyBorder="1"/>
    <xf numFmtId="0" fontId="26" fillId="22" borderId="12" xfId="0" applyFont="1" applyFill="1" applyBorder="1" applyAlignment="1">
      <alignment horizontal="left" vertical="top" wrapText="1"/>
    </xf>
    <xf numFmtId="167" fontId="0" fillId="22" borderId="28" xfId="2" applyNumberFormat="1" applyFont="1" applyFill="1" applyBorder="1"/>
    <xf numFmtId="167" fontId="0" fillId="22" borderId="41" xfId="2" applyNumberFormat="1" applyFont="1" applyFill="1" applyBorder="1"/>
    <xf numFmtId="44" fontId="28" fillId="22" borderId="28" xfId="11" applyNumberFormat="1" applyFont="1" applyFill="1" applyBorder="1"/>
    <xf numFmtId="167" fontId="0" fillId="22" borderId="6" xfId="2" applyNumberFormat="1" applyFont="1" applyFill="1" applyBorder="1"/>
    <xf numFmtId="0" fontId="26" fillId="22" borderId="11" xfId="0" applyFont="1" applyFill="1" applyBorder="1" applyAlignment="1">
      <alignment horizontal="left" vertical="top" wrapText="1"/>
    </xf>
    <xf numFmtId="0" fontId="2" fillId="0" borderId="0" xfId="0" applyFont="1" applyAlignment="1">
      <alignment horizontal="center"/>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0" fillId="0" borderId="0" xfId="0" applyAlignment="1">
      <alignment horizontal="center" vertic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21" fillId="0" borderId="6" xfId="0" applyFont="1" applyFill="1" applyBorder="1" applyAlignment="1">
      <alignment horizontal="left" vertical="top" wrapText="1"/>
    </xf>
    <xf numFmtId="0" fontId="0" fillId="11" borderId="0" xfId="0" applyFill="1" applyBorder="1"/>
    <xf numFmtId="0" fontId="14" fillId="11" borderId="0" xfId="0" applyFont="1" applyFill="1" applyBorder="1"/>
    <xf numFmtId="0" fontId="8" fillId="11" borderId="0" xfId="0" applyFont="1" applyFill="1" applyBorder="1"/>
    <xf numFmtId="9" fontId="0" fillId="10" borderId="0" xfId="0" applyNumberFormat="1" applyFill="1"/>
    <xf numFmtId="43" fontId="0" fillId="3" borderId="9" xfId="0" applyNumberFormat="1" applyFill="1" applyBorder="1"/>
    <xf numFmtId="166" fontId="8" fillId="0" borderId="9" xfId="1" applyNumberFormat="1" applyFont="1" applyFill="1" applyBorder="1" applyAlignment="1">
      <alignment horizontal="right"/>
    </xf>
    <xf numFmtId="166" fontId="2" fillId="0" borderId="9" xfId="0" applyNumberFormat="1" applyFont="1" applyFill="1" applyBorder="1"/>
    <xf numFmtId="172" fontId="0" fillId="0" borderId="9" xfId="0" applyNumberFormat="1" applyFill="1" applyBorder="1"/>
    <xf numFmtId="166" fontId="8" fillId="0" borderId="9" xfId="1" applyNumberFormat="1" applyFont="1" applyFill="1" applyBorder="1" applyAlignment="1">
      <alignment horizontal="left" vertical="top"/>
    </xf>
    <xf numFmtId="8" fontId="0" fillId="3" borderId="0" xfId="0" applyNumberFormat="1" applyFill="1" applyBorder="1"/>
    <xf numFmtId="6" fontId="0" fillId="3" borderId="0" xfId="0" applyNumberFormat="1" applyFill="1" applyBorder="1"/>
    <xf numFmtId="0" fontId="14" fillId="0" borderId="8" xfId="0" applyFont="1" applyBorder="1"/>
    <xf numFmtId="166" fontId="8" fillId="3" borderId="9" xfId="1" applyNumberFormat="1" applyFont="1" applyFill="1" applyBorder="1" applyAlignment="1">
      <alignment horizontal="right"/>
    </xf>
    <xf numFmtId="170" fontId="8" fillId="12" borderId="9" xfId="12" applyNumberFormat="1" applyFont="1" applyFill="1" applyBorder="1"/>
    <xf numFmtId="166" fontId="8" fillId="0" borderId="1" xfId="1" applyNumberFormat="1" applyFont="1" applyBorder="1" applyAlignment="1">
      <alignment horizontal="right"/>
    </xf>
    <xf numFmtId="44" fontId="8" fillId="29" borderId="0" xfId="2" applyFont="1" applyFill="1" applyBorder="1" applyAlignment="1">
      <alignment horizontal="right"/>
    </xf>
    <xf numFmtId="0" fontId="16" fillId="29" borderId="0" xfId="0" applyFont="1" applyFill="1" applyBorder="1"/>
    <xf numFmtId="0" fontId="0" fillId="29" borderId="0" xfId="0" applyFill="1" applyBorder="1"/>
    <xf numFmtId="0" fontId="0" fillId="2" borderId="0" xfId="0" applyFill="1"/>
    <xf numFmtId="0" fontId="16" fillId="2" borderId="2" xfId="0" applyFont="1" applyFill="1" applyBorder="1"/>
    <xf numFmtId="0" fontId="0" fillId="2" borderId="3" xfId="0" applyFill="1" applyBorder="1"/>
    <xf numFmtId="166" fontId="0" fillId="2" borderId="3" xfId="1" applyNumberFormat="1" applyFont="1" applyFill="1" applyBorder="1" applyAlignment="1">
      <alignment horizontal="right" vertical="top"/>
    </xf>
    <xf numFmtId="167" fontId="0" fillId="2" borderId="3" xfId="2" applyNumberFormat="1" applyFont="1" applyFill="1" applyBorder="1"/>
    <xf numFmtId="0" fontId="0" fillId="2" borderId="3" xfId="2" applyNumberFormat="1" applyFont="1" applyFill="1" applyBorder="1"/>
    <xf numFmtId="166" fontId="0" fillId="2" borderId="4" xfId="1" applyNumberFormat="1" applyFont="1" applyFill="1" applyBorder="1"/>
    <xf numFmtId="1" fontId="0" fillId="2" borderId="19" xfId="0" applyNumberFormat="1" applyFill="1" applyBorder="1"/>
    <xf numFmtId="1" fontId="0" fillId="2" borderId="4" xfId="0" applyNumberFormat="1" applyFill="1" applyBorder="1"/>
    <xf numFmtId="167" fontId="0" fillId="2" borderId="5" xfId="2" applyNumberFormat="1" applyFont="1" applyFill="1" applyBorder="1"/>
    <xf numFmtId="167" fontId="0" fillId="2" borderId="20" xfId="2" applyNumberFormat="1" applyFont="1" applyFill="1" applyBorder="1"/>
    <xf numFmtId="0" fontId="26" fillId="2" borderId="10" xfId="0" applyFont="1" applyFill="1" applyBorder="1" applyAlignment="1">
      <alignment horizontal="left" vertical="top" wrapText="1"/>
    </xf>
    <xf numFmtId="44" fontId="0" fillId="2" borderId="27" xfId="2" applyNumberFormat="1" applyFont="1" applyFill="1" applyBorder="1"/>
    <xf numFmtId="167" fontId="0" fillId="2" borderId="27" xfId="2" applyNumberFormat="1" applyFont="1" applyFill="1" applyBorder="1"/>
    <xf numFmtId="167" fontId="0" fillId="2" borderId="13" xfId="2" applyNumberFormat="1" applyFont="1" applyFill="1" applyBorder="1"/>
    <xf numFmtId="167" fontId="0" fillId="2" borderId="54" xfId="2" applyNumberFormat="1" applyFont="1" applyFill="1" applyBorder="1"/>
    <xf numFmtId="9" fontId="0" fillId="2" borderId="32" xfId="11" applyFont="1" applyFill="1" applyBorder="1"/>
    <xf numFmtId="44" fontId="0" fillId="2" borderId="28" xfId="2" applyFont="1" applyFill="1" applyBorder="1"/>
    <xf numFmtId="0" fontId="0" fillId="2" borderId="33" xfId="0" applyFill="1" applyBorder="1"/>
    <xf numFmtId="0" fontId="0" fillId="2" borderId="0" xfId="2" applyNumberFormat="1" applyFont="1" applyFill="1" applyBorder="1"/>
    <xf numFmtId="177" fontId="0" fillId="2" borderId="0" xfId="0" applyNumberFormat="1" applyFill="1"/>
    <xf numFmtId="1" fontId="0" fillId="2" borderId="3" xfId="0" applyNumberFormat="1" applyFill="1" applyBorder="1"/>
    <xf numFmtId="167" fontId="0" fillId="2" borderId="2" xfId="2" applyNumberFormat="1" applyFont="1" applyFill="1" applyBorder="1"/>
    <xf numFmtId="0" fontId="16" fillId="2" borderId="6" xfId="0" applyFont="1" applyFill="1" applyBorder="1"/>
    <xf numFmtId="167" fontId="0" fillId="2" borderId="21" xfId="2" applyNumberFormat="1" applyFont="1" applyFill="1" applyBorder="1"/>
    <xf numFmtId="0" fontId="26" fillId="2" borderId="12" xfId="0" applyFont="1" applyFill="1" applyBorder="1" applyAlignment="1">
      <alignment horizontal="left" vertical="top" wrapText="1"/>
    </xf>
    <xf numFmtId="167" fontId="0" fillId="2" borderId="28" xfId="2" applyNumberFormat="1" applyFont="1" applyFill="1" applyBorder="1"/>
    <xf numFmtId="167" fontId="0" fillId="2" borderId="0" xfId="2" applyNumberFormat="1" applyFont="1" applyFill="1" applyBorder="1"/>
    <xf numFmtId="167" fontId="0" fillId="2" borderId="41" xfId="2" applyNumberFormat="1" applyFont="1" applyFill="1" applyBorder="1"/>
    <xf numFmtId="44" fontId="28" fillId="2" borderId="28" xfId="11" applyNumberFormat="1" applyFont="1" applyFill="1" applyBorder="1"/>
    <xf numFmtId="167" fontId="0" fillId="2" borderId="6" xfId="2" applyNumberFormat="1" applyFont="1" applyFill="1" applyBorder="1"/>
    <xf numFmtId="0" fontId="26" fillId="2" borderId="11" xfId="0" applyFont="1" applyFill="1" applyBorder="1" applyAlignment="1">
      <alignment horizontal="left" vertical="top" wrapText="1"/>
    </xf>
    <xf numFmtId="0" fontId="26" fillId="0" borderId="10" xfId="0" applyFont="1" applyFill="1" applyBorder="1" applyAlignment="1">
      <alignment horizontal="left" vertical="top" wrapText="1"/>
    </xf>
    <xf numFmtId="0" fontId="26" fillId="0" borderId="11" xfId="0" applyFont="1" applyFill="1" applyBorder="1" applyAlignment="1">
      <alignment horizontal="left" vertical="top" wrapText="1"/>
    </xf>
    <xf numFmtId="166" fontId="0" fillId="4" borderId="0" xfId="1" applyNumberFormat="1" applyFont="1" applyFill="1" applyBorder="1"/>
    <xf numFmtId="167" fontId="8" fillId="4" borderId="0" xfId="2" applyNumberFormat="1" applyFont="1" applyFill="1" applyBorder="1"/>
    <xf numFmtId="0" fontId="8" fillId="4" borderId="0" xfId="0" applyFont="1" applyFill="1" applyBorder="1" applyAlignment="1">
      <alignment horizontal="left" vertical="top"/>
    </xf>
    <xf numFmtId="6" fontId="0" fillId="13" borderId="20" xfId="2" applyNumberFormat="1" applyFont="1" applyFill="1" applyBorder="1"/>
    <xf numFmtId="43" fontId="0" fillId="13" borderId="20" xfId="2" applyNumberFormat="1" applyFont="1" applyFill="1" applyBorder="1"/>
    <xf numFmtId="44" fontId="28" fillId="13" borderId="18" xfId="11" applyNumberFormat="1" applyFont="1" applyFill="1" applyBorder="1"/>
    <xf numFmtId="0" fontId="0" fillId="13" borderId="11" xfId="0" applyFill="1" applyBorder="1"/>
    <xf numFmtId="0" fontId="0" fillId="0" borderId="12" xfId="0" applyBorder="1" applyAlignment="1">
      <alignment horizontal="center" wrapText="1"/>
    </xf>
    <xf numFmtId="1" fontId="60" fillId="0" borderId="9" xfId="12" applyNumberFormat="1" applyFont="1" applyFill="1" applyBorder="1"/>
    <xf numFmtId="1" fontId="60" fillId="3" borderId="9" xfId="12" applyNumberFormat="1" applyFont="1" applyFill="1" applyBorder="1"/>
    <xf numFmtId="44" fontId="2" fillId="0" borderId="42" xfId="0" applyNumberFormat="1" applyFont="1" applyBorder="1"/>
    <xf numFmtId="167" fontId="0" fillId="2" borderId="3" xfId="2" applyNumberFormat="1" applyFont="1" applyFill="1" applyBorder="1" applyAlignment="1">
      <alignment horizontal="left" vertical="top"/>
    </xf>
    <xf numFmtId="180" fontId="0" fillId="0" borderId="0" xfId="0" applyNumberFormat="1"/>
    <xf numFmtId="44" fontId="0" fillId="0" borderId="42" xfId="0" applyNumberFormat="1" applyBorder="1"/>
    <xf numFmtId="0" fontId="0" fillId="26" borderId="4" xfId="0" applyFill="1" applyBorder="1"/>
    <xf numFmtId="0" fontId="24" fillId="0" borderId="0" xfId="0" applyFont="1" applyAlignment="1">
      <alignment vertical="top"/>
    </xf>
    <xf numFmtId="166" fontId="8" fillId="0" borderId="0" xfId="1" applyNumberFormat="1" applyFont="1" applyFill="1" applyBorder="1" applyAlignment="1">
      <alignment horizontal="left" vertical="top"/>
    </xf>
    <xf numFmtId="166" fontId="16" fillId="0" borderId="0" xfId="1" applyNumberFormat="1" applyFont="1" applyFill="1" applyBorder="1" applyAlignment="1">
      <alignment horizontal="left" vertical="top"/>
    </xf>
    <xf numFmtId="6" fontId="0" fillId="0" borderId="0" xfId="0" applyNumberFormat="1" applyBorder="1"/>
    <xf numFmtId="43" fontId="8" fillId="3" borderId="9" xfId="1" applyNumberFormat="1" applyFont="1" applyFill="1" applyBorder="1" applyAlignment="1">
      <alignment horizontal="right"/>
    </xf>
    <xf numFmtId="0" fontId="0" fillId="0" borderId="0" xfId="0" applyFill="1" applyAlignment="1">
      <alignment vertical="top"/>
    </xf>
    <xf numFmtId="176" fontId="0" fillId="4" borderId="0" xfId="0" applyNumberFormat="1" applyFill="1"/>
    <xf numFmtId="44" fontId="0" fillId="0" borderId="4" xfId="0" applyNumberFormat="1" applyBorder="1"/>
    <xf numFmtId="44" fontId="59" fillId="0" borderId="0" xfId="0" applyNumberFormat="1" applyFont="1" applyFill="1" applyBorder="1" applyAlignment="1">
      <alignment horizontal="left" vertical="top"/>
    </xf>
    <xf numFmtId="166" fontId="4" fillId="0" borderId="0" xfId="0" applyNumberFormat="1" applyFont="1" applyBorder="1"/>
    <xf numFmtId="44" fontId="59" fillId="0" borderId="0" xfId="0" applyNumberFormat="1" applyFont="1" applyFill="1" applyBorder="1"/>
    <xf numFmtId="44" fontId="59" fillId="0" borderId="12" xfId="0" applyNumberFormat="1" applyFont="1" applyFill="1" applyBorder="1"/>
    <xf numFmtId="0" fontId="4" fillId="0" borderId="8" xfId="0" applyFont="1" applyFill="1" applyBorder="1"/>
    <xf numFmtId="43" fontId="4" fillId="0" borderId="13" xfId="0" applyNumberFormat="1" applyFont="1" applyFill="1" applyBorder="1"/>
    <xf numFmtId="166" fontId="4" fillId="0" borderId="13" xfId="0" applyNumberFormat="1" applyFont="1" applyFill="1" applyBorder="1"/>
    <xf numFmtId="0" fontId="4" fillId="0" borderId="1" xfId="0" applyFont="1" applyFill="1" applyBorder="1"/>
    <xf numFmtId="43" fontId="4" fillId="0" borderId="14" xfId="0" applyNumberFormat="1" applyFont="1" applyFill="1" applyBorder="1"/>
    <xf numFmtId="166" fontId="4" fillId="0" borderId="14" xfId="0" applyNumberFormat="1" applyFont="1" applyFill="1" applyBorder="1"/>
    <xf numFmtId="44" fontId="59" fillId="0" borderId="14" xfId="0" applyNumberFormat="1" applyFont="1" applyFill="1" applyBorder="1" applyAlignment="1">
      <alignment horizontal="left" vertical="top"/>
    </xf>
    <xf numFmtId="166" fontId="4" fillId="0" borderId="14" xfId="0" applyNumberFormat="1" applyFont="1" applyBorder="1"/>
    <xf numFmtId="44" fontId="59" fillId="0" borderId="11" xfId="0" applyNumberFormat="1" applyFont="1" applyFill="1" applyBorder="1"/>
    <xf numFmtId="44" fontId="8" fillId="0" borderId="42" xfId="0" applyNumberFormat="1" applyFont="1" applyFill="1" applyBorder="1" applyAlignment="1">
      <alignment horizontal="left" vertical="top"/>
    </xf>
    <xf numFmtId="44" fontId="8" fillId="0" borderId="5" xfId="0" applyNumberFormat="1" applyFont="1" applyFill="1" applyBorder="1"/>
    <xf numFmtId="0" fontId="2" fillId="0" borderId="8" xfId="0" applyFont="1" applyFill="1" applyBorder="1" applyAlignment="1">
      <alignment horizontal="left" vertical="top"/>
    </xf>
    <xf numFmtId="44" fontId="8" fillId="0" borderId="9" xfId="0" applyNumberFormat="1" applyFont="1" applyFill="1" applyBorder="1" applyAlignment="1">
      <alignment horizontal="left" vertical="top"/>
    </xf>
    <xf numFmtId="166" fontId="0" fillId="0" borderId="12" xfId="0" applyNumberFormat="1" applyBorder="1"/>
    <xf numFmtId="44" fontId="59" fillId="0" borderId="9" xfId="0" applyNumberFormat="1" applyFont="1" applyFill="1" applyBorder="1" applyAlignment="1">
      <alignment horizontal="left" vertical="top"/>
    </xf>
    <xf numFmtId="44" fontId="59" fillId="0" borderId="1" xfId="0" applyNumberFormat="1" applyFont="1" applyFill="1" applyBorder="1" applyAlignment="1">
      <alignment horizontal="left" vertical="top"/>
    </xf>
    <xf numFmtId="44" fontId="59" fillId="0" borderId="14" xfId="0" applyNumberFormat="1" applyFont="1" applyFill="1" applyBorder="1"/>
    <xf numFmtId="44" fontId="8" fillId="0" borderId="4" xfId="0" applyNumberFormat="1" applyFont="1" applyFill="1" applyBorder="1" applyAlignment="1">
      <alignment horizontal="left" vertical="top"/>
    </xf>
    <xf numFmtId="44" fontId="8" fillId="0" borderId="42" xfId="0" applyNumberFormat="1" applyFont="1" applyFill="1" applyBorder="1"/>
    <xf numFmtId="9" fontId="0" fillId="13" borderId="32" xfId="11" applyFont="1" applyFill="1" applyBorder="1"/>
    <xf numFmtId="44" fontId="0" fillId="13" borderId="28" xfId="2" applyFont="1" applyFill="1" applyBorder="1"/>
    <xf numFmtId="0" fontId="0" fillId="13" borderId="33" xfId="0" applyFill="1" applyBorder="1"/>
    <xf numFmtId="44" fontId="28" fillId="13" borderId="28" xfId="11" applyNumberFormat="1" applyFont="1" applyFill="1" applyBorder="1"/>
    <xf numFmtId="0" fontId="16" fillId="15" borderId="2" xfId="0" applyFont="1" applyFill="1" applyBorder="1"/>
    <xf numFmtId="0" fontId="0" fillId="15" borderId="3" xfId="0" applyFill="1" applyBorder="1"/>
    <xf numFmtId="166" fontId="0" fillId="15" borderId="3" xfId="1" applyNumberFormat="1" applyFont="1" applyFill="1" applyBorder="1" applyAlignment="1">
      <alignment horizontal="right" vertical="top"/>
    </xf>
    <xf numFmtId="167" fontId="0" fillId="15" borderId="3" xfId="2" applyNumberFormat="1" applyFont="1" applyFill="1" applyBorder="1"/>
    <xf numFmtId="0" fontId="0" fillId="15" borderId="3" xfId="2" applyNumberFormat="1" applyFont="1" applyFill="1" applyBorder="1"/>
    <xf numFmtId="167" fontId="0" fillId="15" borderId="5" xfId="2" applyNumberFormat="1" applyFont="1" applyFill="1" applyBorder="1"/>
    <xf numFmtId="167" fontId="0" fillId="15" borderId="20" xfId="2" applyNumberFormat="1" applyFont="1" applyFill="1" applyBorder="1"/>
    <xf numFmtId="0" fontId="26" fillId="15" borderId="10" xfId="0" applyFont="1" applyFill="1" applyBorder="1" applyAlignment="1">
      <alignment horizontal="left" vertical="top" wrapText="1"/>
    </xf>
    <xf numFmtId="44" fontId="0" fillId="15" borderId="27" xfId="2" applyNumberFormat="1" applyFont="1" applyFill="1" applyBorder="1"/>
    <xf numFmtId="167" fontId="0" fillId="15" borderId="27" xfId="2" applyNumberFormat="1" applyFont="1" applyFill="1" applyBorder="1"/>
    <xf numFmtId="167" fontId="0" fillId="15" borderId="13" xfId="2" applyNumberFormat="1" applyFont="1" applyFill="1" applyBorder="1"/>
    <xf numFmtId="167" fontId="0" fillId="15" borderId="54" xfId="2" applyNumberFormat="1" applyFont="1" applyFill="1" applyBorder="1"/>
    <xf numFmtId="9" fontId="0" fillId="15" borderId="32" xfId="11" applyFont="1" applyFill="1" applyBorder="1"/>
    <xf numFmtId="0" fontId="0" fillId="15" borderId="0" xfId="2" applyNumberFormat="1" applyFont="1" applyFill="1" applyBorder="1"/>
    <xf numFmtId="177" fontId="0" fillId="15" borderId="0" xfId="0" applyNumberFormat="1" applyFill="1"/>
    <xf numFmtId="1" fontId="0" fillId="15" borderId="3" xfId="0" applyNumberFormat="1" applyFill="1" applyBorder="1"/>
    <xf numFmtId="167" fontId="0" fillId="15" borderId="2" xfId="2" applyNumberFormat="1" applyFont="1" applyFill="1" applyBorder="1"/>
    <xf numFmtId="0" fontId="16" fillId="15" borderId="6" xfId="0" applyFont="1" applyFill="1" applyBorder="1"/>
    <xf numFmtId="167" fontId="0" fillId="15" borderId="21" xfId="2" applyNumberFormat="1" applyFont="1" applyFill="1" applyBorder="1"/>
    <xf numFmtId="0" fontId="26" fillId="15" borderId="12" xfId="0" applyFont="1" applyFill="1" applyBorder="1" applyAlignment="1">
      <alignment horizontal="left" vertical="top" wrapText="1"/>
    </xf>
    <xf numFmtId="167" fontId="0" fillId="15" borderId="41" xfId="2" applyNumberFormat="1" applyFont="1" applyFill="1" applyBorder="1"/>
    <xf numFmtId="44" fontId="28" fillId="15" borderId="28" xfId="11" applyNumberFormat="1" applyFont="1" applyFill="1" applyBorder="1"/>
    <xf numFmtId="167" fontId="0" fillId="15" borderId="6" xfId="2" applyNumberFormat="1" applyFont="1" applyFill="1" applyBorder="1"/>
    <xf numFmtId="0" fontId="26" fillId="15" borderId="11" xfId="0" applyFont="1" applyFill="1" applyBorder="1" applyAlignment="1">
      <alignment horizontal="left" vertical="top" wrapText="1"/>
    </xf>
    <xf numFmtId="0" fontId="0" fillId="3" borderId="8" xfId="0" applyFill="1" applyBorder="1"/>
    <xf numFmtId="166" fontId="8" fillId="3" borderId="1" xfId="1" applyNumberFormat="1" applyFont="1" applyFill="1" applyBorder="1" applyAlignment="1">
      <alignment horizontal="right"/>
    </xf>
    <xf numFmtId="0" fontId="0" fillId="0" borderId="11" xfId="0" applyFont="1" applyFill="1" applyBorder="1"/>
    <xf numFmtId="167" fontId="8" fillId="0" borderId="8" xfId="2" applyNumberFormat="1" applyFont="1" applyFill="1" applyBorder="1" applyAlignment="1">
      <alignment horizontal="left" vertical="top"/>
    </xf>
    <xf numFmtId="167" fontId="8" fillId="0" borderId="10" xfId="2" applyNumberFormat="1" applyFont="1" applyFill="1" applyBorder="1" applyAlignment="1">
      <alignment horizontal="left" vertical="top"/>
    </xf>
    <xf numFmtId="166" fontId="16" fillId="0" borderId="9" xfId="1" applyNumberFormat="1" applyFont="1" applyFill="1" applyBorder="1" applyAlignment="1">
      <alignment horizontal="left" vertical="top"/>
    </xf>
    <xf numFmtId="0" fontId="19" fillId="0" borderId="12" xfId="0" applyFont="1" applyBorder="1" applyAlignment="1">
      <alignment vertical="top"/>
    </xf>
    <xf numFmtId="44" fontId="8" fillId="3" borderId="9" xfId="2" applyFont="1" applyFill="1" applyBorder="1" applyAlignment="1">
      <alignment horizontal="left" vertical="top"/>
    </xf>
    <xf numFmtId="44" fontId="0" fillId="3" borderId="12" xfId="0" applyNumberFormat="1" applyFont="1" applyFill="1" applyBorder="1"/>
    <xf numFmtId="44" fontId="8" fillId="0" borderId="9" xfId="2" applyFont="1" applyFill="1" applyBorder="1" applyAlignment="1">
      <alignment horizontal="left" vertical="top"/>
    </xf>
    <xf numFmtId="166" fontId="0" fillId="3" borderId="12" xfId="1" applyNumberFormat="1" applyFont="1" applyFill="1" applyBorder="1"/>
    <xf numFmtId="43" fontId="0" fillId="0" borderId="12" xfId="0" applyNumberFormat="1" applyBorder="1"/>
    <xf numFmtId="9" fontId="8" fillId="0" borderId="9" xfId="11" applyFont="1" applyFill="1" applyBorder="1" applyAlignment="1">
      <alignment horizontal="right" vertical="top"/>
    </xf>
    <xf numFmtId="9" fontId="0" fillId="0" borderId="12" xfId="11" applyFont="1" applyFill="1" applyBorder="1"/>
    <xf numFmtId="44" fontId="0" fillId="0" borderId="9" xfId="0" applyNumberFormat="1" applyBorder="1"/>
    <xf numFmtId="44" fontId="0" fillId="0" borderId="12" xfId="0" applyNumberFormat="1" applyBorder="1"/>
    <xf numFmtId="9" fontId="0" fillId="0" borderId="9" xfId="0" applyNumberFormat="1" applyBorder="1"/>
    <xf numFmtId="9" fontId="0" fillId="0" borderId="12" xfId="0" applyNumberFormat="1" applyBorder="1"/>
    <xf numFmtId="166" fontId="8" fillId="3" borderId="1" xfId="1" applyNumberFormat="1" applyFont="1" applyFill="1" applyBorder="1" applyAlignment="1">
      <alignment horizontal="left" vertical="top"/>
    </xf>
    <xf numFmtId="166" fontId="8" fillId="3" borderId="11" xfId="1" applyNumberFormat="1" applyFont="1" applyFill="1" applyBorder="1" applyAlignment="1">
      <alignment horizontal="left" vertical="top"/>
    </xf>
    <xf numFmtId="167" fontId="8" fillId="0" borderId="2" xfId="2" applyNumberFormat="1" applyFont="1" applyFill="1" applyBorder="1" applyAlignment="1">
      <alignment horizontal="left" vertical="top"/>
    </xf>
    <xf numFmtId="0" fontId="2" fillId="0" borderId="6" xfId="0" applyFont="1" applyBorder="1"/>
    <xf numFmtId="44" fontId="0" fillId="3" borderId="6" xfId="0" applyNumberFormat="1" applyFill="1" applyBorder="1"/>
    <xf numFmtId="166" fontId="0" fillId="3" borderId="6" xfId="1" applyNumberFormat="1" applyFont="1" applyFill="1" applyBorder="1"/>
    <xf numFmtId="43" fontId="0" fillId="0" borderId="6" xfId="0" applyNumberFormat="1" applyBorder="1"/>
    <xf numFmtId="9" fontId="8" fillId="0" borderId="6" xfId="11" applyFont="1" applyFill="1" applyBorder="1"/>
    <xf numFmtId="44" fontId="0" fillId="0" borderId="6" xfId="0" applyNumberFormat="1" applyBorder="1"/>
    <xf numFmtId="9" fontId="0" fillId="0" borderId="6" xfId="0" applyNumberFormat="1" applyBorder="1"/>
    <xf numFmtId="166" fontId="8" fillId="3" borderId="7" xfId="1" applyNumberFormat="1" applyFont="1" applyFill="1" applyBorder="1" applyAlignment="1">
      <alignment horizontal="left" vertical="top"/>
    </xf>
    <xf numFmtId="166" fontId="8" fillId="0" borderId="4" xfId="1" applyNumberFormat="1" applyFont="1" applyFill="1" applyBorder="1" applyAlignment="1">
      <alignment horizontal="left" vertical="top"/>
    </xf>
    <xf numFmtId="0" fontId="0" fillId="0" borderId="5" xfId="0" applyFont="1" applyFill="1" applyBorder="1"/>
    <xf numFmtId="166" fontId="16" fillId="0" borderId="4" xfId="1" applyNumberFormat="1" applyFont="1" applyFill="1" applyBorder="1" applyAlignment="1">
      <alignment horizontal="left" vertical="top"/>
    </xf>
    <xf numFmtId="0" fontId="19" fillId="0" borderId="42" xfId="0" applyFont="1" applyBorder="1" applyAlignment="1">
      <alignment vertical="top"/>
    </xf>
    <xf numFmtId="1" fontId="0" fillId="29" borderId="4" xfId="0" applyNumberFormat="1" applyFill="1" applyBorder="1" applyAlignment="1">
      <alignment horizontal="right" vertical="top"/>
    </xf>
    <xf numFmtId="166" fontId="0" fillId="0" borderId="4" xfId="1" applyNumberFormat="1" applyFont="1" applyFill="1" applyBorder="1" applyAlignment="1">
      <alignment horizontal="right" vertical="top"/>
    </xf>
    <xf numFmtId="166" fontId="0" fillId="9" borderId="4" xfId="1" applyNumberFormat="1" applyFont="1" applyFill="1" applyBorder="1" applyAlignment="1">
      <alignment horizontal="right" vertical="top"/>
    </xf>
    <xf numFmtId="1" fontId="0" fillId="9" borderId="4" xfId="0" applyNumberFormat="1" applyFill="1" applyBorder="1" applyAlignment="1">
      <alignment horizontal="right" vertical="top"/>
    </xf>
    <xf numFmtId="166" fontId="0" fillId="13" borderId="4" xfId="1" applyNumberFormat="1" applyFont="1" applyFill="1" applyBorder="1" applyAlignment="1">
      <alignment horizontal="right" vertical="top"/>
    </xf>
    <xf numFmtId="1" fontId="0" fillId="13" borderId="4" xfId="0" applyNumberFormat="1" applyFill="1" applyBorder="1" applyAlignment="1">
      <alignment horizontal="right" vertical="top"/>
    </xf>
    <xf numFmtId="166" fontId="0" fillId="15" borderId="4" xfId="1" applyNumberFormat="1" applyFont="1" applyFill="1" applyBorder="1" applyAlignment="1">
      <alignment horizontal="right" vertical="top"/>
    </xf>
    <xf numFmtId="1" fontId="0" fillId="15" borderId="4" xfId="0" applyNumberFormat="1" applyFill="1" applyBorder="1" applyAlignment="1">
      <alignment horizontal="right" vertical="top"/>
    </xf>
    <xf numFmtId="0" fontId="0" fillId="34" borderId="0" xfId="0" applyFill="1"/>
    <xf numFmtId="0" fontId="16" fillId="34" borderId="2" xfId="0" applyFont="1" applyFill="1" applyBorder="1"/>
    <xf numFmtId="0" fontId="0" fillId="34" borderId="3" xfId="0" applyFill="1" applyBorder="1"/>
    <xf numFmtId="166" fontId="0" fillId="34" borderId="3" xfId="1" applyNumberFormat="1" applyFont="1" applyFill="1" applyBorder="1" applyAlignment="1">
      <alignment horizontal="right" vertical="top"/>
    </xf>
    <xf numFmtId="167" fontId="0" fillId="34" borderId="3" xfId="2" applyNumberFormat="1" applyFont="1" applyFill="1" applyBorder="1"/>
    <xf numFmtId="0" fontId="0" fillId="34" borderId="3" xfId="2" applyNumberFormat="1" applyFont="1" applyFill="1" applyBorder="1"/>
    <xf numFmtId="166" fontId="0" fillId="34" borderId="4" xfId="1" applyNumberFormat="1" applyFont="1" applyFill="1" applyBorder="1" applyAlignment="1">
      <alignment horizontal="right" vertical="top"/>
    </xf>
    <xf numFmtId="1" fontId="0" fillId="34" borderId="19" xfId="0" applyNumberFormat="1" applyFill="1" applyBorder="1"/>
    <xf numFmtId="1" fontId="0" fillId="34" borderId="4" xfId="0" applyNumberFormat="1" applyFill="1" applyBorder="1"/>
    <xf numFmtId="167" fontId="0" fillId="34" borderId="5" xfId="2" applyNumberFormat="1" applyFont="1" applyFill="1" applyBorder="1"/>
    <xf numFmtId="167" fontId="0" fillId="34" borderId="20" xfId="2" applyNumberFormat="1" applyFont="1" applyFill="1" applyBorder="1"/>
    <xf numFmtId="0" fontId="26" fillId="34" borderId="10" xfId="0" applyFont="1" applyFill="1" applyBorder="1" applyAlignment="1">
      <alignment horizontal="left" vertical="top" wrapText="1"/>
    </xf>
    <xf numFmtId="44" fontId="0" fillId="34" borderId="27" xfId="2" applyNumberFormat="1" applyFont="1" applyFill="1" applyBorder="1"/>
    <xf numFmtId="167" fontId="0" fillId="34" borderId="27" xfId="2" applyNumberFormat="1" applyFont="1" applyFill="1" applyBorder="1"/>
    <xf numFmtId="167" fontId="0" fillId="34" borderId="13" xfId="2" applyNumberFormat="1" applyFont="1" applyFill="1" applyBorder="1"/>
    <xf numFmtId="167" fontId="0" fillId="34" borderId="54" xfId="2" applyNumberFormat="1" applyFont="1" applyFill="1" applyBorder="1"/>
    <xf numFmtId="0" fontId="0" fillId="34" borderId="0" xfId="2" applyNumberFormat="1" applyFont="1" applyFill="1" applyBorder="1"/>
    <xf numFmtId="177" fontId="0" fillId="34" borderId="0" xfId="0" applyNumberFormat="1" applyFill="1"/>
    <xf numFmtId="1" fontId="0" fillId="34" borderId="3" xfId="0" applyNumberFormat="1" applyFill="1" applyBorder="1"/>
    <xf numFmtId="167" fontId="0" fillId="34" borderId="2" xfId="2" applyNumberFormat="1" applyFont="1" applyFill="1" applyBorder="1"/>
    <xf numFmtId="0" fontId="16" fillId="34" borderId="6" xfId="0" applyFont="1" applyFill="1" applyBorder="1"/>
    <xf numFmtId="167" fontId="0" fillId="34" borderId="21" xfId="2" applyNumberFormat="1" applyFont="1" applyFill="1" applyBorder="1"/>
    <xf numFmtId="0" fontId="26" fillId="34" borderId="12" xfId="0" applyFont="1" applyFill="1" applyBorder="1" applyAlignment="1">
      <alignment horizontal="left" vertical="top" wrapText="1"/>
    </xf>
    <xf numFmtId="167" fontId="0" fillId="34" borderId="28" xfId="2" applyNumberFormat="1" applyFont="1" applyFill="1" applyBorder="1"/>
    <xf numFmtId="167" fontId="0" fillId="34" borderId="0" xfId="2" applyNumberFormat="1" applyFont="1" applyFill="1" applyBorder="1"/>
    <xf numFmtId="167" fontId="0" fillId="34" borderId="41" xfId="2" applyNumberFormat="1" applyFont="1" applyFill="1" applyBorder="1"/>
    <xf numFmtId="167" fontId="0" fillId="34" borderId="6" xfId="2" applyNumberFormat="1" applyFont="1" applyFill="1" applyBorder="1"/>
    <xf numFmtId="1" fontId="0" fillId="34" borderId="4" xfId="0" applyNumberFormat="1" applyFill="1" applyBorder="1" applyAlignment="1">
      <alignment horizontal="right" vertical="top"/>
    </xf>
    <xf numFmtId="0" fontId="26" fillId="34" borderId="11" xfId="0" applyFont="1" applyFill="1" applyBorder="1" applyAlignment="1">
      <alignment horizontal="left" vertical="top" wrapText="1"/>
    </xf>
    <xf numFmtId="166" fontId="0" fillId="2" borderId="4" xfId="1" applyNumberFormat="1" applyFont="1" applyFill="1" applyBorder="1" applyAlignment="1">
      <alignment horizontal="right" vertical="top"/>
    </xf>
    <xf numFmtId="1" fontId="0" fillId="2" borderId="4" xfId="0" applyNumberFormat="1" applyFill="1" applyBorder="1" applyAlignment="1">
      <alignment horizontal="right" vertical="top"/>
    </xf>
    <xf numFmtId="9" fontId="0" fillId="34" borderId="13" xfId="11" applyFont="1" applyFill="1" applyBorder="1"/>
    <xf numFmtId="6" fontId="0" fillId="34" borderId="20" xfId="2" applyNumberFormat="1" applyFont="1" applyFill="1" applyBorder="1"/>
    <xf numFmtId="0" fontId="0" fillId="34" borderId="10" xfId="0" applyFill="1" applyBorder="1"/>
    <xf numFmtId="44" fontId="28" fillId="34" borderId="21" xfId="11" applyNumberFormat="1" applyFont="1" applyFill="1" applyBorder="1"/>
    <xf numFmtId="0" fontId="0" fillId="34" borderId="12" xfId="0" applyFill="1" applyBorder="1"/>
    <xf numFmtId="43" fontId="0" fillId="34" borderId="20" xfId="2" applyNumberFormat="1" applyFont="1" applyFill="1" applyBorder="1"/>
    <xf numFmtId="0" fontId="0" fillId="34" borderId="3" xfId="2" applyNumberFormat="1" applyFont="1" applyFill="1" applyBorder="1" applyAlignment="1">
      <alignment horizontal="left" vertical="top"/>
    </xf>
    <xf numFmtId="44" fontId="28" fillId="34" borderId="18" xfId="11" applyNumberFormat="1" applyFont="1" applyFill="1" applyBorder="1"/>
    <xf numFmtId="0" fontId="0" fillId="34" borderId="11" xfId="0" applyFill="1" applyBorder="1"/>
    <xf numFmtId="9" fontId="8" fillId="3" borderId="0" xfId="0" applyNumberFormat="1" applyFont="1" applyFill="1"/>
    <xf numFmtId="166" fontId="8" fillId="3" borderId="0" xfId="1" applyNumberFormat="1" applyFont="1" applyFill="1" applyBorder="1" applyAlignment="1">
      <alignment horizontal="left"/>
    </xf>
    <xf numFmtId="0" fontId="0" fillId="26" borderId="8" xfId="0" applyFill="1" applyBorder="1"/>
    <xf numFmtId="0" fontId="0" fillId="26" borderId="13" xfId="0" applyFill="1" applyBorder="1"/>
    <xf numFmtId="0" fontId="0" fillId="26" borderId="10" xfId="0" applyFill="1" applyBorder="1"/>
    <xf numFmtId="0" fontId="0" fillId="26" borderId="0" xfId="0" applyFill="1"/>
    <xf numFmtId="0" fontId="0" fillId="26" borderId="2" xfId="0" applyFill="1" applyBorder="1"/>
    <xf numFmtId="0" fontId="0" fillId="26" borderId="6" xfId="0" applyFill="1" applyBorder="1" applyAlignment="1">
      <alignment horizontal="center" wrapText="1"/>
    </xf>
    <xf numFmtId="0" fontId="0" fillId="26" borderId="12" xfId="0" applyFill="1" applyBorder="1" applyAlignment="1">
      <alignment horizontal="center" wrapText="1"/>
    </xf>
    <xf numFmtId="0" fontId="0" fillId="26" borderId="12" xfId="0" applyFill="1" applyBorder="1"/>
    <xf numFmtId="0" fontId="0" fillId="26" borderId="7" xfId="0" applyFill="1" applyBorder="1"/>
    <xf numFmtId="0" fontId="0" fillId="26" borderId="11" xfId="0" applyFill="1" applyBorder="1"/>
    <xf numFmtId="9" fontId="0" fillId="26" borderId="8" xfId="11" applyFont="1" applyFill="1" applyBorder="1"/>
    <xf numFmtId="9" fontId="0" fillId="26" borderId="2" xfId="11" applyFont="1" applyFill="1" applyBorder="1"/>
    <xf numFmtId="9" fontId="0" fillId="26" borderId="13" xfId="11" applyFont="1" applyFill="1" applyBorder="1"/>
    <xf numFmtId="0" fontId="0" fillId="26" borderId="0" xfId="2" applyNumberFormat="1" applyFont="1" applyFill="1" applyBorder="1"/>
    <xf numFmtId="9" fontId="0" fillId="26" borderId="0" xfId="0" applyNumberFormat="1" applyFill="1"/>
    <xf numFmtId="9" fontId="0" fillId="26" borderId="9" xfId="11" applyFont="1" applyFill="1" applyBorder="1"/>
    <xf numFmtId="9" fontId="0" fillId="26" borderId="6" xfId="11" applyFont="1" applyFill="1" applyBorder="1"/>
    <xf numFmtId="9" fontId="0" fillId="26" borderId="0" xfId="11" applyFont="1" applyFill="1" applyBorder="1"/>
    <xf numFmtId="9" fontId="0" fillId="26" borderId="4" xfId="11" applyFont="1" applyFill="1" applyBorder="1"/>
    <xf numFmtId="9" fontId="0" fillId="26" borderId="42" xfId="11" applyFont="1" applyFill="1" applyBorder="1"/>
    <xf numFmtId="0" fontId="2" fillId="26" borderId="3" xfId="0" applyFont="1" applyFill="1" applyBorder="1"/>
    <xf numFmtId="0" fontId="2" fillId="26" borderId="0" xfId="0" applyFont="1" applyFill="1"/>
    <xf numFmtId="44" fontId="0" fillId="0" borderId="2" xfId="0" applyNumberFormat="1" applyFill="1" applyBorder="1"/>
    <xf numFmtId="176" fontId="0" fillId="4" borderId="0" xfId="11" applyNumberFormat="1" applyFont="1" applyFill="1"/>
    <xf numFmtId="168" fontId="16" fillId="10" borderId="6" xfId="0" applyNumberFormat="1" applyFont="1" applyFill="1" applyBorder="1"/>
    <xf numFmtId="168" fontId="16" fillId="24" borderId="2" xfId="0" applyNumberFormat="1" applyFont="1" applyFill="1" applyBorder="1"/>
    <xf numFmtId="168" fontId="16" fillId="29" borderId="2" xfId="0" applyNumberFormat="1" applyFont="1" applyFill="1" applyBorder="1"/>
    <xf numFmtId="168" fontId="16" fillId="10" borderId="2" xfId="0" applyNumberFormat="1" applyFont="1" applyFill="1" applyBorder="1"/>
    <xf numFmtId="168" fontId="16" fillId="24" borderId="6" xfId="0" applyNumberFormat="1" applyFont="1" applyFill="1" applyBorder="1"/>
    <xf numFmtId="168" fontId="16" fillId="29" borderId="6" xfId="0" applyNumberFormat="1" applyFont="1" applyFill="1" applyBorder="1"/>
    <xf numFmtId="1" fontId="16" fillId="9" borderId="2" xfId="0" applyNumberFormat="1" applyFont="1" applyFill="1" applyBorder="1"/>
    <xf numFmtId="168" fontId="16" fillId="10" borderId="7" xfId="0" applyNumberFormat="1" applyFont="1" applyFill="1" applyBorder="1"/>
    <xf numFmtId="168" fontId="16" fillId="24" borderId="7" xfId="0" applyNumberFormat="1" applyFont="1" applyFill="1" applyBorder="1"/>
    <xf numFmtId="0" fontId="2" fillId="0" borderId="0" xfId="0" applyFont="1" applyAlignment="1">
      <alignment horizontal="center"/>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0" fillId="0" borderId="0" xfId="0" applyAlignment="1">
      <alignment horizontal="center" vertic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wrapText="1"/>
    </xf>
    <xf numFmtId="0" fontId="0" fillId="0" borderId="10" xfId="0" applyFill="1" applyBorder="1" applyAlignment="1">
      <alignment horizontal="center"/>
    </xf>
    <xf numFmtId="0" fontId="0" fillId="0" borderId="0" xfId="0" applyBorder="1" applyAlignment="1">
      <alignment horizontal="center" wrapText="1"/>
    </xf>
    <xf numFmtId="0" fontId="0" fillId="0" borderId="12" xfId="0" applyBorder="1" applyAlignment="1">
      <alignment horizontal="center" wrapText="1"/>
    </xf>
    <xf numFmtId="0" fontId="21" fillId="32" borderId="2" xfId="0" applyFont="1" applyFill="1" applyBorder="1" applyAlignment="1">
      <alignment horizontal="left" vertical="top" wrapText="1"/>
    </xf>
    <xf numFmtId="0" fontId="21" fillId="32" borderId="6" xfId="0" applyFont="1" applyFill="1" applyBorder="1" applyAlignment="1">
      <alignment horizontal="left" vertical="top" wrapText="1"/>
    </xf>
    <xf numFmtId="0" fontId="21" fillId="32" borderId="7"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7" xfId="0" applyFont="1" applyFill="1" applyBorder="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21" fillId="0" borderId="0" xfId="0" applyFont="1" applyAlignment="1">
      <alignment horizontal="left" vertical="top" wrapText="1"/>
    </xf>
    <xf numFmtId="0" fontId="26" fillId="0" borderId="0" xfId="0" applyFont="1" applyAlignment="1">
      <alignment horizontal="left" vertical="top" wrapText="1"/>
    </xf>
    <xf numFmtId="0" fontId="0" fillId="0" borderId="0" xfId="0" applyAlignment="1">
      <alignment horizontal="center" vertical="center"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2" fillId="0" borderId="0" xfId="0" applyFont="1" applyAlignment="1">
      <alignment horizontal="center"/>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21" fillId="0" borderId="6" xfId="0" applyFont="1" applyFill="1" applyBorder="1" applyAlignment="1">
      <alignment horizontal="left" vertical="top" wrapText="1"/>
    </xf>
    <xf numFmtId="0" fontId="31" fillId="0" borderId="8" xfId="12" applyFont="1" applyFill="1" applyBorder="1"/>
    <xf numFmtId="0" fontId="31" fillId="0" borderId="12" xfId="12" applyFont="1" applyFill="1" applyBorder="1"/>
    <xf numFmtId="0" fontId="31" fillId="0" borderId="9" xfId="12" applyFont="1" applyFill="1" applyBorder="1"/>
    <xf numFmtId="167" fontId="52" fillId="0" borderId="0" xfId="2" applyNumberFormat="1" applyFont="1" applyFill="1" applyBorder="1"/>
    <xf numFmtId="0" fontId="52" fillId="0" borderId="0" xfId="12" applyFont="1" applyFill="1" applyBorder="1"/>
    <xf numFmtId="0" fontId="0" fillId="34" borderId="0" xfId="0" applyFill="1" applyBorder="1"/>
    <xf numFmtId="0" fontId="51" fillId="0" borderId="0" xfId="0" applyFont="1" applyFill="1" applyBorder="1"/>
    <xf numFmtId="0" fontId="2" fillId="0" borderId="12" xfId="0" applyFont="1" applyBorder="1"/>
    <xf numFmtId="0" fontId="31" fillId="0" borderId="4" xfId="12" applyFont="1" applyFill="1" applyBorder="1"/>
    <xf numFmtId="0" fontId="52" fillId="0" borderId="5" xfId="12" applyFont="1" applyFill="1" applyBorder="1"/>
    <xf numFmtId="0" fontId="34" fillId="0" borderId="5" xfId="12" applyFont="1" applyFill="1" applyBorder="1"/>
    <xf numFmtId="0" fontId="34" fillId="0" borderId="10" xfId="12" applyFont="1" applyFill="1" applyBorder="1"/>
    <xf numFmtId="0" fontId="31" fillId="0" borderId="1" xfId="12" applyFont="1" applyFill="1" applyBorder="1"/>
    <xf numFmtId="0" fontId="31" fillId="0" borderId="11" xfId="12" applyFont="1" applyFill="1" applyBorder="1"/>
    <xf numFmtId="0" fontId="31" fillId="0" borderId="0" xfId="12" applyFont="1" applyFill="1" applyBorder="1"/>
    <xf numFmtId="0" fontId="34" fillId="0" borderId="1" xfId="12" applyFont="1" applyFill="1" applyBorder="1"/>
    <xf numFmtId="0" fontId="34" fillId="0" borderId="14" xfId="12" applyFont="1" applyFill="1" applyBorder="1"/>
    <xf numFmtId="0" fontId="31" fillId="0" borderId="42" xfId="12" applyFont="1" applyFill="1" applyBorder="1"/>
    <xf numFmtId="0" fontId="34" fillId="0" borderId="0" xfId="12" applyFont="1" applyFill="1" applyBorder="1"/>
    <xf numFmtId="43" fontId="8" fillId="12" borderId="0" xfId="12" applyNumberFormat="1" applyFont="1" applyFill="1" applyBorder="1"/>
    <xf numFmtId="168" fontId="8" fillId="0" borderId="9" xfId="0" applyNumberFormat="1" applyFont="1" applyBorder="1"/>
    <xf numFmtId="2" fontId="0" fillId="0" borderId="9" xfId="0" applyNumberFormat="1" applyBorder="1"/>
    <xf numFmtId="2" fontId="0" fillId="0" borderId="12" xfId="0" applyNumberFormat="1" applyBorder="1"/>
    <xf numFmtId="44" fontId="8" fillId="0" borderId="9" xfId="0" applyNumberFormat="1" applyFont="1" applyFill="1" applyBorder="1"/>
    <xf numFmtId="0" fontId="2" fillId="0" borderId="1" xfId="0" applyFont="1" applyFill="1" applyBorder="1"/>
    <xf numFmtId="0" fontId="2" fillId="0" borderId="14" xfId="0" applyFont="1" applyFill="1" applyBorder="1"/>
    <xf numFmtId="44" fontId="8" fillId="0" borderId="4" xfId="0" applyNumberFormat="1" applyFont="1" applyFill="1" applyBorder="1"/>
    <xf numFmtId="168" fontId="16" fillId="13" borderId="2" xfId="0" applyNumberFormat="1" applyFont="1" applyFill="1" applyBorder="1"/>
    <xf numFmtId="44" fontId="0" fillId="13" borderId="3" xfId="2" applyNumberFormat="1" applyFont="1" applyFill="1" applyBorder="1" applyAlignment="1">
      <alignment horizontal="left" vertical="top"/>
    </xf>
    <xf numFmtId="44" fontId="0" fillId="13" borderId="27" xfId="2" applyFont="1" applyFill="1" applyBorder="1"/>
    <xf numFmtId="168" fontId="16" fillId="13" borderId="6" xfId="0" applyNumberFormat="1" applyFont="1" applyFill="1" applyBorder="1"/>
    <xf numFmtId="167" fontId="0" fillId="13" borderId="21" xfId="0" applyNumberFormat="1" applyFill="1" applyBorder="1"/>
    <xf numFmtId="167" fontId="0" fillId="13" borderId="28" xfId="0" applyNumberFormat="1" applyFill="1" applyBorder="1"/>
    <xf numFmtId="167" fontId="0" fillId="13" borderId="0" xfId="0" applyNumberFormat="1" applyFill="1" applyBorder="1"/>
    <xf numFmtId="167" fontId="0" fillId="13" borderId="41" xfId="0" applyNumberFormat="1" applyFill="1" applyBorder="1"/>
    <xf numFmtId="0" fontId="0" fillId="13" borderId="28" xfId="0" applyFill="1" applyBorder="1"/>
    <xf numFmtId="167" fontId="0" fillId="13" borderId="6" xfId="0" applyNumberFormat="1" applyFill="1" applyBorder="1"/>
    <xf numFmtId="167" fontId="0" fillId="13" borderId="18" xfId="0" applyNumberFormat="1" applyFill="1" applyBorder="1"/>
    <xf numFmtId="167" fontId="0" fillId="13" borderId="49" xfId="0" applyNumberFormat="1" applyFill="1" applyBorder="1"/>
    <xf numFmtId="0" fontId="0" fillId="13" borderId="26" xfId="0" applyFill="1" applyBorder="1"/>
    <xf numFmtId="167" fontId="0" fillId="13" borderId="7" xfId="0" applyNumberFormat="1" applyFill="1" applyBorder="1"/>
    <xf numFmtId="168" fontId="16" fillId="15" borderId="2" xfId="0" applyNumberFormat="1" applyFont="1" applyFill="1" applyBorder="1"/>
    <xf numFmtId="44" fontId="0" fillId="15" borderId="3" xfId="2" applyNumberFormat="1" applyFont="1" applyFill="1" applyBorder="1" applyAlignment="1">
      <alignment horizontal="left" vertical="top"/>
    </xf>
    <xf numFmtId="44" fontId="0" fillId="15" borderId="27" xfId="2" applyFont="1" applyFill="1" applyBorder="1"/>
    <xf numFmtId="168" fontId="16" fillId="15" borderId="6" xfId="0" applyNumberFormat="1" applyFont="1" applyFill="1" applyBorder="1"/>
    <xf numFmtId="167" fontId="0" fillId="15" borderId="21" xfId="0" applyNumberFormat="1" applyFill="1" applyBorder="1"/>
    <xf numFmtId="167" fontId="0" fillId="15" borderId="28" xfId="0" applyNumberFormat="1" applyFill="1" applyBorder="1"/>
    <xf numFmtId="167" fontId="0" fillId="15" borderId="0" xfId="0" applyNumberFormat="1" applyFill="1" applyBorder="1"/>
    <xf numFmtId="167" fontId="0" fillId="15" borderId="41" xfId="0" applyNumberFormat="1" applyFill="1" applyBorder="1"/>
    <xf numFmtId="0" fontId="0" fillId="15" borderId="28" xfId="0" applyFill="1" applyBorder="1"/>
    <xf numFmtId="167" fontId="0" fillId="15" borderId="6" xfId="0" applyNumberFormat="1" applyFill="1" applyBorder="1"/>
    <xf numFmtId="166" fontId="0" fillId="15" borderId="4" xfId="1" applyNumberFormat="1" applyFont="1" applyFill="1" applyBorder="1"/>
    <xf numFmtId="167" fontId="0" fillId="15" borderId="18" xfId="0" applyNumberFormat="1" applyFill="1" applyBorder="1"/>
    <xf numFmtId="167" fontId="0" fillId="15" borderId="49" xfId="0" applyNumberFormat="1" applyFill="1" applyBorder="1"/>
    <xf numFmtId="0" fontId="0" fillId="15" borderId="26" xfId="0" applyFill="1" applyBorder="1"/>
    <xf numFmtId="167" fontId="0" fillId="15" borderId="7" xfId="0" applyNumberFormat="1" applyFill="1" applyBorder="1"/>
    <xf numFmtId="0" fontId="0" fillId="35" borderId="0" xfId="0" applyFill="1"/>
    <xf numFmtId="168" fontId="16" fillId="35" borderId="6" xfId="0" applyNumberFormat="1" applyFont="1" applyFill="1" applyBorder="1"/>
    <xf numFmtId="0" fontId="21" fillId="35" borderId="2" xfId="0" applyFont="1" applyFill="1" applyBorder="1" applyAlignment="1">
      <alignment horizontal="left" vertical="top" wrapText="1"/>
    </xf>
    <xf numFmtId="0" fontId="0" fillId="35" borderId="3" xfId="0" applyFill="1" applyBorder="1"/>
    <xf numFmtId="166" fontId="0" fillId="35" borderId="3" xfId="1" applyNumberFormat="1" applyFont="1" applyFill="1" applyBorder="1" applyAlignment="1">
      <alignment horizontal="right" vertical="top"/>
    </xf>
    <xf numFmtId="167" fontId="0" fillId="35" borderId="3" xfId="2" applyNumberFormat="1" applyFont="1" applyFill="1" applyBorder="1"/>
    <xf numFmtId="167" fontId="0" fillId="35" borderId="3" xfId="2" applyNumberFormat="1" applyFont="1" applyFill="1" applyBorder="1" applyAlignment="1">
      <alignment horizontal="left" vertical="top"/>
    </xf>
    <xf numFmtId="0" fontId="0" fillId="35" borderId="3" xfId="2" applyNumberFormat="1" applyFont="1" applyFill="1" applyBorder="1"/>
    <xf numFmtId="1" fontId="0" fillId="35" borderId="4" xfId="0" applyNumberFormat="1" applyFill="1" applyBorder="1"/>
    <xf numFmtId="1" fontId="0" fillId="35" borderId="19" xfId="0" applyNumberFormat="1" applyFill="1" applyBorder="1"/>
    <xf numFmtId="167" fontId="0" fillId="35" borderId="5" xfId="2" applyNumberFormat="1" applyFont="1" applyFill="1" applyBorder="1"/>
    <xf numFmtId="167" fontId="0" fillId="35" borderId="20" xfId="2" applyNumberFormat="1" applyFont="1" applyFill="1" applyBorder="1"/>
    <xf numFmtId="0" fontId="26" fillId="35" borderId="10" xfId="0" applyFont="1" applyFill="1" applyBorder="1" applyAlignment="1">
      <alignment horizontal="left" vertical="top" wrapText="1"/>
    </xf>
    <xf numFmtId="167" fontId="0" fillId="35" borderId="27" xfId="2" applyNumberFormat="1" applyFont="1" applyFill="1" applyBorder="1"/>
    <xf numFmtId="167" fontId="0" fillId="35" borderId="54" xfId="2" applyNumberFormat="1" applyFont="1" applyFill="1" applyBorder="1"/>
    <xf numFmtId="167" fontId="0" fillId="35" borderId="2" xfId="2" applyNumberFormat="1" applyFont="1" applyFill="1" applyBorder="1"/>
    <xf numFmtId="9" fontId="0" fillId="35" borderId="32" xfId="11" applyFont="1" applyFill="1" applyBorder="1"/>
    <xf numFmtId="44" fontId="0" fillId="35" borderId="27" xfId="2" applyFont="1" applyFill="1" applyBorder="1"/>
    <xf numFmtId="0" fontId="0" fillId="35" borderId="33" xfId="0" applyFill="1" applyBorder="1"/>
    <xf numFmtId="0" fontId="0" fillId="35" borderId="0" xfId="2" applyNumberFormat="1" applyFont="1" applyFill="1" applyBorder="1"/>
    <xf numFmtId="177" fontId="0" fillId="35" borderId="0" xfId="0" applyNumberFormat="1" applyFill="1"/>
    <xf numFmtId="1" fontId="0" fillId="35" borderId="3" xfId="0" applyNumberFormat="1" applyFill="1" applyBorder="1"/>
    <xf numFmtId="2" fontId="16" fillId="35" borderId="6" xfId="0" applyNumberFormat="1" applyFont="1" applyFill="1" applyBorder="1"/>
    <xf numFmtId="0" fontId="21" fillId="35" borderId="6" xfId="0" applyFont="1" applyFill="1" applyBorder="1" applyAlignment="1">
      <alignment horizontal="left" vertical="top" wrapText="1"/>
    </xf>
    <xf numFmtId="167" fontId="0" fillId="35" borderId="21" xfId="2" applyNumberFormat="1" applyFont="1" applyFill="1" applyBorder="1"/>
    <xf numFmtId="0" fontId="26" fillId="35" borderId="12" xfId="0" applyFont="1" applyFill="1" applyBorder="1" applyAlignment="1">
      <alignment horizontal="left" vertical="top" wrapText="1"/>
    </xf>
    <xf numFmtId="167" fontId="0" fillId="35" borderId="28" xfId="2" applyNumberFormat="1" applyFont="1" applyFill="1" applyBorder="1"/>
    <xf numFmtId="167" fontId="0" fillId="35" borderId="41" xfId="2" applyNumberFormat="1" applyFont="1" applyFill="1" applyBorder="1"/>
    <xf numFmtId="167" fontId="0" fillId="35" borderId="6" xfId="2" applyNumberFormat="1" applyFont="1" applyFill="1" applyBorder="1"/>
    <xf numFmtId="44" fontId="28" fillId="35" borderId="28" xfId="11" applyNumberFormat="1" applyFont="1" applyFill="1" applyBorder="1"/>
    <xf numFmtId="167" fontId="0" fillId="35" borderId="21" xfId="0" applyNumberFormat="1" applyFill="1" applyBorder="1"/>
    <xf numFmtId="167" fontId="0" fillId="35" borderId="28" xfId="0" applyNumberFormat="1" applyFill="1" applyBorder="1"/>
    <xf numFmtId="167" fontId="0" fillId="35" borderId="41" xfId="0" applyNumberFormat="1" applyFill="1" applyBorder="1"/>
    <xf numFmtId="167" fontId="0" fillId="35" borderId="6" xfId="0" applyNumberFormat="1" applyFill="1" applyBorder="1"/>
    <xf numFmtId="0" fontId="0" fillId="35" borderId="28" xfId="0" applyFill="1" applyBorder="1"/>
    <xf numFmtId="0" fontId="21" fillId="35" borderId="7" xfId="0" applyFont="1" applyFill="1" applyBorder="1" applyAlignment="1">
      <alignment horizontal="left" vertical="top" wrapText="1"/>
    </xf>
    <xf numFmtId="166" fontId="0" fillId="35" borderId="4" xfId="1" applyNumberFormat="1" applyFont="1" applyFill="1" applyBorder="1"/>
    <xf numFmtId="167" fontId="0" fillId="35" borderId="18" xfId="0" applyNumberFormat="1" applyFill="1" applyBorder="1"/>
    <xf numFmtId="0" fontId="26" fillId="35" borderId="11" xfId="0" applyFont="1" applyFill="1" applyBorder="1" applyAlignment="1">
      <alignment horizontal="left" vertical="top" wrapText="1"/>
    </xf>
    <xf numFmtId="167" fontId="0" fillId="35" borderId="7" xfId="0" applyNumberFormat="1" applyFill="1" applyBorder="1"/>
    <xf numFmtId="167" fontId="0" fillId="35" borderId="49" xfId="0" applyNumberFormat="1" applyFill="1" applyBorder="1"/>
    <xf numFmtId="0" fontId="0" fillId="35" borderId="26" xfId="0" applyFill="1" applyBorder="1"/>
    <xf numFmtId="44" fontId="0" fillId="9" borderId="27" xfId="2" applyFont="1" applyFill="1" applyBorder="1"/>
    <xf numFmtId="168" fontId="16" fillId="9" borderId="6" xfId="0" applyNumberFormat="1" applyFont="1" applyFill="1" applyBorder="1"/>
    <xf numFmtId="0" fontId="0" fillId="9" borderId="28" xfId="0" applyFill="1" applyBorder="1"/>
    <xf numFmtId="167" fontId="0" fillId="9" borderId="49" xfId="0" applyNumberFormat="1" applyFill="1" applyBorder="1"/>
    <xf numFmtId="0" fontId="0" fillId="9" borderId="26" xfId="0" applyFill="1" applyBorder="1"/>
    <xf numFmtId="168" fontId="16" fillId="2" borderId="2" xfId="0" applyNumberFormat="1" applyFont="1" applyFill="1" applyBorder="1"/>
    <xf numFmtId="44" fontId="0" fillId="2" borderId="3" xfId="2" applyNumberFormat="1" applyFont="1" applyFill="1" applyBorder="1" applyAlignment="1">
      <alignment horizontal="left" vertical="top"/>
    </xf>
    <xf numFmtId="44" fontId="0" fillId="2" borderId="27" xfId="2" applyFont="1" applyFill="1" applyBorder="1"/>
    <xf numFmtId="168" fontId="16" fillId="2" borderId="6" xfId="0" applyNumberFormat="1" applyFont="1" applyFill="1" applyBorder="1"/>
    <xf numFmtId="167" fontId="0" fillId="2" borderId="21" xfId="0" applyNumberFormat="1" applyFill="1" applyBorder="1"/>
    <xf numFmtId="167" fontId="0" fillId="2" borderId="28" xfId="0" applyNumberFormat="1" applyFill="1" applyBorder="1"/>
    <xf numFmtId="167" fontId="0" fillId="2" borderId="0" xfId="0" applyNumberFormat="1" applyFill="1" applyBorder="1"/>
    <xf numFmtId="167" fontId="0" fillId="2" borderId="41" xfId="0" applyNumberFormat="1" applyFill="1" applyBorder="1"/>
    <xf numFmtId="0" fontId="0" fillId="2" borderId="28" xfId="0" applyFill="1" applyBorder="1"/>
    <xf numFmtId="167" fontId="0" fillId="2" borderId="6" xfId="0" applyNumberFormat="1" applyFill="1" applyBorder="1"/>
    <xf numFmtId="0" fontId="0" fillId="2" borderId="19" xfId="0" applyFill="1" applyBorder="1"/>
    <xf numFmtId="0" fontId="0" fillId="2" borderId="4" xfId="0" applyFill="1" applyBorder="1"/>
    <xf numFmtId="167" fontId="0" fillId="2" borderId="18" xfId="0" applyNumberFormat="1" applyFill="1" applyBorder="1"/>
    <xf numFmtId="167" fontId="0" fillId="2" borderId="49" xfId="0" applyNumberFormat="1" applyFill="1" applyBorder="1"/>
    <xf numFmtId="0" fontId="0" fillId="2" borderId="26" xfId="0" applyFill="1" applyBorder="1"/>
    <xf numFmtId="167" fontId="0" fillId="2" borderId="7" xfId="0" applyNumberFormat="1" applyFill="1" applyBorder="1"/>
    <xf numFmtId="168" fontId="16" fillId="32" borderId="6" xfId="0" applyNumberFormat="1" applyFont="1" applyFill="1" applyBorder="1"/>
    <xf numFmtId="44" fontId="0" fillId="32" borderId="27" xfId="2" applyFont="1" applyFill="1" applyBorder="1"/>
    <xf numFmtId="2" fontId="16" fillId="32" borderId="6" xfId="0" applyNumberFormat="1" applyFont="1" applyFill="1" applyBorder="1"/>
    <xf numFmtId="167" fontId="0" fillId="32" borderId="21" xfId="0" applyNumberFormat="1" applyFill="1" applyBorder="1"/>
    <xf numFmtId="167" fontId="0" fillId="32" borderId="28" xfId="0" applyNumberFormat="1" applyFill="1" applyBorder="1"/>
    <xf numFmtId="167" fontId="0" fillId="32" borderId="41" xfId="0" applyNumberFormat="1" applyFill="1" applyBorder="1"/>
    <xf numFmtId="167" fontId="0" fillId="32" borderId="6" xfId="0" applyNumberFormat="1" applyFill="1" applyBorder="1"/>
    <xf numFmtId="0" fontId="0" fillId="32" borderId="28" xfId="0" applyFill="1" applyBorder="1"/>
    <xf numFmtId="0" fontId="0" fillId="32" borderId="3" xfId="2" applyNumberFormat="1" applyFont="1" applyFill="1" applyBorder="1" applyAlignment="1">
      <alignment horizontal="left" vertical="top"/>
    </xf>
    <xf numFmtId="0" fontId="0" fillId="32" borderId="19" xfId="0" applyFill="1" applyBorder="1"/>
    <xf numFmtId="0" fontId="0" fillId="32" borderId="4" xfId="0" applyFill="1" applyBorder="1"/>
    <xf numFmtId="167" fontId="0" fillId="32" borderId="18" xfId="0" applyNumberFormat="1" applyFill="1" applyBorder="1"/>
    <xf numFmtId="167" fontId="0" fillId="32" borderId="7" xfId="0" applyNumberFormat="1" applyFill="1" applyBorder="1"/>
    <xf numFmtId="167" fontId="0" fillId="32" borderId="49" xfId="0" applyNumberFormat="1" applyFill="1" applyBorder="1"/>
    <xf numFmtId="0" fontId="0" fillId="32" borderId="26" xfId="0" applyFill="1" applyBorder="1"/>
    <xf numFmtId="168" fontId="16" fillId="3" borderId="2" xfId="0" applyNumberFormat="1" applyFont="1" applyFill="1" applyBorder="1"/>
    <xf numFmtId="0" fontId="21" fillId="3" borderId="2" xfId="0" applyFont="1" applyFill="1" applyBorder="1" applyAlignment="1">
      <alignment horizontal="left" vertical="top" wrapText="1"/>
    </xf>
    <xf numFmtId="0" fontId="0" fillId="3" borderId="3" xfId="0" applyFill="1" applyBorder="1"/>
    <xf numFmtId="166" fontId="0" fillId="3" borderId="3" xfId="1" applyNumberFormat="1" applyFont="1" applyFill="1" applyBorder="1" applyAlignment="1">
      <alignment horizontal="right" vertical="top"/>
    </xf>
    <xf numFmtId="167" fontId="0" fillId="3" borderId="3" xfId="2" applyNumberFormat="1" applyFont="1" applyFill="1" applyBorder="1"/>
    <xf numFmtId="44" fontId="0" fillId="3" borderId="3" xfId="2" applyNumberFormat="1" applyFont="1" applyFill="1" applyBorder="1" applyAlignment="1">
      <alignment horizontal="left" vertical="top"/>
    </xf>
    <xf numFmtId="0" fontId="0" fillId="3" borderId="3" xfId="2" applyNumberFormat="1" applyFont="1" applyFill="1" applyBorder="1"/>
    <xf numFmtId="1" fontId="0" fillId="3" borderId="4" xfId="0" applyNumberFormat="1" applyFill="1" applyBorder="1"/>
    <xf numFmtId="1" fontId="0" fillId="3" borderId="19" xfId="0" applyNumberFormat="1" applyFill="1" applyBorder="1"/>
    <xf numFmtId="167" fontId="0" fillId="3" borderId="5" xfId="2" applyNumberFormat="1" applyFont="1" applyFill="1" applyBorder="1"/>
    <xf numFmtId="167" fontId="0" fillId="3" borderId="20" xfId="2" applyNumberFormat="1" applyFont="1" applyFill="1" applyBorder="1"/>
    <xf numFmtId="0" fontId="26" fillId="3" borderId="10" xfId="0" applyFont="1" applyFill="1" applyBorder="1" applyAlignment="1">
      <alignment horizontal="left" vertical="top" wrapText="1"/>
    </xf>
    <xf numFmtId="167" fontId="0" fillId="3" borderId="27" xfId="2" applyNumberFormat="1" applyFont="1" applyFill="1" applyBorder="1"/>
    <xf numFmtId="167" fontId="0" fillId="3" borderId="13" xfId="2" applyNumberFormat="1" applyFont="1" applyFill="1" applyBorder="1"/>
    <xf numFmtId="167" fontId="0" fillId="3" borderId="54" xfId="2" applyNumberFormat="1" applyFont="1" applyFill="1" applyBorder="1"/>
    <xf numFmtId="9" fontId="0" fillId="3" borderId="32" xfId="11" applyFont="1" applyFill="1" applyBorder="1"/>
    <xf numFmtId="44" fontId="0" fillId="3" borderId="27" xfId="2" applyFont="1" applyFill="1" applyBorder="1"/>
    <xf numFmtId="0" fontId="0" fillId="3" borderId="33" xfId="0" applyFill="1" applyBorder="1"/>
    <xf numFmtId="177" fontId="0" fillId="3" borderId="0" xfId="0" applyNumberFormat="1" applyFill="1"/>
    <xf numFmtId="1" fontId="0" fillId="3" borderId="3" xfId="0" applyNumberFormat="1" applyFill="1" applyBorder="1"/>
    <xf numFmtId="167" fontId="0" fillId="3" borderId="2" xfId="2" applyNumberFormat="1" applyFont="1" applyFill="1" applyBorder="1"/>
    <xf numFmtId="168" fontId="16" fillId="3" borderId="6" xfId="0" applyNumberFormat="1" applyFont="1" applyFill="1" applyBorder="1"/>
    <xf numFmtId="0" fontId="21" fillId="3" borderId="6" xfId="0" applyFont="1" applyFill="1" applyBorder="1" applyAlignment="1">
      <alignment horizontal="left" vertical="top" wrapText="1"/>
    </xf>
    <xf numFmtId="167" fontId="0" fillId="3" borderId="21" xfId="2" applyNumberFormat="1" applyFont="1" applyFill="1" applyBorder="1"/>
    <xf numFmtId="0" fontId="26" fillId="3" borderId="12" xfId="0" applyFont="1" applyFill="1" applyBorder="1" applyAlignment="1">
      <alignment horizontal="left" vertical="top" wrapText="1"/>
    </xf>
    <xf numFmtId="167" fontId="0" fillId="3" borderId="28" xfId="2" applyNumberFormat="1" applyFont="1" applyFill="1" applyBorder="1"/>
    <xf numFmtId="167" fontId="0" fillId="3" borderId="0" xfId="2" applyNumberFormat="1" applyFont="1" applyFill="1" applyBorder="1"/>
    <xf numFmtId="167" fontId="0" fillId="3" borderId="41" xfId="2" applyNumberFormat="1" applyFont="1" applyFill="1" applyBorder="1"/>
    <xf numFmtId="44" fontId="28" fillId="3" borderId="28" xfId="11" applyNumberFormat="1" applyFont="1" applyFill="1" applyBorder="1"/>
    <xf numFmtId="167" fontId="0" fillId="3" borderId="6" xfId="2" applyNumberFormat="1" applyFont="1" applyFill="1" applyBorder="1"/>
    <xf numFmtId="167" fontId="0" fillId="3" borderId="21" xfId="0" applyNumberFormat="1" applyFill="1" applyBorder="1"/>
    <xf numFmtId="167" fontId="0" fillId="3" borderId="28" xfId="0" applyNumberFormat="1" applyFill="1" applyBorder="1"/>
    <xf numFmtId="167" fontId="0" fillId="3" borderId="0" xfId="0" applyNumberFormat="1" applyFill="1" applyBorder="1"/>
    <xf numFmtId="167" fontId="0" fillId="3" borderId="41" xfId="0" applyNumberFormat="1" applyFill="1" applyBorder="1"/>
    <xf numFmtId="0" fontId="0" fillId="3" borderId="28" xfId="0" applyFill="1" applyBorder="1"/>
    <xf numFmtId="167" fontId="0" fillId="3" borderId="6" xfId="0" applyNumberFormat="1" applyFill="1" applyBorder="1"/>
    <xf numFmtId="0" fontId="21" fillId="3" borderId="7" xfId="0" applyFont="1" applyFill="1" applyBorder="1" applyAlignment="1">
      <alignment horizontal="left" vertical="top" wrapText="1"/>
    </xf>
    <xf numFmtId="0" fontId="0" fillId="3" borderId="3" xfId="2" applyNumberFormat="1" applyFont="1" applyFill="1" applyBorder="1" applyAlignment="1">
      <alignment horizontal="left" vertical="top"/>
    </xf>
    <xf numFmtId="0" fontId="0" fillId="3" borderId="19" xfId="0" applyFill="1" applyBorder="1"/>
    <xf numFmtId="167" fontId="0" fillId="3" borderId="18" xfId="0" applyNumberFormat="1" applyFill="1" applyBorder="1"/>
    <xf numFmtId="0" fontId="26" fillId="3" borderId="11" xfId="0" applyFont="1" applyFill="1" applyBorder="1" applyAlignment="1">
      <alignment horizontal="left" vertical="top" wrapText="1"/>
    </xf>
    <xf numFmtId="167" fontId="0" fillId="3" borderId="49" xfId="0" applyNumberFormat="1" applyFill="1" applyBorder="1"/>
    <xf numFmtId="0" fontId="0" fillId="3" borderId="26" xfId="0" applyFill="1" applyBorder="1"/>
    <xf numFmtId="167" fontId="0" fillId="3" borderId="7" xfId="0" applyNumberFormat="1" applyFill="1" applyBorder="1"/>
    <xf numFmtId="0" fontId="0" fillId="12" borderId="0" xfId="0" applyFill="1"/>
    <xf numFmtId="168" fontId="16" fillId="12" borderId="2" xfId="0" applyNumberFormat="1" applyFont="1" applyFill="1" applyBorder="1"/>
    <xf numFmtId="0" fontId="21" fillId="12" borderId="2" xfId="0" applyFont="1" applyFill="1" applyBorder="1" applyAlignment="1">
      <alignment horizontal="left" vertical="top" wrapText="1"/>
    </xf>
    <xf numFmtId="0" fontId="0" fillId="12" borderId="3" xfId="0" applyFill="1" applyBorder="1"/>
    <xf numFmtId="166" fontId="0" fillId="12" borderId="3" xfId="1" applyNumberFormat="1" applyFont="1" applyFill="1" applyBorder="1" applyAlignment="1">
      <alignment horizontal="right" vertical="top"/>
    </xf>
    <xf numFmtId="167" fontId="0" fillId="12" borderId="3" xfId="2" applyNumberFormat="1" applyFont="1" applyFill="1" applyBorder="1"/>
    <xf numFmtId="44" fontId="0" fillId="12" borderId="3" xfId="2" applyNumberFormat="1" applyFont="1" applyFill="1" applyBorder="1" applyAlignment="1">
      <alignment horizontal="left" vertical="top"/>
    </xf>
    <xf numFmtId="0" fontId="0" fillId="12" borderId="3" xfId="2" applyNumberFormat="1" applyFont="1" applyFill="1" applyBorder="1"/>
    <xf numFmtId="1" fontId="0" fillId="12" borderId="4" xfId="0" applyNumberFormat="1" applyFill="1" applyBorder="1"/>
    <xf numFmtId="1" fontId="0" fillId="12" borderId="19" xfId="0" applyNumberFormat="1" applyFill="1" applyBorder="1"/>
    <xf numFmtId="167" fontId="0" fillId="12" borderId="5" xfId="2" applyNumberFormat="1" applyFont="1" applyFill="1" applyBorder="1"/>
    <xf numFmtId="167" fontId="0" fillId="12" borderId="20" xfId="2" applyNumberFormat="1" applyFont="1" applyFill="1" applyBorder="1"/>
    <xf numFmtId="0" fontId="26" fillId="12" borderId="10" xfId="0" applyFont="1" applyFill="1" applyBorder="1" applyAlignment="1">
      <alignment horizontal="left" vertical="top" wrapText="1"/>
    </xf>
    <xf numFmtId="167" fontId="0" fillId="12" borderId="27" xfId="2" applyNumberFormat="1" applyFont="1" applyFill="1" applyBorder="1"/>
    <xf numFmtId="167" fontId="0" fillId="12" borderId="13" xfId="2" applyNumberFormat="1" applyFont="1" applyFill="1" applyBorder="1"/>
    <xf numFmtId="167" fontId="0" fillId="12" borderId="54" xfId="2" applyNumberFormat="1" applyFont="1" applyFill="1" applyBorder="1"/>
    <xf numFmtId="9" fontId="0" fillId="12" borderId="32" xfId="11" applyFont="1" applyFill="1" applyBorder="1"/>
    <xf numFmtId="44" fontId="0" fillId="12" borderId="27" xfId="2" applyFont="1" applyFill="1" applyBorder="1"/>
    <xf numFmtId="0" fontId="0" fillId="12" borderId="33" xfId="0" applyFill="1" applyBorder="1"/>
    <xf numFmtId="177" fontId="0" fillId="12" borderId="0" xfId="0" applyNumberFormat="1" applyFill="1"/>
    <xf numFmtId="1" fontId="0" fillId="12" borderId="3" xfId="0" applyNumberFormat="1" applyFill="1" applyBorder="1"/>
    <xf numFmtId="167" fontId="0" fillId="12" borderId="2" xfId="2" applyNumberFormat="1" applyFont="1" applyFill="1" applyBorder="1"/>
    <xf numFmtId="168" fontId="16" fillId="12" borderId="6" xfId="0" applyNumberFormat="1" applyFont="1" applyFill="1" applyBorder="1"/>
    <xf numFmtId="0" fontId="21" fillId="12" borderId="6" xfId="0" applyFont="1" applyFill="1" applyBorder="1" applyAlignment="1">
      <alignment horizontal="left" vertical="top" wrapText="1"/>
    </xf>
    <xf numFmtId="167" fontId="0" fillId="12" borderId="21" xfId="2" applyNumberFormat="1" applyFont="1" applyFill="1" applyBorder="1"/>
    <xf numFmtId="0" fontId="26" fillId="12" borderId="12" xfId="0" applyFont="1" applyFill="1" applyBorder="1" applyAlignment="1">
      <alignment horizontal="left" vertical="top" wrapText="1"/>
    </xf>
    <xf numFmtId="167" fontId="0" fillId="12" borderId="28" xfId="2" applyNumberFormat="1" applyFont="1" applyFill="1" applyBorder="1"/>
    <xf numFmtId="167" fontId="0" fillId="12" borderId="0" xfId="2" applyNumberFormat="1" applyFont="1" applyFill="1" applyBorder="1"/>
    <xf numFmtId="167" fontId="0" fillId="12" borderId="41" xfId="2" applyNumberFormat="1" applyFont="1" applyFill="1" applyBorder="1"/>
    <xf numFmtId="44" fontId="28" fillId="12" borderId="28" xfId="11" applyNumberFormat="1" applyFont="1" applyFill="1" applyBorder="1"/>
    <xf numFmtId="167" fontId="0" fillId="12" borderId="6" xfId="2" applyNumberFormat="1" applyFont="1" applyFill="1" applyBorder="1"/>
    <xf numFmtId="167" fontId="0" fillId="12" borderId="21" xfId="0" applyNumberFormat="1" applyFill="1" applyBorder="1"/>
    <xf numFmtId="167" fontId="0" fillId="12" borderId="28" xfId="0" applyNumberFormat="1" applyFill="1" applyBorder="1"/>
    <xf numFmtId="167" fontId="0" fillId="12" borderId="0" xfId="0" applyNumberFormat="1" applyFill="1" applyBorder="1"/>
    <xf numFmtId="167" fontId="0" fillId="12" borderId="41" xfId="0" applyNumberFormat="1" applyFill="1" applyBorder="1"/>
    <xf numFmtId="0" fontId="0" fillId="12" borderId="28" xfId="0" applyFill="1" applyBorder="1"/>
    <xf numFmtId="167" fontId="0" fillId="12" borderId="6" xfId="0" applyNumberFormat="1" applyFill="1" applyBorder="1"/>
    <xf numFmtId="0" fontId="21" fillId="12" borderId="7" xfId="0" applyFont="1" applyFill="1" applyBorder="1" applyAlignment="1">
      <alignment horizontal="left" vertical="top" wrapText="1"/>
    </xf>
    <xf numFmtId="0" fontId="0" fillId="12" borderId="3" xfId="2" applyNumberFormat="1" applyFont="1" applyFill="1" applyBorder="1" applyAlignment="1">
      <alignment horizontal="left" vertical="top"/>
    </xf>
    <xf numFmtId="166" fontId="0" fillId="12" borderId="4" xfId="1" applyNumberFormat="1" applyFont="1" applyFill="1" applyBorder="1"/>
    <xf numFmtId="0" fontId="0" fillId="12" borderId="19" xfId="0" applyFill="1" applyBorder="1"/>
    <xf numFmtId="0" fontId="0" fillId="12" borderId="4" xfId="0" applyFill="1" applyBorder="1"/>
    <xf numFmtId="167" fontId="0" fillId="12" borderId="18" xfId="0" applyNumberFormat="1" applyFill="1" applyBorder="1"/>
    <xf numFmtId="0" fontId="26" fillId="12" borderId="11" xfId="0" applyFont="1" applyFill="1" applyBorder="1" applyAlignment="1">
      <alignment horizontal="left" vertical="top" wrapText="1"/>
    </xf>
    <xf numFmtId="167" fontId="0" fillId="12" borderId="49" xfId="0" applyNumberFormat="1" applyFill="1" applyBorder="1"/>
    <xf numFmtId="0" fontId="0" fillId="12" borderId="26" xfId="0" applyFill="1" applyBorder="1"/>
    <xf numFmtId="167" fontId="0" fillId="12" borderId="7" xfId="0" applyNumberFormat="1" applyFill="1" applyBorder="1"/>
    <xf numFmtId="0" fontId="0" fillId="6" borderId="0" xfId="0" applyFill="1"/>
    <xf numFmtId="168" fontId="16" fillId="6" borderId="6" xfId="0" applyNumberFormat="1" applyFont="1" applyFill="1" applyBorder="1"/>
    <xf numFmtId="0" fontId="21" fillId="6" borderId="2" xfId="0" applyFont="1" applyFill="1" applyBorder="1" applyAlignment="1">
      <alignment horizontal="left" vertical="top" wrapText="1"/>
    </xf>
    <xf numFmtId="0" fontId="0" fillId="6" borderId="3" xfId="0" applyFill="1" applyBorder="1"/>
    <xf numFmtId="166" fontId="0" fillId="6" borderId="3" xfId="1" applyNumberFormat="1" applyFont="1" applyFill="1" applyBorder="1" applyAlignment="1">
      <alignment horizontal="right" vertical="top"/>
    </xf>
    <xf numFmtId="167" fontId="0" fillId="6" borderId="3" xfId="2" applyNumberFormat="1" applyFont="1" applyFill="1" applyBorder="1"/>
    <xf numFmtId="167" fontId="0" fillId="6" borderId="3" xfId="2" applyNumberFormat="1" applyFont="1" applyFill="1" applyBorder="1" applyAlignment="1">
      <alignment horizontal="left" vertical="top"/>
    </xf>
    <xf numFmtId="0" fontId="0" fillId="6" borderId="3" xfId="2" applyNumberFormat="1" applyFont="1" applyFill="1" applyBorder="1"/>
    <xf numFmtId="1" fontId="0" fillId="6" borderId="4" xfId="0" applyNumberFormat="1" applyFill="1" applyBorder="1"/>
    <xf numFmtId="1" fontId="0" fillId="6" borderId="19" xfId="0" applyNumberFormat="1" applyFill="1" applyBorder="1"/>
    <xf numFmtId="167" fontId="0" fillId="6" borderId="5" xfId="2" applyNumberFormat="1" applyFont="1" applyFill="1" applyBorder="1"/>
    <xf numFmtId="167" fontId="0" fillId="6" borderId="20" xfId="2" applyNumberFormat="1" applyFont="1" applyFill="1" applyBorder="1"/>
    <xf numFmtId="0" fontId="26" fillId="6" borderId="10" xfId="0" applyFont="1" applyFill="1" applyBorder="1" applyAlignment="1">
      <alignment horizontal="left" vertical="top" wrapText="1"/>
    </xf>
    <xf numFmtId="167" fontId="0" fillId="6" borderId="27" xfId="2" applyNumberFormat="1" applyFont="1" applyFill="1" applyBorder="1"/>
    <xf numFmtId="167" fontId="0" fillId="6" borderId="54" xfId="2" applyNumberFormat="1" applyFont="1" applyFill="1" applyBorder="1"/>
    <xf numFmtId="167" fontId="0" fillId="6" borderId="2" xfId="2" applyNumberFormat="1" applyFont="1" applyFill="1" applyBorder="1"/>
    <xf numFmtId="9" fontId="0" fillId="6" borderId="32" xfId="11" applyFont="1" applyFill="1" applyBorder="1"/>
    <xf numFmtId="44" fontId="0" fillId="6" borderId="27" xfId="2" applyFont="1" applyFill="1" applyBorder="1"/>
    <xf numFmtId="0" fontId="0" fillId="6" borderId="33" xfId="0" applyFill="1" applyBorder="1"/>
    <xf numFmtId="0" fontId="0" fillId="6" borderId="0" xfId="2" applyNumberFormat="1" applyFont="1" applyFill="1" applyBorder="1"/>
    <xf numFmtId="177" fontId="0" fillId="6" borderId="0" xfId="0" applyNumberFormat="1" applyFill="1"/>
    <xf numFmtId="1" fontId="0" fillId="6" borderId="3" xfId="0" applyNumberFormat="1" applyFill="1" applyBorder="1"/>
    <xf numFmtId="2" fontId="16" fillId="6" borderId="6" xfId="0" applyNumberFormat="1" applyFont="1" applyFill="1" applyBorder="1"/>
    <xf numFmtId="0" fontId="21" fillId="6" borderId="6" xfId="0" applyFont="1" applyFill="1" applyBorder="1" applyAlignment="1">
      <alignment horizontal="left" vertical="top" wrapText="1"/>
    </xf>
    <xf numFmtId="167" fontId="0" fillId="6" borderId="21" xfId="2" applyNumberFormat="1" applyFont="1" applyFill="1" applyBorder="1"/>
    <xf numFmtId="0" fontId="26" fillId="6" borderId="12" xfId="0" applyFont="1" applyFill="1" applyBorder="1" applyAlignment="1">
      <alignment horizontal="left" vertical="top" wrapText="1"/>
    </xf>
    <xf numFmtId="167" fontId="0" fillId="6" borderId="28" xfId="2" applyNumberFormat="1" applyFont="1" applyFill="1" applyBorder="1"/>
    <xf numFmtId="167" fontId="0" fillId="6" borderId="41" xfId="2" applyNumberFormat="1" applyFont="1" applyFill="1" applyBorder="1"/>
    <xf numFmtId="167" fontId="0" fillId="6" borderId="6" xfId="2" applyNumberFormat="1" applyFont="1" applyFill="1" applyBorder="1"/>
    <xf numFmtId="44" fontId="28" fillId="6" borderId="28" xfId="11" applyNumberFormat="1" applyFont="1" applyFill="1" applyBorder="1"/>
    <xf numFmtId="167" fontId="0" fillId="6" borderId="21" xfId="0" applyNumberFormat="1" applyFill="1" applyBorder="1"/>
    <xf numFmtId="167" fontId="0" fillId="6" borderId="28" xfId="0" applyNumberFormat="1" applyFill="1" applyBorder="1"/>
    <xf numFmtId="167" fontId="0" fillId="6" borderId="41" xfId="0" applyNumberFormat="1" applyFill="1" applyBorder="1"/>
    <xf numFmtId="167" fontId="0" fillId="6" borderId="6" xfId="0" applyNumberFormat="1" applyFill="1" applyBorder="1"/>
    <xf numFmtId="0" fontId="0" fillId="6" borderId="28" xfId="0" applyFill="1" applyBorder="1"/>
    <xf numFmtId="0" fontId="21" fillId="6" borderId="7" xfId="0" applyFont="1" applyFill="1" applyBorder="1" applyAlignment="1">
      <alignment horizontal="left" vertical="top" wrapText="1"/>
    </xf>
    <xf numFmtId="0" fontId="0" fillId="6" borderId="3" xfId="2" applyNumberFormat="1" applyFont="1" applyFill="1" applyBorder="1" applyAlignment="1">
      <alignment horizontal="left" vertical="top"/>
    </xf>
    <xf numFmtId="166" fontId="0" fillId="6" borderId="4" xfId="1" applyNumberFormat="1" applyFont="1" applyFill="1" applyBorder="1"/>
    <xf numFmtId="0" fontId="0" fillId="6" borderId="19" xfId="0" applyFill="1" applyBorder="1"/>
    <xf numFmtId="0" fontId="0" fillId="6" borderId="4" xfId="0" applyFill="1" applyBorder="1"/>
    <xf numFmtId="167" fontId="0" fillId="6" borderId="18" xfId="0" applyNumberFormat="1" applyFill="1" applyBorder="1"/>
    <xf numFmtId="0" fontId="26" fillId="6" borderId="11" xfId="0" applyFont="1" applyFill="1" applyBorder="1" applyAlignment="1">
      <alignment horizontal="left" vertical="top" wrapText="1"/>
    </xf>
    <xf numFmtId="167" fontId="0" fillId="6" borderId="7" xfId="0" applyNumberFormat="1" applyFill="1" applyBorder="1"/>
    <xf numFmtId="167" fontId="0" fillId="6" borderId="49" xfId="0" applyNumberFormat="1" applyFill="1" applyBorder="1"/>
    <xf numFmtId="0" fontId="0" fillId="6" borderId="26" xfId="0" applyFill="1" applyBorder="1"/>
    <xf numFmtId="0" fontId="2" fillId="3" borderId="4" xfId="0" applyFont="1" applyFill="1" applyBorder="1"/>
    <xf numFmtId="167" fontId="0" fillId="36" borderId="9" xfId="2" applyNumberFormat="1" applyFont="1" applyFill="1" applyBorder="1"/>
    <xf numFmtId="167" fontId="0" fillId="36" borderId="0" xfId="2" applyNumberFormat="1" applyFont="1" applyFill="1" applyBorder="1"/>
    <xf numFmtId="167" fontId="0" fillId="36" borderId="12" xfId="2" applyNumberFormat="1" applyFont="1" applyFill="1" applyBorder="1"/>
    <xf numFmtId="167" fontId="0" fillId="36" borderId="10" xfId="2" applyNumberFormat="1" applyFont="1" applyFill="1" applyBorder="1"/>
    <xf numFmtId="166" fontId="0" fillId="36" borderId="8" xfId="1" applyNumberFormat="1" applyFont="1" applyFill="1" applyBorder="1"/>
    <xf numFmtId="166" fontId="0" fillId="36" borderId="13" xfId="1" applyNumberFormat="1" applyFont="1" applyFill="1" applyBorder="1"/>
    <xf numFmtId="166" fontId="0" fillId="36" borderId="10" xfId="1" applyNumberFormat="1" applyFont="1" applyFill="1" applyBorder="1"/>
    <xf numFmtId="166" fontId="0" fillId="36" borderId="0" xfId="1" applyNumberFormat="1" applyFont="1" applyFill="1" applyBorder="1"/>
    <xf numFmtId="166" fontId="0" fillId="36" borderId="12" xfId="1" applyNumberFormat="1" applyFont="1" applyFill="1" applyBorder="1"/>
    <xf numFmtId="0" fontId="0" fillId="0" borderId="0" xfId="0" applyBorder="1" applyAlignment="1">
      <alignment horizontal="center"/>
    </xf>
    <xf numFmtId="0" fontId="0" fillId="0" borderId="0" xfId="0" applyBorder="1" applyAlignment="1">
      <alignment horizontal="center" vertical="top"/>
    </xf>
    <xf numFmtId="0" fontId="4" fillId="0" borderId="13" xfId="0" applyFont="1" applyBorder="1"/>
    <xf numFmtId="0" fontId="0" fillId="13" borderId="6" xfId="0" applyFill="1" applyBorder="1"/>
    <xf numFmtId="0" fontId="4" fillId="28" borderId="3" xfId="0" applyFont="1" applyFill="1" applyBorder="1"/>
    <xf numFmtId="0" fontId="4" fillId="0" borderId="42" xfId="0" applyFont="1" applyBorder="1"/>
    <xf numFmtId="0" fontId="0" fillId="0" borderId="11" xfId="0" applyFill="1" applyBorder="1" applyAlignment="1">
      <alignment horizontal="center" wrapText="1"/>
    </xf>
    <xf numFmtId="167" fontId="0" fillId="36" borderId="6" xfId="2" applyNumberFormat="1" applyFont="1" applyFill="1" applyBorder="1"/>
    <xf numFmtId="166" fontId="0" fillId="36" borderId="2" xfId="1" applyNumberFormat="1" applyFont="1" applyFill="1" applyBorder="1"/>
    <xf numFmtId="166" fontId="0" fillId="36" borderId="6" xfId="1" applyNumberFormat="1" applyFont="1" applyFill="1" applyBorder="1"/>
    <xf numFmtId="170" fontId="0" fillId="0" borderId="3" xfId="1" applyNumberFormat="1" applyFont="1" applyFill="1" applyBorder="1" applyAlignment="1">
      <alignment horizontal="right" vertical="top"/>
    </xf>
    <xf numFmtId="0" fontId="0" fillId="5" borderId="12" xfId="0" applyFill="1" applyBorder="1"/>
    <xf numFmtId="0" fontId="0" fillId="0" borderId="10" xfId="0" applyBorder="1" applyAlignment="1">
      <alignment vertical="top"/>
    </xf>
    <xf numFmtId="0" fontId="19" fillId="0" borderId="0" xfId="0" applyFont="1" applyAlignment="1">
      <alignment horizontal="left" vertical="center" indent="4"/>
    </xf>
    <xf numFmtId="0" fontId="30" fillId="0" borderId="0" xfId="0" applyFont="1" applyAlignment="1">
      <alignment horizontal="left" vertical="center" indent="8"/>
    </xf>
    <xf numFmtId="0" fontId="21" fillId="13" borderId="2" xfId="0" applyFont="1" applyFill="1" applyBorder="1" applyAlignment="1">
      <alignment horizontal="left" vertical="top" wrapText="1"/>
    </xf>
    <xf numFmtId="0" fontId="21" fillId="13" borderId="6" xfId="0" applyFont="1" applyFill="1" applyBorder="1" applyAlignment="1">
      <alignment horizontal="left" vertical="top" wrapText="1"/>
    </xf>
    <xf numFmtId="0" fontId="21" fillId="13" borderId="7" xfId="0" applyFont="1" applyFill="1" applyBorder="1" applyAlignment="1">
      <alignment horizontal="left" vertical="top" wrapText="1"/>
    </xf>
    <xf numFmtId="0" fontId="21" fillId="34" borderId="2" xfId="0" applyFont="1" applyFill="1" applyBorder="1" applyAlignment="1">
      <alignment horizontal="left" vertical="top" wrapText="1"/>
    </xf>
    <xf numFmtId="0" fontId="21" fillId="34" borderId="6" xfId="0" applyFont="1" applyFill="1" applyBorder="1" applyAlignment="1">
      <alignment horizontal="left" vertical="top" wrapText="1"/>
    </xf>
    <xf numFmtId="0" fontId="21" fillId="34" borderId="7" xfId="0" applyFont="1" applyFill="1" applyBorder="1" applyAlignment="1">
      <alignment horizontal="left" vertical="top" wrapText="1"/>
    </xf>
    <xf numFmtId="0" fontId="21" fillId="15" borderId="2" xfId="0" applyFont="1" applyFill="1" applyBorder="1" applyAlignment="1">
      <alignment horizontal="left" vertical="top" wrapText="1"/>
    </xf>
    <xf numFmtId="0" fontId="21" fillId="15" borderId="6" xfId="0" applyFont="1" applyFill="1" applyBorder="1" applyAlignment="1">
      <alignment horizontal="left" vertical="top" wrapText="1"/>
    </xf>
    <xf numFmtId="0" fontId="21" fillId="15" borderId="7" xfId="0" applyFont="1" applyFill="1" applyBorder="1" applyAlignment="1">
      <alignment horizontal="left" vertical="top" wrapText="1"/>
    </xf>
    <xf numFmtId="0" fontId="0" fillId="0" borderId="6" xfId="0" applyBorder="1" applyAlignment="1">
      <alignment horizontal="center" vertical="top" wrapText="1"/>
    </xf>
    <xf numFmtId="0" fontId="0" fillId="0" borderId="6" xfId="0" applyBorder="1" applyAlignment="1">
      <alignment horizontal="center" wrapText="1"/>
    </xf>
    <xf numFmtId="0" fontId="0" fillId="0" borderId="12" xfId="0" applyBorder="1" applyAlignment="1">
      <alignment horizontal="center" wrapText="1"/>
    </xf>
    <xf numFmtId="0" fontId="21" fillId="0" borderId="6" xfId="0" applyFont="1" applyFill="1" applyBorder="1" applyAlignment="1">
      <alignment horizontal="left" vertical="top" wrapText="1"/>
    </xf>
    <xf numFmtId="0" fontId="24" fillId="0" borderId="0" xfId="0" applyFont="1" applyAlignment="1">
      <alignment horizontal="left" vertical="center" indent="4"/>
    </xf>
    <xf numFmtId="9" fontId="8" fillId="16" borderId="0" xfId="0" applyNumberFormat="1" applyFont="1" applyFill="1" applyBorder="1"/>
    <xf numFmtId="0" fontId="24" fillId="0" borderId="0" xfId="0" applyFont="1" applyAlignment="1">
      <alignment horizontal="left" vertical="top"/>
    </xf>
    <xf numFmtId="44" fontId="8" fillId="0" borderId="0" xfId="2" applyNumberFormat="1" applyFont="1" applyFill="1" applyBorder="1"/>
    <xf numFmtId="0" fontId="24" fillId="0" borderId="0" xfId="0" applyFont="1" applyBorder="1" applyAlignment="1">
      <alignment horizontal="left" vertical="top"/>
    </xf>
    <xf numFmtId="0" fontId="24" fillId="0" borderId="0" xfId="0" applyFont="1" applyFill="1" applyBorder="1" applyAlignment="1">
      <alignment horizontal="left" vertical="top"/>
    </xf>
    <xf numFmtId="166" fontId="8" fillId="3" borderId="0" xfId="1" applyNumberFormat="1" applyFont="1" applyFill="1" applyBorder="1"/>
    <xf numFmtId="9" fontId="8" fillId="3" borderId="0" xfId="11" applyFont="1" applyFill="1" applyBorder="1"/>
    <xf numFmtId="166" fontId="0" fillId="3" borderId="0" xfId="0" applyNumberFormat="1" applyFill="1" applyBorder="1"/>
    <xf numFmtId="166" fontId="0" fillId="3" borderId="0" xfId="1" applyNumberFormat="1" applyFont="1" applyFill="1" applyBorder="1"/>
    <xf numFmtId="43" fontId="8" fillId="3" borderId="0" xfId="1" applyFont="1" applyFill="1" applyBorder="1" applyAlignment="1">
      <alignment horizontal="right"/>
    </xf>
    <xf numFmtId="0" fontId="49" fillId="0" borderId="0" xfId="14" applyAlignment="1">
      <alignment vertical="top"/>
    </xf>
    <xf numFmtId="44" fontId="8" fillId="3" borderId="0" xfId="2" applyFont="1" applyFill="1" applyBorder="1" applyAlignment="1">
      <alignment horizontal="left"/>
    </xf>
    <xf numFmtId="2" fontId="0" fillId="0" borderId="0" xfId="0" applyNumberFormat="1" applyFill="1" applyBorder="1"/>
    <xf numFmtId="173" fontId="0" fillId="0" borderId="0" xfId="0" applyNumberFormat="1" applyBorder="1"/>
    <xf numFmtId="168" fontId="0" fillId="0" borderId="0" xfId="0" applyNumberFormat="1" applyBorder="1"/>
    <xf numFmtId="0" fontId="28" fillId="3" borderId="0" xfId="0" applyFont="1" applyFill="1" applyBorder="1"/>
    <xf numFmtId="43" fontId="8" fillId="0" borderId="0" xfId="1" applyFont="1" applyFill="1" applyBorder="1" applyAlignment="1">
      <alignment horizontal="right"/>
    </xf>
    <xf numFmtId="0" fontId="49" fillId="0" borderId="0" xfId="14" applyFill="1"/>
    <xf numFmtId="8" fontId="0" fillId="3" borderId="0" xfId="0" applyNumberFormat="1" applyFill="1"/>
    <xf numFmtId="44" fontId="0" fillId="0" borderId="14" xfId="0" applyNumberFormat="1" applyBorder="1"/>
    <xf numFmtId="0" fontId="31" fillId="0" borderId="12" xfId="12" applyFont="1" applyFill="1" applyBorder="1" applyAlignment="1">
      <alignment horizontal="left" vertical="top"/>
    </xf>
    <xf numFmtId="0" fontId="31" fillId="0" borderId="11" xfId="12" applyFont="1" applyFill="1" applyBorder="1" applyAlignment="1">
      <alignment horizontal="left" vertical="top"/>
    </xf>
    <xf numFmtId="0" fontId="0" fillId="0" borderId="0" xfId="0" applyFill="1" applyBorder="1" applyAlignment="1">
      <alignment horizontal="center"/>
    </xf>
    <xf numFmtId="168" fontId="0" fillId="0" borderId="4" xfId="0" applyNumberFormat="1" applyBorder="1"/>
    <xf numFmtId="9" fontId="0" fillId="0" borderId="4" xfId="11" applyFont="1" applyBorder="1"/>
    <xf numFmtId="1" fontId="0" fillId="3" borderId="0" xfId="0" applyNumberFormat="1" applyFill="1" applyBorder="1"/>
    <xf numFmtId="9" fontId="0" fillId="3" borderId="0" xfId="11" applyFont="1" applyFill="1" applyBorder="1"/>
    <xf numFmtId="1" fontId="0" fillId="3" borderId="13" xfId="0" applyNumberFormat="1" applyFill="1" applyBorder="1"/>
    <xf numFmtId="44" fontId="0" fillId="3" borderId="14" xfId="2" applyFont="1" applyFill="1" applyBorder="1"/>
    <xf numFmtId="0" fontId="31" fillId="0" borderId="0" xfId="12" applyFont="1" applyFill="1" applyBorder="1" applyAlignment="1">
      <alignment horizontal="left" vertical="top"/>
    </xf>
    <xf numFmtId="1" fontId="0" fillId="0" borderId="13" xfId="0" applyNumberFormat="1" applyBorder="1"/>
    <xf numFmtId="166" fontId="0" fillId="0" borderId="13" xfId="0" applyNumberFormat="1" applyBorder="1"/>
    <xf numFmtId="0" fontId="72" fillId="0" borderId="8" xfId="0" applyFont="1" applyBorder="1"/>
    <xf numFmtId="167" fontId="0" fillId="3" borderId="9" xfId="2" applyNumberFormat="1" applyFont="1" applyFill="1" applyBorder="1"/>
    <xf numFmtId="44" fontId="8" fillId="0" borderId="4" xfId="2" applyFont="1" applyBorder="1" applyAlignment="1">
      <alignment horizontal="left" vertical="top"/>
    </xf>
    <xf numFmtId="44" fontId="8" fillId="0" borderId="42" xfId="2" applyFont="1" applyBorder="1" applyAlignment="1">
      <alignment horizontal="left" vertical="top"/>
    </xf>
    <xf numFmtId="0" fontId="16" fillId="0" borderId="0" xfId="0" applyFont="1" applyFill="1" applyBorder="1"/>
    <xf numFmtId="9" fontId="8" fillId="0" borderId="0" xfId="0" applyNumberFormat="1" applyFont="1" applyBorder="1"/>
    <xf numFmtId="0" fontId="0" fillId="0" borderId="11" xfId="0" applyBorder="1" applyAlignment="1">
      <alignment horizontal="left" vertical="top"/>
    </xf>
    <xf numFmtId="168" fontId="16" fillId="34" borderId="2" xfId="0" applyNumberFormat="1" applyFont="1" applyFill="1" applyBorder="1"/>
    <xf numFmtId="44" fontId="0" fillId="34" borderId="3" xfId="2" applyNumberFormat="1" applyFont="1" applyFill="1" applyBorder="1" applyAlignment="1">
      <alignment horizontal="left" vertical="top"/>
    </xf>
    <xf numFmtId="9" fontId="0" fillId="34" borderId="32" xfId="11" applyFont="1" applyFill="1" applyBorder="1"/>
    <xf numFmtId="44" fontId="0" fillId="34" borderId="27" xfId="2" applyFont="1" applyFill="1" applyBorder="1"/>
    <xf numFmtId="0" fontId="0" fillId="34" borderId="33" xfId="0" applyFill="1" applyBorder="1"/>
    <xf numFmtId="168" fontId="16" fillId="34" borderId="6" xfId="0" applyNumberFormat="1" applyFont="1" applyFill="1" applyBorder="1"/>
    <xf numFmtId="44" fontId="28" fillId="34" borderId="28" xfId="11" applyNumberFormat="1" applyFont="1" applyFill="1" applyBorder="1"/>
    <xf numFmtId="167" fontId="0" fillId="34" borderId="21" xfId="0" applyNumberFormat="1" applyFill="1" applyBorder="1"/>
    <xf numFmtId="167" fontId="0" fillId="34" borderId="28" xfId="0" applyNumberFormat="1" applyFill="1" applyBorder="1"/>
    <xf numFmtId="167" fontId="0" fillId="34" borderId="0" xfId="0" applyNumberFormat="1" applyFill="1" applyBorder="1"/>
    <xf numFmtId="167" fontId="0" fillId="34" borderId="41" xfId="0" applyNumberFormat="1" applyFill="1" applyBorder="1"/>
    <xf numFmtId="0" fontId="0" fillId="34" borderId="28" xfId="0" applyFill="1" applyBorder="1"/>
    <xf numFmtId="167" fontId="0" fillId="34" borderId="6" xfId="0" applyNumberFormat="1" applyFill="1" applyBorder="1"/>
    <xf numFmtId="166" fontId="0" fillId="34" borderId="4" xfId="1" applyNumberFormat="1" applyFont="1" applyFill="1" applyBorder="1"/>
    <xf numFmtId="167" fontId="0" fillId="34" borderId="18" xfId="0" applyNumberFormat="1" applyFill="1" applyBorder="1"/>
    <xf numFmtId="167" fontId="0" fillId="34" borderId="49" xfId="0" applyNumberFormat="1" applyFill="1" applyBorder="1"/>
    <xf numFmtId="0" fontId="0" fillId="34" borderId="26" xfId="0" applyFill="1" applyBorder="1"/>
    <xf numFmtId="167" fontId="0" fillId="34" borderId="7" xfId="0" applyNumberFormat="1" applyFill="1" applyBorder="1"/>
    <xf numFmtId="168" fontId="16" fillId="8" borderId="2" xfId="0" applyNumberFormat="1" applyFont="1" applyFill="1" applyBorder="1"/>
    <xf numFmtId="0" fontId="21" fillId="8" borderId="2" xfId="0" applyFont="1" applyFill="1" applyBorder="1" applyAlignment="1">
      <alignment horizontal="left" vertical="top" wrapText="1"/>
    </xf>
    <xf numFmtId="0" fontId="0" fillId="8" borderId="3" xfId="0" applyFill="1" applyBorder="1"/>
    <xf numFmtId="166" fontId="0" fillId="8" borderId="3" xfId="1" applyNumberFormat="1" applyFont="1" applyFill="1" applyBorder="1" applyAlignment="1">
      <alignment horizontal="right" vertical="top"/>
    </xf>
    <xf numFmtId="167" fontId="0" fillId="8" borderId="3" xfId="2" applyNumberFormat="1" applyFont="1" applyFill="1" applyBorder="1"/>
    <xf numFmtId="44" fontId="0" fillId="8" borderId="3" xfId="2" applyNumberFormat="1" applyFont="1" applyFill="1" applyBorder="1" applyAlignment="1">
      <alignment horizontal="left" vertical="top"/>
    </xf>
    <xf numFmtId="0" fontId="0" fillId="8" borderId="3" xfId="2" applyNumberFormat="1" applyFont="1" applyFill="1" applyBorder="1"/>
    <xf numFmtId="1" fontId="0" fillId="8" borderId="4" xfId="0" applyNumberFormat="1" applyFill="1" applyBorder="1"/>
    <xf numFmtId="1" fontId="0" fillId="8" borderId="19" xfId="0" applyNumberFormat="1" applyFill="1" applyBorder="1"/>
    <xf numFmtId="167" fontId="0" fillId="8" borderId="5" xfId="2" applyNumberFormat="1" applyFont="1" applyFill="1" applyBorder="1"/>
    <xf numFmtId="167" fontId="0" fillId="8" borderId="20" xfId="2" applyNumberFormat="1" applyFont="1" applyFill="1" applyBorder="1"/>
    <xf numFmtId="0" fontId="26" fillId="8" borderId="10" xfId="0" applyFont="1" applyFill="1" applyBorder="1" applyAlignment="1">
      <alignment horizontal="left" vertical="top" wrapText="1"/>
    </xf>
    <xf numFmtId="167" fontId="0" fillId="8" borderId="27" xfId="2" applyNumberFormat="1" applyFont="1" applyFill="1" applyBorder="1"/>
    <xf numFmtId="167" fontId="0" fillId="8" borderId="13" xfId="2" applyNumberFormat="1" applyFont="1" applyFill="1" applyBorder="1"/>
    <xf numFmtId="167" fontId="0" fillId="8" borderId="54" xfId="2" applyNumberFormat="1" applyFont="1" applyFill="1" applyBorder="1"/>
    <xf numFmtId="9" fontId="0" fillId="8" borderId="32" xfId="11" applyFont="1" applyFill="1" applyBorder="1"/>
    <xf numFmtId="44" fontId="0" fillId="8" borderId="27" xfId="2" applyFont="1" applyFill="1" applyBorder="1"/>
    <xf numFmtId="0" fontId="0" fillId="8" borderId="33" xfId="0" applyFill="1" applyBorder="1"/>
    <xf numFmtId="0" fontId="0" fillId="8" borderId="0" xfId="2" applyNumberFormat="1" applyFont="1" applyFill="1" applyBorder="1"/>
    <xf numFmtId="177" fontId="0" fillId="8" borderId="0" xfId="0" applyNumberFormat="1" applyFill="1"/>
    <xf numFmtId="1" fontId="0" fillId="8" borderId="3" xfId="0" applyNumberFormat="1" applyFill="1" applyBorder="1"/>
    <xf numFmtId="167" fontId="0" fillId="8" borderId="2" xfId="2" applyNumberFormat="1" applyFont="1" applyFill="1" applyBorder="1"/>
    <xf numFmtId="0" fontId="0" fillId="8" borderId="0" xfId="0" applyFill="1"/>
    <xf numFmtId="168" fontId="16" fillId="8" borderId="6" xfId="0" applyNumberFormat="1" applyFont="1" applyFill="1" applyBorder="1"/>
    <xf numFmtId="0" fontId="21" fillId="8" borderId="6" xfId="0" applyFont="1" applyFill="1" applyBorder="1" applyAlignment="1">
      <alignment horizontal="left" vertical="top" wrapText="1"/>
    </xf>
    <xf numFmtId="167" fontId="0" fillId="8" borderId="21" xfId="2" applyNumberFormat="1" applyFont="1" applyFill="1" applyBorder="1"/>
    <xf numFmtId="0" fontId="26" fillId="8" borderId="12" xfId="0" applyFont="1" applyFill="1" applyBorder="1" applyAlignment="1">
      <alignment horizontal="left" vertical="top" wrapText="1"/>
    </xf>
    <xf numFmtId="167" fontId="0" fillId="8" borderId="28" xfId="2" applyNumberFormat="1" applyFont="1" applyFill="1" applyBorder="1"/>
    <xf numFmtId="167" fontId="0" fillId="8" borderId="0" xfId="2" applyNumberFormat="1" applyFont="1" applyFill="1" applyBorder="1"/>
    <xf numFmtId="167" fontId="0" fillId="8" borderId="41" xfId="2" applyNumberFormat="1" applyFont="1" applyFill="1" applyBorder="1"/>
    <xf numFmtId="44" fontId="28" fillId="8" borderId="28" xfId="11" applyNumberFormat="1" applyFont="1" applyFill="1" applyBorder="1"/>
    <xf numFmtId="167" fontId="0" fillId="8" borderId="6" xfId="2" applyNumberFormat="1" applyFont="1" applyFill="1" applyBorder="1"/>
    <xf numFmtId="167" fontId="0" fillId="8" borderId="21" xfId="0" applyNumberFormat="1" applyFill="1" applyBorder="1"/>
    <xf numFmtId="167" fontId="0" fillId="8" borderId="28" xfId="0" applyNumberFormat="1" applyFill="1" applyBorder="1"/>
    <xf numFmtId="167" fontId="0" fillId="8" borderId="0" xfId="0" applyNumberFormat="1" applyFill="1" applyBorder="1"/>
    <xf numFmtId="167" fontId="0" fillId="8" borderId="41" xfId="0" applyNumberFormat="1" applyFill="1" applyBorder="1"/>
    <xf numFmtId="0" fontId="0" fillId="8" borderId="28" xfId="0" applyFill="1" applyBorder="1"/>
    <xf numFmtId="167" fontId="0" fillId="8" borderId="6" xfId="0" applyNumberFormat="1" applyFill="1" applyBorder="1"/>
    <xf numFmtId="0" fontId="21" fillId="8" borderId="7" xfId="0" applyFont="1" applyFill="1" applyBorder="1" applyAlignment="1">
      <alignment horizontal="left" vertical="top" wrapText="1"/>
    </xf>
    <xf numFmtId="166" fontId="0" fillId="8" borderId="4" xfId="1" applyNumberFormat="1" applyFont="1" applyFill="1" applyBorder="1"/>
    <xf numFmtId="167" fontId="0" fillId="8" borderId="18" xfId="0" applyNumberFormat="1" applyFill="1" applyBorder="1"/>
    <xf numFmtId="0" fontId="26" fillId="8" borderId="11" xfId="0" applyFont="1" applyFill="1" applyBorder="1" applyAlignment="1">
      <alignment horizontal="left" vertical="top" wrapText="1"/>
    </xf>
    <xf numFmtId="167" fontId="0" fillId="8" borderId="49" xfId="0" applyNumberFormat="1" applyFill="1" applyBorder="1"/>
    <xf numFmtId="0" fontId="0" fillId="8" borderId="26" xfId="0" applyFill="1" applyBorder="1"/>
    <xf numFmtId="167" fontId="0" fillId="8" borderId="7" xfId="0" applyNumberFormat="1" applyFill="1" applyBorder="1"/>
    <xf numFmtId="168" fontId="16" fillId="37" borderId="6" xfId="0" applyNumberFormat="1" applyFont="1" applyFill="1" applyBorder="1"/>
    <xf numFmtId="0" fontId="21" fillId="37" borderId="2" xfId="0" applyFont="1" applyFill="1" applyBorder="1" applyAlignment="1">
      <alignment horizontal="left" vertical="top" wrapText="1"/>
    </xf>
    <xf numFmtId="0" fontId="0" fillId="37" borderId="3" xfId="0" applyFill="1" applyBorder="1"/>
    <xf numFmtId="166" fontId="0" fillId="37" borderId="3" xfId="1" applyNumberFormat="1" applyFont="1" applyFill="1" applyBorder="1" applyAlignment="1">
      <alignment horizontal="right" vertical="top"/>
    </xf>
    <xf numFmtId="167" fontId="0" fillId="37" borderId="3" xfId="2" applyNumberFormat="1" applyFont="1" applyFill="1" applyBorder="1"/>
    <xf numFmtId="167" fontId="0" fillId="37" borderId="3" xfId="2" applyNumberFormat="1" applyFont="1" applyFill="1" applyBorder="1" applyAlignment="1">
      <alignment horizontal="left" vertical="top"/>
    </xf>
    <xf numFmtId="0" fontId="0" fillId="37" borderId="3" xfId="2" applyNumberFormat="1" applyFont="1" applyFill="1" applyBorder="1"/>
    <xf numFmtId="1" fontId="0" fillId="37" borderId="4" xfId="0" applyNumberFormat="1" applyFill="1" applyBorder="1"/>
    <xf numFmtId="1" fontId="0" fillId="37" borderId="19" xfId="0" applyNumberFormat="1" applyFill="1" applyBorder="1"/>
    <xf numFmtId="167" fontId="0" fillId="37" borderId="5" xfId="2" applyNumberFormat="1" applyFont="1" applyFill="1" applyBorder="1"/>
    <xf numFmtId="167" fontId="0" fillId="37" borderId="20" xfId="2" applyNumberFormat="1" applyFont="1" applyFill="1" applyBorder="1"/>
    <xf numFmtId="0" fontId="26" fillId="37" borderId="10" xfId="0" applyFont="1" applyFill="1" applyBorder="1" applyAlignment="1">
      <alignment horizontal="left" vertical="top" wrapText="1"/>
    </xf>
    <xf numFmtId="167" fontId="0" fillId="37" borderId="27" xfId="2" applyNumberFormat="1" applyFont="1" applyFill="1" applyBorder="1"/>
    <xf numFmtId="167" fontId="0" fillId="37" borderId="54" xfId="2" applyNumberFormat="1" applyFont="1" applyFill="1" applyBorder="1"/>
    <xf numFmtId="167" fontId="0" fillId="37" borderId="2" xfId="2" applyNumberFormat="1" applyFont="1" applyFill="1" applyBorder="1"/>
    <xf numFmtId="9" fontId="0" fillId="37" borderId="32" xfId="11" applyFont="1" applyFill="1" applyBorder="1"/>
    <xf numFmtId="44" fontId="0" fillId="37" borderId="27" xfId="2" applyFont="1" applyFill="1" applyBorder="1"/>
    <xf numFmtId="0" fontId="0" fillId="37" borderId="33" xfId="0" applyFill="1" applyBorder="1"/>
    <xf numFmtId="0" fontId="0" fillId="37" borderId="0" xfId="2" applyNumberFormat="1" applyFont="1" applyFill="1" applyBorder="1"/>
    <xf numFmtId="177" fontId="0" fillId="37" borderId="0" xfId="0" applyNumberFormat="1" applyFill="1"/>
    <xf numFmtId="1" fontId="0" fillId="37" borderId="3" xfId="0" applyNumberFormat="1" applyFill="1" applyBorder="1"/>
    <xf numFmtId="0" fontId="0" fillId="37" borderId="0" xfId="0" applyFill="1"/>
    <xf numFmtId="2" fontId="16" fillId="37" borderId="6" xfId="0" applyNumberFormat="1" applyFont="1" applyFill="1" applyBorder="1"/>
    <xf numFmtId="0" fontId="21" fillId="37" borderId="6" xfId="0" applyFont="1" applyFill="1" applyBorder="1" applyAlignment="1">
      <alignment horizontal="left" vertical="top" wrapText="1"/>
    </xf>
    <xf numFmtId="167" fontId="0" fillId="37" borderId="21" xfId="2" applyNumberFormat="1" applyFont="1" applyFill="1" applyBorder="1"/>
    <xf numFmtId="0" fontId="26" fillId="37" borderId="12" xfId="0" applyFont="1" applyFill="1" applyBorder="1" applyAlignment="1">
      <alignment horizontal="left" vertical="top" wrapText="1"/>
    </xf>
    <xf numFmtId="167" fontId="0" fillId="37" borderId="28" xfId="2" applyNumberFormat="1" applyFont="1" applyFill="1" applyBorder="1"/>
    <xf numFmtId="167" fontId="0" fillId="37" borderId="41" xfId="2" applyNumberFormat="1" applyFont="1" applyFill="1" applyBorder="1"/>
    <xf numFmtId="167" fontId="0" fillId="37" borderId="6" xfId="2" applyNumberFormat="1" applyFont="1" applyFill="1" applyBorder="1"/>
    <xf numFmtId="44" fontId="28" fillId="37" borderId="28" xfId="11" applyNumberFormat="1" applyFont="1" applyFill="1" applyBorder="1"/>
    <xf numFmtId="167" fontId="0" fillId="37" borderId="21" xfId="0" applyNumberFormat="1" applyFill="1" applyBorder="1"/>
    <xf numFmtId="167" fontId="0" fillId="37" borderId="28" xfId="0" applyNumberFormat="1" applyFill="1" applyBorder="1"/>
    <xf numFmtId="167" fontId="0" fillId="37" borderId="41" xfId="0" applyNumberFormat="1" applyFill="1" applyBorder="1"/>
    <xf numFmtId="167" fontId="0" fillId="37" borderId="6" xfId="0" applyNumberFormat="1" applyFill="1" applyBorder="1"/>
    <xf numFmtId="0" fontId="0" fillId="37" borderId="28" xfId="0" applyFill="1" applyBorder="1"/>
    <xf numFmtId="0" fontId="21" fillId="37" borderId="7" xfId="0" applyFont="1" applyFill="1" applyBorder="1" applyAlignment="1">
      <alignment horizontal="left" vertical="top" wrapText="1"/>
    </xf>
    <xf numFmtId="166" fontId="0" fillId="37" borderId="4" xfId="1" applyNumberFormat="1" applyFont="1" applyFill="1" applyBorder="1"/>
    <xf numFmtId="167" fontId="0" fillId="37" borderId="18" xfId="0" applyNumberFormat="1" applyFill="1" applyBorder="1"/>
    <xf numFmtId="0" fontId="26" fillId="37" borderId="11" xfId="0" applyFont="1" applyFill="1" applyBorder="1" applyAlignment="1">
      <alignment horizontal="left" vertical="top" wrapText="1"/>
    </xf>
    <xf numFmtId="167" fontId="0" fillId="37" borderId="7" xfId="0" applyNumberFormat="1" applyFill="1" applyBorder="1"/>
    <xf numFmtId="167" fontId="0" fillId="37" borderId="49" xfId="0" applyNumberFormat="1" applyFill="1" applyBorder="1"/>
    <xf numFmtId="0" fontId="0" fillId="37" borderId="26" xfId="0" applyFill="1" applyBorder="1"/>
    <xf numFmtId="167" fontId="0" fillId="26" borderId="3" xfId="2" applyNumberFormat="1" applyFont="1" applyFill="1" applyBorder="1"/>
    <xf numFmtId="9" fontId="8" fillId="0" borderId="0" xfId="2" applyNumberFormat="1" applyFont="1" applyBorder="1" applyAlignment="1">
      <alignment horizontal="right"/>
    </xf>
    <xf numFmtId="44" fontId="0" fillId="0" borderId="0" xfId="2" applyFont="1" applyBorder="1"/>
    <xf numFmtId="0" fontId="8" fillId="3" borderId="0" xfId="0" applyFont="1" applyFill="1" applyBorder="1"/>
    <xf numFmtId="170" fontId="8" fillId="3" borderId="0" xfId="1" applyNumberFormat="1" applyFont="1" applyFill="1" applyBorder="1"/>
    <xf numFmtId="0" fontId="28" fillId="0" borderId="0" xfId="0" applyFont="1" applyFill="1" applyBorder="1"/>
    <xf numFmtId="170" fontId="8" fillId="0" borderId="0" xfId="1" applyNumberFormat="1" applyFont="1"/>
    <xf numFmtId="44" fontId="0" fillId="0" borderId="5" xfId="0" applyNumberFormat="1" applyBorder="1"/>
    <xf numFmtId="0" fontId="0" fillId="7" borderId="0" xfId="0" applyFill="1" applyBorder="1"/>
    <xf numFmtId="2" fontId="8" fillId="0" borderId="0" xfId="1" applyNumberFormat="1" applyFont="1" applyFill="1" applyBorder="1" applyAlignment="1">
      <alignment horizontal="right"/>
    </xf>
    <xf numFmtId="2" fontId="8" fillId="0" borderId="0" xfId="1" applyNumberFormat="1" applyFont="1" applyFill="1" applyBorder="1" applyAlignment="1">
      <alignment horizontal="left" vertical="top"/>
    </xf>
    <xf numFmtId="0" fontId="0" fillId="38" borderId="0" xfId="0" applyFill="1" applyBorder="1"/>
    <xf numFmtId="2" fontId="8" fillId="38" borderId="0" xfId="1" applyNumberFormat="1" applyFont="1" applyFill="1" applyBorder="1" applyAlignment="1">
      <alignment horizontal="right"/>
    </xf>
    <xf numFmtId="0" fontId="8" fillId="38" borderId="0" xfId="0" applyFont="1" applyFill="1" applyBorder="1"/>
    <xf numFmtId="0" fontId="0" fillId="38" borderId="0" xfId="0" applyFill="1" applyBorder="1" applyAlignment="1">
      <alignment horizontal="left" vertical="top"/>
    </xf>
    <xf numFmtId="0" fontId="0" fillId="0" borderId="0" xfId="0" applyAlignment="1">
      <alignment vertical="top"/>
    </xf>
    <xf numFmtId="0" fontId="44" fillId="0" borderId="0" xfId="0" applyFont="1" applyAlignment="1">
      <alignment vertical="top"/>
    </xf>
    <xf numFmtId="0" fontId="44" fillId="0" borderId="0" xfId="0" applyFont="1" applyAlignment="1">
      <alignment horizontal="center" vertical="center"/>
    </xf>
    <xf numFmtId="0" fontId="74" fillId="0" borderId="0" xfId="0" applyFont="1" applyAlignment="1">
      <alignment vertical="top"/>
    </xf>
    <xf numFmtId="8" fontId="8" fillId="0" borderId="4" xfId="0" applyNumberFormat="1" applyFont="1" applyBorder="1"/>
    <xf numFmtId="8" fontId="8" fillId="3" borderId="0" xfId="0" applyNumberFormat="1" applyFont="1" applyFill="1"/>
    <xf numFmtId="8" fontId="8" fillId="0" borderId="0" xfId="0" applyNumberFormat="1" applyFont="1" applyBorder="1"/>
    <xf numFmtId="8" fontId="0" fillId="0" borderId="0" xfId="0" applyNumberFormat="1" applyFont="1" applyFill="1" applyBorder="1"/>
    <xf numFmtId="0" fontId="0" fillId="3" borderId="5" xfId="0" applyFill="1" applyBorder="1"/>
    <xf numFmtId="44" fontId="8" fillId="0" borderId="0" xfId="2" applyFont="1" applyFill="1" applyBorder="1" applyAlignment="1">
      <alignment horizontal="left" vertical="top"/>
    </xf>
    <xf numFmtId="9" fontId="16" fillId="0" borderId="0" xfId="0" applyNumberFormat="1" applyFont="1" applyFill="1" applyBorder="1"/>
    <xf numFmtId="0" fontId="2" fillId="0" borderId="0" xfId="0" applyFont="1" applyFill="1" applyAlignment="1">
      <alignment horizontal="left" vertical="top"/>
    </xf>
    <xf numFmtId="9" fontId="0" fillId="0" borderId="0" xfId="11" applyFont="1" applyFill="1"/>
    <xf numFmtId="10" fontId="0" fillId="0" borderId="0" xfId="11" applyNumberFormat="1" applyFont="1" applyFill="1"/>
    <xf numFmtId="0" fontId="0" fillId="0" borderId="0" xfId="0" applyFill="1" applyAlignment="1">
      <alignment horizontal="center"/>
    </xf>
    <xf numFmtId="0" fontId="63" fillId="0" borderId="0" xfId="0" applyFont="1" applyAlignment="1">
      <alignment horizontal="left" vertical="center" indent="8"/>
    </xf>
    <xf numFmtId="0" fontId="16" fillId="12" borderId="2" xfId="0" applyFont="1" applyFill="1" applyBorder="1"/>
    <xf numFmtId="0" fontId="0" fillId="12" borderId="7" xfId="2" applyNumberFormat="1" applyFont="1" applyFill="1" applyBorder="1"/>
    <xf numFmtId="44" fontId="0" fillId="12" borderId="27" xfId="2" applyNumberFormat="1" applyFont="1" applyFill="1" applyBorder="1"/>
    <xf numFmtId="44" fontId="0" fillId="12" borderId="28" xfId="2" applyFont="1" applyFill="1" applyBorder="1"/>
    <xf numFmtId="0" fontId="16" fillId="12" borderId="6" xfId="0" applyFont="1" applyFill="1" applyBorder="1"/>
    <xf numFmtId="0" fontId="0" fillId="12" borderId="2" xfId="2" applyNumberFormat="1" applyFont="1" applyFill="1" applyBorder="1"/>
    <xf numFmtId="167" fontId="0" fillId="35" borderId="0" xfId="2" applyNumberFormat="1" applyFont="1" applyFill="1" applyBorder="1"/>
    <xf numFmtId="0" fontId="0" fillId="16" borderId="0" xfId="0" applyFill="1" applyBorder="1"/>
    <xf numFmtId="2" fontId="8" fillId="16" borderId="0" xfId="1" applyNumberFormat="1" applyFont="1" applyFill="1" applyBorder="1" applyAlignment="1">
      <alignment horizontal="right"/>
    </xf>
    <xf numFmtId="0" fontId="8" fillId="16" borderId="0" xfId="0" applyFont="1" applyFill="1" applyBorder="1"/>
    <xf numFmtId="0" fontId="0" fillId="16" borderId="0" xfId="0" applyFill="1" applyBorder="1" applyAlignment="1">
      <alignment horizontal="left" vertical="top"/>
    </xf>
    <xf numFmtId="9" fontId="8" fillId="0" borderId="1" xfId="11" applyFont="1" applyBorder="1"/>
    <xf numFmtId="9" fontId="0" fillId="0" borderId="14" xfId="11" applyFont="1" applyBorder="1"/>
    <xf numFmtId="0" fontId="0" fillId="0" borderId="4" xfId="0" applyFill="1" applyBorder="1" applyAlignment="1">
      <alignment horizontal="center"/>
    </xf>
    <xf numFmtId="0" fontId="0" fillId="0" borderId="42" xfId="0" applyFill="1" applyBorder="1" applyAlignment="1">
      <alignment horizontal="center"/>
    </xf>
    <xf numFmtId="0" fontId="0" fillId="0" borderId="5" xfId="0" applyFill="1" applyBorder="1" applyAlignment="1">
      <alignment horizontal="center"/>
    </xf>
    <xf numFmtId="0" fontId="0" fillId="0" borderId="42" xfId="0" applyFill="1" applyBorder="1" applyAlignment="1">
      <alignment horizontal="left"/>
    </xf>
    <xf numFmtId="0" fontId="2" fillId="0" borderId="4" xfId="0" applyFont="1" applyFill="1" applyBorder="1"/>
    <xf numFmtId="0" fontId="0" fillId="35" borderId="0" xfId="0" applyFill="1" applyBorder="1"/>
    <xf numFmtId="43" fontId="0" fillId="0" borderId="0" xfId="0" applyNumberFormat="1" applyFill="1" applyBorder="1"/>
    <xf numFmtId="166" fontId="75" fillId="0" borderId="0" xfId="0" applyNumberFormat="1" applyFont="1" applyBorder="1"/>
    <xf numFmtId="0" fontId="75" fillId="0" borderId="0" xfId="0" applyFont="1" applyFill="1" applyBorder="1"/>
    <xf numFmtId="0" fontId="76" fillId="0" borderId="0" xfId="0" applyFont="1" applyFill="1" applyBorder="1"/>
    <xf numFmtId="43" fontId="76" fillId="0" borderId="0" xfId="0" applyNumberFormat="1" applyFont="1" applyFill="1" applyBorder="1"/>
    <xf numFmtId="2" fontId="76" fillId="0" borderId="0" xfId="0" applyNumberFormat="1" applyFont="1"/>
    <xf numFmtId="44" fontId="76" fillId="0" borderId="0" xfId="2" applyFont="1" applyBorder="1" applyAlignment="1">
      <alignment horizontal="right"/>
    </xf>
    <xf numFmtId="0" fontId="76" fillId="0" borderId="0" xfId="0" applyFont="1" applyBorder="1"/>
    <xf numFmtId="2" fontId="76" fillId="0" borderId="5" xfId="0" applyNumberFormat="1" applyFont="1" applyBorder="1"/>
    <xf numFmtId="44" fontId="76" fillId="0" borderId="0" xfId="2" applyFont="1"/>
    <xf numFmtId="44" fontId="76" fillId="0" borderId="4" xfId="2" applyFont="1" applyBorder="1"/>
    <xf numFmtId="43" fontId="0" fillId="0" borderId="0" xfId="1" applyNumberFormat="1" applyFont="1" applyBorder="1"/>
    <xf numFmtId="175" fontId="0" fillId="0" borderId="0" xfId="1" applyNumberFormat="1" applyFont="1" applyBorder="1"/>
    <xf numFmtId="44" fontId="0" fillId="35" borderId="3" xfId="0" applyNumberFormat="1" applyFill="1" applyBorder="1" applyAlignment="1">
      <alignment horizontal="left" vertical="top"/>
    </xf>
    <xf numFmtId="9" fontId="0" fillId="35" borderId="33" xfId="11" applyFont="1" applyFill="1" applyBorder="1"/>
    <xf numFmtId="44" fontId="0" fillId="35" borderId="28" xfId="2" applyFont="1" applyFill="1" applyBorder="1"/>
    <xf numFmtId="167" fontId="0" fillId="35" borderId="7" xfId="2" applyNumberFormat="1" applyFont="1" applyFill="1" applyBorder="1"/>
    <xf numFmtId="167" fontId="0" fillId="35" borderId="0" xfId="0" applyNumberFormat="1" applyFill="1" applyBorder="1"/>
    <xf numFmtId="9" fontId="0" fillId="15" borderId="13" xfId="11" applyFont="1" applyFill="1" applyBorder="1"/>
    <xf numFmtId="6" fontId="0" fillId="15" borderId="20" xfId="2" applyNumberFormat="1" applyFont="1" applyFill="1" applyBorder="1"/>
    <xf numFmtId="0" fontId="0" fillId="15" borderId="10" xfId="0" applyFill="1" applyBorder="1"/>
    <xf numFmtId="44" fontId="28" fillId="15" borderId="21" xfId="11" applyNumberFormat="1" applyFont="1" applyFill="1" applyBorder="1"/>
    <xf numFmtId="0" fontId="0" fillId="15" borderId="12" xfId="0" applyFill="1" applyBorder="1"/>
    <xf numFmtId="43" fontId="0" fillId="15" borderId="20" xfId="2" applyNumberFormat="1" applyFont="1" applyFill="1" applyBorder="1"/>
    <xf numFmtId="44" fontId="28" fillId="15" borderId="18" xfId="11" applyNumberFormat="1" applyFont="1" applyFill="1" applyBorder="1"/>
    <xf numFmtId="0" fontId="0" fillId="15" borderId="11" xfId="0" applyFill="1" applyBorder="1"/>
    <xf numFmtId="9" fontId="8" fillId="0" borderId="4" xfId="11" applyFont="1" applyBorder="1"/>
    <xf numFmtId="9" fontId="8" fillId="0" borderId="42" xfId="11" applyFont="1" applyBorder="1"/>
    <xf numFmtId="9" fontId="8" fillId="0" borderId="5" xfId="11" applyFont="1" applyBorder="1"/>
    <xf numFmtId="0" fontId="0" fillId="0" borderId="3" xfId="0" applyBorder="1" applyAlignment="1">
      <alignment horizontal="center"/>
    </xf>
    <xf numFmtId="0" fontId="0" fillId="25" borderId="6" xfId="0" applyFill="1" applyBorder="1"/>
    <xf numFmtId="0" fontId="0" fillId="25" borderId="0" xfId="0" applyFill="1" applyBorder="1"/>
    <xf numFmtId="0" fontId="0" fillId="25" borderId="0" xfId="0" applyFill="1"/>
    <xf numFmtId="167" fontId="0" fillId="25" borderId="6" xfId="2" applyNumberFormat="1" applyFont="1" applyFill="1" applyBorder="1"/>
    <xf numFmtId="167" fontId="0" fillId="25" borderId="9" xfId="2" applyNumberFormat="1" applyFont="1" applyFill="1" applyBorder="1"/>
    <xf numFmtId="166" fontId="0" fillId="25" borderId="6" xfId="1" applyNumberFormat="1" applyFont="1" applyFill="1" applyBorder="1"/>
    <xf numFmtId="9" fontId="0" fillId="25" borderId="9" xfId="11" applyFont="1" applyFill="1" applyBorder="1"/>
    <xf numFmtId="9" fontId="0" fillId="25" borderId="6" xfId="11" applyFont="1" applyFill="1" applyBorder="1"/>
    <xf numFmtId="0" fontId="0" fillId="25" borderId="0" xfId="2" applyNumberFormat="1" applyFont="1" applyFill="1" applyBorder="1"/>
    <xf numFmtId="9" fontId="0" fillId="25" borderId="0" xfId="0" applyNumberFormat="1" applyFill="1"/>
    <xf numFmtId="0" fontId="0" fillId="35" borderId="6" xfId="0" applyFill="1" applyBorder="1"/>
    <xf numFmtId="167" fontId="0" fillId="35" borderId="9" xfId="2" applyNumberFormat="1" applyFont="1" applyFill="1" applyBorder="1"/>
    <xf numFmtId="166" fontId="0" fillId="35" borderId="6" xfId="1" applyNumberFormat="1" applyFont="1" applyFill="1" applyBorder="1"/>
    <xf numFmtId="9" fontId="0" fillId="35" borderId="9" xfId="11" applyFont="1" applyFill="1" applyBorder="1"/>
    <xf numFmtId="9" fontId="0" fillId="35" borderId="6" xfId="11" applyFont="1" applyFill="1" applyBorder="1"/>
    <xf numFmtId="9" fontId="0" fillId="35" borderId="0" xfId="0" applyNumberFormat="1" applyFill="1"/>
    <xf numFmtId="0" fontId="0" fillId="0" borderId="0" xfId="0" applyFill="1" applyBorder="1" applyAlignment="1">
      <alignment vertical="center" wrapText="1"/>
    </xf>
    <xf numFmtId="0" fontId="0" fillId="9" borderId="6" xfId="0" applyFill="1" applyBorder="1"/>
    <xf numFmtId="0" fontId="0" fillId="9" borderId="0" xfId="0" applyFill="1" applyBorder="1"/>
    <xf numFmtId="44" fontId="75" fillId="12" borderId="28" xfId="11" applyNumberFormat="1" applyFont="1" applyFill="1" applyBorder="1"/>
    <xf numFmtId="44" fontId="28" fillId="12" borderId="28" xfId="2" applyFont="1" applyFill="1" applyBorder="1"/>
    <xf numFmtId="0" fontId="19" fillId="0" borderId="0" xfId="0" applyFont="1" applyFill="1" applyBorder="1" applyAlignment="1">
      <alignment vertical="center"/>
    </xf>
    <xf numFmtId="44" fontId="8" fillId="0" borderId="4" xfId="2" applyFont="1" applyFill="1" applyBorder="1"/>
    <xf numFmtId="0" fontId="19" fillId="0" borderId="5" xfId="0" applyFont="1" applyFill="1" applyBorder="1" applyAlignment="1">
      <alignment vertical="center"/>
    </xf>
    <xf numFmtId="0" fontId="24" fillId="0" borderId="13" xfId="0" applyFont="1" applyBorder="1" applyAlignment="1">
      <alignment vertical="center"/>
    </xf>
    <xf numFmtId="44" fontId="19" fillId="0" borderId="9" xfId="2" applyFont="1" applyBorder="1" applyAlignment="1">
      <alignment vertical="center"/>
    </xf>
    <xf numFmtId="166" fontId="19" fillId="0" borderId="0" xfId="0" applyNumberFormat="1" applyFont="1" applyBorder="1" applyAlignment="1">
      <alignment vertical="center"/>
    </xf>
    <xf numFmtId="44" fontId="8" fillId="0" borderId="9" xfId="2" applyFont="1" applyFill="1" applyBorder="1"/>
    <xf numFmtId="0" fontId="19" fillId="0" borderId="0" xfId="0" applyFont="1" applyBorder="1" applyAlignment="1">
      <alignment vertical="center"/>
    </xf>
    <xf numFmtId="9" fontId="0" fillId="0" borderId="1" xfId="11" applyFont="1" applyFill="1" applyBorder="1"/>
    <xf numFmtId="0" fontId="19" fillId="0" borderId="14" xfId="0" applyFont="1" applyFill="1" applyBorder="1" applyAlignment="1">
      <alignment vertical="center"/>
    </xf>
    <xf numFmtId="44" fontId="8" fillId="0" borderId="8" xfId="2" applyFont="1" applyFill="1" applyBorder="1"/>
    <xf numFmtId="0" fontId="19" fillId="0" borderId="13" xfId="0" applyFont="1" applyBorder="1" applyAlignment="1">
      <alignment vertical="center"/>
    </xf>
    <xf numFmtId="44" fontId="0" fillId="0" borderId="1" xfId="0" applyNumberFormat="1" applyFill="1" applyBorder="1"/>
    <xf numFmtId="167" fontId="0" fillId="0" borderId="8" xfId="2" applyNumberFormat="1" applyFont="1" applyFill="1" applyBorder="1"/>
    <xf numFmtId="2" fontId="8" fillId="0" borderId="2" xfId="1" applyNumberFormat="1" applyFont="1" applyFill="1" applyBorder="1" applyAlignment="1">
      <alignment horizontal="left" vertical="top"/>
    </xf>
    <xf numFmtId="2" fontId="8" fillId="0" borderId="7" xfId="1" applyNumberFormat="1" applyFont="1" applyFill="1" applyBorder="1" applyAlignment="1">
      <alignment horizontal="left" vertical="top"/>
    </xf>
    <xf numFmtId="2" fontId="8" fillId="0" borderId="3" xfId="1" applyNumberFormat="1" applyFont="1" applyFill="1" applyBorder="1" applyAlignment="1">
      <alignment horizontal="left" vertical="top"/>
    </xf>
    <xf numFmtId="2" fontId="8" fillId="0" borderId="6" xfId="1" applyNumberFormat="1" applyFont="1" applyFill="1" applyBorder="1" applyAlignment="1">
      <alignment horizontal="left" vertical="top"/>
    </xf>
    <xf numFmtId="9" fontId="2" fillId="0" borderId="8" xfId="11" applyFont="1" applyFill="1" applyBorder="1"/>
    <xf numFmtId="0" fontId="2" fillId="0" borderId="2" xfId="0" applyFont="1" applyFill="1" applyBorder="1"/>
    <xf numFmtId="6" fontId="0" fillId="0" borderId="2" xfId="2" applyNumberFormat="1" applyFont="1" applyFill="1" applyBorder="1"/>
    <xf numFmtId="6" fontId="0" fillId="0" borderId="7" xfId="2" applyNumberFormat="1" applyFont="1" applyFill="1" applyBorder="1"/>
    <xf numFmtId="6" fontId="0" fillId="0" borderId="3" xfId="2" applyNumberFormat="1" applyFont="1" applyFill="1" applyBorder="1"/>
    <xf numFmtId="6" fontId="0" fillId="0" borderId="6" xfId="2" applyNumberFormat="1" applyFont="1" applyFill="1" applyBorder="1"/>
    <xf numFmtId="167" fontId="0" fillId="13" borderId="3" xfId="2" applyNumberFormat="1" applyFont="1" applyFill="1" applyBorder="1" applyAlignment="1">
      <alignment horizontal="left" vertical="top"/>
    </xf>
    <xf numFmtId="167" fontId="0" fillId="12" borderId="3" xfId="2" applyNumberFormat="1" applyFont="1" applyFill="1" applyBorder="1" applyAlignment="1">
      <alignment horizontal="left" vertical="top"/>
    </xf>
    <xf numFmtId="0" fontId="27" fillId="3" borderId="37" xfId="0" applyFont="1" applyFill="1" applyBorder="1" applyAlignment="1">
      <alignment wrapText="1"/>
    </xf>
    <xf numFmtId="0" fontId="27" fillId="3" borderId="29" xfId="0" applyFont="1" applyFill="1" applyBorder="1" applyAlignment="1">
      <alignment wrapText="1"/>
    </xf>
    <xf numFmtId="0" fontId="27" fillId="3" borderId="38" xfId="0" applyFont="1" applyFill="1" applyBorder="1" applyAlignment="1">
      <alignment wrapText="1"/>
    </xf>
    <xf numFmtId="0" fontId="27" fillId="3" borderId="34" xfId="0" applyFont="1" applyFill="1" applyBorder="1" applyAlignment="1">
      <alignment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21" fillId="0" borderId="0" xfId="0" applyFont="1" applyAlignment="1">
      <alignment horizontal="left" vertical="top" wrapText="1"/>
    </xf>
    <xf numFmtId="0" fontId="26" fillId="0" borderId="0" xfId="0" applyFont="1" applyAlignment="1">
      <alignment horizontal="left" vertical="top" wrapText="1"/>
    </xf>
    <xf numFmtId="0" fontId="0" fillId="0" borderId="0" xfId="0" applyAlignment="1">
      <alignment horizontal="center" vertical="center"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2" fillId="0" borderId="0" xfId="0" applyFont="1" applyAlignment="1">
      <alignment horizontal="center"/>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0" fillId="0" borderId="0" xfId="0" applyBorder="1" applyAlignment="1">
      <alignment horizontal="center" wrapText="1"/>
    </xf>
    <xf numFmtId="0" fontId="0" fillId="0" borderId="0" xfId="0" applyBorder="1" applyAlignment="1">
      <alignment horizontal="center"/>
    </xf>
    <xf numFmtId="0" fontId="21" fillId="12" borderId="2" xfId="0" applyFont="1" applyFill="1" applyBorder="1" applyAlignment="1">
      <alignment horizontal="left" vertical="top" wrapText="1"/>
    </xf>
    <xf numFmtId="0" fontId="21" fillId="12" borderId="6" xfId="0" applyFont="1" applyFill="1" applyBorder="1" applyAlignment="1">
      <alignment horizontal="left" vertical="top" wrapText="1"/>
    </xf>
    <xf numFmtId="0" fontId="21" fillId="12" borderId="7" xfId="0" applyFont="1" applyFill="1" applyBorder="1" applyAlignment="1">
      <alignment horizontal="left" vertical="top" wrapText="1"/>
    </xf>
    <xf numFmtId="44" fontId="0" fillId="0" borderId="0" xfId="2" applyFont="1" applyFill="1"/>
    <xf numFmtId="44" fontId="16" fillId="0" borderId="0" xfId="2" applyFont="1"/>
    <xf numFmtId="44" fontId="16" fillId="0" borderId="0" xfId="0" applyNumberFormat="1" applyFont="1"/>
    <xf numFmtId="166" fontId="0" fillId="3" borderId="0" xfId="0" applyNumberFormat="1" applyFill="1"/>
    <xf numFmtId="2" fontId="8" fillId="0" borderId="8" xfId="1" applyNumberFormat="1" applyFont="1" applyFill="1" applyBorder="1" applyAlignment="1">
      <alignment horizontal="right"/>
    </xf>
    <xf numFmtId="9" fontId="8" fillId="3" borderId="9" xfId="11" applyFont="1" applyFill="1" applyBorder="1" applyAlignment="1">
      <alignment horizontal="right"/>
    </xf>
    <xf numFmtId="44" fontId="0" fillId="0" borderId="9" xfId="2" applyFont="1" applyFill="1" applyBorder="1"/>
    <xf numFmtId="44" fontId="8" fillId="0" borderId="9" xfId="2" applyFont="1" applyBorder="1"/>
    <xf numFmtId="44" fontId="8" fillId="0" borderId="1" xfId="2" applyFont="1" applyBorder="1"/>
    <xf numFmtId="2" fontId="8" fillId="3" borderId="9" xfId="1" applyNumberFormat="1" applyFont="1" applyFill="1" applyBorder="1" applyAlignment="1">
      <alignment horizontal="right"/>
    </xf>
    <xf numFmtId="2" fontId="8" fillId="0" borderId="9" xfId="1" applyNumberFormat="1" applyFont="1" applyFill="1" applyBorder="1" applyAlignment="1">
      <alignment horizontal="right"/>
    </xf>
    <xf numFmtId="9" fontId="0" fillId="3" borderId="9" xfId="2" applyNumberFormat="1" applyFont="1" applyFill="1" applyBorder="1"/>
    <xf numFmtId="170" fontId="0" fillId="3" borderId="9" xfId="1" applyNumberFormat="1" applyFont="1" applyFill="1" applyBorder="1"/>
    <xf numFmtId="170" fontId="0" fillId="3" borderId="1" xfId="1" applyNumberFormat="1" applyFont="1" applyFill="1" applyBorder="1"/>
    <xf numFmtId="44" fontId="0" fillId="0" borderId="8" xfId="2" applyFont="1" applyFill="1" applyBorder="1" applyAlignment="1">
      <alignment horizontal="right"/>
    </xf>
    <xf numFmtId="0" fontId="8" fillId="26" borderId="0" xfId="0" applyFont="1" applyFill="1"/>
    <xf numFmtId="44" fontId="0" fillId="0" borderId="0" xfId="0" applyNumberFormat="1" applyAlignment="1">
      <alignment horizontal="left" vertical="top"/>
    </xf>
    <xf numFmtId="0" fontId="0" fillId="26" borderId="0" xfId="0" applyFill="1" applyAlignment="1">
      <alignment horizontal="left" vertical="top"/>
    </xf>
    <xf numFmtId="0" fontId="16" fillId="26" borderId="0" xfId="0" applyFont="1" applyFill="1"/>
    <xf numFmtId="167" fontId="8" fillId="26" borderId="8" xfId="2" applyNumberFormat="1" applyFont="1" applyFill="1" applyBorder="1" applyAlignment="1">
      <alignment horizontal="right"/>
    </xf>
    <xf numFmtId="0" fontId="16" fillId="26" borderId="13" xfId="0" applyFont="1" applyFill="1" applyBorder="1"/>
    <xf numFmtId="171" fontId="8" fillId="26" borderId="9" xfId="2" applyNumberFormat="1" applyFont="1" applyFill="1" applyBorder="1" applyAlignment="1">
      <alignment horizontal="right"/>
    </xf>
    <xf numFmtId="166" fontId="8" fillId="26" borderId="1" xfId="1" applyNumberFormat="1" applyFont="1" applyFill="1" applyBorder="1"/>
    <xf numFmtId="0" fontId="8" fillId="26" borderId="14" xfId="0" applyFont="1" applyFill="1" applyBorder="1"/>
    <xf numFmtId="167" fontId="0" fillId="15" borderId="3" xfId="2" applyNumberFormat="1" applyFont="1" applyFill="1" applyBorder="1" applyAlignment="1">
      <alignment horizontal="left" vertical="top"/>
    </xf>
    <xf numFmtId="0" fontId="16" fillId="35" borderId="2" xfId="0" applyFont="1" applyFill="1" applyBorder="1"/>
    <xf numFmtId="44" fontId="0" fillId="35" borderId="27" xfId="2" applyNumberFormat="1" applyFont="1" applyFill="1" applyBorder="1"/>
    <xf numFmtId="167" fontId="0" fillId="35" borderId="13" xfId="2" applyNumberFormat="1" applyFont="1" applyFill="1" applyBorder="1"/>
    <xf numFmtId="0" fontId="16" fillId="35" borderId="6" xfId="0" applyFont="1" applyFill="1" applyBorder="1"/>
    <xf numFmtId="0" fontId="0" fillId="0" borderId="0" xfId="0" applyBorder="1" applyAlignment="1">
      <alignment horizontal="center" vertical="top" wrapText="1"/>
    </xf>
    <xf numFmtId="0" fontId="40" fillId="0" borderId="0" xfId="0" applyFont="1" applyAlignment="1">
      <alignment horizontal="left" vertical="center" indent="1"/>
    </xf>
    <xf numFmtId="43" fontId="0" fillId="0" borderId="0" xfId="0" applyNumberFormat="1" applyFont="1" applyBorder="1"/>
    <xf numFmtId="170" fontId="8" fillId="0" borderId="0" xfId="0" applyNumberFormat="1" applyFont="1" applyFill="1" applyBorder="1"/>
    <xf numFmtId="0" fontId="78" fillId="0" borderId="0" xfId="0" applyFont="1" applyAlignment="1">
      <alignment horizontal="left" vertical="top"/>
    </xf>
    <xf numFmtId="0" fontId="2" fillId="0" borderId="0" xfId="0" applyFont="1" applyFill="1" applyBorder="1" applyAlignment="1">
      <alignment horizontal="left" vertical="top"/>
    </xf>
    <xf numFmtId="0" fontId="46" fillId="0" borderId="0" xfId="0" applyFont="1" applyAlignment="1">
      <alignment horizontal="left" vertical="top"/>
    </xf>
    <xf numFmtId="44" fontId="1" fillId="3" borderId="0" xfId="2" applyFont="1" applyFill="1" applyBorder="1"/>
    <xf numFmtId="44" fontId="8" fillId="3" borderId="0" xfId="2" applyFont="1" applyFill="1" applyBorder="1"/>
    <xf numFmtId="43" fontId="8" fillId="0" borderId="0" xfId="1" applyNumberFormat="1" applyFont="1"/>
    <xf numFmtId="166" fontId="0" fillId="9" borderId="3" xfId="1" applyNumberFormat="1" applyFont="1" applyFill="1" applyBorder="1"/>
    <xf numFmtId="0" fontId="79" fillId="0" borderId="0" xfId="0" applyFont="1" applyAlignment="1">
      <alignment vertical="top"/>
    </xf>
    <xf numFmtId="43" fontId="0" fillId="0" borderId="0" xfId="1" applyFont="1" applyBorder="1"/>
    <xf numFmtId="0" fontId="75" fillId="0" borderId="0" xfId="14" applyFont="1" applyAlignment="1">
      <alignment horizontal="left" vertical="top"/>
    </xf>
    <xf numFmtId="181" fontId="0" fillId="0" borderId="0" xfId="2" applyNumberFormat="1" applyFont="1" applyBorder="1"/>
    <xf numFmtId="178" fontId="0" fillId="3" borderId="0" xfId="1" applyNumberFormat="1" applyFont="1" applyFill="1" applyBorder="1"/>
    <xf numFmtId="181" fontId="0" fillId="0" borderId="0" xfId="0" applyNumberFormat="1" applyBorder="1"/>
    <xf numFmtId="43" fontId="0" fillId="0" borderId="14" xfId="0" applyNumberFormat="1" applyBorder="1"/>
    <xf numFmtId="0" fontId="0" fillId="0" borderId="6" xfId="0" applyBorder="1" applyAlignment="1">
      <alignment horizontal="center"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0" xfId="0" applyBorder="1" applyAlignment="1">
      <alignment horizontal="center"/>
    </xf>
    <xf numFmtId="44" fontId="8" fillId="13" borderId="0" xfId="2" applyFont="1" applyFill="1"/>
    <xf numFmtId="166" fontId="0" fillId="2" borderId="3" xfId="1" applyNumberFormat="1" applyFont="1" applyFill="1" applyBorder="1"/>
    <xf numFmtId="9" fontId="0" fillId="2" borderId="13" xfId="11" applyFont="1" applyFill="1" applyBorder="1"/>
    <xf numFmtId="6" fontId="0" fillId="2" borderId="20" xfId="2" applyNumberFormat="1" applyFont="1" applyFill="1" applyBorder="1"/>
    <xf numFmtId="0" fontId="0" fillId="2" borderId="10" xfId="0" applyFill="1" applyBorder="1"/>
    <xf numFmtId="44" fontId="28" fillId="2" borderId="21" xfId="11" applyNumberFormat="1" applyFont="1" applyFill="1" applyBorder="1"/>
    <xf numFmtId="0" fontId="0" fillId="2" borderId="12" xfId="0" applyFill="1" applyBorder="1"/>
    <xf numFmtId="43" fontId="0" fillId="2" borderId="20" xfId="2" applyNumberFormat="1" applyFont="1" applyFill="1" applyBorder="1"/>
    <xf numFmtId="44" fontId="28" fillId="2" borderId="18" xfId="11" applyNumberFormat="1" applyFont="1" applyFill="1" applyBorder="1"/>
    <xf numFmtId="0" fontId="0" fillId="2" borderId="11" xfId="0" applyFill="1" applyBorder="1"/>
    <xf numFmtId="0" fontId="2" fillId="0" borderId="2" xfId="0" applyFont="1" applyBorder="1"/>
    <xf numFmtId="0" fontId="0" fillId="39" borderId="0" xfId="0" applyFill="1"/>
    <xf numFmtId="167" fontId="8" fillId="0" borderId="4" xfId="2" applyNumberFormat="1" applyFont="1" applyFill="1" applyBorder="1"/>
    <xf numFmtId="0" fontId="0" fillId="0" borderId="9" xfId="0" applyFont="1" applyBorder="1"/>
    <xf numFmtId="0" fontId="0" fillId="0" borderId="9" xfId="0" applyFont="1" applyFill="1" applyBorder="1"/>
    <xf numFmtId="0" fontId="0" fillId="0" borderId="1" xfId="0" applyFont="1" applyBorder="1"/>
    <xf numFmtId="0" fontId="0" fillId="0" borderId="12" xfId="0" applyFont="1" applyBorder="1" applyAlignment="1">
      <alignment horizontal="center"/>
    </xf>
    <xf numFmtId="0" fontId="0" fillId="0" borderId="11" xfId="0" applyFont="1" applyBorder="1" applyAlignment="1">
      <alignment horizontal="center"/>
    </xf>
    <xf numFmtId="0" fontId="0" fillId="2" borderId="3" xfId="2" applyNumberFormat="1" applyFont="1" applyFill="1" applyBorder="1" applyAlignment="1">
      <alignment horizontal="left" vertical="top"/>
    </xf>
    <xf numFmtId="0" fontId="16" fillId="14" borderId="2" xfId="0" applyFont="1" applyFill="1" applyBorder="1"/>
    <xf numFmtId="0" fontId="0" fillId="14" borderId="3" xfId="0" applyFill="1" applyBorder="1"/>
    <xf numFmtId="166" fontId="0" fillId="14" borderId="3" xfId="1" applyNumberFormat="1" applyFont="1" applyFill="1" applyBorder="1" applyAlignment="1">
      <alignment horizontal="right" vertical="top"/>
    </xf>
    <xf numFmtId="167" fontId="0" fillId="14" borderId="3" xfId="2" applyNumberFormat="1" applyFont="1" applyFill="1" applyBorder="1"/>
    <xf numFmtId="0" fontId="0" fillId="14" borderId="3" xfId="2" applyNumberFormat="1" applyFont="1" applyFill="1" applyBorder="1"/>
    <xf numFmtId="166" fontId="0" fillId="14" borderId="4" xfId="1" applyNumberFormat="1" applyFont="1" applyFill="1" applyBorder="1" applyAlignment="1">
      <alignment horizontal="right" vertical="top"/>
    </xf>
    <xf numFmtId="1" fontId="0" fillId="14" borderId="19" xfId="0" applyNumberFormat="1" applyFill="1" applyBorder="1"/>
    <xf numFmtId="1" fontId="0" fillId="14" borderId="4" xfId="0" applyNumberFormat="1" applyFill="1" applyBorder="1"/>
    <xf numFmtId="167" fontId="0" fillId="14" borderId="5" xfId="2" applyNumberFormat="1" applyFont="1" applyFill="1" applyBorder="1"/>
    <xf numFmtId="167" fontId="0" fillId="14" borderId="20" xfId="2" applyNumberFormat="1" applyFont="1" applyFill="1" applyBorder="1"/>
    <xf numFmtId="0" fontId="26" fillId="14" borderId="10" xfId="0" applyFont="1" applyFill="1" applyBorder="1" applyAlignment="1">
      <alignment horizontal="left" vertical="top" wrapText="1"/>
    </xf>
    <xf numFmtId="167" fontId="0" fillId="14" borderId="27" xfId="2" applyNumberFormat="1" applyFont="1" applyFill="1" applyBorder="1"/>
    <xf numFmtId="167" fontId="0" fillId="14" borderId="13" xfId="2" applyNumberFormat="1" applyFont="1" applyFill="1" applyBorder="1"/>
    <xf numFmtId="167" fontId="0" fillId="14" borderId="54" xfId="2" applyNumberFormat="1" applyFont="1" applyFill="1" applyBorder="1"/>
    <xf numFmtId="9" fontId="0" fillId="14" borderId="32" xfId="11" applyFont="1" applyFill="1" applyBorder="1"/>
    <xf numFmtId="44" fontId="0" fillId="14" borderId="28" xfId="2" applyFont="1" applyFill="1" applyBorder="1"/>
    <xf numFmtId="0" fontId="0" fillId="14" borderId="33" xfId="0" applyFill="1" applyBorder="1"/>
    <xf numFmtId="0" fontId="0" fillId="14" borderId="0" xfId="2" applyNumberFormat="1" applyFont="1" applyFill="1" applyBorder="1"/>
    <xf numFmtId="177" fontId="0" fillId="14" borderId="0" xfId="0" applyNumberFormat="1" applyFill="1"/>
    <xf numFmtId="1" fontId="0" fillId="14" borderId="3" xfId="0" applyNumberFormat="1" applyFill="1" applyBorder="1"/>
    <xf numFmtId="167" fontId="0" fillId="14" borderId="2" xfId="2" applyNumberFormat="1" applyFont="1" applyFill="1" applyBorder="1"/>
    <xf numFmtId="0" fontId="16" fillId="14" borderId="6" xfId="0" applyFont="1" applyFill="1" applyBorder="1"/>
    <xf numFmtId="167" fontId="0" fillId="14" borderId="3" xfId="2" applyNumberFormat="1" applyFont="1" applyFill="1" applyBorder="1" applyAlignment="1">
      <alignment horizontal="left" vertical="top"/>
    </xf>
    <xf numFmtId="167" fontId="0" fillId="14" borderId="21" xfId="2" applyNumberFormat="1" applyFont="1" applyFill="1" applyBorder="1"/>
    <xf numFmtId="0" fontId="26" fillId="14" borderId="12" xfId="0" applyFont="1" applyFill="1" applyBorder="1" applyAlignment="1">
      <alignment horizontal="left" vertical="top" wrapText="1"/>
    </xf>
    <xf numFmtId="167" fontId="0" fillId="14" borderId="28" xfId="2" applyNumberFormat="1" applyFont="1" applyFill="1" applyBorder="1"/>
    <xf numFmtId="167" fontId="0" fillId="14" borderId="0" xfId="2" applyNumberFormat="1" applyFont="1" applyFill="1" applyBorder="1"/>
    <xf numFmtId="167" fontId="0" fillId="14" borderId="41" xfId="2" applyNumberFormat="1" applyFont="1" applyFill="1" applyBorder="1"/>
    <xf numFmtId="44" fontId="28" fillId="14" borderId="28" xfId="11" applyNumberFormat="1" applyFont="1" applyFill="1" applyBorder="1"/>
    <xf numFmtId="167" fontId="0" fillId="14" borderId="6" xfId="2" applyNumberFormat="1" applyFont="1" applyFill="1" applyBorder="1"/>
    <xf numFmtId="0" fontId="26" fillId="14" borderId="11" xfId="0" applyFont="1" applyFill="1" applyBorder="1" applyAlignment="1">
      <alignment horizontal="left" vertical="top" wrapText="1"/>
    </xf>
    <xf numFmtId="0" fontId="1" fillId="0" borderId="33" xfId="7" applyFill="1" applyBorder="1"/>
    <xf numFmtId="167" fontId="0" fillId="0" borderId="26" xfId="2" applyNumberFormat="1" applyFont="1" applyFill="1" applyBorder="1"/>
    <xf numFmtId="0" fontId="0" fillId="14" borderId="12" xfId="0" applyFill="1" applyBorder="1"/>
    <xf numFmtId="44" fontId="0" fillId="26" borderId="27" xfId="2" applyNumberFormat="1" applyFont="1" applyFill="1" applyBorder="1"/>
    <xf numFmtId="167" fontId="0" fillId="26" borderId="20" xfId="2" applyNumberFormat="1" applyFont="1" applyFill="1" applyBorder="1"/>
    <xf numFmtId="167" fontId="2" fillId="3" borderId="42" xfId="2" applyNumberFormat="1" applyFont="1" applyFill="1" applyBorder="1"/>
    <xf numFmtId="0" fontId="0" fillId="0" borderId="7" xfId="0" applyFill="1" applyBorder="1" applyAlignment="1">
      <alignment horizontal="center" vertical="top" wrapText="1"/>
    </xf>
    <xf numFmtId="170" fontId="0" fillId="0" borderId="6" xfId="1" applyNumberFormat="1" applyFont="1" applyBorder="1"/>
    <xf numFmtId="0" fontId="0" fillId="14" borderId="6" xfId="0" applyFill="1" applyBorder="1"/>
    <xf numFmtId="0" fontId="2" fillId="0" borderId="0" xfId="0" applyFont="1" applyAlignment="1">
      <alignment horizontal="center"/>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0" fillId="0" borderId="0" xfId="0" applyAlignment="1">
      <alignment horizontal="center" vertic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0" xfId="0" applyBorder="1" applyAlignment="1">
      <alignment horizontal="center"/>
    </xf>
    <xf numFmtId="0" fontId="0" fillId="0" borderId="13" xfId="0" applyFont="1" applyFill="1" applyBorder="1"/>
    <xf numFmtId="166" fontId="0" fillId="13" borderId="3" xfId="1" applyNumberFormat="1" applyFont="1" applyFill="1" applyBorder="1"/>
    <xf numFmtId="170" fontId="0" fillId="28" borderId="6" xfId="0" applyNumberFormat="1" applyFill="1" applyBorder="1"/>
    <xf numFmtId="0" fontId="0" fillId="12" borderId="12" xfId="0" applyFill="1" applyBorder="1"/>
    <xf numFmtId="44" fontId="0" fillId="14" borderId="27" xfId="2" applyNumberFormat="1" applyFont="1" applyFill="1" applyBorder="1"/>
    <xf numFmtId="9" fontId="0" fillId="14" borderId="13" xfId="11" applyFont="1" applyFill="1" applyBorder="1"/>
    <xf numFmtId="6" fontId="0" fillId="14" borderId="20" xfId="2" applyNumberFormat="1" applyFont="1" applyFill="1" applyBorder="1"/>
    <xf numFmtId="0" fontId="0" fillId="14" borderId="10" xfId="0" applyFill="1" applyBorder="1"/>
    <xf numFmtId="44" fontId="28" fillId="14" borderId="21" xfId="11" applyNumberFormat="1" applyFont="1" applyFill="1" applyBorder="1"/>
    <xf numFmtId="43" fontId="0" fillId="14" borderId="20" xfId="2" applyNumberFormat="1" applyFont="1" applyFill="1" applyBorder="1"/>
    <xf numFmtId="44" fontId="28" fillId="14" borderId="18" xfId="11" applyNumberFormat="1" applyFont="1" applyFill="1" applyBorder="1"/>
    <xf numFmtId="0" fontId="0" fillId="14" borderId="11" xfId="0" applyFill="1" applyBorder="1"/>
    <xf numFmtId="0" fontId="2" fillId="0" borderId="0" xfId="0" applyFont="1" applyAlignment="1">
      <alignment horizontal="center"/>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0" fillId="0" borderId="0" xfId="0" applyAlignment="1">
      <alignment horizontal="center" vertic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top" wrapText="1"/>
    </xf>
    <xf numFmtId="0" fontId="0" fillId="0" borderId="6" xfId="0" applyBorder="1" applyAlignment="1">
      <alignment horizontal="center"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0" xfId="0" applyBorder="1" applyAlignment="1">
      <alignment horizontal="center"/>
    </xf>
    <xf numFmtId="43" fontId="0" fillId="9" borderId="3" xfId="1" applyFont="1" applyFill="1" applyBorder="1"/>
    <xf numFmtId="0" fontId="0" fillId="40" borderId="0" xfId="0" applyFill="1"/>
    <xf numFmtId="167" fontId="0" fillId="40" borderId="0" xfId="2" applyNumberFormat="1" applyFont="1" applyFill="1" applyBorder="1"/>
    <xf numFmtId="167" fontId="0" fillId="40" borderId="12" xfId="2" applyNumberFormat="1" applyFont="1" applyFill="1" applyBorder="1"/>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0" xfId="0" applyBorder="1" applyAlignment="1">
      <alignment horizontal="center" wrapText="1"/>
    </xf>
    <xf numFmtId="0" fontId="0" fillId="14" borderId="2" xfId="0" applyFill="1" applyBorder="1"/>
    <xf numFmtId="0" fontId="0" fillId="0" borderId="0" xfId="0" applyFont="1" applyBorder="1" applyAlignment="1">
      <alignment horizontal="center"/>
    </xf>
    <xf numFmtId="0" fontId="40" fillId="0" borderId="0" xfId="0" applyFont="1" applyBorder="1" applyAlignment="1">
      <alignment vertical="center"/>
    </xf>
    <xf numFmtId="0" fontId="33" fillId="0" borderId="0" xfId="0" applyFont="1" applyBorder="1" applyAlignment="1">
      <alignment vertical="center"/>
    </xf>
    <xf numFmtId="0" fontId="19" fillId="0" borderId="0" xfId="0" applyFont="1" applyBorder="1" applyAlignment="1">
      <alignment horizontal="center" vertical="center"/>
    </xf>
    <xf numFmtId="0" fontId="0" fillId="0" borderId="50" xfId="0" applyBorder="1"/>
    <xf numFmtId="0" fontId="8" fillId="25" borderId="52" xfId="0" applyFont="1" applyFill="1" applyBorder="1" applyAlignment="1">
      <alignment vertical="top"/>
    </xf>
    <xf numFmtId="167" fontId="0" fillId="0" borderId="8" xfId="2" applyNumberFormat="1" applyFont="1" applyBorder="1"/>
    <xf numFmtId="0" fontId="8" fillId="25" borderId="51" xfId="0" applyFont="1" applyFill="1" applyBorder="1" applyAlignment="1">
      <alignment vertical="top"/>
    </xf>
    <xf numFmtId="0" fontId="2" fillId="0" borderId="0" xfId="0" applyFont="1" applyFill="1" applyBorder="1" applyAlignment="1">
      <alignment horizontal="left"/>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0" fillId="0" borderId="0" xfId="0" applyAlignment="1">
      <alignment horizontal="center" vertic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wrapText="1"/>
    </xf>
    <xf numFmtId="0" fontId="0" fillId="0" borderId="12" xfId="0" applyBorder="1" applyAlignment="1">
      <alignment horizontal="center" wrapText="1"/>
    </xf>
    <xf numFmtId="0" fontId="1" fillId="0" borderId="0" xfId="2" applyNumberFormat="1" applyFont="1" applyFill="1" applyBorder="1"/>
    <xf numFmtId="0" fontId="4" fillId="0" borderId="12" xfId="0" applyFont="1" applyBorder="1"/>
    <xf numFmtId="0" fontId="0" fillId="0" borderId="10" xfId="0" applyBorder="1" applyAlignment="1">
      <alignment horizontal="center"/>
    </xf>
    <xf numFmtId="0" fontId="0" fillId="0" borderId="13" xfId="0" applyBorder="1" applyAlignment="1">
      <alignment horizontal="center" wrapText="1"/>
    </xf>
    <xf numFmtId="0" fontId="0" fillId="0" borderId="8"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xf>
    <xf numFmtId="0" fontId="65" fillId="0" borderId="0" xfId="0" applyFont="1" applyAlignment="1">
      <alignment vertical="top"/>
    </xf>
    <xf numFmtId="0" fontId="45" fillId="0" borderId="0" xfId="0" applyFont="1" applyAlignment="1">
      <alignment horizontal="left" vertical="top"/>
    </xf>
    <xf numFmtId="0" fontId="82" fillId="0" borderId="0" xfId="0" applyFont="1" applyAlignment="1">
      <alignment horizontal="center" vertical="top"/>
    </xf>
    <xf numFmtId="0" fontId="65" fillId="0" borderId="41" xfId="0" applyFont="1" applyBorder="1" applyAlignment="1">
      <alignment horizontal="left" vertical="top"/>
    </xf>
    <xf numFmtId="0" fontId="45" fillId="0" borderId="39" xfId="0" applyFont="1" applyBorder="1" applyAlignment="1">
      <alignment horizontal="left" vertical="top"/>
    </xf>
    <xf numFmtId="0" fontId="83" fillId="0" borderId="50" xfId="0" applyFont="1" applyBorder="1" applyAlignment="1">
      <alignment horizontal="left" vertical="top"/>
    </xf>
    <xf numFmtId="0" fontId="65" fillId="0" borderId="39" xfId="0" applyFont="1" applyBorder="1" applyAlignment="1">
      <alignment horizontal="left" vertical="top"/>
    </xf>
    <xf numFmtId="0" fontId="83" fillId="0" borderId="52" xfId="0" applyFont="1" applyBorder="1" applyAlignment="1">
      <alignment horizontal="left" vertical="top"/>
    </xf>
    <xf numFmtId="0" fontId="65" fillId="0" borderId="33" xfId="0" applyFont="1" applyBorder="1" applyAlignment="1">
      <alignment horizontal="left" vertical="top"/>
    </xf>
    <xf numFmtId="0" fontId="65" fillId="0" borderId="34" xfId="0" applyFont="1" applyBorder="1" applyAlignment="1">
      <alignment horizontal="left" vertical="top"/>
    </xf>
    <xf numFmtId="0" fontId="65" fillId="0" borderId="15" xfId="0" applyFont="1" applyBorder="1" applyAlignment="1">
      <alignment horizontal="left" vertical="top"/>
    </xf>
    <xf numFmtId="0" fontId="65" fillId="0" borderId="29" xfId="0" applyFont="1" applyBorder="1" applyAlignment="1">
      <alignment horizontal="left" vertical="top"/>
    </xf>
    <xf numFmtId="0" fontId="16" fillId="3" borderId="2" xfId="0" applyFont="1" applyFill="1" applyBorder="1"/>
    <xf numFmtId="167" fontId="0" fillId="3" borderId="3" xfId="2" applyNumberFormat="1" applyFont="1" applyFill="1" applyBorder="1" applyAlignment="1">
      <alignment horizontal="left" vertical="top"/>
    </xf>
    <xf numFmtId="44" fontId="0" fillId="3" borderId="27" xfId="2" applyNumberFormat="1" applyFont="1" applyFill="1" applyBorder="1"/>
    <xf numFmtId="44" fontId="0" fillId="3" borderId="28" xfId="2" applyFont="1" applyFill="1" applyBorder="1"/>
    <xf numFmtId="0" fontId="16" fillId="3" borderId="6" xfId="0" applyFont="1" applyFill="1" applyBorder="1"/>
    <xf numFmtId="44" fontId="0" fillId="34" borderId="28" xfId="2" applyFont="1" applyFill="1" applyBorder="1"/>
    <xf numFmtId="0" fontId="16" fillId="8" borderId="2" xfId="0" applyFont="1" applyFill="1" applyBorder="1"/>
    <xf numFmtId="44" fontId="0" fillId="8" borderId="27" xfId="2" applyNumberFormat="1" applyFont="1" applyFill="1" applyBorder="1"/>
    <xf numFmtId="44" fontId="0" fillId="8" borderId="28" xfId="2" applyFont="1" applyFill="1" applyBorder="1"/>
    <xf numFmtId="0" fontId="16" fillId="8" borderId="6" xfId="0" applyFont="1" applyFill="1" applyBorder="1"/>
    <xf numFmtId="2" fontId="16" fillId="0" borderId="2" xfId="0" applyNumberFormat="1" applyFont="1" applyFill="1" applyBorder="1"/>
    <xf numFmtId="9" fontId="0" fillId="0" borderId="3" xfId="11" applyFont="1" applyFill="1" applyBorder="1"/>
    <xf numFmtId="0" fontId="16" fillId="0" borderId="7" xfId="0" applyFont="1" applyFill="1" applyBorder="1"/>
    <xf numFmtId="167" fontId="0" fillId="0" borderId="18" xfId="2" applyNumberFormat="1" applyFont="1" applyFill="1" applyBorder="1"/>
    <xf numFmtId="167" fontId="0" fillId="0" borderId="49" xfId="2" applyNumberFormat="1" applyFont="1" applyFill="1" applyBorder="1"/>
    <xf numFmtId="9" fontId="0" fillId="0" borderId="3" xfId="2" applyNumberFormat="1" applyFont="1" applyFill="1" applyBorder="1"/>
    <xf numFmtId="166" fontId="0" fillId="14" borderId="4" xfId="1" applyNumberFormat="1" applyFont="1" applyFill="1" applyBorder="1"/>
    <xf numFmtId="0" fontId="0" fillId="0" borderId="8" xfId="0" applyBorder="1" applyAlignment="1"/>
    <xf numFmtId="0" fontId="0" fillId="0" borderId="1" xfId="0" applyBorder="1" applyAlignment="1">
      <alignment horizontal="center"/>
    </xf>
    <xf numFmtId="167" fontId="0" fillId="28" borderId="14" xfId="2" applyNumberFormat="1" applyFont="1" applyFill="1" applyBorder="1"/>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21" fillId="0" borderId="0" xfId="0" applyFont="1" applyAlignment="1">
      <alignment horizontal="left" vertical="top" wrapText="1"/>
    </xf>
    <xf numFmtId="0" fontId="26" fillId="0" borderId="0" xfId="0" applyFont="1" applyAlignment="1">
      <alignment horizontal="left" vertical="top" wrapText="1"/>
    </xf>
    <xf numFmtId="0" fontId="0" fillId="0" borderId="0" xfId="0" applyAlignment="1">
      <alignment horizontal="center" vertical="center"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2" fillId="0" borderId="0" xfId="0" applyFont="1" applyAlignment="1">
      <alignment horizontal="center"/>
    </xf>
    <xf numFmtId="0" fontId="0" fillId="0" borderId="6" xfId="0" applyBorder="1" applyAlignment="1">
      <alignment horizontal="center" wrapText="1"/>
    </xf>
    <xf numFmtId="0" fontId="0" fillId="0" borderId="2" xfId="0" applyBorder="1" applyAlignment="1">
      <alignment horizontal="center" vertical="top" wrapText="1"/>
    </xf>
    <xf numFmtId="0" fontId="26" fillId="13" borderId="2" xfId="0" applyFont="1" applyFill="1" applyBorder="1" applyAlignment="1">
      <alignment horizontal="left" vertical="top" wrapText="1"/>
    </xf>
    <xf numFmtId="0" fontId="26" fillId="13" borderId="6" xfId="0" applyFont="1" applyFill="1" applyBorder="1" applyAlignment="1">
      <alignment horizontal="left" vertical="top"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0" xfId="0" applyBorder="1" applyAlignment="1">
      <alignment horizontal="center"/>
    </xf>
    <xf numFmtId="167" fontId="0" fillId="0" borderId="7" xfId="2" applyNumberFormat="1" applyFont="1" applyBorder="1"/>
    <xf numFmtId="167" fontId="0" fillId="6" borderId="7" xfId="2" applyNumberFormat="1" applyFont="1" applyFill="1" applyBorder="1"/>
    <xf numFmtId="0" fontId="30" fillId="0" borderId="0" xfId="0" applyFont="1"/>
    <xf numFmtId="167" fontId="0" fillId="26" borderId="27" xfId="2" applyNumberFormat="1" applyFont="1" applyFill="1" applyBorder="1"/>
    <xf numFmtId="167" fontId="0" fillId="26" borderId="6" xfId="2" applyNumberFormat="1" applyFont="1" applyFill="1" applyBorder="1"/>
    <xf numFmtId="0" fontId="30" fillId="0" borderId="0" xfId="0" applyFont="1" applyAlignment="1">
      <alignment horizontal="left" vertical="center" indent="4"/>
    </xf>
    <xf numFmtId="0" fontId="16" fillId="0" borderId="2" xfId="0" applyFont="1" applyFill="1" applyBorder="1"/>
    <xf numFmtId="166" fontId="0" fillId="3" borderId="4" xfId="1" applyNumberFormat="1" applyFont="1" applyFill="1" applyBorder="1" applyAlignment="1">
      <alignment horizontal="right" vertical="top"/>
    </xf>
    <xf numFmtId="9" fontId="0" fillId="3" borderId="13" xfId="11" applyFont="1" applyFill="1" applyBorder="1"/>
    <xf numFmtId="6" fontId="0" fillId="3" borderId="20" xfId="2" applyNumberFormat="1" applyFont="1" applyFill="1" applyBorder="1"/>
    <xf numFmtId="44" fontId="28" fillId="3" borderId="21" xfId="11" applyNumberFormat="1" applyFont="1" applyFill="1" applyBorder="1"/>
    <xf numFmtId="43" fontId="0" fillId="3" borderId="20" xfId="2" applyNumberFormat="1" applyFont="1" applyFill="1" applyBorder="1"/>
    <xf numFmtId="1" fontId="0" fillId="3" borderId="4" xfId="0" applyNumberFormat="1" applyFill="1" applyBorder="1" applyAlignment="1">
      <alignment horizontal="right" vertical="top"/>
    </xf>
    <xf numFmtId="44" fontId="28" fillId="3" borderId="18" xfId="11" applyNumberFormat="1" applyFont="1" applyFill="1" applyBorder="1"/>
    <xf numFmtId="2" fontId="16" fillId="13" borderId="6" xfId="0" applyNumberFormat="1" applyFont="1" applyFill="1" applyBorder="1"/>
    <xf numFmtId="0" fontId="0" fillId="13" borderId="7" xfId="0" applyFill="1" applyBorder="1"/>
    <xf numFmtId="166" fontId="0" fillId="13" borderId="7" xfId="1" applyNumberFormat="1" applyFont="1" applyFill="1" applyBorder="1" applyAlignment="1">
      <alignment horizontal="right" vertical="top"/>
    </xf>
    <xf numFmtId="0" fontId="0" fillId="13" borderId="7" xfId="0" applyFill="1" applyBorder="1" applyAlignment="1">
      <alignment horizontal="left" vertical="top"/>
    </xf>
    <xf numFmtId="0" fontId="0" fillId="13" borderId="7" xfId="2" applyNumberFormat="1" applyFont="1" applyFill="1" applyBorder="1"/>
    <xf numFmtId="1" fontId="0" fillId="13" borderId="1" xfId="0" applyNumberFormat="1" applyFill="1" applyBorder="1"/>
    <xf numFmtId="1" fontId="0" fillId="13" borderId="30" xfId="0" applyNumberFormat="1" applyFill="1" applyBorder="1"/>
    <xf numFmtId="167" fontId="0" fillId="13" borderId="11" xfId="2" applyNumberFormat="1" applyFont="1" applyFill="1" applyBorder="1"/>
    <xf numFmtId="9" fontId="0" fillId="13" borderId="33" xfId="11" applyFont="1" applyFill="1" applyBorder="1"/>
    <xf numFmtId="170" fontId="0" fillId="13" borderId="3" xfId="1" applyNumberFormat="1" applyFont="1" applyFill="1" applyBorder="1" applyAlignment="1">
      <alignment horizontal="right" vertical="top"/>
    </xf>
    <xf numFmtId="0" fontId="0" fillId="13" borderId="3" xfId="0" applyFill="1" applyBorder="1" applyAlignment="1">
      <alignment horizontal="left" vertical="top"/>
    </xf>
    <xf numFmtId="0" fontId="0" fillId="13" borderId="2" xfId="0" applyFill="1" applyBorder="1"/>
    <xf numFmtId="166" fontId="0" fillId="13" borderId="2" xfId="1" applyNumberFormat="1" applyFont="1" applyFill="1" applyBorder="1" applyAlignment="1">
      <alignment horizontal="right" vertical="top"/>
    </xf>
    <xf numFmtId="167" fontId="0" fillId="13" borderId="2" xfId="2" applyNumberFormat="1" applyFont="1" applyFill="1" applyBorder="1" applyAlignment="1">
      <alignment horizontal="left" vertical="top"/>
    </xf>
    <xf numFmtId="0" fontId="0" fillId="13" borderId="2" xfId="2" applyNumberFormat="1" applyFont="1" applyFill="1" applyBorder="1"/>
    <xf numFmtId="1" fontId="0" fillId="13" borderId="8" xfId="0" applyNumberFormat="1" applyFill="1" applyBorder="1"/>
    <xf numFmtId="1" fontId="0" fillId="13" borderId="36" xfId="0" applyNumberFormat="1" applyFill="1" applyBorder="1"/>
    <xf numFmtId="167" fontId="0" fillId="13" borderId="10" xfId="2" applyNumberFormat="1" applyFont="1" applyFill="1" applyBorder="1"/>
    <xf numFmtId="0" fontId="21" fillId="10" borderId="7" xfId="0" applyFont="1" applyFill="1" applyBorder="1" applyAlignment="1">
      <alignment vertical="top" wrapText="1"/>
    </xf>
    <xf numFmtId="0" fontId="21" fillId="24" borderId="7" xfId="0" applyFont="1" applyFill="1" applyBorder="1" applyAlignment="1">
      <alignment vertical="top" wrapText="1"/>
    </xf>
    <xf numFmtId="0" fontId="21" fillId="29" borderId="7" xfId="0" applyFont="1" applyFill="1" applyBorder="1" applyAlignment="1">
      <alignment vertical="top" wrapText="1"/>
    </xf>
    <xf numFmtId="167" fontId="0" fillId="40" borderId="9" xfId="2" applyNumberFormat="1" applyFont="1" applyFill="1" applyBorder="1"/>
    <xf numFmtId="167" fontId="0" fillId="40" borderId="27" xfId="2" applyNumberFormat="1" applyFont="1" applyFill="1" applyBorder="1"/>
    <xf numFmtId="167" fontId="0" fillId="40" borderId="28" xfId="2" applyNumberFormat="1" applyFont="1" applyFill="1" applyBorder="1"/>
    <xf numFmtId="167" fontId="0" fillId="40" borderId="26" xfId="2" applyNumberFormat="1" applyFont="1" applyFill="1" applyBorder="1"/>
    <xf numFmtId="0" fontId="26" fillId="9" borderId="6"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3" borderId="6" xfId="0" applyFont="1" applyFill="1" applyBorder="1" applyAlignment="1">
      <alignment horizontal="left" vertical="top" wrapText="1"/>
    </xf>
    <xf numFmtId="0" fontId="26" fillId="3" borderId="6" xfId="0" applyFont="1" applyFill="1" applyBorder="1" applyAlignment="1">
      <alignment horizontal="left" vertical="top" wrapText="1"/>
    </xf>
    <xf numFmtId="0" fontId="0" fillId="0" borderId="0" xfId="0"/>
    <xf numFmtId="0" fontId="0" fillId="0" borderId="0" xfId="0"/>
    <xf numFmtId="10" fontId="0" fillId="0" borderId="9" xfId="11" applyNumberFormat="1" applyFont="1" applyBorder="1"/>
    <xf numFmtId="9" fontId="0" fillId="12" borderId="9" xfId="0" applyNumberFormat="1" applyFill="1" applyBorder="1"/>
    <xf numFmtId="10" fontId="0" fillId="0" borderId="9" xfId="11" applyNumberFormat="1" applyFont="1" applyBorder="1" applyAlignment="1">
      <alignment horizontal="right"/>
    </xf>
    <xf numFmtId="166" fontId="8" fillId="0" borderId="42" xfId="1" applyNumberFormat="1" applyFont="1" applyBorder="1"/>
    <xf numFmtId="44" fontId="8" fillId="0" borderId="0" xfId="12" applyNumberFormat="1" applyFont="1" applyBorder="1"/>
    <xf numFmtId="0" fontId="8" fillId="0" borderId="0" xfId="12" applyFont="1" applyBorder="1" applyAlignment="1">
      <alignment horizontal="left" vertical="top"/>
    </xf>
    <xf numFmtId="0" fontId="84" fillId="0" borderId="0" xfId="12" applyFont="1"/>
    <xf numFmtId="170" fontId="8" fillId="0" borderId="0" xfId="1" applyNumberFormat="1" applyFont="1" applyBorder="1"/>
    <xf numFmtId="44" fontId="8" fillId="0" borderId="4" xfId="12" applyNumberFormat="1" applyFont="1" applyBorder="1"/>
    <xf numFmtId="44" fontId="8" fillId="0" borderId="42" xfId="12" applyNumberFormat="1" applyFont="1" applyBorder="1"/>
    <xf numFmtId="0" fontId="8" fillId="0" borderId="5" xfId="12" applyFont="1" applyBorder="1" applyAlignment="1">
      <alignment horizontal="left" vertical="top"/>
    </xf>
    <xf numFmtId="2" fontId="36" fillId="41" borderId="2" xfId="0" applyNumberFormat="1" applyFont="1" applyFill="1" applyBorder="1"/>
    <xf numFmtId="44" fontId="0" fillId="9" borderId="33" xfId="2" applyFont="1" applyFill="1" applyBorder="1"/>
    <xf numFmtId="44" fontId="28" fillId="9" borderId="33" xfId="11" applyNumberFormat="1" applyFont="1" applyFill="1" applyBorder="1"/>
    <xf numFmtId="166" fontId="0" fillId="9" borderId="7" xfId="1" applyNumberFormat="1" applyFont="1" applyFill="1" applyBorder="1" applyAlignment="1">
      <alignment horizontal="right" vertical="top"/>
    </xf>
    <xf numFmtId="167" fontId="0" fillId="9" borderId="7" xfId="2" applyNumberFormat="1" applyFont="1" applyFill="1" applyBorder="1" applyAlignment="1">
      <alignment horizontal="left" vertical="top"/>
    </xf>
    <xf numFmtId="0" fontId="0" fillId="9" borderId="7" xfId="2" applyNumberFormat="1" applyFont="1" applyFill="1" applyBorder="1"/>
    <xf numFmtId="166" fontId="0" fillId="9" borderId="1" xfId="1" applyNumberFormat="1" applyFont="1" applyFill="1" applyBorder="1"/>
    <xf numFmtId="0" fontId="0" fillId="9" borderId="14" xfId="0" applyFill="1" applyBorder="1"/>
    <xf numFmtId="167" fontId="0" fillId="9" borderId="18" xfId="2" applyNumberFormat="1" applyFont="1" applyFill="1" applyBorder="1"/>
    <xf numFmtId="167" fontId="0" fillId="9" borderId="60" xfId="2" applyNumberFormat="1" applyFont="1" applyFill="1" applyBorder="1"/>
    <xf numFmtId="167" fontId="0" fillId="9" borderId="49" xfId="2" applyNumberFormat="1" applyFont="1" applyFill="1" applyBorder="1"/>
    <xf numFmtId="9" fontId="0" fillId="9" borderId="5" xfId="11" applyFont="1" applyFill="1" applyBorder="1"/>
    <xf numFmtId="170" fontId="8" fillId="0" borderId="0" xfId="1" applyNumberFormat="1" applyFont="1" applyFill="1" applyBorder="1" applyAlignment="1">
      <alignment horizontal="right"/>
    </xf>
    <xf numFmtId="167" fontId="0" fillId="0" borderId="0" xfId="2" applyNumberFormat="1" applyFont="1" applyFill="1" applyBorder="1" applyAlignment="1">
      <alignment horizontal="right"/>
    </xf>
    <xf numFmtId="0" fontId="8" fillId="0" borderId="0" xfId="0" applyFont="1" applyFill="1" applyBorder="1" applyAlignment="1">
      <alignment horizontal="right"/>
    </xf>
    <xf numFmtId="10" fontId="8" fillId="0" borderId="1" xfId="11" applyNumberFormat="1" applyFont="1" applyFill="1" applyBorder="1"/>
    <xf numFmtId="0" fontId="0" fillId="0" borderId="0" xfId="0" applyAlignment="1">
      <alignment horizontal="left" vertical="center" indent="4"/>
    </xf>
    <xf numFmtId="0" fontId="0" fillId="0" borderId="0" xfId="0" applyAlignment="1">
      <alignment horizontal="left" vertical="center" indent="6"/>
    </xf>
    <xf numFmtId="0" fontId="47" fillId="0" borderId="0" xfId="0" applyFont="1" applyAlignment="1">
      <alignment horizontal="left" vertical="center" indent="10"/>
    </xf>
    <xf numFmtId="0" fontId="0" fillId="0" borderId="0" xfId="0" applyAlignment="1">
      <alignment horizontal="left" vertical="center" indent="14"/>
    </xf>
    <xf numFmtId="10" fontId="0" fillId="0" borderId="0" xfId="11" applyNumberFormat="1" applyFont="1" applyFill="1" applyBorder="1" applyAlignment="1">
      <alignment horizontal="right"/>
    </xf>
    <xf numFmtId="0" fontId="8" fillId="3" borderId="0" xfId="13" applyFont="1" applyFill="1"/>
    <xf numFmtId="0" fontId="8" fillId="7" borderId="9" xfId="0" applyFont="1" applyFill="1" applyBorder="1"/>
    <xf numFmtId="170" fontId="8" fillId="0" borderId="8" xfId="1" applyNumberFormat="1" applyFont="1" applyFill="1" applyBorder="1" applyAlignment="1">
      <alignment horizontal="right"/>
    </xf>
    <xf numFmtId="170" fontId="8" fillId="0" borderId="13" xfId="1" applyNumberFormat="1" applyFont="1" applyFill="1" applyBorder="1" applyAlignment="1">
      <alignment horizontal="right"/>
    </xf>
    <xf numFmtId="0" fontId="8" fillId="0" borderId="9" xfId="0" applyFont="1" applyFill="1" applyBorder="1" applyAlignment="1">
      <alignment horizontal="right"/>
    </xf>
    <xf numFmtId="167" fontId="0" fillId="0" borderId="9" xfId="2" applyNumberFormat="1" applyFont="1" applyFill="1" applyBorder="1" applyAlignment="1">
      <alignment horizontal="right"/>
    </xf>
    <xf numFmtId="44" fontId="8" fillId="0" borderId="61" xfId="12" applyNumberFormat="1" applyFont="1" applyBorder="1"/>
    <xf numFmtId="0" fontId="0" fillId="3" borderId="8" xfId="0" applyFill="1" applyBorder="1" applyAlignment="1">
      <alignment horizontal="right"/>
    </xf>
    <xf numFmtId="0" fontId="65" fillId="0" borderId="0" xfId="0" applyFont="1" applyAlignment="1">
      <alignment horizontal="left" vertical="center" indent="8"/>
    </xf>
    <xf numFmtId="0" fontId="45" fillId="0" borderId="0" xfId="0" applyFont="1" applyAlignment="1">
      <alignment horizontal="left" vertical="center" indent="12"/>
    </xf>
    <xf numFmtId="44" fontId="1" fillId="0" borderId="11" xfId="2" applyFont="1" applyBorder="1"/>
    <xf numFmtId="10" fontId="0" fillId="3" borderId="9" xfId="0" applyNumberFormat="1" applyFill="1" applyBorder="1"/>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0" fillId="0" borderId="0" xfId="0" applyAlignment="1">
      <alignment horizontal="center" vertic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vertical="center"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0" xfId="0" applyBorder="1" applyAlignment="1">
      <alignment horizontal="center"/>
    </xf>
    <xf numFmtId="0" fontId="0" fillId="0" borderId="12" xfId="0" applyFill="1" applyBorder="1" applyAlignment="1">
      <alignment horizontal="center" wrapText="1"/>
    </xf>
    <xf numFmtId="0" fontId="0" fillId="0" borderId="0" xfId="0"/>
    <xf numFmtId="0" fontId="8" fillId="25" borderId="9" xfId="0" applyFont="1" applyFill="1" applyBorder="1"/>
    <xf numFmtId="43" fontId="0" fillId="0" borderId="14" xfId="1" applyFont="1" applyBorder="1"/>
    <xf numFmtId="43" fontId="0" fillId="0" borderId="0" xfId="1" applyNumberFormat="1" applyFont="1"/>
    <xf numFmtId="43" fontId="0" fillId="0" borderId="0" xfId="1" applyNumberFormat="1" applyFont="1" applyFill="1" applyBorder="1"/>
    <xf numFmtId="43" fontId="0" fillId="4" borderId="0" xfId="1" applyNumberFormat="1" applyFont="1" applyFill="1"/>
    <xf numFmtId="43" fontId="0" fillId="0" borderId="0" xfId="1" applyNumberFormat="1" applyFont="1" applyFill="1"/>
    <xf numFmtId="43" fontId="30" fillId="17" borderId="0" xfId="1" applyNumberFormat="1" applyFont="1" applyFill="1"/>
    <xf numFmtId="43" fontId="0" fillId="11" borderId="0" xfId="1" applyNumberFormat="1" applyFont="1" applyFill="1" applyBorder="1"/>
    <xf numFmtId="43" fontId="0" fillId="29" borderId="0" xfId="1" applyNumberFormat="1" applyFont="1" applyFill="1"/>
    <xf numFmtId="43" fontId="0" fillId="16" borderId="0" xfId="1" applyNumberFormat="1" applyFont="1" applyFill="1"/>
    <xf numFmtId="167" fontId="0" fillId="24" borderId="8" xfId="2" applyNumberFormat="1" applyFont="1" applyFill="1" applyBorder="1"/>
    <xf numFmtId="167" fontId="0" fillId="24" borderId="9" xfId="0" applyNumberFormat="1" applyFill="1" applyBorder="1"/>
    <xf numFmtId="167" fontId="0" fillId="14" borderId="8" xfId="2" applyNumberFormat="1" applyFont="1" applyFill="1" applyBorder="1"/>
    <xf numFmtId="167" fontId="0" fillId="14" borderId="9" xfId="2" applyNumberFormat="1" applyFont="1" applyFill="1" applyBorder="1"/>
    <xf numFmtId="167" fontId="0" fillId="9" borderId="8" xfId="2" applyNumberFormat="1" applyFont="1" applyFill="1" applyBorder="1"/>
    <xf numFmtId="167" fontId="0" fillId="9" borderId="1" xfId="2" applyNumberFormat="1" applyFont="1" applyFill="1" applyBorder="1"/>
    <xf numFmtId="167" fontId="0" fillId="32" borderId="8" xfId="2" applyNumberFormat="1" applyFont="1" applyFill="1" applyBorder="1"/>
    <xf numFmtId="167" fontId="0" fillId="32" borderId="9" xfId="2" applyNumberFormat="1" applyFont="1" applyFill="1" applyBorder="1"/>
    <xf numFmtId="167" fontId="0" fillId="34" borderId="8" xfId="2" applyNumberFormat="1" applyFont="1" applyFill="1" applyBorder="1"/>
    <xf numFmtId="167" fontId="0" fillId="34" borderId="9" xfId="2" applyNumberFormat="1" applyFont="1" applyFill="1" applyBorder="1"/>
    <xf numFmtId="167" fontId="0" fillId="8" borderId="8" xfId="2" applyNumberFormat="1" applyFont="1" applyFill="1" applyBorder="1"/>
    <xf numFmtId="167" fontId="0" fillId="8" borderId="9" xfId="2" applyNumberFormat="1" applyFont="1" applyFill="1" applyBorder="1"/>
    <xf numFmtId="167" fontId="0" fillId="9" borderId="9" xfId="0" applyNumberFormat="1" applyFill="1" applyBorder="1"/>
    <xf numFmtId="167" fontId="0" fillId="9" borderId="25" xfId="0" applyNumberFormat="1" applyFill="1" applyBorder="1"/>
    <xf numFmtId="43" fontId="0" fillId="9" borderId="54" xfId="1" applyNumberFormat="1" applyFont="1" applyFill="1" applyBorder="1"/>
    <xf numFmtId="43" fontId="0" fillId="9" borderId="20" xfId="1" applyNumberFormat="1" applyFont="1" applyFill="1" applyBorder="1"/>
    <xf numFmtId="43" fontId="0" fillId="9" borderId="41" xfId="1" applyNumberFormat="1" applyFont="1" applyFill="1" applyBorder="1"/>
    <xf numFmtId="43" fontId="0" fillId="9" borderId="21" xfId="1" applyNumberFormat="1" applyFont="1" applyFill="1" applyBorder="1"/>
    <xf numFmtId="43" fontId="0" fillId="9" borderId="49" xfId="1" applyNumberFormat="1" applyFont="1" applyFill="1" applyBorder="1"/>
    <xf numFmtId="43" fontId="0" fillId="9" borderId="18" xfId="1" applyNumberFormat="1" applyFont="1" applyFill="1" applyBorder="1"/>
    <xf numFmtId="43" fontId="0" fillId="24" borderId="54" xfId="1" applyNumberFormat="1" applyFont="1" applyFill="1" applyBorder="1"/>
    <xf numFmtId="43" fontId="0" fillId="24" borderId="20" xfId="1" applyNumberFormat="1" applyFont="1" applyFill="1" applyBorder="1"/>
    <xf numFmtId="43" fontId="0" fillId="24" borderId="41" xfId="1" applyNumberFormat="1" applyFont="1" applyFill="1" applyBorder="1"/>
    <xf numFmtId="43" fontId="0" fillId="24" borderId="21" xfId="1" applyNumberFormat="1" applyFont="1" applyFill="1" applyBorder="1"/>
    <xf numFmtId="43" fontId="0" fillId="22" borderId="54" xfId="1" applyNumberFormat="1" applyFont="1" applyFill="1" applyBorder="1"/>
    <xf numFmtId="43" fontId="0" fillId="22" borderId="20" xfId="1" applyNumberFormat="1" applyFont="1" applyFill="1" applyBorder="1"/>
    <xf numFmtId="43" fontId="0" fillId="22" borderId="41" xfId="1" applyNumberFormat="1" applyFont="1" applyFill="1" applyBorder="1"/>
    <xf numFmtId="43" fontId="0" fillId="22" borderId="21" xfId="1" applyNumberFormat="1" applyFont="1" applyFill="1" applyBorder="1"/>
    <xf numFmtId="43" fontId="0" fillId="13" borderId="54" xfId="1" applyNumberFormat="1" applyFont="1" applyFill="1" applyBorder="1"/>
    <xf numFmtId="43" fontId="0" fillId="13" borderId="20" xfId="1" applyNumberFormat="1" applyFont="1" applyFill="1" applyBorder="1"/>
    <xf numFmtId="43" fontId="0" fillId="13" borderId="41" xfId="1" applyNumberFormat="1" applyFont="1" applyFill="1" applyBorder="1"/>
    <xf numFmtId="43" fontId="0" fillId="13" borderId="21" xfId="1" applyNumberFormat="1" applyFont="1" applyFill="1" applyBorder="1"/>
    <xf numFmtId="43" fontId="0" fillId="14" borderId="54" xfId="1" applyNumberFormat="1" applyFont="1" applyFill="1" applyBorder="1"/>
    <xf numFmtId="43" fontId="0" fillId="14" borderId="20" xfId="1" applyNumberFormat="1" applyFont="1" applyFill="1" applyBorder="1"/>
    <xf numFmtId="43" fontId="0" fillId="14" borderId="41" xfId="1" applyNumberFormat="1" applyFont="1" applyFill="1" applyBorder="1"/>
    <xf numFmtId="43" fontId="0" fillId="14" borderId="21" xfId="1" applyNumberFormat="1" applyFont="1" applyFill="1" applyBorder="1"/>
    <xf numFmtId="43" fontId="0" fillId="32" borderId="41" xfId="1" applyNumberFormat="1" applyFont="1" applyFill="1" applyBorder="1"/>
    <xf numFmtId="43" fontId="0" fillId="32" borderId="20" xfId="1" applyNumberFormat="1" applyFont="1" applyFill="1" applyBorder="1"/>
    <xf numFmtId="43" fontId="0" fillId="32" borderId="21" xfId="1" applyNumberFormat="1" applyFont="1" applyFill="1" applyBorder="1"/>
    <xf numFmtId="43" fontId="0" fillId="3" borderId="54" xfId="1" applyNumberFormat="1" applyFont="1" applyFill="1" applyBorder="1"/>
    <xf numFmtId="43" fontId="0" fillId="3" borderId="20" xfId="1" applyNumberFormat="1" applyFont="1" applyFill="1" applyBorder="1"/>
    <xf numFmtId="43" fontId="0" fillId="3" borderId="41" xfId="1" applyNumberFormat="1" applyFont="1" applyFill="1" applyBorder="1"/>
    <xf numFmtId="43" fontId="0" fillId="3" borderId="21" xfId="1" applyNumberFormat="1" applyFont="1" applyFill="1" applyBorder="1"/>
    <xf numFmtId="43" fontId="0" fillId="34" borderId="54" xfId="1" applyNumberFormat="1" applyFont="1" applyFill="1" applyBorder="1"/>
    <xf numFmtId="43" fontId="0" fillId="34" borderId="20" xfId="1" applyNumberFormat="1" applyFont="1" applyFill="1" applyBorder="1"/>
    <xf numFmtId="43" fontId="0" fillId="34" borderId="41" xfId="1" applyNumberFormat="1" applyFont="1" applyFill="1" applyBorder="1"/>
    <xf numFmtId="43" fontId="0" fillId="34" borderId="21" xfId="1" applyNumberFormat="1" applyFont="1" applyFill="1" applyBorder="1"/>
    <xf numFmtId="43" fontId="0" fillId="8" borderId="54" xfId="1" applyNumberFormat="1" applyFont="1" applyFill="1" applyBorder="1"/>
    <xf numFmtId="43" fontId="0" fillId="8" borderId="20" xfId="1" applyNumberFormat="1" applyFont="1" applyFill="1" applyBorder="1"/>
    <xf numFmtId="43" fontId="0" fillId="8" borderId="41" xfId="1" applyNumberFormat="1" applyFont="1" applyFill="1" applyBorder="1"/>
    <xf numFmtId="43" fontId="0" fillId="8" borderId="21" xfId="1" applyNumberFormat="1" applyFont="1" applyFill="1" applyBorder="1"/>
    <xf numFmtId="43" fontId="0" fillId="0" borderId="41" xfId="1" applyNumberFormat="1" applyFont="1" applyFill="1" applyBorder="1"/>
    <xf numFmtId="43" fontId="0" fillId="0" borderId="21" xfId="1" applyNumberFormat="1" applyFont="1" applyFill="1" applyBorder="1"/>
    <xf numFmtId="43" fontId="0" fillId="0" borderId="49" xfId="1" applyNumberFormat="1" applyFont="1" applyFill="1" applyBorder="1"/>
    <xf numFmtId="43" fontId="0" fillId="0" borderId="18" xfId="1" applyNumberFormat="1" applyFont="1" applyFill="1" applyBorder="1"/>
    <xf numFmtId="43" fontId="0" fillId="9" borderId="39" xfId="1" applyNumberFormat="1" applyFont="1" applyFill="1" applyBorder="1"/>
    <xf numFmtId="43" fontId="0" fillId="9" borderId="55" xfId="1" applyNumberFormat="1" applyFont="1" applyFill="1" applyBorder="1"/>
    <xf numFmtId="43" fontId="0" fillId="9" borderId="32" xfId="1" applyNumberFormat="1" applyFont="1" applyFill="1" applyBorder="1"/>
    <xf numFmtId="43" fontId="0" fillId="9" borderId="33" xfId="1" applyNumberFormat="1" applyFont="1" applyFill="1" applyBorder="1"/>
    <xf numFmtId="43" fontId="0" fillId="9" borderId="31" xfId="1" applyNumberFormat="1" applyFont="1" applyFill="1" applyBorder="1"/>
    <xf numFmtId="43" fontId="0" fillId="24" borderId="32" xfId="1" applyNumberFormat="1" applyFont="1" applyFill="1" applyBorder="1"/>
    <xf numFmtId="43" fontId="0" fillId="24" borderId="33" xfId="1" applyNumberFormat="1" applyFont="1" applyFill="1" applyBorder="1"/>
    <xf numFmtId="43" fontId="0" fillId="22" borderId="32" xfId="1" applyNumberFormat="1" applyFont="1" applyFill="1" applyBorder="1"/>
    <xf numFmtId="43" fontId="0" fillId="22" borderId="33" xfId="1" applyNumberFormat="1" applyFont="1" applyFill="1" applyBorder="1"/>
    <xf numFmtId="43" fontId="0" fillId="13" borderId="32" xfId="1" applyNumberFormat="1" applyFont="1" applyFill="1" applyBorder="1"/>
    <xf numFmtId="43" fontId="0" fillId="13" borderId="33" xfId="1" applyNumberFormat="1" applyFont="1" applyFill="1" applyBorder="1"/>
    <xf numFmtId="43" fontId="0" fillId="14" borderId="32" xfId="1" applyNumberFormat="1" applyFont="1" applyFill="1" applyBorder="1"/>
    <xf numFmtId="43" fontId="0" fillId="14" borderId="33" xfId="1" applyNumberFormat="1" applyFont="1" applyFill="1" applyBorder="1"/>
    <xf numFmtId="43" fontId="0" fillId="32" borderId="32" xfId="1" applyNumberFormat="1" applyFont="1" applyFill="1" applyBorder="1"/>
    <xf numFmtId="43" fontId="0" fillId="32" borderId="33" xfId="1" applyNumberFormat="1" applyFont="1" applyFill="1" applyBorder="1"/>
    <xf numFmtId="43" fontId="0" fillId="3" borderId="32" xfId="1" applyNumberFormat="1" applyFont="1" applyFill="1" applyBorder="1"/>
    <xf numFmtId="43" fontId="0" fillId="3" borderId="33" xfId="1" applyNumberFormat="1" applyFont="1" applyFill="1" applyBorder="1"/>
    <xf numFmtId="43" fontId="0" fillId="34" borderId="32" xfId="1" applyNumberFormat="1" applyFont="1" applyFill="1" applyBorder="1"/>
    <xf numFmtId="43" fontId="0" fillId="34" borderId="33" xfId="1" applyNumberFormat="1" applyFont="1" applyFill="1" applyBorder="1"/>
    <xf numFmtId="43" fontId="0" fillId="8" borderId="32" xfId="1" applyNumberFormat="1" applyFont="1" applyFill="1" applyBorder="1"/>
    <xf numFmtId="43" fontId="0" fillId="8" borderId="33" xfId="1" applyNumberFormat="1" applyFont="1" applyFill="1" applyBorder="1"/>
    <xf numFmtId="43" fontId="0" fillId="0" borderId="33" xfId="1" applyNumberFormat="1" applyFont="1" applyFill="1" applyBorder="1"/>
    <xf numFmtId="43" fontId="0" fillId="0" borderId="31" xfId="1" applyNumberFormat="1" applyFont="1" applyFill="1" applyBorder="1"/>
    <xf numFmtId="43" fontId="0" fillId="9" borderId="34" xfId="1" applyNumberFormat="1" applyFont="1" applyFill="1" applyBorder="1"/>
    <xf numFmtId="2" fontId="0" fillId="32" borderId="41" xfId="0" applyNumberFormat="1" applyFill="1" applyBorder="1"/>
    <xf numFmtId="43" fontId="0" fillId="0" borderId="9" xfId="1" applyNumberFormat="1" applyFont="1" applyBorder="1"/>
    <xf numFmtId="43" fontId="0" fillId="28" borderId="0" xfId="1" applyNumberFormat="1" applyFont="1" applyFill="1" applyBorder="1"/>
    <xf numFmtId="43" fontId="0" fillId="28" borderId="12" xfId="1" applyNumberFormat="1" applyFont="1" applyFill="1" applyBorder="1"/>
    <xf numFmtId="43" fontId="0" fillId="28" borderId="9" xfId="1" applyNumberFormat="1" applyFont="1" applyFill="1" applyBorder="1"/>
    <xf numFmtId="0" fontId="0" fillId="35" borderId="3" xfId="0" applyFill="1" applyBorder="1" applyAlignment="1">
      <alignment horizontal="left" vertical="top"/>
    </xf>
    <xf numFmtId="43" fontId="0" fillId="35" borderId="20" xfId="1" applyNumberFormat="1" applyFont="1" applyFill="1" applyBorder="1"/>
    <xf numFmtId="43" fontId="0" fillId="35" borderId="21" xfId="1" applyNumberFormat="1" applyFont="1" applyFill="1" applyBorder="1"/>
    <xf numFmtId="2" fontId="16" fillId="35" borderId="2" xfId="0" applyNumberFormat="1" applyFont="1" applyFill="1" applyBorder="1"/>
    <xf numFmtId="1" fontId="0" fillId="35" borderId="30" xfId="0" applyNumberFormat="1" applyFill="1" applyBorder="1"/>
    <xf numFmtId="1" fontId="0" fillId="35" borderId="1" xfId="0" applyNumberFormat="1" applyFill="1" applyBorder="1"/>
    <xf numFmtId="167" fontId="0" fillId="35" borderId="11" xfId="2" applyNumberFormat="1" applyFont="1" applyFill="1" applyBorder="1"/>
    <xf numFmtId="2" fontId="16" fillId="15" borderId="6" xfId="0" applyNumberFormat="1" applyFont="1" applyFill="1" applyBorder="1"/>
    <xf numFmtId="43" fontId="0" fillId="15" borderId="20" xfId="1" applyNumberFormat="1" applyFont="1" applyFill="1" applyBorder="1"/>
    <xf numFmtId="9" fontId="0" fillId="15" borderId="33" xfId="11" applyFont="1" applyFill="1" applyBorder="1"/>
    <xf numFmtId="167" fontId="0" fillId="15" borderId="7" xfId="2" applyNumberFormat="1" applyFont="1" applyFill="1" applyBorder="1"/>
    <xf numFmtId="43" fontId="0" fillId="15" borderId="21" xfId="1" applyNumberFormat="1" applyFont="1" applyFill="1" applyBorder="1"/>
    <xf numFmtId="44" fontId="0" fillId="15" borderId="3" xfId="0" applyNumberFormat="1" applyFill="1" applyBorder="1" applyAlignment="1">
      <alignment horizontal="left" vertical="top"/>
    </xf>
    <xf numFmtId="0" fontId="0" fillId="5" borderId="0" xfId="0" applyFill="1"/>
    <xf numFmtId="2" fontId="16" fillId="5" borderId="6" xfId="0" applyNumberFormat="1" applyFont="1" applyFill="1" applyBorder="1"/>
    <xf numFmtId="0" fontId="26" fillId="5" borderId="2" xfId="0" applyFont="1" applyFill="1" applyBorder="1" applyAlignment="1">
      <alignment horizontal="left" vertical="top" wrapText="1"/>
    </xf>
    <xf numFmtId="0" fontId="0" fillId="5" borderId="7" xfId="0" applyFill="1" applyBorder="1"/>
    <xf numFmtId="166" fontId="0" fillId="5" borderId="7" xfId="1" applyNumberFormat="1" applyFont="1" applyFill="1" applyBorder="1" applyAlignment="1">
      <alignment horizontal="right" vertical="top"/>
    </xf>
    <xf numFmtId="167" fontId="0" fillId="5" borderId="7" xfId="2" applyNumberFormat="1" applyFont="1" applyFill="1" applyBorder="1"/>
    <xf numFmtId="44" fontId="0" fillId="5" borderId="7" xfId="0" applyNumberFormat="1" applyFill="1" applyBorder="1" applyAlignment="1">
      <alignment horizontal="left" vertical="top"/>
    </xf>
    <xf numFmtId="0" fontId="0" fillId="5" borderId="7" xfId="2" applyNumberFormat="1" applyFont="1" applyFill="1" applyBorder="1"/>
    <xf numFmtId="1" fontId="0" fillId="5" borderId="1" xfId="0" applyNumberFormat="1" applyFill="1" applyBorder="1"/>
    <xf numFmtId="1" fontId="0" fillId="5" borderId="30" xfId="0" applyNumberFormat="1" applyFill="1" applyBorder="1"/>
    <xf numFmtId="167" fontId="0" fillId="5" borderId="11" xfId="2" applyNumberFormat="1" applyFont="1" applyFill="1" applyBorder="1"/>
    <xf numFmtId="167" fontId="0" fillId="5" borderId="21" xfId="2" applyNumberFormat="1" applyFont="1" applyFill="1" applyBorder="1"/>
    <xf numFmtId="0" fontId="26" fillId="5" borderId="12" xfId="0" applyFont="1" applyFill="1" applyBorder="1" applyAlignment="1">
      <alignment horizontal="left" vertical="top" wrapText="1"/>
    </xf>
    <xf numFmtId="167" fontId="0" fillId="5" borderId="28" xfId="2" applyNumberFormat="1" applyFont="1" applyFill="1" applyBorder="1"/>
    <xf numFmtId="167" fontId="0" fillId="5" borderId="28" xfId="0" applyNumberFormat="1" applyFill="1" applyBorder="1"/>
    <xf numFmtId="167" fontId="0" fillId="5" borderId="0" xfId="2" applyNumberFormat="1" applyFont="1" applyFill="1" applyBorder="1"/>
    <xf numFmtId="167" fontId="0" fillId="5" borderId="41" xfId="2" applyNumberFormat="1" applyFont="1" applyFill="1" applyBorder="1"/>
    <xf numFmtId="9" fontId="0" fillId="5" borderId="33" xfId="11" applyFont="1" applyFill="1" applyBorder="1"/>
    <xf numFmtId="44" fontId="0" fillId="5" borderId="28" xfId="2" applyFont="1" applyFill="1" applyBorder="1"/>
    <xf numFmtId="0" fontId="0" fillId="5" borderId="33" xfId="0" applyFill="1" applyBorder="1"/>
    <xf numFmtId="0" fontId="0" fillId="5" borderId="0" xfId="2" applyNumberFormat="1" applyFont="1" applyFill="1" applyBorder="1"/>
    <xf numFmtId="177" fontId="0" fillId="5" borderId="0" xfId="0" applyNumberFormat="1" applyFill="1"/>
    <xf numFmtId="1" fontId="0" fillId="5" borderId="3" xfId="0" applyNumberFormat="1" applyFill="1" applyBorder="1"/>
    <xf numFmtId="167" fontId="0" fillId="5" borderId="3" xfId="2" applyNumberFormat="1" applyFont="1" applyFill="1" applyBorder="1"/>
    <xf numFmtId="167" fontId="0" fillId="5" borderId="2" xfId="2" applyNumberFormat="1" applyFont="1" applyFill="1" applyBorder="1"/>
    <xf numFmtId="0" fontId="26" fillId="5" borderId="6" xfId="0" applyFont="1" applyFill="1" applyBorder="1" applyAlignment="1">
      <alignment horizontal="left" vertical="top" wrapText="1"/>
    </xf>
    <xf numFmtId="0" fontId="0" fillId="5" borderId="3" xfId="0" applyFill="1" applyBorder="1"/>
    <xf numFmtId="166" fontId="0" fillId="5" borderId="3" xfId="1" applyNumberFormat="1" applyFont="1" applyFill="1" applyBorder="1" applyAlignment="1">
      <alignment horizontal="right" vertical="top"/>
    </xf>
    <xf numFmtId="44" fontId="0" fillId="5" borderId="3" xfId="0" applyNumberFormat="1" applyFill="1" applyBorder="1" applyAlignment="1">
      <alignment horizontal="left" vertical="top"/>
    </xf>
    <xf numFmtId="0" fontId="0" fillId="5" borderId="3" xfId="2" applyNumberFormat="1" applyFont="1" applyFill="1" applyBorder="1"/>
    <xf numFmtId="1" fontId="0" fillId="5" borderId="4" xfId="0" applyNumberFormat="1" applyFill="1" applyBorder="1"/>
    <xf numFmtId="1" fontId="0" fillId="5" borderId="19" xfId="0" applyNumberFormat="1" applyFill="1" applyBorder="1"/>
    <xf numFmtId="167" fontId="0" fillId="5" borderId="5" xfId="2" applyNumberFormat="1" applyFont="1" applyFill="1" applyBorder="1"/>
    <xf numFmtId="167" fontId="0" fillId="5" borderId="27" xfId="2" applyNumberFormat="1" applyFont="1" applyFill="1" applyBorder="1"/>
    <xf numFmtId="9" fontId="0" fillId="5" borderId="32" xfId="11" applyFont="1" applyFill="1" applyBorder="1"/>
    <xf numFmtId="167" fontId="0" fillId="5" borderId="6" xfId="2" applyNumberFormat="1" applyFont="1" applyFill="1" applyBorder="1"/>
    <xf numFmtId="167" fontId="0" fillId="5" borderId="21" xfId="0" applyNumberFormat="1" applyFill="1" applyBorder="1"/>
    <xf numFmtId="167" fontId="0" fillId="5" borderId="41" xfId="0" applyNumberFormat="1" applyFill="1" applyBorder="1"/>
    <xf numFmtId="0" fontId="0" fillId="5" borderId="28" xfId="0" applyFill="1" applyBorder="1"/>
    <xf numFmtId="167" fontId="0" fillId="5" borderId="6" xfId="0" applyNumberFormat="1" applyFill="1" applyBorder="1"/>
    <xf numFmtId="0" fontId="0" fillId="5" borderId="2" xfId="0" applyFill="1" applyBorder="1"/>
    <xf numFmtId="166" fontId="0" fillId="5" borderId="2" xfId="1" applyNumberFormat="1" applyFont="1" applyFill="1" applyBorder="1" applyAlignment="1">
      <alignment horizontal="right" vertical="top"/>
    </xf>
    <xf numFmtId="167" fontId="0" fillId="5" borderId="2" xfId="2" applyNumberFormat="1" applyFont="1" applyFill="1" applyBorder="1" applyAlignment="1">
      <alignment horizontal="left" vertical="top"/>
    </xf>
    <xf numFmtId="0" fontId="0" fillId="5" borderId="2" xfId="2" applyNumberFormat="1" applyFont="1" applyFill="1" applyBorder="1"/>
    <xf numFmtId="1" fontId="0" fillId="5" borderId="8" xfId="0" applyNumberFormat="1" applyFill="1" applyBorder="1"/>
    <xf numFmtId="1" fontId="0" fillId="5" borderId="36" xfId="0" applyNumberFormat="1" applyFill="1" applyBorder="1"/>
    <xf numFmtId="167" fontId="0" fillId="5" borderId="10" xfId="2" applyNumberFormat="1" applyFont="1" applyFill="1" applyBorder="1"/>
    <xf numFmtId="12" fontId="8" fillId="3" borderId="0" xfId="13" applyNumberFormat="1" applyFont="1" applyFill="1"/>
    <xf numFmtId="9" fontId="0" fillId="3" borderId="0" xfId="11" applyFont="1" applyFill="1" applyAlignment="1">
      <alignment horizontal="right" vertical="top"/>
    </xf>
    <xf numFmtId="9" fontId="8" fillId="0" borderId="0" xfId="11" applyFont="1" applyAlignment="1">
      <alignment vertical="top"/>
    </xf>
    <xf numFmtId="9" fontId="0" fillId="7" borderId="9" xfId="0" applyNumberFormat="1" applyFill="1" applyBorder="1"/>
    <xf numFmtId="0" fontId="71" fillId="0" borderId="37" xfId="0" applyFont="1" applyBorder="1" applyAlignment="1">
      <alignment horizontal="center" vertical="center" wrapText="1"/>
    </xf>
    <xf numFmtId="0" fontId="71" fillId="0" borderId="0" xfId="0" applyFont="1" applyBorder="1" applyAlignment="1">
      <alignment horizontal="center" vertical="center" wrapText="1"/>
    </xf>
    <xf numFmtId="0" fontId="0" fillId="0" borderId="0" xfId="0" applyFill="1" applyBorder="1" applyAlignment="1">
      <alignment horizontal="center" wrapText="1"/>
    </xf>
    <xf numFmtId="0" fontId="0" fillId="0" borderId="0" xfId="0"/>
    <xf numFmtId="9" fontId="8" fillId="3" borderId="0" xfId="13" applyNumberFormat="1" applyFont="1" applyFill="1"/>
    <xf numFmtId="43" fontId="0" fillId="10" borderId="6" xfId="1" applyFont="1" applyFill="1" applyBorder="1"/>
    <xf numFmtId="43" fontId="0" fillId="10" borderId="6" xfId="1" applyNumberFormat="1" applyFont="1" applyFill="1" applyBorder="1"/>
    <xf numFmtId="178" fontId="0" fillId="10" borderId="6" xfId="1" applyNumberFormat="1" applyFont="1" applyFill="1" applyBorder="1"/>
    <xf numFmtId="178" fontId="0" fillId="10" borderId="6" xfId="0" applyNumberFormat="1" applyFill="1" applyBorder="1"/>
    <xf numFmtId="178" fontId="0" fillId="5" borderId="21" xfId="1" applyNumberFormat="1" applyFont="1" applyFill="1" applyBorder="1"/>
    <xf numFmtId="178" fontId="0" fillId="15" borderId="32" xfId="1" applyNumberFormat="1" applyFont="1" applyFill="1" applyBorder="1"/>
    <xf numFmtId="178" fontId="0" fillId="15" borderId="33" xfId="1" applyNumberFormat="1" applyFont="1" applyFill="1" applyBorder="1"/>
    <xf numFmtId="178" fontId="0" fillId="35" borderId="32" xfId="1" applyNumberFormat="1" applyFont="1" applyFill="1" applyBorder="1"/>
    <xf numFmtId="178" fontId="0" fillId="35" borderId="33" xfId="1" applyNumberFormat="1" applyFont="1" applyFill="1" applyBorder="1"/>
    <xf numFmtId="178" fontId="0" fillId="34" borderId="32" xfId="1" applyNumberFormat="1" applyFont="1" applyFill="1" applyBorder="1"/>
    <xf numFmtId="178" fontId="0" fillId="34" borderId="33" xfId="1" applyNumberFormat="1" applyFont="1" applyFill="1" applyBorder="1"/>
    <xf numFmtId="178" fontId="0" fillId="8" borderId="32" xfId="1" applyNumberFormat="1" applyFont="1" applyFill="1" applyBorder="1"/>
    <xf numFmtId="178" fontId="0" fillId="8" borderId="33" xfId="1" applyNumberFormat="1" applyFont="1" applyFill="1" applyBorder="1"/>
    <xf numFmtId="178" fontId="0" fillId="3" borderId="20" xfId="1" applyNumberFormat="1" applyFont="1" applyFill="1" applyBorder="1"/>
    <xf numFmtId="178" fontId="0" fillId="3" borderId="21" xfId="1" applyNumberFormat="1" applyFont="1" applyFill="1" applyBorder="1"/>
    <xf numFmtId="178" fontId="0" fillId="0" borderId="9" xfId="1" applyNumberFormat="1" applyFont="1" applyFill="1" applyBorder="1"/>
    <xf numFmtId="167" fontId="0" fillId="10" borderId="33" xfId="2" applyNumberFormat="1" applyFont="1" applyFill="1" applyBorder="1"/>
    <xf numFmtId="167" fontId="0" fillId="5" borderId="33" xfId="2" applyNumberFormat="1" applyFont="1" applyFill="1" applyBorder="1"/>
    <xf numFmtId="167" fontId="0" fillId="15" borderId="33" xfId="2" applyNumberFormat="1" applyFont="1" applyFill="1" applyBorder="1"/>
    <xf numFmtId="167" fontId="0" fillId="35" borderId="32" xfId="2" applyNumberFormat="1" applyFont="1" applyFill="1" applyBorder="1"/>
    <xf numFmtId="167" fontId="0" fillId="35" borderId="33" xfId="2" applyNumberFormat="1" applyFont="1" applyFill="1" applyBorder="1"/>
    <xf numFmtId="167" fontId="0" fillId="34" borderId="32" xfId="2" applyNumberFormat="1" applyFont="1" applyFill="1" applyBorder="1"/>
    <xf numFmtId="167" fontId="0" fillId="34" borderId="33" xfId="2" applyNumberFormat="1" applyFont="1" applyFill="1" applyBorder="1"/>
    <xf numFmtId="167" fontId="0" fillId="8" borderId="32" xfId="2" applyNumberFormat="1" applyFont="1" applyFill="1" applyBorder="1"/>
    <xf numFmtId="167" fontId="0" fillId="8" borderId="33" xfId="2" applyNumberFormat="1" applyFont="1" applyFill="1" applyBorder="1"/>
    <xf numFmtId="43" fontId="0" fillId="10" borderId="21" xfId="1" applyFont="1" applyFill="1" applyBorder="1"/>
    <xf numFmtId="43" fontId="0" fillId="5" borderId="21" xfId="1" applyFont="1" applyFill="1" applyBorder="1"/>
    <xf numFmtId="43" fontId="0" fillId="15" borderId="21" xfId="1" applyFont="1" applyFill="1" applyBorder="1"/>
    <xf numFmtId="43" fontId="0" fillId="35" borderId="20" xfId="1" applyFont="1" applyFill="1" applyBorder="1"/>
    <xf numFmtId="43" fontId="0" fillId="35" borderId="21" xfId="1" applyFont="1" applyFill="1" applyBorder="1"/>
    <xf numFmtId="43" fontId="0" fillId="34" borderId="20" xfId="1" applyFont="1" applyFill="1" applyBorder="1"/>
    <xf numFmtId="43" fontId="0" fillId="34" borderId="21" xfId="1" applyFont="1" applyFill="1" applyBorder="1"/>
    <xf numFmtId="43" fontId="0" fillId="8" borderId="20" xfId="1" applyFont="1" applyFill="1" applyBorder="1"/>
    <xf numFmtId="43" fontId="0" fillId="8" borderId="21" xfId="1" applyFont="1" applyFill="1" applyBorder="1"/>
    <xf numFmtId="43" fontId="0" fillId="3" borderId="20" xfId="1" applyFont="1" applyFill="1" applyBorder="1"/>
    <xf numFmtId="43" fontId="0" fillId="3" borderId="21" xfId="1" applyFont="1" applyFill="1" applyBorder="1"/>
    <xf numFmtId="43" fontId="0" fillId="0" borderId="9" xfId="1" applyFont="1" applyFill="1" applyBorder="1"/>
    <xf numFmtId="43" fontId="0" fillId="0" borderId="1" xfId="1" applyFont="1" applyFill="1" applyBorder="1"/>
    <xf numFmtId="9" fontId="0" fillId="5" borderId="21" xfId="11" applyFont="1" applyFill="1" applyBorder="1"/>
    <xf numFmtId="9" fontId="0" fillId="3" borderId="20" xfId="11" applyFont="1" applyFill="1" applyBorder="1"/>
    <xf numFmtId="9" fontId="0" fillId="3" borderId="21" xfId="11" applyFont="1" applyFill="1" applyBorder="1"/>
    <xf numFmtId="9" fontId="0" fillId="0" borderId="9" xfId="11" applyFont="1" applyFill="1" applyBorder="1"/>
    <xf numFmtId="43" fontId="0" fillId="28" borderId="10" xfId="1" applyFont="1" applyFill="1" applyBorder="1"/>
    <xf numFmtId="43" fontId="0" fillId="28" borderId="12" xfId="1" applyFont="1" applyFill="1" applyBorder="1"/>
    <xf numFmtId="43" fontId="0" fillId="0" borderId="6" xfId="1" applyFont="1" applyBorder="1"/>
    <xf numFmtId="43" fontId="0" fillId="28" borderId="10" xfId="1" applyNumberFormat="1" applyFont="1" applyFill="1" applyBorder="1"/>
    <xf numFmtId="43" fontId="0" fillId="0" borderId="6" xfId="1" applyNumberFormat="1" applyFont="1" applyBorder="1"/>
    <xf numFmtId="43" fontId="0" fillId="28" borderId="6" xfId="1" applyNumberFormat="1" applyFont="1" applyFill="1" applyBorder="1"/>
    <xf numFmtId="43" fontId="1" fillId="3" borderId="4" xfId="1" applyNumberFormat="1" applyFont="1" applyFill="1" applyBorder="1"/>
    <xf numFmtId="43" fontId="0" fillId="9" borderId="9" xfId="1" applyFont="1" applyFill="1" applyBorder="1"/>
    <xf numFmtId="43" fontId="0" fillId="9" borderId="6" xfId="1" applyFont="1" applyFill="1" applyBorder="1"/>
    <xf numFmtId="170" fontId="0" fillId="0" borderId="9" xfId="1" applyNumberFormat="1" applyFont="1" applyBorder="1"/>
    <xf numFmtId="43" fontId="1" fillId="3" borderId="3" xfId="1" applyNumberFormat="1" applyFont="1" applyFill="1" applyBorder="1"/>
    <xf numFmtId="43" fontId="1" fillId="3" borderId="5" xfId="1" applyNumberFormat="1" applyFont="1" applyFill="1" applyBorder="1"/>
    <xf numFmtId="0" fontId="0" fillId="0" borderId="3" xfId="0" applyBorder="1" applyAlignment="1">
      <alignment horizontal="center" wrapText="1"/>
    </xf>
    <xf numFmtId="0" fontId="0" fillId="0" borderId="3" xfId="0" applyBorder="1" applyAlignment="1">
      <alignment horizontal="center" vertical="top" wrapText="1"/>
    </xf>
    <xf numFmtId="0" fontId="0" fillId="0" borderId="7" xfId="0" applyBorder="1" applyAlignment="1">
      <alignment horizontal="center"/>
    </xf>
    <xf numFmtId="0" fontId="0" fillId="26" borderId="0" xfId="0" applyFill="1" applyBorder="1" applyAlignment="1">
      <alignment vertical="center" wrapText="1"/>
    </xf>
    <xf numFmtId="0" fontId="27" fillId="3" borderId="0" xfId="0" applyFont="1" applyFill="1" applyBorder="1" applyAlignment="1">
      <alignment horizontal="center"/>
    </xf>
    <xf numFmtId="0" fontId="27" fillId="0" borderId="0" xfId="0" applyFont="1" applyBorder="1" applyAlignment="1">
      <alignment horizontal="center" vertical="center"/>
    </xf>
    <xf numFmtId="43" fontId="0" fillId="0" borderId="20" xfId="1" applyNumberFormat="1" applyFont="1" applyFill="1" applyBorder="1"/>
    <xf numFmtId="43" fontId="0" fillId="9" borderId="32" xfId="1" applyFont="1" applyFill="1" applyBorder="1"/>
    <xf numFmtId="43" fontId="0" fillId="9" borderId="33" xfId="1" applyFont="1" applyFill="1" applyBorder="1"/>
    <xf numFmtId="43" fontId="0" fillId="9" borderId="31" xfId="1" applyFont="1" applyFill="1" applyBorder="1"/>
    <xf numFmtId="43" fontId="0" fillId="0" borderId="21" xfId="1" applyFont="1" applyFill="1" applyBorder="1"/>
    <xf numFmtId="43" fontId="0" fillId="10" borderId="2" xfId="1" applyFont="1" applyFill="1" applyBorder="1"/>
    <xf numFmtId="43" fontId="0" fillId="24" borderId="2" xfId="1" applyFont="1" applyFill="1" applyBorder="1"/>
    <xf numFmtId="43" fontId="0" fillId="24" borderId="6" xfId="1" applyFont="1" applyFill="1" applyBorder="1"/>
    <xf numFmtId="43" fontId="0" fillId="29" borderId="2" xfId="1" applyFont="1" applyFill="1" applyBorder="1"/>
    <xf numFmtId="43" fontId="0" fillId="29" borderId="6" xfId="1" applyFont="1" applyFill="1" applyBorder="1"/>
    <xf numFmtId="43" fontId="0" fillId="29" borderId="7" xfId="1" applyFont="1" applyFill="1" applyBorder="1"/>
    <xf numFmtId="43" fontId="0" fillId="14" borderId="20" xfId="1" applyFont="1" applyFill="1" applyBorder="1"/>
    <xf numFmtId="43" fontId="0" fillId="14" borderId="21" xfId="1" applyFont="1" applyFill="1" applyBorder="1"/>
    <xf numFmtId="43" fontId="0" fillId="13" borderId="20" xfId="1" applyFont="1" applyFill="1" applyBorder="1"/>
    <xf numFmtId="43" fontId="0" fillId="13" borderId="21" xfId="1" applyFont="1" applyFill="1" applyBorder="1"/>
    <xf numFmtId="43" fontId="0" fillId="15" borderId="20" xfId="1" applyFont="1" applyFill="1" applyBorder="1"/>
    <xf numFmtId="43" fontId="0" fillId="10" borderId="18" xfId="1" applyFont="1" applyFill="1" applyBorder="1"/>
    <xf numFmtId="43" fontId="0" fillId="24" borderId="21" xfId="1" applyFont="1" applyFill="1" applyBorder="1"/>
    <xf numFmtId="43" fontId="0" fillId="24" borderId="18" xfId="1" applyFont="1" applyFill="1" applyBorder="1"/>
    <xf numFmtId="43" fontId="0" fillId="29" borderId="21" xfId="1" applyFont="1" applyFill="1" applyBorder="1"/>
    <xf numFmtId="43" fontId="0" fillId="29" borderId="18" xfId="1" applyFont="1" applyFill="1" applyBorder="1"/>
    <xf numFmtId="43" fontId="0" fillId="9" borderId="20" xfId="1" applyFont="1" applyFill="1" applyBorder="1"/>
    <xf numFmtId="43" fontId="0" fillId="9" borderId="21" xfId="1" applyFont="1" applyFill="1" applyBorder="1"/>
    <xf numFmtId="43" fontId="0" fillId="9" borderId="55" xfId="1" applyFont="1" applyFill="1" applyBorder="1"/>
    <xf numFmtId="43" fontId="0" fillId="0" borderId="20" xfId="1" applyFont="1" applyFill="1" applyBorder="1"/>
    <xf numFmtId="43" fontId="0" fillId="0" borderId="0" xfId="1" applyFont="1" applyFill="1" applyBorder="1"/>
    <xf numFmtId="166" fontId="0" fillId="9" borderId="32" xfId="1" applyNumberFormat="1" applyFont="1" applyFill="1" applyBorder="1"/>
    <xf numFmtId="166" fontId="0" fillId="9" borderId="33" xfId="1" applyNumberFormat="1" applyFont="1" applyFill="1" applyBorder="1"/>
    <xf numFmtId="166" fontId="0" fillId="9" borderId="31" xfId="1" applyNumberFormat="1" applyFont="1" applyFill="1" applyBorder="1"/>
    <xf numFmtId="166" fontId="0" fillId="0" borderId="20" xfId="1" applyNumberFormat="1" applyFont="1" applyFill="1" applyBorder="1"/>
    <xf numFmtId="166" fontId="0" fillId="0" borderId="21" xfId="1" applyNumberFormat="1" applyFont="1" applyFill="1" applyBorder="1"/>
    <xf numFmtId="166" fontId="0" fillId="9" borderId="20" xfId="1" applyNumberFormat="1" applyFont="1" applyFill="1" applyBorder="1"/>
    <xf numFmtId="166" fontId="0" fillId="9" borderId="21" xfId="1" applyNumberFormat="1" applyFont="1" applyFill="1" applyBorder="1"/>
    <xf numFmtId="166" fontId="0" fillId="9" borderId="55" xfId="1" applyNumberFormat="1" applyFont="1" applyFill="1" applyBorder="1"/>
    <xf numFmtId="43" fontId="0" fillId="10" borderId="2" xfId="1" applyNumberFormat="1" applyFont="1" applyFill="1" applyBorder="1"/>
    <xf numFmtId="43" fontId="0" fillId="24" borderId="2" xfId="1" applyNumberFormat="1" applyFont="1" applyFill="1" applyBorder="1"/>
    <xf numFmtId="43" fontId="0" fillId="24" borderId="6" xfId="1" applyNumberFormat="1" applyFont="1" applyFill="1" applyBorder="1"/>
    <xf numFmtId="43" fontId="0" fillId="29" borderId="2" xfId="1" applyNumberFormat="1" applyFont="1" applyFill="1" applyBorder="1"/>
    <xf numFmtId="43" fontId="0" fillId="29" borderId="6" xfId="1" applyNumberFormat="1" applyFont="1" applyFill="1" applyBorder="1"/>
    <xf numFmtId="43" fontId="0" fillId="29" borderId="7" xfId="1" applyNumberFormat="1" applyFont="1" applyFill="1" applyBorder="1"/>
    <xf numFmtId="166" fontId="0" fillId="10" borderId="21" xfId="1" applyNumberFormat="1" applyFont="1" applyFill="1" applyBorder="1"/>
    <xf numFmtId="166" fontId="0" fillId="24" borderId="20" xfId="1" applyNumberFormat="1" applyFont="1" applyFill="1" applyBorder="1"/>
    <xf numFmtId="166" fontId="0" fillId="24" borderId="21" xfId="1" applyNumberFormat="1" applyFont="1" applyFill="1" applyBorder="1"/>
    <xf numFmtId="166" fontId="0" fillId="29" borderId="20" xfId="1" applyNumberFormat="1" applyFont="1" applyFill="1" applyBorder="1"/>
    <xf numFmtId="166" fontId="0" fillId="29" borderId="21" xfId="1" applyNumberFormat="1" applyFont="1" applyFill="1" applyBorder="1"/>
    <xf numFmtId="166" fontId="0" fillId="10" borderId="18" xfId="1" applyNumberFormat="1" applyFont="1" applyFill="1" applyBorder="1"/>
    <xf numFmtId="166" fontId="0" fillId="24" borderId="18" xfId="1" applyNumberFormat="1" applyFont="1" applyFill="1" applyBorder="1"/>
    <xf numFmtId="166" fontId="0" fillId="29" borderId="18" xfId="1" applyNumberFormat="1" applyFont="1" applyFill="1" applyBorder="1"/>
    <xf numFmtId="43" fontId="0" fillId="12" borderId="20" xfId="1" applyFont="1" applyFill="1" applyBorder="1"/>
    <xf numFmtId="43" fontId="0" fillId="12" borderId="21" xfId="1" applyFont="1" applyFill="1" applyBorder="1"/>
    <xf numFmtId="43" fontId="0" fillId="12" borderId="20" xfId="1" applyNumberFormat="1" applyFont="1" applyFill="1" applyBorder="1"/>
    <xf numFmtId="43" fontId="0" fillId="12" borderId="21" xfId="1" applyNumberFormat="1" applyFont="1" applyFill="1" applyBorder="1"/>
    <xf numFmtId="43" fontId="0" fillId="10" borderId="21" xfId="1" applyNumberFormat="1" applyFont="1" applyFill="1" applyBorder="1"/>
    <xf numFmtId="43" fontId="0" fillId="10" borderId="18" xfId="1" applyNumberFormat="1" applyFont="1" applyFill="1" applyBorder="1"/>
    <xf numFmtId="43" fontId="0" fillId="24" borderId="18" xfId="1" applyNumberFormat="1" applyFont="1" applyFill="1" applyBorder="1"/>
    <xf numFmtId="43" fontId="0" fillId="29" borderId="21" xfId="1" applyNumberFormat="1" applyFont="1" applyFill="1" applyBorder="1"/>
    <xf numFmtId="43" fontId="0" fillId="29" borderId="18" xfId="1" applyNumberFormat="1" applyFont="1" applyFill="1" applyBorder="1"/>
    <xf numFmtId="43" fontId="0" fillId="2" borderId="20" xfId="1" applyFont="1" applyFill="1" applyBorder="1"/>
    <xf numFmtId="43" fontId="0" fillId="2" borderId="21" xfId="1" applyFont="1" applyFill="1" applyBorder="1"/>
    <xf numFmtId="43" fontId="0" fillId="3" borderId="18" xfId="1" applyFont="1" applyFill="1" applyBorder="1"/>
    <xf numFmtId="43" fontId="0" fillId="12" borderId="18" xfId="1" applyFont="1" applyFill="1" applyBorder="1"/>
    <xf numFmtId="43" fontId="0" fillId="6" borderId="20" xfId="1" applyFont="1" applyFill="1" applyBorder="1"/>
    <xf numFmtId="43" fontId="0" fillId="6" borderId="21" xfId="1" applyFont="1" applyFill="1" applyBorder="1"/>
    <xf numFmtId="43" fontId="0" fillId="6" borderId="18" xfId="1" applyFont="1" applyFill="1" applyBorder="1"/>
    <xf numFmtId="43" fontId="0" fillId="9" borderId="18" xfId="1" applyFont="1" applyFill="1" applyBorder="1"/>
    <xf numFmtId="43" fontId="0" fillId="3" borderId="18" xfId="1" applyNumberFormat="1" applyFont="1" applyFill="1" applyBorder="1"/>
    <xf numFmtId="43" fontId="0" fillId="12" borderId="18" xfId="1" applyNumberFormat="1" applyFont="1" applyFill="1" applyBorder="1"/>
    <xf numFmtId="43" fontId="0" fillId="6" borderId="20" xfId="1" applyNumberFormat="1" applyFont="1" applyFill="1" applyBorder="1"/>
    <xf numFmtId="43" fontId="0" fillId="6" borderId="21" xfId="1" applyNumberFormat="1" applyFont="1" applyFill="1" applyBorder="1"/>
    <xf numFmtId="43" fontId="0" fillId="6" borderId="18" xfId="1" applyNumberFormat="1" applyFont="1" applyFill="1" applyBorder="1"/>
    <xf numFmtId="43" fontId="0" fillId="13" borderId="18" xfId="1" applyNumberFormat="1" applyFont="1" applyFill="1" applyBorder="1"/>
    <xf numFmtId="43" fontId="0" fillId="15" borderId="18" xfId="1" applyNumberFormat="1" applyFont="1" applyFill="1" applyBorder="1"/>
    <xf numFmtId="43" fontId="0" fillId="35" borderId="18" xfId="1" applyNumberFormat="1" applyFont="1" applyFill="1" applyBorder="1"/>
    <xf numFmtId="43" fontId="0" fillId="34" borderId="18" xfId="1" applyNumberFormat="1" applyFont="1" applyFill="1" applyBorder="1"/>
    <xf numFmtId="43" fontId="0" fillId="8" borderId="18" xfId="1" applyNumberFormat="1" applyFont="1" applyFill="1" applyBorder="1"/>
    <xf numFmtId="43" fontId="0" fillId="37" borderId="20" xfId="1" applyNumberFormat="1" applyFont="1" applyFill="1" applyBorder="1"/>
    <xf numFmtId="43" fontId="0" fillId="37" borderId="21" xfId="1" applyNumberFormat="1" applyFont="1" applyFill="1" applyBorder="1"/>
    <xf numFmtId="43" fontId="0" fillId="37" borderId="18" xfId="1" applyNumberFormat="1" applyFont="1" applyFill="1" applyBorder="1"/>
    <xf numFmtId="43" fontId="0" fillId="2" borderId="20" xfId="1" applyNumberFormat="1" applyFont="1" applyFill="1" applyBorder="1"/>
    <xf numFmtId="43" fontId="0" fillId="2" borderId="21" xfId="1" applyNumberFormat="1" applyFont="1" applyFill="1" applyBorder="1"/>
    <xf numFmtId="43" fontId="0" fillId="2" borderId="18" xfId="1" applyNumberFormat="1" applyFont="1" applyFill="1" applyBorder="1"/>
    <xf numFmtId="43" fontId="0" fillId="32" borderId="18" xfId="1" applyNumberFormat="1" applyFont="1" applyFill="1" applyBorder="1"/>
    <xf numFmtId="43" fontId="0" fillId="35" borderId="2" xfId="1" applyFont="1" applyFill="1" applyBorder="1"/>
    <xf numFmtId="43" fontId="0" fillId="35" borderId="6" xfId="1" applyFont="1" applyFill="1" applyBorder="1"/>
    <xf numFmtId="43" fontId="0" fillId="0" borderId="12" xfId="0" applyNumberFormat="1" applyFill="1" applyBorder="1"/>
    <xf numFmtId="43" fontId="0" fillId="0" borderId="12" xfId="0" applyNumberFormat="1" applyFont="1" applyFill="1" applyBorder="1"/>
    <xf numFmtId="170" fontId="0" fillId="28" borderId="12" xfId="0" applyNumberFormat="1" applyFill="1" applyBorder="1"/>
    <xf numFmtId="170" fontId="0" fillId="28" borderId="6" xfId="2" applyNumberFormat="1" applyFont="1" applyFill="1" applyBorder="1"/>
    <xf numFmtId="170" fontId="0" fillId="28" borderId="12" xfId="2" applyNumberFormat="1" applyFont="1" applyFill="1" applyBorder="1"/>
    <xf numFmtId="43" fontId="0" fillId="0" borderId="12" xfId="1" applyNumberFormat="1" applyFont="1" applyBorder="1"/>
    <xf numFmtId="43" fontId="0" fillId="28" borderId="1" xfId="1" applyNumberFormat="1" applyFont="1" applyFill="1" applyBorder="1"/>
    <xf numFmtId="43" fontId="0" fillId="28" borderId="14" xfId="1" applyNumberFormat="1" applyFont="1" applyFill="1" applyBorder="1"/>
    <xf numFmtId="43" fontId="0" fillId="28" borderId="11" xfId="1" applyNumberFormat="1" applyFont="1" applyFill="1" applyBorder="1"/>
    <xf numFmtId="43" fontId="1" fillId="3" borderId="1" xfId="1" applyNumberFormat="1" applyFont="1" applyFill="1" applyBorder="1"/>
    <xf numFmtId="43" fontId="1" fillId="3" borderId="14" xfId="1" applyNumberFormat="1" applyFont="1" applyFill="1" applyBorder="1"/>
    <xf numFmtId="43" fontId="0" fillId="28" borderId="12" xfId="0" applyNumberFormat="1" applyFill="1" applyBorder="1"/>
    <xf numFmtId="43" fontId="0" fillId="0" borderId="6" xfId="1" applyNumberFormat="1" applyFont="1" applyFill="1" applyBorder="1"/>
    <xf numFmtId="43" fontId="0" fillId="28" borderId="6" xfId="2" applyNumberFormat="1" applyFont="1" applyFill="1" applyBorder="1"/>
    <xf numFmtId="43" fontId="0" fillId="28" borderId="12" xfId="2" applyNumberFormat="1" applyFont="1" applyFill="1" applyBorder="1"/>
    <xf numFmtId="43" fontId="0" fillId="28" borderId="6" xfId="0" applyNumberFormat="1" applyFill="1" applyBorder="1"/>
    <xf numFmtId="43" fontId="0" fillId="28" borderId="11" xfId="0" applyNumberFormat="1" applyFill="1" applyBorder="1"/>
    <xf numFmtId="43" fontId="0" fillId="3" borderId="4" xfId="1" applyNumberFormat="1" applyFont="1" applyFill="1" applyBorder="1"/>
    <xf numFmtId="43" fontId="0" fillId="3" borderId="3" xfId="1" applyNumberFormat="1" applyFont="1" applyFill="1" applyBorder="1"/>
    <xf numFmtId="2" fontId="0" fillId="28" borderId="12" xfId="0" applyNumberFormat="1" applyFill="1" applyBorder="1"/>
    <xf numFmtId="2" fontId="0" fillId="28" borderId="6" xfId="2" applyNumberFormat="1" applyFont="1" applyFill="1" applyBorder="1"/>
    <xf numFmtId="2" fontId="0" fillId="28" borderId="12" xfId="2" applyNumberFormat="1" applyFont="1" applyFill="1" applyBorder="1"/>
    <xf numFmtId="2" fontId="0" fillId="28" borderId="6" xfId="0" applyNumberFormat="1" applyFill="1" applyBorder="1"/>
    <xf numFmtId="2" fontId="0" fillId="28" borderId="2" xfId="0" applyNumberFormat="1" applyFill="1" applyBorder="1"/>
    <xf numFmtId="2" fontId="0" fillId="28" borderId="6" xfId="1" applyNumberFormat="1" applyFont="1" applyFill="1" applyBorder="1"/>
    <xf numFmtId="2" fontId="0" fillId="0" borderId="6" xfId="1" applyNumberFormat="1" applyFont="1" applyBorder="1"/>
    <xf numFmtId="2" fontId="0" fillId="28" borderId="12" xfId="1" applyNumberFormat="1" applyFont="1" applyFill="1" applyBorder="1"/>
    <xf numFmtId="2" fontId="0" fillId="28" borderId="11" xfId="0" applyNumberFormat="1" applyFill="1" applyBorder="1"/>
    <xf numFmtId="2" fontId="0" fillId="28" borderId="7" xfId="0" applyNumberFormat="1" applyFill="1" applyBorder="1"/>
    <xf numFmtId="2" fontId="0" fillId="3" borderId="4" xfId="1" applyNumberFormat="1" applyFont="1" applyFill="1" applyBorder="1"/>
    <xf numFmtId="43" fontId="0" fillId="28" borderId="13" xfId="1" applyNumberFormat="1" applyFont="1" applyFill="1" applyBorder="1"/>
    <xf numFmtId="43" fontId="0" fillId="28" borderId="8" xfId="1" applyNumberFormat="1" applyFont="1" applyFill="1" applyBorder="1"/>
    <xf numFmtId="168" fontId="0" fillId="0" borderId="0" xfId="0" applyNumberFormat="1"/>
    <xf numFmtId="0" fontId="0" fillId="26" borderId="0" xfId="0" applyFill="1" applyBorder="1" applyAlignment="1">
      <alignment horizontal="left" vertical="top"/>
    </xf>
    <xf numFmtId="43" fontId="0" fillId="26" borderId="0" xfId="0" applyNumberFormat="1" applyFill="1" applyBorder="1"/>
    <xf numFmtId="43" fontId="0" fillId="28" borderId="0" xfId="0" applyNumberFormat="1" applyFill="1"/>
    <xf numFmtId="43" fontId="1" fillId="3" borderId="42" xfId="1" applyNumberFormat="1" applyFont="1" applyFill="1" applyBorder="1"/>
    <xf numFmtId="43" fontId="0" fillId="0" borderId="7" xfId="0" applyNumberFormat="1" applyBorder="1"/>
    <xf numFmtId="170" fontId="0" fillId="28" borderId="9" xfId="2" applyNumberFormat="1" applyFont="1" applyFill="1" applyBorder="1"/>
    <xf numFmtId="170" fontId="0" fillId="28" borderId="0" xfId="2" applyNumberFormat="1" applyFont="1" applyFill="1" applyBorder="1"/>
    <xf numFmtId="43" fontId="0" fillId="28" borderId="9" xfId="2" applyNumberFormat="1" applyFont="1" applyFill="1" applyBorder="1"/>
    <xf numFmtId="43" fontId="0" fillId="28" borderId="0" xfId="2" applyNumberFormat="1" applyFont="1" applyFill="1" applyBorder="1"/>
    <xf numFmtId="43" fontId="0" fillId="0" borderId="6" xfId="0" applyNumberFormat="1" applyFill="1" applyBorder="1"/>
    <xf numFmtId="43" fontId="0" fillId="36" borderId="9" xfId="1" applyNumberFormat="1" applyFont="1" applyFill="1" applyBorder="1"/>
    <xf numFmtId="43" fontId="0" fillId="36" borderId="6" xfId="1" applyNumberFormat="1" applyFont="1" applyFill="1" applyBorder="1"/>
    <xf numFmtId="43" fontId="0" fillId="36" borderId="12" xfId="1" applyNumberFormat="1" applyFont="1" applyFill="1" applyBorder="1"/>
    <xf numFmtId="43" fontId="0" fillId="40" borderId="6" xfId="0" applyNumberFormat="1" applyFill="1" applyBorder="1"/>
    <xf numFmtId="43" fontId="0" fillId="40" borderId="6" xfId="0" applyNumberFormat="1" applyFont="1" applyFill="1" applyBorder="1"/>
    <xf numFmtId="43" fontId="0" fillId="36" borderId="0" xfId="1" applyNumberFormat="1" applyFont="1" applyFill="1" applyBorder="1"/>
    <xf numFmtId="43" fontId="0" fillId="0" borderId="12" xfId="1" applyNumberFormat="1" applyFont="1" applyFill="1" applyBorder="1"/>
    <xf numFmtId="166" fontId="1" fillId="3" borderId="7" xfId="1" applyNumberFormat="1" applyFont="1" applyFill="1" applyBorder="1"/>
    <xf numFmtId="170" fontId="0" fillId="25" borderId="9" xfId="1" applyNumberFormat="1" applyFont="1" applyFill="1" applyBorder="1"/>
    <xf numFmtId="170" fontId="0" fillId="35" borderId="9" xfId="1" applyNumberFormat="1" applyFont="1" applyFill="1" applyBorder="1"/>
    <xf numFmtId="170" fontId="0" fillId="35" borderId="6" xfId="1" applyNumberFormat="1" applyFont="1" applyFill="1" applyBorder="1"/>
    <xf numFmtId="170" fontId="0" fillId="28" borderId="1" xfId="2" applyNumberFormat="1" applyFont="1" applyFill="1" applyBorder="1"/>
    <xf numFmtId="170" fontId="0" fillId="28" borderId="7" xfId="2" applyNumberFormat="1" applyFont="1" applyFill="1" applyBorder="1"/>
    <xf numFmtId="170" fontId="0" fillId="28" borderId="14" xfId="2" applyNumberFormat="1" applyFont="1" applyFill="1" applyBorder="1"/>
    <xf numFmtId="170" fontId="0" fillId="28" borderId="11" xfId="2" applyNumberFormat="1" applyFont="1" applyFill="1" applyBorder="1"/>
    <xf numFmtId="170" fontId="1" fillId="3" borderId="7" xfId="1" applyNumberFormat="1" applyFont="1" applyFill="1" applyBorder="1"/>
    <xf numFmtId="170" fontId="0" fillId="0" borderId="0" xfId="0" applyNumberFormat="1"/>
    <xf numFmtId="43" fontId="0" fillId="0" borderId="8" xfId="0" applyNumberFormat="1" applyBorder="1"/>
    <xf numFmtId="43" fontId="0" fillId="28" borderId="0" xfId="0" applyNumberFormat="1" applyFill="1" applyBorder="1"/>
    <xf numFmtId="43" fontId="0" fillId="25" borderId="0" xfId="0" applyNumberFormat="1" applyFill="1" applyBorder="1"/>
    <xf numFmtId="43" fontId="0" fillId="25" borderId="0" xfId="1" applyNumberFormat="1" applyFont="1" applyFill="1" applyBorder="1"/>
    <xf numFmtId="43" fontId="0" fillId="25" borderId="12" xfId="1" applyNumberFormat="1" applyFont="1" applyFill="1" applyBorder="1"/>
    <xf numFmtId="43" fontId="0" fillId="35" borderId="0" xfId="0" applyNumberFormat="1" applyFill="1" applyBorder="1"/>
    <xf numFmtId="43" fontId="0" fillId="35" borderId="0" xfId="1" applyNumberFormat="1" applyFont="1" applyFill="1" applyBorder="1"/>
    <xf numFmtId="43" fontId="0" fillId="35" borderId="12" xfId="1" applyNumberFormat="1" applyFont="1" applyFill="1" applyBorder="1"/>
    <xf numFmtId="43" fontId="0" fillId="0" borderId="1" xfId="0" applyNumberFormat="1" applyBorder="1"/>
    <xf numFmtId="43" fontId="1" fillId="3" borderId="11" xfId="1" applyNumberFormat="1" applyFont="1" applyFill="1" applyBorder="1"/>
    <xf numFmtId="43" fontId="0" fillId="0" borderId="3" xfId="1" applyNumberFormat="1" applyFont="1" applyFill="1" applyBorder="1" applyAlignment="1">
      <alignment horizontal="right" vertical="top"/>
    </xf>
    <xf numFmtId="43" fontId="0" fillId="0" borderId="2" xfId="1" applyNumberFormat="1" applyFont="1" applyFill="1" applyBorder="1" applyAlignment="1">
      <alignment horizontal="right" vertical="top"/>
    </xf>
    <xf numFmtId="43" fontId="0" fillId="10" borderId="3" xfId="1" applyNumberFormat="1" applyFont="1" applyFill="1" applyBorder="1" applyAlignment="1">
      <alignment horizontal="right" vertical="top"/>
    </xf>
    <xf numFmtId="43" fontId="0" fillId="24" borderId="3" xfId="1" applyNumberFormat="1" applyFont="1" applyFill="1" applyBorder="1" applyAlignment="1">
      <alignment horizontal="right" vertical="top"/>
    </xf>
    <xf numFmtId="43" fontId="0" fillId="29" borderId="3" xfId="1" applyNumberFormat="1" applyFont="1" applyFill="1" applyBorder="1" applyAlignment="1">
      <alignment horizontal="right" vertical="top"/>
    </xf>
    <xf numFmtId="43" fontId="0" fillId="9" borderId="9" xfId="1" applyNumberFormat="1" applyFont="1" applyFill="1" applyBorder="1"/>
    <xf numFmtId="43" fontId="0" fillId="35" borderId="9" xfId="1" applyNumberFormat="1" applyFont="1" applyFill="1" applyBorder="1"/>
    <xf numFmtId="166" fontId="0" fillId="0" borderId="5" xfId="1" applyNumberFormat="1" applyFont="1" applyBorder="1"/>
    <xf numFmtId="0" fontId="0" fillId="0" borderId="2" xfId="0" applyBorder="1" applyAlignment="1">
      <alignment horizontal="left" vertical="top"/>
    </xf>
    <xf numFmtId="43" fontId="0" fillId="26" borderId="0" xfId="0" applyNumberFormat="1" applyFill="1" applyBorder="1" applyAlignment="1">
      <alignment horizontal="left" vertical="top"/>
    </xf>
    <xf numFmtId="43" fontId="0" fillId="0" borderId="0" xfId="0" applyNumberFormat="1" applyFill="1" applyBorder="1" applyAlignment="1">
      <alignment horizontal="left" vertical="top"/>
    </xf>
    <xf numFmtId="43" fontId="0" fillId="9" borderId="6" xfId="1" applyNumberFormat="1" applyFont="1" applyFill="1" applyBorder="1"/>
    <xf numFmtId="43" fontId="0" fillId="35" borderId="6" xfId="1" applyNumberFormat="1" applyFont="1" applyFill="1" applyBorder="1"/>
    <xf numFmtId="43" fontId="0" fillId="25" borderId="9" xfId="1" applyNumberFormat="1" applyFont="1" applyFill="1" applyBorder="1"/>
    <xf numFmtId="43" fontId="0" fillId="25" borderId="6" xfId="1" applyNumberFormat="1" applyFont="1" applyFill="1" applyBorder="1"/>
    <xf numFmtId="43" fontId="0" fillId="36" borderId="1" xfId="1" applyNumberFormat="1" applyFont="1" applyFill="1" applyBorder="1"/>
    <xf numFmtId="43" fontId="0" fillId="36" borderId="14" xfId="1" applyNumberFormat="1" applyFont="1" applyFill="1" applyBorder="1"/>
    <xf numFmtId="0" fontId="28" fillId="0" borderId="37" xfId="0" applyFont="1" applyBorder="1"/>
    <xf numFmtId="0" fontId="44" fillId="0" borderId="0" xfId="0" applyFont="1" applyAlignment="1">
      <alignment horizontal="left" vertical="center" indent="12"/>
    </xf>
    <xf numFmtId="0" fontId="5" fillId="0" borderId="0" xfId="0" applyFont="1" applyAlignment="1">
      <alignment horizontal="left" vertical="center" indent="5"/>
    </xf>
    <xf numFmtId="0" fontId="28" fillId="0" borderId="0" xfId="0" applyFont="1" applyAlignment="1">
      <alignment horizontal="left" vertical="center" indent="4"/>
    </xf>
    <xf numFmtId="2" fontId="0" fillId="26" borderId="4" xfId="1" applyNumberFormat="1" applyFont="1" applyFill="1" applyBorder="1"/>
    <xf numFmtId="43" fontId="0" fillId="40" borderId="9" xfId="1" applyNumberFormat="1" applyFont="1" applyFill="1" applyBorder="1"/>
    <xf numFmtId="43" fontId="0" fillId="40" borderId="0" xfId="1" applyNumberFormat="1" applyFont="1" applyFill="1" applyBorder="1"/>
    <xf numFmtId="43" fontId="0" fillId="40" borderId="12" xfId="1" applyNumberFormat="1" applyFont="1" applyFill="1" applyBorder="1"/>
    <xf numFmtId="43" fontId="0" fillId="36" borderId="11" xfId="1" applyNumberFormat="1" applyFont="1" applyFill="1" applyBorder="1"/>
    <xf numFmtId="43" fontId="0" fillId="28" borderId="2" xfId="2" applyNumberFormat="1" applyFont="1" applyFill="1" applyBorder="1"/>
    <xf numFmtId="43" fontId="0" fillId="28" borderId="2" xfId="1" applyNumberFormat="1" applyFont="1" applyFill="1" applyBorder="1"/>
    <xf numFmtId="9" fontId="0" fillId="36" borderId="4" xfId="11" applyFont="1" applyFill="1" applyBorder="1"/>
    <xf numFmtId="9" fontId="0" fillId="36" borderId="42" xfId="11" applyFont="1" applyFill="1" applyBorder="1"/>
    <xf numFmtId="0" fontId="2" fillId="36" borderId="3" xfId="0" applyFont="1" applyFill="1" applyBorder="1"/>
    <xf numFmtId="0" fontId="2" fillId="36" borderId="0" xfId="0" applyFont="1" applyFill="1" applyBorder="1"/>
    <xf numFmtId="0" fontId="2" fillId="36" borderId="0" xfId="0" applyFont="1" applyFill="1"/>
    <xf numFmtId="0" fontId="0" fillId="0" borderId="6" xfId="0" applyFill="1" applyBorder="1" applyAlignment="1">
      <alignment horizontal="center" wrapText="1"/>
    </xf>
    <xf numFmtId="9" fontId="0" fillId="0" borderId="8" xfId="11" applyFont="1" applyFill="1" applyBorder="1"/>
    <xf numFmtId="43" fontId="0" fillId="9" borderId="54" xfId="1" applyFont="1" applyFill="1" applyBorder="1"/>
    <xf numFmtId="43" fontId="0" fillId="9" borderId="41" xfId="1" applyFont="1" applyFill="1" applyBorder="1"/>
    <xf numFmtId="43" fontId="0" fillId="9" borderId="49" xfId="1" applyFont="1" applyFill="1" applyBorder="1"/>
    <xf numFmtId="167" fontId="0" fillId="5" borderId="0" xfId="0" applyNumberFormat="1" applyFill="1"/>
    <xf numFmtId="43" fontId="0" fillId="15" borderId="54" xfId="1" applyFont="1" applyFill="1" applyBorder="1"/>
    <xf numFmtId="43" fontId="0" fillId="15" borderId="41" xfId="1" applyFont="1" applyFill="1" applyBorder="1"/>
    <xf numFmtId="167" fontId="0" fillId="15" borderId="0" xfId="0" applyNumberFormat="1" applyFill="1"/>
    <xf numFmtId="43" fontId="0" fillId="35" borderId="54" xfId="1" applyFont="1" applyFill="1" applyBorder="1"/>
    <xf numFmtId="43" fontId="0" fillId="35" borderId="41" xfId="1" applyFont="1" applyFill="1" applyBorder="1"/>
    <xf numFmtId="167" fontId="0" fillId="35" borderId="0" xfId="0" applyNumberFormat="1" applyFill="1"/>
    <xf numFmtId="43" fontId="0" fillId="34" borderId="54" xfId="1" applyFont="1" applyFill="1" applyBorder="1"/>
    <xf numFmtId="43" fontId="0" fillId="34" borderId="41" xfId="1" applyFont="1" applyFill="1" applyBorder="1"/>
    <xf numFmtId="43" fontId="0" fillId="8" borderId="54" xfId="1" applyFont="1" applyFill="1" applyBorder="1"/>
    <xf numFmtId="43" fontId="0" fillId="8" borderId="41" xfId="1" applyFont="1" applyFill="1" applyBorder="1"/>
    <xf numFmtId="2" fontId="16" fillId="0" borderId="2" xfId="0" applyNumberFormat="1" applyFont="1" applyBorder="1"/>
    <xf numFmtId="44" fontId="0" fillId="0" borderId="3" xfId="0" applyNumberFormat="1" applyBorder="1" applyAlignment="1">
      <alignment horizontal="left" vertical="top"/>
    </xf>
    <xf numFmtId="1" fontId="0" fillId="0" borderId="19" xfId="0" applyNumberFormat="1" applyBorder="1"/>
    <xf numFmtId="1" fontId="0" fillId="0" borderId="4" xfId="0" applyNumberFormat="1" applyBorder="1"/>
    <xf numFmtId="1" fontId="0" fillId="0" borderId="3" xfId="0" applyNumberFormat="1" applyBorder="1"/>
    <xf numFmtId="0" fontId="16" fillId="0" borderId="7" xfId="0" applyFont="1" applyBorder="1"/>
    <xf numFmtId="0" fontId="0" fillId="0" borderId="3" xfId="0" applyBorder="1" applyAlignment="1">
      <alignment horizontal="left" vertical="top"/>
    </xf>
    <xf numFmtId="43" fontId="0" fillId="9" borderId="34" xfId="1" applyFont="1" applyFill="1" applyBorder="1"/>
    <xf numFmtId="0" fontId="16" fillId="3" borderId="0" xfId="0" applyFont="1" applyFill="1"/>
    <xf numFmtId="2" fontId="33" fillId="0" borderId="0" xfId="12" applyNumberFormat="1" applyFont="1" applyAlignment="1">
      <alignment horizontal="left"/>
    </xf>
    <xf numFmtId="43" fontId="8" fillId="3" borderId="9" xfId="1" applyFont="1" applyFill="1" applyBorder="1"/>
    <xf numFmtId="0" fontId="20" fillId="0" borderId="0" xfId="0" applyFont="1" applyAlignment="1">
      <alignment horizontal="left"/>
    </xf>
    <xf numFmtId="44" fontId="8" fillId="0" borderId="14" xfId="0" applyNumberFormat="1" applyFont="1" applyBorder="1" applyAlignment="1">
      <alignment horizontal="left" vertical="top"/>
    </xf>
    <xf numFmtId="0" fontId="0" fillId="21" borderId="0" xfId="0" applyFill="1"/>
    <xf numFmtId="0" fontId="8" fillId="21" borderId="0" xfId="0" applyFont="1" applyFill="1"/>
    <xf numFmtId="0" fontId="0" fillId="21" borderId="0" xfId="0" applyFill="1" applyAlignment="1">
      <alignment horizontal="left" vertical="top"/>
    </xf>
    <xf numFmtId="2" fontId="16" fillId="0" borderId="0" xfId="0" applyNumberFormat="1" applyFont="1"/>
    <xf numFmtId="0" fontId="25" fillId="0" borderId="4" xfId="12" applyFont="1" applyBorder="1"/>
    <xf numFmtId="0" fontId="25" fillId="0" borderId="5" xfId="12" applyFont="1" applyBorder="1"/>
    <xf numFmtId="0" fontId="25" fillId="0" borderId="42" xfId="12" applyFont="1" applyBorder="1"/>
    <xf numFmtId="166" fontId="0" fillId="0" borderId="0" xfId="0" applyNumberFormat="1" applyAlignment="1">
      <alignment horizontal="right"/>
    </xf>
    <xf numFmtId="0" fontId="25" fillId="0" borderId="12" xfId="12" applyFont="1" applyBorder="1"/>
    <xf numFmtId="0" fontId="8" fillId="0" borderId="0" xfId="0" applyFont="1" applyAlignment="1">
      <alignment horizontal="right"/>
    </xf>
    <xf numFmtId="0" fontId="8" fillId="0" borderId="9" xfId="0" applyFont="1" applyBorder="1" applyAlignment="1">
      <alignment horizontal="right"/>
    </xf>
    <xf numFmtId="166" fontId="8" fillId="0" borderId="1" xfId="0" applyNumberFormat="1" applyFont="1" applyBorder="1"/>
    <xf numFmtId="166" fontId="8" fillId="0" borderId="14" xfId="0" applyNumberFormat="1" applyFont="1" applyBorder="1"/>
    <xf numFmtId="0" fontId="32" fillId="0" borderId="11" xfId="12" applyFont="1" applyBorder="1"/>
    <xf numFmtId="0" fontId="0" fillId="0" borderId="8" xfId="0" applyBorder="1" applyAlignment="1">
      <alignment horizontal="right"/>
    </xf>
    <xf numFmtId="44" fontId="8" fillId="0" borderId="0" xfId="12" applyNumberFormat="1" applyFont="1"/>
    <xf numFmtId="0" fontId="8" fillId="0" borderId="9" xfId="13" applyFont="1" applyBorder="1"/>
    <xf numFmtId="10" fontId="0" fillId="0" borderId="9" xfId="0" applyNumberFormat="1" applyBorder="1"/>
    <xf numFmtId="43" fontId="2" fillId="0" borderId="9" xfId="0" applyNumberFormat="1" applyFont="1" applyBorder="1"/>
    <xf numFmtId="9" fontId="0" fillId="0" borderId="13" xfId="0" applyNumberFormat="1" applyBorder="1"/>
    <xf numFmtId="44" fontId="0" fillId="28" borderId="0" xfId="2" applyFont="1" applyFill="1"/>
    <xf numFmtId="0" fontId="2" fillId="0" borderId="11" xfId="0" applyFont="1" applyBorder="1"/>
    <xf numFmtId="183" fontId="0" fillId="0" borderId="9" xfId="0" applyNumberFormat="1" applyBorder="1"/>
    <xf numFmtId="174" fontId="0" fillId="0" borderId="9" xfId="0" applyNumberFormat="1" applyBorder="1"/>
    <xf numFmtId="174" fontId="0" fillId="0" borderId="0" xfId="0" applyNumberFormat="1"/>
    <xf numFmtId="0" fontId="16" fillId="29" borderId="0" xfId="0" applyFont="1" applyFill="1"/>
    <xf numFmtId="9" fontId="0" fillId="0" borderId="8" xfId="0" applyNumberFormat="1" applyBorder="1"/>
    <xf numFmtId="0" fontId="5" fillId="3" borderId="0" xfId="0" applyFont="1" applyFill="1"/>
    <xf numFmtId="43" fontId="0" fillId="3" borderId="0" xfId="0" applyNumberFormat="1" applyFill="1"/>
    <xf numFmtId="182" fontId="0" fillId="0" borderId="0" xfId="0" applyNumberFormat="1"/>
    <xf numFmtId="0" fontId="8" fillId="4" borderId="0" xfId="0" applyFont="1" applyFill="1" applyAlignment="1">
      <alignment horizontal="left" vertical="top"/>
    </xf>
    <xf numFmtId="0" fontId="28" fillId="0" borderId="0" xfId="0" applyFont="1" applyAlignment="1">
      <alignment horizontal="left"/>
    </xf>
    <xf numFmtId="43" fontId="0" fillId="26" borderId="6" xfId="1" applyFont="1" applyFill="1" applyBorder="1"/>
    <xf numFmtId="43" fontId="1" fillId="3" borderId="3" xfId="1" applyFont="1" applyFill="1" applyBorder="1"/>
    <xf numFmtId="9" fontId="0" fillId="9" borderId="33" xfId="11" applyFont="1" applyFill="1" applyBorder="1"/>
    <xf numFmtId="9" fontId="0" fillId="9" borderId="31" xfId="11" applyFont="1" applyFill="1" applyBorder="1"/>
    <xf numFmtId="9" fontId="0" fillId="10" borderId="2" xfId="11" applyFont="1" applyFill="1" applyBorder="1"/>
    <xf numFmtId="9" fontId="0" fillId="10" borderId="6" xfId="11" applyFont="1" applyFill="1" applyBorder="1"/>
    <xf numFmtId="9" fontId="0" fillId="15" borderId="2" xfId="11" applyFont="1" applyFill="1" applyBorder="1"/>
    <xf numFmtId="9" fontId="0" fillId="15" borderId="6" xfId="11" applyFont="1" applyFill="1" applyBorder="1"/>
    <xf numFmtId="9" fontId="0" fillId="35" borderId="2" xfId="11" applyFont="1" applyFill="1" applyBorder="1"/>
    <xf numFmtId="9" fontId="0" fillId="34" borderId="8" xfId="11" applyFont="1" applyFill="1" applyBorder="1"/>
    <xf numFmtId="9" fontId="0" fillId="34" borderId="9" xfId="11" applyFont="1" applyFill="1" applyBorder="1"/>
    <xf numFmtId="9" fontId="0" fillId="8" borderId="8" xfId="11" applyFont="1" applyFill="1" applyBorder="1"/>
    <xf numFmtId="9" fontId="0" fillId="8" borderId="9" xfId="11" applyFont="1" applyFill="1" applyBorder="1"/>
    <xf numFmtId="9" fontId="0" fillId="9" borderId="20" xfId="11" applyFont="1" applyFill="1" applyBorder="1"/>
    <xf numFmtId="9" fontId="0" fillId="9" borderId="21" xfId="11" applyFont="1" applyFill="1" applyBorder="1"/>
    <xf numFmtId="9" fontId="0" fillId="9" borderId="55" xfId="11" applyFont="1" applyFill="1" applyBorder="1"/>
    <xf numFmtId="9" fontId="8" fillId="0" borderId="0" xfId="0" applyNumberFormat="1" applyFont="1" applyAlignment="1">
      <alignment vertical="top"/>
    </xf>
    <xf numFmtId="167" fontId="0" fillId="10" borderId="9" xfId="0" applyNumberFormat="1" applyFill="1" applyBorder="1"/>
    <xf numFmtId="167" fontId="0" fillId="5" borderId="9" xfId="2" applyNumberFormat="1" applyFont="1" applyFill="1" applyBorder="1"/>
    <xf numFmtId="167" fontId="0" fillId="5" borderId="9" xfId="0" applyNumberFormat="1" applyFill="1" applyBorder="1"/>
    <xf numFmtId="167" fontId="0" fillId="15" borderId="9" xfId="2" applyNumberFormat="1" applyFont="1" applyFill="1" applyBorder="1"/>
    <xf numFmtId="167" fontId="0" fillId="15" borderId="9" xfId="0" applyNumberFormat="1" applyFill="1" applyBorder="1"/>
    <xf numFmtId="167" fontId="0" fillId="35" borderId="8" xfId="2" applyNumberFormat="1" applyFont="1" applyFill="1" applyBorder="1"/>
    <xf numFmtId="167" fontId="0" fillId="35" borderId="9" xfId="0" applyNumberFormat="1" applyFill="1" applyBorder="1"/>
    <xf numFmtId="9" fontId="0" fillId="0" borderId="5" xfId="11" applyFont="1" applyFill="1" applyBorder="1"/>
    <xf numFmtId="9" fontId="0" fillId="0" borderId="5" xfId="2" applyNumberFormat="1" applyFont="1" applyFill="1" applyBorder="1"/>
    <xf numFmtId="9" fontId="0" fillId="10" borderId="28" xfId="11" applyFont="1" applyFill="1" applyBorder="1"/>
    <xf numFmtId="9" fontId="0" fillId="5" borderId="28" xfId="11" applyFont="1" applyFill="1" applyBorder="1"/>
    <xf numFmtId="9" fontId="0" fillId="15" borderId="28" xfId="11" applyFont="1" applyFill="1" applyBorder="1"/>
    <xf numFmtId="9" fontId="0" fillId="35" borderId="28" xfId="11" applyFont="1" applyFill="1" applyBorder="1"/>
    <xf numFmtId="9" fontId="0" fillId="34" borderId="28" xfId="11" applyFont="1" applyFill="1" applyBorder="1"/>
    <xf numFmtId="9" fontId="0" fillId="8" borderId="28" xfId="11" applyFont="1" applyFill="1" applyBorder="1"/>
    <xf numFmtId="167" fontId="0" fillId="3" borderId="32" xfId="2" applyNumberFormat="1" applyFont="1" applyFill="1" applyBorder="1"/>
    <xf numFmtId="167" fontId="0" fillId="3" borderId="33" xfId="2" applyNumberFormat="1" applyFont="1" applyFill="1" applyBorder="1"/>
    <xf numFmtId="43" fontId="0" fillId="9" borderId="28" xfId="1" applyFont="1" applyFill="1" applyBorder="1"/>
    <xf numFmtId="43" fontId="0" fillId="9" borderId="53" xfId="1" applyFont="1" applyFill="1" applyBorder="1"/>
    <xf numFmtId="167" fontId="0" fillId="0" borderId="33" xfId="2" applyNumberFormat="1" applyFont="1" applyFill="1" applyBorder="1"/>
    <xf numFmtId="167" fontId="0" fillId="0" borderId="31" xfId="2" applyNumberFormat="1" applyFont="1" applyFill="1" applyBorder="1"/>
    <xf numFmtId="43" fontId="0" fillId="9" borderId="26" xfId="1" applyFont="1" applyFill="1" applyBorder="1"/>
    <xf numFmtId="9" fontId="0" fillId="3" borderId="28" xfId="11" applyFont="1" applyFill="1" applyBorder="1"/>
    <xf numFmtId="9" fontId="0" fillId="0" borderId="28" xfId="11" applyFont="1" applyFill="1" applyBorder="1"/>
    <xf numFmtId="9" fontId="0" fillId="0" borderId="26" xfId="11" applyFont="1" applyFill="1" applyBorder="1"/>
    <xf numFmtId="43" fontId="0" fillId="36" borderId="6" xfId="1" applyFont="1" applyFill="1" applyBorder="1"/>
    <xf numFmtId="43" fontId="0" fillId="36" borderId="2" xfId="1" applyFont="1" applyFill="1" applyBorder="1"/>
    <xf numFmtId="9" fontId="0" fillId="0" borderId="0" xfId="1" applyNumberFormat="1" applyFont="1" applyFill="1" applyBorder="1"/>
    <xf numFmtId="9" fontId="0" fillId="0" borderId="6" xfId="1" applyNumberFormat="1" applyFont="1" applyFill="1" applyBorder="1"/>
    <xf numFmtId="0" fontId="0" fillId="7" borderId="0" xfId="0" applyFill="1"/>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7" xfId="0" applyFont="1" applyFill="1" applyBorder="1" applyAlignment="1">
      <alignment horizontal="left" vertical="top" wrapText="1"/>
    </xf>
    <xf numFmtId="0" fontId="21" fillId="32" borderId="2" xfId="0" applyFont="1" applyFill="1" applyBorder="1" applyAlignment="1">
      <alignment horizontal="left" vertical="top" wrapText="1"/>
    </xf>
    <xf numFmtId="0" fontId="21" fillId="32" borderId="6" xfId="0" applyFont="1" applyFill="1" applyBorder="1" applyAlignment="1">
      <alignment horizontal="left" vertical="top" wrapText="1"/>
    </xf>
    <xf numFmtId="0" fontId="21" fillId="32" borderId="7" xfId="0" applyFont="1" applyFill="1" applyBorder="1" applyAlignment="1">
      <alignment horizontal="left" vertical="top" wrapText="1"/>
    </xf>
    <xf numFmtId="167" fontId="0" fillId="10" borderId="8" xfId="2" applyNumberFormat="1" applyFont="1" applyFill="1" applyBorder="1"/>
    <xf numFmtId="167" fontId="0" fillId="15" borderId="8" xfId="2" applyNumberFormat="1" applyFont="1" applyFill="1" applyBorder="1"/>
    <xf numFmtId="167" fontId="0" fillId="10" borderId="36" xfId="2" applyNumberFormat="1" applyFont="1" applyFill="1" applyBorder="1"/>
    <xf numFmtId="43" fontId="0" fillId="10" borderId="35" xfId="1" applyFont="1" applyFill="1" applyBorder="1"/>
    <xf numFmtId="178" fontId="0" fillId="10" borderId="33" xfId="1" applyNumberFormat="1" applyFont="1" applyFill="1" applyBorder="1"/>
    <xf numFmtId="167" fontId="0" fillId="10" borderId="35" xfId="0" applyNumberFormat="1" applyFill="1" applyBorder="1"/>
    <xf numFmtId="178" fontId="0" fillId="10" borderId="33" xfId="0" applyNumberFormat="1" applyFill="1" applyBorder="1"/>
    <xf numFmtId="43" fontId="0" fillId="5" borderId="28" xfId="1" applyFont="1" applyFill="1" applyBorder="1"/>
    <xf numFmtId="178" fontId="0" fillId="5" borderId="33" xfId="1" applyNumberFormat="1" applyFont="1" applyFill="1" applyBorder="1"/>
    <xf numFmtId="43" fontId="0" fillId="3" borderId="27" xfId="1" applyFont="1" applyFill="1" applyBorder="1"/>
    <xf numFmtId="178" fontId="0" fillId="3" borderId="32" xfId="1" applyNumberFormat="1" applyFont="1" applyFill="1" applyBorder="1"/>
    <xf numFmtId="43" fontId="0" fillId="3" borderId="28" xfId="1" applyFont="1" applyFill="1" applyBorder="1"/>
    <xf numFmtId="178" fontId="0" fillId="3" borderId="33" xfId="1" applyNumberFormat="1" applyFont="1" applyFill="1" applyBorder="1"/>
    <xf numFmtId="43" fontId="0" fillId="0" borderId="41" xfId="1" applyFont="1" applyFill="1" applyBorder="1"/>
    <xf numFmtId="178" fontId="0" fillId="0" borderId="33" xfId="1" applyNumberFormat="1" applyFont="1" applyFill="1" applyBorder="1"/>
    <xf numFmtId="43" fontId="0" fillId="0" borderId="33" xfId="1" applyFont="1" applyFill="1" applyBorder="1"/>
    <xf numFmtId="43" fontId="0" fillId="0" borderId="49" xfId="1" applyFont="1" applyFill="1" applyBorder="1"/>
    <xf numFmtId="43" fontId="0" fillId="0" borderId="31" xfId="1" applyFont="1" applyFill="1" applyBorder="1"/>
    <xf numFmtId="43" fontId="0" fillId="9" borderId="27" xfId="1" applyFont="1" applyFill="1" applyBorder="1"/>
    <xf numFmtId="0" fontId="0" fillId="0" borderId="57" xfId="0" applyBorder="1" applyAlignment="1">
      <alignment horizontal="center" vertical="center" wrapText="1"/>
    </xf>
    <xf numFmtId="0" fontId="0" fillId="0" borderId="28" xfId="0" applyBorder="1" applyAlignment="1">
      <alignment horizontal="center" vertical="center" wrapText="1"/>
    </xf>
    <xf numFmtId="166" fontId="0" fillId="12" borderId="4" xfId="1" applyNumberFormat="1" applyFont="1" applyFill="1" applyBorder="1" applyAlignment="1">
      <alignment horizontal="right" vertical="top"/>
    </xf>
    <xf numFmtId="1" fontId="0" fillId="12" borderId="4" xfId="0" applyNumberFormat="1" applyFill="1" applyBorder="1" applyAlignment="1">
      <alignment horizontal="right" vertical="top"/>
    </xf>
    <xf numFmtId="0" fontId="0" fillId="26" borderId="6" xfId="0" applyFill="1" applyBorder="1"/>
    <xf numFmtId="167" fontId="0" fillId="26" borderId="9" xfId="2" applyNumberFormat="1" applyFont="1" applyFill="1" applyBorder="1"/>
    <xf numFmtId="167" fontId="0" fillId="26" borderId="0" xfId="2" applyNumberFormat="1" applyFont="1" applyFill="1" applyBorder="1"/>
    <xf numFmtId="167" fontId="0" fillId="26" borderId="12" xfId="2" applyNumberFormat="1" applyFont="1" applyFill="1" applyBorder="1"/>
    <xf numFmtId="43" fontId="0" fillId="26" borderId="9" xfId="1" applyNumberFormat="1" applyFont="1" applyFill="1" applyBorder="1"/>
    <xf numFmtId="43" fontId="0" fillId="26" borderId="0" xfId="1" applyNumberFormat="1" applyFont="1" applyFill="1" applyBorder="1"/>
    <xf numFmtId="43" fontId="0" fillId="26" borderId="12" xfId="1" applyNumberFormat="1" applyFont="1" applyFill="1" applyBorder="1"/>
    <xf numFmtId="0" fontId="45" fillId="0" borderId="0" xfId="0" applyFont="1" applyAlignment="1">
      <alignment horizontal="left" vertical="center" indent="15"/>
    </xf>
    <xf numFmtId="0" fontId="16" fillId="42" borderId="2" xfId="0" applyFont="1" applyFill="1" applyBorder="1"/>
    <xf numFmtId="0" fontId="0" fillId="42" borderId="3" xfId="0" applyFill="1" applyBorder="1"/>
    <xf numFmtId="166" fontId="0" fillId="42" borderId="3" xfId="1" applyNumberFormat="1" applyFont="1" applyFill="1" applyBorder="1" applyAlignment="1">
      <alignment horizontal="right" vertical="top"/>
    </xf>
    <xf numFmtId="167" fontId="0" fillId="42" borderId="3" xfId="2" applyNumberFormat="1" applyFont="1" applyFill="1" applyBorder="1"/>
    <xf numFmtId="0" fontId="0" fillId="42" borderId="3" xfId="2" applyNumberFormat="1" applyFont="1" applyFill="1" applyBorder="1"/>
    <xf numFmtId="166" fontId="0" fillId="42" borderId="4" xfId="1" applyNumberFormat="1" applyFont="1" applyFill="1" applyBorder="1" applyAlignment="1">
      <alignment horizontal="right" vertical="top"/>
    </xf>
    <xf numFmtId="1" fontId="0" fillId="42" borderId="19" xfId="0" applyNumberFormat="1" applyFill="1" applyBorder="1"/>
    <xf numFmtId="1" fontId="0" fillId="42" borderId="4" xfId="0" applyNumberFormat="1" applyFill="1" applyBorder="1"/>
    <xf numFmtId="167" fontId="0" fillId="42" borderId="5" xfId="2" applyNumberFormat="1" applyFont="1" applyFill="1" applyBorder="1"/>
    <xf numFmtId="167" fontId="0" fillId="42" borderId="20" xfId="2" applyNumberFormat="1" applyFont="1" applyFill="1" applyBorder="1"/>
    <xf numFmtId="43" fontId="0" fillId="42" borderId="20" xfId="1" applyFont="1" applyFill="1" applyBorder="1"/>
    <xf numFmtId="0" fontId="26" fillId="42" borderId="10" xfId="0" applyFont="1" applyFill="1" applyBorder="1" applyAlignment="1">
      <alignment horizontal="left" vertical="top" wrapText="1"/>
    </xf>
    <xf numFmtId="44" fontId="0" fillId="42" borderId="27" xfId="2" applyNumberFormat="1" applyFont="1" applyFill="1" applyBorder="1"/>
    <xf numFmtId="167" fontId="0" fillId="42" borderId="27" xfId="2" applyNumberFormat="1" applyFont="1" applyFill="1" applyBorder="1"/>
    <xf numFmtId="167" fontId="0" fillId="42" borderId="13" xfId="2" applyNumberFormat="1" applyFont="1" applyFill="1" applyBorder="1"/>
    <xf numFmtId="167" fontId="0" fillId="42" borderId="54" xfId="2" applyNumberFormat="1" applyFont="1" applyFill="1" applyBorder="1"/>
    <xf numFmtId="9" fontId="0" fillId="42" borderId="32" xfId="11" applyFont="1" applyFill="1" applyBorder="1"/>
    <xf numFmtId="44" fontId="0" fillId="42" borderId="28" xfId="2" applyFont="1" applyFill="1" applyBorder="1"/>
    <xf numFmtId="0" fontId="0" fillId="42" borderId="33" xfId="0" applyFill="1" applyBorder="1"/>
    <xf numFmtId="0" fontId="0" fillId="42" borderId="0" xfId="2" applyNumberFormat="1" applyFont="1" applyFill="1" applyBorder="1"/>
    <xf numFmtId="177" fontId="0" fillId="42" borderId="0" xfId="0" applyNumberFormat="1" applyFill="1"/>
    <xf numFmtId="1" fontId="0" fillId="42" borderId="3" xfId="0" applyNumberFormat="1" applyFill="1" applyBorder="1"/>
    <xf numFmtId="167" fontId="0" fillId="42" borderId="2" xfId="2" applyNumberFormat="1" applyFont="1" applyFill="1" applyBorder="1"/>
    <xf numFmtId="0" fontId="0" fillId="42" borderId="0" xfId="0" applyFill="1"/>
    <xf numFmtId="0" fontId="16" fillId="42" borderId="6" xfId="0" applyFont="1" applyFill="1" applyBorder="1"/>
    <xf numFmtId="166" fontId="0" fillId="42" borderId="3" xfId="1" applyNumberFormat="1" applyFont="1" applyFill="1" applyBorder="1"/>
    <xf numFmtId="167" fontId="0" fillId="42" borderId="21" xfId="2" applyNumberFormat="1" applyFont="1" applyFill="1" applyBorder="1"/>
    <xf numFmtId="43" fontId="0" fillId="42" borderId="21" xfId="1" applyFont="1" applyFill="1" applyBorder="1"/>
    <xf numFmtId="0" fontId="26" fillId="42" borderId="12" xfId="0" applyFont="1" applyFill="1" applyBorder="1" applyAlignment="1">
      <alignment horizontal="left" vertical="top" wrapText="1"/>
    </xf>
    <xf numFmtId="167" fontId="0" fillId="42" borderId="28" xfId="2" applyNumberFormat="1" applyFont="1" applyFill="1" applyBorder="1"/>
    <xf numFmtId="167" fontId="0" fillId="42" borderId="0" xfId="2" applyNumberFormat="1" applyFont="1" applyFill="1" applyBorder="1"/>
    <xf numFmtId="167" fontId="0" fillId="42" borderId="41" xfId="2" applyNumberFormat="1" applyFont="1" applyFill="1" applyBorder="1"/>
    <xf numFmtId="44" fontId="28" fillId="42" borderId="28" xfId="11" applyNumberFormat="1" applyFont="1" applyFill="1" applyBorder="1"/>
    <xf numFmtId="167" fontId="0" fillId="42" borderId="6" xfId="2" applyNumberFormat="1" applyFont="1" applyFill="1" applyBorder="1"/>
    <xf numFmtId="0" fontId="26" fillId="42" borderId="11" xfId="0" applyFont="1" applyFill="1" applyBorder="1" applyAlignment="1">
      <alignment horizontal="left" vertical="top" wrapText="1"/>
    </xf>
    <xf numFmtId="1" fontId="0" fillId="14" borderId="4" xfId="0" applyNumberFormat="1" applyFill="1" applyBorder="1" applyAlignment="1">
      <alignment horizontal="right" vertical="top"/>
    </xf>
    <xf numFmtId="0" fontId="0" fillId="42" borderId="12" xfId="0" applyFill="1" applyBorder="1"/>
    <xf numFmtId="0" fontId="0" fillId="43" borderId="12" xfId="0" applyFill="1" applyBorder="1"/>
    <xf numFmtId="0" fontId="0" fillId="35" borderId="12" xfId="0" applyFill="1" applyBorder="1"/>
    <xf numFmtId="0" fontId="0" fillId="0" borderId="57" xfId="0" applyBorder="1"/>
    <xf numFmtId="44" fontId="0" fillId="0" borderId="28" xfId="2" applyFont="1" applyBorder="1"/>
    <xf numFmtId="44" fontId="0" fillId="0" borderId="15" xfId="2" applyFont="1" applyBorder="1"/>
    <xf numFmtId="44" fontId="0" fillId="0" borderId="37" xfId="2" applyFont="1" applyBorder="1"/>
    <xf numFmtId="44" fontId="0" fillId="0" borderId="29" xfId="2" applyFont="1" applyBorder="1"/>
    <xf numFmtId="44" fontId="0" fillId="0" borderId="41" xfId="2" applyFont="1" applyBorder="1"/>
    <xf numFmtId="44" fontId="0" fillId="0" borderId="33" xfId="2" applyFont="1" applyBorder="1"/>
    <xf numFmtId="0" fontId="0" fillId="0" borderId="41" xfId="0" applyBorder="1"/>
    <xf numFmtId="0" fontId="0" fillId="0" borderId="39" xfId="0" applyBorder="1"/>
    <xf numFmtId="44" fontId="0" fillId="0" borderId="38" xfId="2" applyFont="1" applyBorder="1"/>
    <xf numFmtId="44" fontId="0" fillId="0" borderId="57" xfId="2" applyFont="1" applyBorder="1"/>
    <xf numFmtId="44" fontId="0" fillId="0" borderId="53" xfId="2" applyFont="1" applyBorder="1"/>
    <xf numFmtId="0" fontId="0" fillId="20" borderId="0" xfId="0" applyFill="1" applyBorder="1"/>
    <xf numFmtId="44" fontId="0" fillId="20" borderId="37" xfId="2" applyFont="1" applyFill="1" applyBorder="1"/>
    <xf numFmtId="44" fontId="0" fillId="20" borderId="0" xfId="2" applyFont="1" applyFill="1" applyBorder="1"/>
    <xf numFmtId="44" fontId="0" fillId="20" borderId="38" xfId="2" applyFont="1" applyFill="1" applyBorder="1"/>
    <xf numFmtId="0" fontId="0" fillId="0" borderId="15" xfId="0" applyBorder="1"/>
    <xf numFmtId="44" fontId="0" fillId="0" borderId="37" xfId="2" applyFont="1" applyFill="1" applyBorder="1"/>
    <xf numFmtId="0" fontId="0" fillId="0" borderId="6" xfId="0" applyBorder="1" applyAlignment="1">
      <alignment horizontal="center" wrapText="1"/>
    </xf>
    <xf numFmtId="0" fontId="2" fillId="0" borderId="0" xfId="0" applyFont="1" applyAlignment="1">
      <alignment horizontal="center"/>
    </xf>
    <xf numFmtId="0" fontId="0" fillId="0" borderId="0" xfId="0" applyBorder="1" applyAlignment="1">
      <alignment horizontal="center"/>
    </xf>
    <xf numFmtId="0" fontId="0" fillId="0" borderId="9" xfId="0" applyBorder="1" applyAlignment="1">
      <alignment horizontal="center" wrapText="1"/>
    </xf>
    <xf numFmtId="0" fontId="0" fillId="0" borderId="12" xfId="0" applyBorder="1" applyAlignment="1">
      <alignment horizontal="center" wrapText="1"/>
    </xf>
    <xf numFmtId="0" fontId="0" fillId="0" borderId="2" xfId="0" applyBorder="1" applyAlignment="1">
      <alignment horizontal="center" wrapText="1"/>
    </xf>
    <xf numFmtId="0" fontId="0" fillId="0" borderId="4" xfId="0" applyBorder="1" applyAlignment="1">
      <alignment vertical="top" wrapText="1"/>
    </xf>
    <xf numFmtId="0" fontId="0" fillId="0" borderId="5" xfId="0" applyBorder="1" applyAlignment="1">
      <alignment vertical="top" wrapText="1"/>
    </xf>
    <xf numFmtId="0" fontId="0" fillId="0" borderId="4" xfId="0" applyBorder="1" applyAlignment="1">
      <alignment wrapText="1"/>
    </xf>
    <xf numFmtId="0" fontId="0" fillId="0" borderId="5" xfId="0" applyBorder="1" applyAlignment="1">
      <alignment wrapText="1"/>
    </xf>
    <xf numFmtId="0" fontId="0" fillId="0" borderId="3" xfId="0" applyBorder="1" applyAlignment="1">
      <alignment wrapText="1"/>
    </xf>
    <xf numFmtId="0" fontId="0" fillId="0" borderId="3" xfId="0" applyBorder="1" applyAlignment="1">
      <alignment vertical="top" wrapText="1"/>
    </xf>
    <xf numFmtId="167" fontId="0" fillId="36" borderId="8" xfId="2" applyNumberFormat="1" applyFont="1" applyFill="1" applyBorder="1"/>
    <xf numFmtId="167" fontId="0" fillId="36" borderId="2" xfId="2" applyNumberFormat="1" applyFont="1" applyFill="1" applyBorder="1"/>
    <xf numFmtId="167" fontId="0" fillId="36" borderId="1" xfId="2" applyNumberFormat="1" applyFont="1" applyFill="1" applyBorder="1"/>
    <xf numFmtId="167" fontId="0" fillId="36" borderId="7" xfId="2" applyNumberFormat="1" applyFont="1" applyFill="1" applyBorder="1"/>
    <xf numFmtId="167" fontId="0" fillId="36" borderId="11" xfId="2" applyNumberFormat="1" applyFont="1" applyFill="1" applyBorder="1"/>
    <xf numFmtId="43" fontId="0" fillId="26" borderId="6" xfId="1" applyNumberFormat="1" applyFont="1" applyFill="1" applyBorder="1"/>
    <xf numFmtId="43" fontId="0" fillId="36" borderId="7" xfId="1" applyNumberFormat="1" applyFont="1" applyFill="1" applyBorder="1"/>
    <xf numFmtId="43" fontId="1" fillId="3" borderId="7" xfId="1" applyNumberFormat="1" applyFont="1" applyFill="1" applyBorder="1"/>
    <xf numFmtId="0" fontId="0" fillId="0" borderId="4"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0" fillId="42" borderId="6" xfId="0" applyFill="1" applyBorder="1"/>
    <xf numFmtId="0" fontId="0" fillId="43" borderId="6" xfId="0" applyFill="1" applyBorder="1"/>
    <xf numFmtId="0" fontId="0" fillId="15" borderId="6" xfId="0" applyFill="1" applyBorder="1"/>
    <xf numFmtId="0" fontId="0" fillId="12" borderId="6" xfId="0" applyFill="1" applyBorder="1"/>
    <xf numFmtId="166" fontId="0" fillId="42" borderId="4" xfId="1" applyNumberFormat="1" applyFont="1" applyFill="1" applyBorder="1"/>
    <xf numFmtId="9" fontId="0" fillId="42" borderId="19" xfId="11" applyFont="1" applyFill="1" applyBorder="1"/>
    <xf numFmtId="167" fontId="0" fillId="42" borderId="8" xfId="2" applyNumberFormat="1" applyFont="1" applyFill="1" applyBorder="1"/>
    <xf numFmtId="43" fontId="0" fillId="42" borderId="27" xfId="1" applyFont="1" applyFill="1" applyBorder="1"/>
    <xf numFmtId="178" fontId="0" fillId="42" borderId="20" xfId="1" applyNumberFormat="1" applyFont="1" applyFill="1" applyBorder="1"/>
    <xf numFmtId="178" fontId="0" fillId="42" borderId="32" xfId="1" applyNumberFormat="1" applyFont="1" applyFill="1" applyBorder="1"/>
    <xf numFmtId="44" fontId="0" fillId="42" borderId="27" xfId="2" applyFont="1" applyFill="1" applyBorder="1"/>
    <xf numFmtId="167" fontId="0" fillId="42" borderId="32" xfId="2" applyNumberFormat="1" applyFont="1" applyFill="1" applyBorder="1"/>
    <xf numFmtId="9" fontId="0" fillId="42" borderId="13" xfId="11" applyFont="1" applyFill="1" applyBorder="1"/>
    <xf numFmtId="6" fontId="0" fillId="42" borderId="20" xfId="2" applyNumberFormat="1" applyFont="1" applyFill="1" applyBorder="1"/>
    <xf numFmtId="0" fontId="0" fillId="42" borderId="10" xfId="0" applyFill="1" applyBorder="1"/>
    <xf numFmtId="167" fontId="0" fillId="42" borderId="3" xfId="2" applyNumberFormat="1" applyFont="1" applyFill="1" applyBorder="1" applyAlignment="1">
      <alignment horizontal="left" vertical="top"/>
    </xf>
    <xf numFmtId="167" fontId="0" fillId="42" borderId="9" xfId="2" applyNumberFormat="1" applyFont="1" applyFill="1" applyBorder="1"/>
    <xf numFmtId="43" fontId="0" fillId="42" borderId="28" xfId="1" applyFont="1" applyFill="1" applyBorder="1"/>
    <xf numFmtId="178" fontId="0" fillId="42" borderId="21" xfId="1" applyNumberFormat="1" applyFont="1" applyFill="1" applyBorder="1"/>
    <xf numFmtId="178" fontId="0" fillId="42" borderId="33" xfId="1" applyNumberFormat="1" applyFont="1" applyFill="1" applyBorder="1"/>
    <xf numFmtId="9" fontId="0" fillId="42" borderId="28" xfId="11" applyFont="1" applyFill="1" applyBorder="1"/>
    <xf numFmtId="167" fontId="0" fillId="42" borderId="33" xfId="2" applyNumberFormat="1" applyFont="1" applyFill="1" applyBorder="1"/>
    <xf numFmtId="44" fontId="28" fillId="42" borderId="21" xfId="11" applyNumberFormat="1" applyFont="1" applyFill="1" applyBorder="1"/>
    <xf numFmtId="43" fontId="0" fillId="42" borderId="20" xfId="2" applyNumberFormat="1" applyFont="1" applyFill="1" applyBorder="1"/>
    <xf numFmtId="44" fontId="28" fillId="42" borderId="18" xfId="11" applyNumberFormat="1" applyFont="1" applyFill="1" applyBorder="1"/>
    <xf numFmtId="0" fontId="0" fillId="42" borderId="11" xfId="0" applyFill="1" applyBorder="1"/>
    <xf numFmtId="44" fontId="0" fillId="26" borderId="6" xfId="2" applyFont="1" applyFill="1" applyBorder="1"/>
    <xf numFmtId="43" fontId="0" fillId="28" borderId="6" xfId="1" applyFont="1" applyFill="1" applyBorder="1"/>
    <xf numFmtId="0" fontId="45" fillId="0" borderId="0" xfId="0" applyFont="1" applyBorder="1" applyAlignment="1">
      <alignment horizontal="left" vertical="center" indent="8"/>
    </xf>
    <xf numFmtId="0" fontId="65" fillId="0" borderId="0" xfId="0" applyFont="1" applyBorder="1" applyAlignment="1">
      <alignment vertical="top"/>
    </xf>
    <xf numFmtId="0" fontId="33" fillId="0" borderId="62" xfId="0" applyFont="1" applyBorder="1" applyAlignment="1">
      <alignment vertical="center"/>
    </xf>
    <xf numFmtId="0" fontId="19" fillId="0" borderId="28" xfId="0" applyFont="1" applyBorder="1" applyAlignment="1">
      <alignment vertical="center"/>
    </xf>
    <xf numFmtId="0" fontId="19" fillId="0" borderId="53" xfId="0" applyFont="1" applyBorder="1" applyAlignment="1">
      <alignment vertical="center"/>
    </xf>
    <xf numFmtId="0" fontId="33" fillId="0" borderId="50" xfId="0" applyFont="1" applyBorder="1" applyAlignment="1">
      <alignment vertical="center"/>
    </xf>
    <xf numFmtId="0" fontId="19" fillId="0" borderId="41" xfId="0" applyFont="1" applyBorder="1" applyAlignment="1">
      <alignment horizontal="center" vertical="center"/>
    </xf>
    <xf numFmtId="0" fontId="19" fillId="0" borderId="39" xfId="0" applyFont="1" applyBorder="1" applyAlignment="1">
      <alignment horizontal="center" vertical="center"/>
    </xf>
    <xf numFmtId="0" fontId="5" fillId="0" borderId="28" xfId="0" applyFont="1" applyBorder="1"/>
    <xf numFmtId="0" fontId="21" fillId="0" borderId="0" xfId="0" applyFont="1" applyAlignment="1">
      <alignment horizontal="left" vertical="top" wrapText="1"/>
    </xf>
    <xf numFmtId="167" fontId="0" fillId="0" borderId="41" xfId="0" applyNumberFormat="1" applyBorder="1"/>
    <xf numFmtId="44" fontId="1" fillId="0" borderId="0" xfId="2" applyFont="1" applyBorder="1"/>
    <xf numFmtId="167" fontId="0" fillId="26" borderId="54" xfId="2" applyNumberFormat="1" applyFont="1" applyFill="1" applyBorder="1"/>
    <xf numFmtId="170" fontId="0" fillId="24" borderId="3" xfId="1" applyNumberFormat="1" applyFont="1" applyFill="1" applyBorder="1" applyAlignment="1">
      <alignment horizontal="right" vertical="top"/>
    </xf>
    <xf numFmtId="170" fontId="0" fillId="29" borderId="3" xfId="1" applyNumberFormat="1" applyFont="1" applyFill="1" applyBorder="1" applyAlignment="1">
      <alignment horizontal="right" vertical="top"/>
    </xf>
    <xf numFmtId="170" fontId="0" fillId="9" borderId="3" xfId="1" applyNumberFormat="1" applyFont="1" applyFill="1" applyBorder="1" applyAlignment="1">
      <alignment horizontal="right" vertical="top"/>
    </xf>
    <xf numFmtId="170" fontId="0" fillId="10" borderId="3" xfId="1" applyNumberFormat="1" applyFont="1" applyFill="1" applyBorder="1" applyAlignment="1">
      <alignment horizontal="right" vertical="top"/>
    </xf>
    <xf numFmtId="170" fontId="0" fillId="9" borderId="3" xfId="1" applyNumberFormat="1" applyFont="1" applyFill="1" applyBorder="1"/>
    <xf numFmtId="170" fontId="0" fillId="14" borderId="3" xfId="1" applyNumberFormat="1" applyFont="1" applyFill="1" applyBorder="1" applyAlignment="1">
      <alignment horizontal="right" vertical="top"/>
    </xf>
    <xf numFmtId="170" fontId="0" fillId="14" borderId="3" xfId="1" applyNumberFormat="1" applyFont="1" applyFill="1" applyBorder="1"/>
    <xf numFmtId="170" fontId="0" fillId="0" borderId="0" xfId="0" applyNumberFormat="1" applyAlignment="1">
      <alignment horizontal="left" vertical="top"/>
    </xf>
    <xf numFmtId="170" fontId="2" fillId="0" borderId="3" xfId="0" applyNumberFormat="1" applyFont="1" applyBorder="1" applyAlignment="1">
      <alignment horizontal="center" vertical="top" wrapText="1"/>
    </xf>
    <xf numFmtId="170" fontId="2" fillId="0" borderId="4" xfId="0" applyNumberFormat="1" applyFont="1" applyBorder="1" applyAlignment="1">
      <alignment horizontal="center" vertical="top" wrapText="1"/>
    </xf>
    <xf numFmtId="0" fontId="89" fillId="0" borderId="0" xfId="0" applyFont="1"/>
    <xf numFmtId="0" fontId="21" fillId="2" borderId="2"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7" xfId="0" applyFont="1" applyFill="1" applyBorder="1" applyAlignment="1">
      <alignment horizontal="left" vertical="top"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0" fillId="0" borderId="5" xfId="0" applyBorder="1" applyAlignment="1">
      <alignment horizontal="center"/>
    </xf>
    <xf numFmtId="0" fontId="21" fillId="12" borderId="2" xfId="0" applyFont="1" applyFill="1" applyBorder="1" applyAlignment="1">
      <alignment horizontal="left" vertical="top" wrapText="1"/>
    </xf>
    <xf numFmtId="0" fontId="21" fillId="12" borderId="6" xfId="0" applyFont="1" applyFill="1" applyBorder="1" applyAlignment="1">
      <alignment horizontal="left" vertical="top" wrapText="1"/>
    </xf>
    <xf numFmtId="0" fontId="21" fillId="12" borderId="7" xfId="0" applyFont="1" applyFill="1" applyBorder="1" applyAlignment="1">
      <alignment horizontal="left" vertical="top" wrapText="1"/>
    </xf>
    <xf numFmtId="0" fontId="26" fillId="12" borderId="2" xfId="0" applyFont="1" applyFill="1" applyBorder="1" applyAlignment="1">
      <alignment horizontal="left" vertical="top" wrapText="1"/>
    </xf>
    <xf numFmtId="0" fontId="26" fillId="12" borderId="6" xfId="0" applyFont="1" applyFill="1" applyBorder="1" applyAlignment="1">
      <alignment horizontal="left" vertical="top" wrapText="1"/>
    </xf>
    <xf numFmtId="0" fontId="26" fillId="12" borderId="7" xfId="0" applyFont="1" applyFill="1" applyBorder="1" applyAlignment="1">
      <alignment horizontal="left" vertical="top" wrapText="1"/>
    </xf>
    <xf numFmtId="0" fontId="21" fillId="3" borderId="2" xfId="0" applyFont="1" applyFill="1" applyBorder="1" applyAlignment="1">
      <alignment horizontal="left" vertical="top" wrapText="1"/>
    </xf>
    <xf numFmtId="0" fontId="21" fillId="3" borderId="6" xfId="0" applyFont="1" applyFill="1" applyBorder="1" applyAlignment="1">
      <alignment horizontal="left" vertical="top" wrapText="1"/>
    </xf>
    <xf numFmtId="0" fontId="21" fillId="3" borderId="7" xfId="0" applyFont="1" applyFill="1" applyBorder="1" applyAlignment="1">
      <alignment horizontal="left" vertical="top" wrapText="1"/>
    </xf>
    <xf numFmtId="0" fontId="0" fillId="0" borderId="0" xfId="0" applyAlignment="1">
      <alignment horizontal="center" vertical="center" wrapText="1"/>
    </xf>
    <xf numFmtId="0" fontId="21" fillId="32" borderId="2" xfId="0" applyFont="1" applyFill="1" applyBorder="1" applyAlignment="1">
      <alignment horizontal="left" vertical="top" wrapText="1"/>
    </xf>
    <xf numFmtId="0" fontId="21" fillId="32" borderId="6" xfId="0" applyFont="1" applyFill="1" applyBorder="1" applyAlignment="1">
      <alignment horizontal="left" vertical="top" wrapText="1"/>
    </xf>
    <xf numFmtId="0" fontId="21" fillId="32" borderId="7" xfId="0" applyFont="1" applyFill="1" applyBorder="1" applyAlignment="1">
      <alignment horizontal="left" vertical="top" wrapText="1"/>
    </xf>
    <xf numFmtId="0" fontId="26" fillId="3" borderId="2" xfId="0" applyFont="1" applyFill="1" applyBorder="1" applyAlignment="1">
      <alignment horizontal="left" vertical="top" wrapText="1"/>
    </xf>
    <xf numFmtId="0" fontId="26" fillId="3" borderId="6" xfId="0" applyFont="1" applyFill="1" applyBorder="1" applyAlignment="1">
      <alignment horizontal="left" vertical="top" wrapText="1"/>
    </xf>
    <xf numFmtId="0" fontId="26" fillId="3" borderId="7" xfId="0" applyFont="1" applyFill="1" applyBorder="1" applyAlignment="1">
      <alignment horizontal="left" vertical="top" wrapText="1"/>
    </xf>
    <xf numFmtId="0" fontId="26" fillId="6" borderId="2" xfId="0" applyFont="1" applyFill="1" applyBorder="1" applyAlignment="1">
      <alignment horizontal="left" vertical="top" wrapText="1"/>
    </xf>
    <xf numFmtId="0" fontId="26" fillId="6" borderId="6" xfId="0" applyFont="1" applyFill="1" applyBorder="1" applyAlignment="1">
      <alignment horizontal="left" vertical="top" wrapText="1"/>
    </xf>
    <xf numFmtId="0" fontId="26" fillId="6" borderId="7" xfId="0" applyFont="1" applyFill="1" applyBorder="1" applyAlignment="1">
      <alignment horizontal="left" vertical="top" wrapText="1"/>
    </xf>
    <xf numFmtId="176" fontId="0" fillId="0" borderId="0" xfId="0" applyNumberFormat="1"/>
    <xf numFmtId="43" fontId="30" fillId="0" borderId="0" xfId="1" applyFont="1"/>
    <xf numFmtId="43" fontId="8" fillId="0" borderId="9" xfId="1" applyNumberFormat="1" applyFont="1" applyFill="1" applyBorder="1" applyAlignment="1">
      <alignment horizontal="left" indent="1"/>
    </xf>
    <xf numFmtId="166" fontId="8" fillId="3" borderId="0" xfId="1" applyNumberFormat="1" applyFont="1" applyFill="1"/>
    <xf numFmtId="9" fontId="0" fillId="12" borderId="13" xfId="11" applyFont="1" applyFill="1" applyBorder="1"/>
    <xf numFmtId="0" fontId="49" fillId="12" borderId="10" xfId="14" applyFill="1" applyBorder="1"/>
    <xf numFmtId="167" fontId="28" fillId="12" borderId="21" xfId="11" applyNumberFormat="1" applyFont="1" applyFill="1" applyBorder="1"/>
    <xf numFmtId="43" fontId="0" fillId="12" borderId="20" xfId="2" applyNumberFormat="1" applyFont="1" applyFill="1" applyBorder="1"/>
    <xf numFmtId="44" fontId="28" fillId="12" borderId="18" xfId="11" applyNumberFormat="1" applyFont="1" applyFill="1" applyBorder="1"/>
    <xf numFmtId="0" fontId="0" fillId="12" borderId="11" xfId="0" applyFill="1" applyBorder="1"/>
    <xf numFmtId="2" fontId="16" fillId="9" borderId="2" xfId="0" applyNumberFormat="1" applyFont="1" applyFill="1" applyBorder="1"/>
    <xf numFmtId="9" fontId="0" fillId="9" borderId="3" xfId="11" applyFont="1" applyFill="1" applyBorder="1"/>
    <xf numFmtId="0" fontId="1" fillId="9" borderId="33" xfId="7" applyFill="1" applyBorder="1"/>
    <xf numFmtId="9" fontId="0" fillId="9" borderId="3" xfId="2" applyNumberFormat="1" applyFont="1" applyFill="1" applyBorder="1"/>
    <xf numFmtId="44" fontId="0" fillId="9" borderId="26" xfId="2" applyFont="1" applyFill="1" applyBorder="1"/>
    <xf numFmtId="2" fontId="16" fillId="2" borderId="2" xfId="0" applyNumberFormat="1" applyFont="1" applyFill="1" applyBorder="1"/>
    <xf numFmtId="0" fontId="0" fillId="2" borderId="3" xfId="0" applyFill="1" applyBorder="1" applyAlignment="1">
      <alignment horizontal="left" vertical="top"/>
    </xf>
    <xf numFmtId="167" fontId="0" fillId="2" borderId="9" xfId="2" applyNumberFormat="1" applyFont="1" applyFill="1" applyBorder="1"/>
    <xf numFmtId="9" fontId="0" fillId="2" borderId="3" xfId="11" applyFont="1" applyFill="1" applyBorder="1"/>
    <xf numFmtId="0" fontId="1" fillId="2" borderId="33" xfId="7" applyFill="1" applyBorder="1"/>
    <xf numFmtId="0" fontId="16" fillId="2" borderId="7" xfId="0" applyFont="1" applyFill="1" applyBorder="1"/>
    <xf numFmtId="167" fontId="0" fillId="2" borderId="14" xfId="2" applyNumberFormat="1" applyFont="1" applyFill="1" applyBorder="1"/>
    <xf numFmtId="167" fontId="0" fillId="2" borderId="18" xfId="2" applyNumberFormat="1" applyFont="1" applyFill="1" applyBorder="1"/>
    <xf numFmtId="167" fontId="0" fillId="2" borderId="26" xfId="2" applyNumberFormat="1" applyFont="1" applyFill="1" applyBorder="1"/>
    <xf numFmtId="167" fontId="0" fillId="2" borderId="49" xfId="2" applyNumberFormat="1" applyFont="1" applyFill="1" applyBorder="1"/>
    <xf numFmtId="167" fontId="0" fillId="2" borderId="1" xfId="2" applyNumberFormat="1" applyFont="1" applyFill="1" applyBorder="1"/>
    <xf numFmtId="9" fontId="0" fillId="2" borderId="3" xfId="2" applyNumberFormat="1" applyFont="1" applyFill="1" applyBorder="1"/>
    <xf numFmtId="44" fontId="0" fillId="2" borderId="26" xfId="2" applyFont="1" applyFill="1" applyBorder="1"/>
    <xf numFmtId="167" fontId="0" fillId="2" borderId="7" xfId="2" applyNumberFormat="1" applyFont="1" applyFill="1" applyBorder="1"/>
    <xf numFmtId="2" fontId="16" fillId="32" borderId="2" xfId="0" applyNumberFormat="1" applyFont="1" applyFill="1" applyBorder="1"/>
    <xf numFmtId="0" fontId="0" fillId="32" borderId="3" xfId="0" applyFill="1" applyBorder="1" applyAlignment="1">
      <alignment horizontal="left" vertical="top"/>
    </xf>
    <xf numFmtId="9" fontId="0" fillId="32" borderId="3" xfId="11" applyFont="1" applyFill="1" applyBorder="1"/>
    <xf numFmtId="0" fontId="1" fillId="32" borderId="33" xfId="7" applyFill="1" applyBorder="1"/>
    <xf numFmtId="0" fontId="16" fillId="32" borderId="7" xfId="0" applyFont="1" applyFill="1" applyBorder="1"/>
    <xf numFmtId="167" fontId="0" fillId="32" borderId="14" xfId="2" applyNumberFormat="1" applyFont="1" applyFill="1" applyBorder="1"/>
    <xf numFmtId="167" fontId="0" fillId="32" borderId="18" xfId="2" applyNumberFormat="1" applyFont="1" applyFill="1" applyBorder="1"/>
    <xf numFmtId="167" fontId="0" fillId="32" borderId="26" xfId="2" applyNumberFormat="1" applyFont="1" applyFill="1" applyBorder="1"/>
    <xf numFmtId="167" fontId="0" fillId="32" borderId="49" xfId="2" applyNumberFormat="1" applyFont="1" applyFill="1" applyBorder="1"/>
    <xf numFmtId="167" fontId="0" fillId="32" borderId="1" xfId="2" applyNumberFormat="1" applyFont="1" applyFill="1" applyBorder="1"/>
    <xf numFmtId="9" fontId="0" fillId="32" borderId="3" xfId="2" applyNumberFormat="1" applyFont="1" applyFill="1" applyBorder="1"/>
    <xf numFmtId="44" fontId="0" fillId="32" borderId="26" xfId="2" applyFont="1" applyFill="1" applyBorder="1"/>
    <xf numFmtId="167" fontId="0" fillId="32" borderId="7" xfId="2" applyNumberFormat="1" applyFont="1" applyFill="1" applyBorder="1"/>
    <xf numFmtId="170" fontId="0" fillId="0" borderId="7" xfId="1" applyNumberFormat="1" applyFont="1" applyFill="1" applyBorder="1" applyAlignment="1">
      <alignment horizontal="right" vertical="top"/>
    </xf>
    <xf numFmtId="43" fontId="0" fillId="0" borderId="7" xfId="1" applyNumberFormat="1" applyFont="1" applyFill="1" applyBorder="1" applyAlignment="1">
      <alignment horizontal="right" vertical="top"/>
    </xf>
    <xf numFmtId="43" fontId="8" fillId="0" borderId="0" xfId="1" applyFont="1" applyBorder="1" applyAlignment="1">
      <alignment horizontal="right"/>
    </xf>
    <xf numFmtId="43" fontId="0" fillId="0" borderId="0" xfId="0" applyNumberFormat="1" applyAlignment="1">
      <alignment horizontal="left" vertical="top"/>
    </xf>
    <xf numFmtId="43" fontId="0" fillId="9" borderId="3" xfId="1" applyNumberFormat="1" applyFont="1" applyFill="1" applyBorder="1" applyAlignment="1">
      <alignment horizontal="right" vertical="top"/>
    </xf>
    <xf numFmtId="43" fontId="0" fillId="12" borderId="3" xfId="1" applyNumberFormat="1" applyFont="1" applyFill="1" applyBorder="1" applyAlignment="1">
      <alignment horizontal="right" vertical="top"/>
    </xf>
    <xf numFmtId="43" fontId="0" fillId="15" borderId="3" xfId="1" applyNumberFormat="1" applyFont="1" applyFill="1" applyBorder="1" applyAlignment="1">
      <alignment horizontal="right" vertical="top"/>
    </xf>
    <xf numFmtId="43" fontId="0" fillId="35" borderId="3" xfId="1" applyNumberFormat="1" applyFont="1" applyFill="1" applyBorder="1" applyAlignment="1">
      <alignment horizontal="right" vertical="top"/>
    </xf>
    <xf numFmtId="170" fontId="0" fillId="13" borderId="7" xfId="1" applyNumberFormat="1" applyFont="1" applyFill="1" applyBorder="1" applyAlignment="1">
      <alignment horizontal="right" vertical="top"/>
    </xf>
    <xf numFmtId="170" fontId="2" fillId="0" borderId="3" xfId="0" applyNumberFormat="1" applyFont="1" applyBorder="1" applyAlignment="1">
      <alignment horizontal="center" vertical="center" wrapText="1"/>
    </xf>
    <xf numFmtId="170" fontId="2" fillId="0" borderId="4" xfId="0" applyNumberFormat="1" applyFont="1" applyBorder="1" applyAlignment="1">
      <alignment horizontal="center" vertical="center" wrapText="1"/>
    </xf>
    <xf numFmtId="44" fontId="24" fillId="31" borderId="9" xfId="2" applyFont="1" applyFill="1" applyBorder="1" applyAlignment="1">
      <alignment horizontal="right"/>
    </xf>
    <xf numFmtId="44" fontId="0" fillId="0" borderId="0" xfId="2" applyFont="1" applyFill="1" applyBorder="1" applyAlignment="1">
      <alignment horizontal="right"/>
    </xf>
    <xf numFmtId="176" fontId="8" fillId="0" borderId="0" xfId="11" applyNumberFormat="1" applyFont="1" applyBorder="1" applyAlignment="1">
      <alignment horizontal="right"/>
    </xf>
    <xf numFmtId="44" fontId="33" fillId="0" borderId="0" xfId="2" applyFont="1" applyAlignment="1">
      <alignment horizontal="left"/>
    </xf>
    <xf numFmtId="44" fontId="19" fillId="0" borderId="0" xfId="2" applyFont="1" applyAlignment="1">
      <alignment horizontal="left"/>
    </xf>
    <xf numFmtId="170" fontId="0" fillId="0" borderId="4" xfId="0" applyNumberFormat="1" applyBorder="1"/>
    <xf numFmtId="170" fontId="0" fillId="0" borderId="42" xfId="0" applyNumberFormat="1" applyBorder="1"/>
    <xf numFmtId="0" fontId="0" fillId="44" borderId="0" xfId="0" applyFill="1" applyBorder="1"/>
    <xf numFmtId="0" fontId="0" fillId="44" borderId="0" xfId="0" applyFont="1" applyFill="1" applyBorder="1"/>
    <xf numFmtId="44" fontId="8" fillId="44" borderId="0" xfId="0" applyNumberFormat="1" applyFont="1" applyFill="1" applyBorder="1"/>
    <xf numFmtId="43" fontId="0" fillId="44" borderId="0" xfId="1" applyNumberFormat="1" applyFont="1" applyFill="1" applyBorder="1"/>
    <xf numFmtId="0" fontId="25" fillId="40" borderId="8" xfId="12" applyFont="1" applyFill="1" applyBorder="1"/>
    <xf numFmtId="166" fontId="0" fillId="40" borderId="13" xfId="0" applyNumberFormat="1" applyFill="1" applyBorder="1" applyAlignment="1">
      <alignment horizontal="right"/>
    </xf>
    <xf numFmtId="170" fontId="8" fillId="40" borderId="0" xfId="1" applyNumberFormat="1" applyFont="1" applyFill="1" applyBorder="1" applyAlignment="1">
      <alignment horizontal="right"/>
    </xf>
    <xf numFmtId="0" fontId="0" fillId="40" borderId="0" xfId="0" applyFill="1" applyBorder="1" applyAlignment="1">
      <alignment horizontal="right"/>
    </xf>
    <xf numFmtId="167" fontId="0" fillId="40" borderId="0" xfId="2" applyNumberFormat="1" applyFont="1" applyFill="1" applyBorder="1" applyAlignment="1">
      <alignment horizontal="right"/>
    </xf>
    <xf numFmtId="0" fontId="8" fillId="40" borderId="0" xfId="0" applyFont="1" applyFill="1" applyBorder="1" applyAlignment="1">
      <alignment horizontal="right"/>
    </xf>
    <xf numFmtId="166" fontId="8" fillId="40" borderId="13" xfId="1" applyNumberFormat="1" applyFont="1" applyFill="1" applyBorder="1" applyAlignment="1">
      <alignment horizontal="right"/>
    </xf>
    <xf numFmtId="166" fontId="8" fillId="40" borderId="14" xfId="0" applyNumberFormat="1" applyFont="1" applyFill="1" applyBorder="1"/>
    <xf numFmtId="0" fontId="0" fillId="40" borderId="13" xfId="0" applyFill="1" applyBorder="1" applyAlignment="1">
      <alignment horizontal="right"/>
    </xf>
    <xf numFmtId="44" fontId="8" fillId="40" borderId="0" xfId="2" applyFont="1" applyFill="1" applyBorder="1" applyAlignment="1">
      <alignment horizontal="right"/>
    </xf>
    <xf numFmtId="0" fontId="0" fillId="40" borderId="14" xfId="0" applyFill="1" applyBorder="1"/>
    <xf numFmtId="0" fontId="0" fillId="40" borderId="0" xfId="0" applyFill="1" applyBorder="1" applyAlignment="1">
      <alignment horizontal="left" vertical="top"/>
    </xf>
    <xf numFmtId="0" fontId="0" fillId="40" borderId="10" xfId="0" applyFill="1" applyBorder="1"/>
    <xf numFmtId="0" fontId="0" fillId="40" borderId="12" xfId="0" applyFill="1" applyBorder="1"/>
    <xf numFmtId="167" fontId="0" fillId="40" borderId="11" xfId="2" applyNumberFormat="1" applyFont="1" applyFill="1" applyBorder="1"/>
    <xf numFmtId="0" fontId="0" fillId="40" borderId="0" xfId="0" applyFill="1" applyBorder="1"/>
    <xf numFmtId="0" fontId="83" fillId="0" borderId="0" xfId="0" applyFont="1" applyBorder="1" applyAlignment="1">
      <alignment horizontal="left" vertical="top"/>
    </xf>
    <xf numFmtId="0" fontId="65" fillId="0" borderId="0" xfId="0" applyFont="1" applyBorder="1" applyAlignment="1">
      <alignment horizontal="left" vertical="top"/>
    </xf>
    <xf numFmtId="0" fontId="0" fillId="0" borderId="14" xfId="0" applyBorder="1" applyAlignment="1">
      <alignment horizontal="center" vertical="top" wrapText="1"/>
    </xf>
    <xf numFmtId="166" fontId="0" fillId="9" borderId="3" xfId="0" applyNumberFormat="1" applyFill="1" applyBorder="1" applyAlignment="1">
      <alignment horizontal="right" vertical="top"/>
    </xf>
    <xf numFmtId="166" fontId="0" fillId="3" borderId="20" xfId="1" applyNumberFormat="1" applyFont="1" applyFill="1" applyBorder="1"/>
    <xf numFmtId="43" fontId="0" fillId="3" borderId="2" xfId="2" applyNumberFormat="1" applyFont="1" applyFill="1" applyBorder="1"/>
    <xf numFmtId="166" fontId="5" fillId="45" borderId="3" xfId="1" applyNumberFormat="1" applyFont="1" applyFill="1" applyBorder="1" applyAlignment="1">
      <alignment horizontal="right" vertical="top"/>
    </xf>
    <xf numFmtId="166" fontId="0" fillId="3" borderId="21" xfId="1" applyNumberFormat="1" applyFont="1" applyFill="1" applyBorder="1"/>
    <xf numFmtId="44" fontId="28" fillId="3" borderId="6" xfId="11" applyNumberFormat="1" applyFont="1" applyFill="1" applyBorder="1"/>
    <xf numFmtId="167" fontId="0" fillId="3" borderId="0" xfId="0" applyNumberFormat="1" applyFill="1"/>
    <xf numFmtId="166" fontId="0" fillId="3" borderId="18" xfId="1" applyNumberFormat="1" applyFont="1" applyFill="1" applyBorder="1"/>
    <xf numFmtId="0" fontId="0" fillId="3" borderId="7" xfId="0" applyFill="1" applyBorder="1"/>
    <xf numFmtId="166" fontId="0" fillId="6" borderId="20" xfId="1" applyNumberFormat="1" applyFont="1" applyFill="1" applyBorder="1"/>
    <xf numFmtId="9" fontId="0" fillId="6" borderId="13" xfId="11" applyFont="1" applyFill="1" applyBorder="1"/>
    <xf numFmtId="166" fontId="0" fillId="6" borderId="21" xfId="1" applyNumberFormat="1" applyFont="1" applyFill="1" applyBorder="1"/>
    <xf numFmtId="166" fontId="0" fillId="6" borderId="18" xfId="1" applyNumberFormat="1" applyFont="1" applyFill="1" applyBorder="1"/>
    <xf numFmtId="166" fontId="0" fillId="12" borderId="20" xfId="1" applyNumberFormat="1" applyFont="1" applyFill="1" applyBorder="1"/>
    <xf numFmtId="166" fontId="5" fillId="46" borderId="3" xfId="1" applyNumberFormat="1" applyFont="1" applyFill="1" applyBorder="1" applyAlignment="1">
      <alignment horizontal="right" vertical="top"/>
    </xf>
    <xf numFmtId="166" fontId="0" fillId="12" borderId="21" xfId="1" applyNumberFormat="1" applyFont="1" applyFill="1" applyBorder="1"/>
    <xf numFmtId="167" fontId="0" fillId="12" borderId="0" xfId="0" applyNumberFormat="1" applyFill="1"/>
    <xf numFmtId="166" fontId="0" fillId="12" borderId="18" xfId="1" applyNumberFormat="1" applyFont="1" applyFill="1" applyBorder="1"/>
    <xf numFmtId="2" fontId="33" fillId="0" borderId="0" xfId="12" applyNumberFormat="1" applyFont="1" applyFill="1" applyBorder="1" applyAlignment="1">
      <alignment horizontal="left"/>
    </xf>
    <xf numFmtId="8" fontId="0" fillId="3" borderId="0" xfId="2" applyNumberFormat="1" applyFont="1" applyFill="1" applyBorder="1"/>
    <xf numFmtId="0" fontId="49" fillId="3" borderId="33" xfId="14" applyFill="1" applyBorder="1"/>
    <xf numFmtId="43" fontId="8" fillId="0" borderId="8" xfId="0" applyNumberFormat="1" applyFont="1" applyBorder="1"/>
    <xf numFmtId="0" fontId="65" fillId="0" borderId="0" xfId="0" applyFont="1" applyAlignment="1">
      <alignment vertical="center"/>
    </xf>
    <xf numFmtId="44" fontId="0" fillId="0" borderId="11" xfId="0" applyNumberFormat="1" applyBorder="1"/>
    <xf numFmtId="44" fontId="0" fillId="0" borderId="12" xfId="0" applyNumberFormat="1" applyFont="1" applyBorder="1"/>
    <xf numFmtId="44" fontId="0" fillId="0" borderId="11" xfId="0" applyNumberFormat="1" applyFont="1" applyBorder="1"/>
    <xf numFmtId="0" fontId="0" fillId="0" borderId="0" xfId="0" applyFill="1" applyAlignment="1">
      <alignment horizontal="right"/>
    </xf>
    <xf numFmtId="44" fontId="1" fillId="0" borderId="10" xfId="2" applyFont="1" applyBorder="1"/>
    <xf numFmtId="167" fontId="1" fillId="0" borderId="12" xfId="2" applyNumberFormat="1" applyFont="1" applyBorder="1"/>
    <xf numFmtId="167" fontId="0" fillId="0" borderId="12" xfId="0" applyNumberFormat="1" applyFont="1" applyBorder="1"/>
    <xf numFmtId="0" fontId="2" fillId="0" borderId="1" xfId="0" applyFont="1" applyBorder="1"/>
    <xf numFmtId="44" fontId="2" fillId="0" borderId="11" xfId="0" applyNumberFormat="1" applyFont="1" applyBorder="1"/>
    <xf numFmtId="0" fontId="6" fillId="0" borderId="0" xfId="0" applyFont="1" applyBorder="1"/>
    <xf numFmtId="167" fontId="0" fillId="0" borderId="0" xfId="0" applyNumberFormat="1" applyFont="1"/>
    <xf numFmtId="167" fontId="8" fillId="3" borderId="0" xfId="2" applyNumberFormat="1" applyFont="1" applyFill="1"/>
    <xf numFmtId="167" fontId="19" fillId="3" borderId="0" xfId="12" applyNumberFormat="1" applyFont="1" applyFill="1"/>
    <xf numFmtId="43" fontId="0" fillId="0" borderId="0" xfId="0" applyNumberFormat="1" applyFill="1"/>
    <xf numFmtId="43" fontId="2" fillId="0" borderId="0" xfId="1" applyNumberFormat="1" applyFont="1" applyFill="1"/>
    <xf numFmtId="0" fontId="0" fillId="47" borderId="0" xfId="0" applyFill="1"/>
    <xf numFmtId="0" fontId="93" fillId="47" borderId="0" xfId="0" applyFont="1" applyFill="1"/>
    <xf numFmtId="0" fontId="8" fillId="47" borderId="0" xfId="0" applyFont="1" applyFill="1" applyAlignment="1">
      <alignment vertical="top"/>
    </xf>
    <xf numFmtId="43" fontId="8" fillId="0" borderId="0" xfId="1" applyFont="1" applyBorder="1" applyAlignment="1">
      <alignment horizontal="left" vertical="top"/>
    </xf>
    <xf numFmtId="0" fontId="2" fillId="47" borderId="0" xfId="0" applyFont="1" applyFill="1"/>
    <xf numFmtId="0" fontId="28" fillId="47" borderId="0" xfId="0" applyFont="1" applyFill="1"/>
    <xf numFmtId="0" fontId="0" fillId="47" borderId="42" xfId="0" applyFill="1" applyBorder="1" applyAlignment="1">
      <alignment horizontal="center"/>
    </xf>
    <xf numFmtId="0" fontId="0" fillId="47" borderId="5" xfId="0" applyFill="1" applyBorder="1" applyAlignment="1">
      <alignment horizontal="center"/>
    </xf>
    <xf numFmtId="0" fontId="0" fillId="47" borderId="42" xfId="0" applyFill="1" applyBorder="1" applyAlignment="1">
      <alignment horizontal="left"/>
    </xf>
    <xf numFmtId="43" fontId="16" fillId="0" borderId="0" xfId="0" applyNumberFormat="1" applyFont="1" applyBorder="1"/>
    <xf numFmtId="44" fontId="8" fillId="0" borderId="14" xfId="2" applyFont="1" applyFill="1" applyBorder="1" applyAlignment="1">
      <alignment horizontal="right"/>
    </xf>
    <xf numFmtId="43" fontId="16" fillId="0" borderId="9" xfId="0" applyNumberFormat="1" applyFont="1" applyBorder="1"/>
    <xf numFmtId="43" fontId="16" fillId="0" borderId="12" xfId="0" applyNumberFormat="1" applyFont="1" applyBorder="1"/>
    <xf numFmtId="44" fontId="8" fillId="0" borderId="1" xfId="2" applyFont="1" applyFill="1" applyBorder="1" applyAlignment="1">
      <alignment horizontal="right"/>
    </xf>
    <xf numFmtId="44" fontId="8" fillId="0" borderId="11" xfId="2" applyFont="1" applyFill="1" applyBorder="1" applyAlignment="1">
      <alignment horizontal="right"/>
    </xf>
    <xf numFmtId="0" fontId="2" fillId="0" borderId="42" xfId="0" applyFont="1" applyFill="1" applyBorder="1"/>
    <xf numFmtId="43" fontId="8" fillId="0" borderId="0" xfId="1" applyFont="1" applyFill="1" applyAlignment="1">
      <alignment horizontal="right"/>
    </xf>
    <xf numFmtId="0" fontId="0" fillId="0" borderId="5" xfId="0" applyFont="1" applyBorder="1"/>
    <xf numFmtId="0" fontId="0" fillId="48" borderId="0" xfId="0" applyFill="1"/>
    <xf numFmtId="0" fontId="16" fillId="48" borderId="2" xfId="0" applyFont="1" applyFill="1" applyBorder="1"/>
    <xf numFmtId="0" fontId="0" fillId="48" borderId="3" xfId="0" applyFill="1" applyBorder="1"/>
    <xf numFmtId="166" fontId="0" fillId="48" borderId="3" xfId="1" applyNumberFormat="1" applyFont="1" applyFill="1" applyBorder="1" applyAlignment="1">
      <alignment horizontal="right" vertical="top"/>
    </xf>
    <xf numFmtId="167" fontId="0" fillId="48" borderId="3" xfId="2" applyNumberFormat="1" applyFont="1" applyFill="1" applyBorder="1"/>
    <xf numFmtId="0" fontId="0" fillId="48" borderId="3" xfId="2" applyNumberFormat="1" applyFont="1" applyFill="1" applyBorder="1"/>
    <xf numFmtId="166" fontId="0" fillId="48" borderId="4" xfId="1" applyNumberFormat="1" applyFont="1" applyFill="1" applyBorder="1"/>
    <xf numFmtId="1" fontId="0" fillId="48" borderId="19" xfId="0" applyNumberFormat="1" applyFill="1" applyBorder="1"/>
    <xf numFmtId="1" fontId="0" fillId="48" borderId="4" xfId="0" applyNumberFormat="1" applyFill="1" applyBorder="1"/>
    <xf numFmtId="167" fontId="0" fillId="48" borderId="5" xfId="2" applyNumberFormat="1" applyFont="1" applyFill="1" applyBorder="1"/>
    <xf numFmtId="167" fontId="0" fillId="48" borderId="20" xfId="2" applyNumberFormat="1" applyFont="1" applyFill="1" applyBorder="1"/>
    <xf numFmtId="43" fontId="0" fillId="48" borderId="20" xfId="1" applyNumberFormat="1" applyFont="1" applyFill="1" applyBorder="1"/>
    <xf numFmtId="0" fontId="26" fillId="48" borderId="10" xfId="0" applyFont="1" applyFill="1" applyBorder="1" applyAlignment="1">
      <alignment horizontal="left" vertical="top" wrapText="1"/>
    </xf>
    <xf numFmtId="44" fontId="0" fillId="48" borderId="27" xfId="2" applyNumberFormat="1" applyFont="1" applyFill="1" applyBorder="1"/>
    <xf numFmtId="167" fontId="0" fillId="48" borderId="27" xfId="2" applyNumberFormat="1" applyFont="1" applyFill="1" applyBorder="1"/>
    <xf numFmtId="167" fontId="0" fillId="48" borderId="13" xfId="2" applyNumberFormat="1" applyFont="1" applyFill="1" applyBorder="1"/>
    <xf numFmtId="167" fontId="0" fillId="48" borderId="54" xfId="2" applyNumberFormat="1" applyFont="1" applyFill="1" applyBorder="1"/>
    <xf numFmtId="9" fontId="0" fillId="48" borderId="13" xfId="11" applyFont="1" applyFill="1" applyBorder="1"/>
    <xf numFmtId="0" fontId="0" fillId="48" borderId="0" xfId="2" applyNumberFormat="1" applyFont="1" applyFill="1" applyBorder="1"/>
    <xf numFmtId="177" fontId="0" fillId="48" borderId="0" xfId="0" applyNumberFormat="1" applyFill="1"/>
    <xf numFmtId="1" fontId="0" fillId="48" borderId="3" xfId="0" applyNumberFormat="1" applyFill="1" applyBorder="1"/>
    <xf numFmtId="167" fontId="0" fillId="48" borderId="2" xfId="2" applyNumberFormat="1" applyFont="1" applyFill="1" applyBorder="1"/>
    <xf numFmtId="0" fontId="16" fillId="48" borderId="6" xfId="0" applyFont="1" applyFill="1" applyBorder="1"/>
    <xf numFmtId="167" fontId="0" fillId="48" borderId="21" xfId="2" applyNumberFormat="1" applyFont="1" applyFill="1" applyBorder="1"/>
    <xf numFmtId="43" fontId="0" fillId="48" borderId="21" xfId="1" applyNumberFormat="1" applyFont="1" applyFill="1" applyBorder="1"/>
    <xf numFmtId="0" fontId="26" fillId="48" borderId="12" xfId="0" applyFont="1" applyFill="1" applyBorder="1" applyAlignment="1">
      <alignment horizontal="left" vertical="top" wrapText="1"/>
    </xf>
    <xf numFmtId="167" fontId="0" fillId="48" borderId="28" xfId="2" applyNumberFormat="1" applyFont="1" applyFill="1" applyBorder="1"/>
    <xf numFmtId="167" fontId="0" fillId="48" borderId="0" xfId="2" applyNumberFormat="1" applyFont="1" applyFill="1" applyBorder="1"/>
    <xf numFmtId="167" fontId="0" fillId="48" borderId="41" xfId="2" applyNumberFormat="1" applyFont="1" applyFill="1" applyBorder="1"/>
    <xf numFmtId="167" fontId="0" fillId="48" borderId="6" xfId="2" applyNumberFormat="1" applyFont="1" applyFill="1" applyBorder="1"/>
    <xf numFmtId="0" fontId="26" fillId="48" borderId="11" xfId="0" applyFont="1" applyFill="1" applyBorder="1" applyAlignment="1">
      <alignment horizontal="left" vertical="top" wrapText="1"/>
    </xf>
    <xf numFmtId="2" fontId="0" fillId="0" borderId="3" xfId="0" applyNumberFormat="1" applyBorder="1"/>
    <xf numFmtId="0" fontId="0" fillId="0" borderId="0" xfId="0" applyFill="1" applyAlignment="1">
      <alignment wrapText="1"/>
    </xf>
    <xf numFmtId="0" fontId="0" fillId="0" borderId="13" xfId="0" applyFill="1" applyBorder="1" applyAlignment="1">
      <alignment horizontal="left" vertical="top" wrapText="1"/>
    </xf>
    <xf numFmtId="0" fontId="0" fillId="0" borderId="13" xfId="0" applyFill="1" applyBorder="1" applyAlignment="1">
      <alignment horizontal="left" vertical="top"/>
    </xf>
    <xf numFmtId="9" fontId="0" fillId="0" borderId="10" xfId="11" applyFont="1" applyFill="1" applyBorder="1" applyAlignment="1">
      <alignment horizontal="left" vertical="top"/>
    </xf>
    <xf numFmtId="0" fontId="0" fillId="0" borderId="0" xfId="0" applyFill="1" applyBorder="1" applyAlignment="1">
      <alignment horizontal="left" vertical="top" wrapText="1"/>
    </xf>
    <xf numFmtId="9" fontId="0" fillId="0" borderId="12" xfId="11" applyFont="1" applyFill="1" applyBorder="1" applyAlignment="1">
      <alignment horizontal="left" vertical="top"/>
    </xf>
    <xf numFmtId="10" fontId="0" fillId="0" borderId="12" xfId="11" applyNumberFormat="1" applyFont="1" applyFill="1" applyBorder="1" applyAlignment="1">
      <alignment horizontal="left" vertical="top"/>
    </xf>
    <xf numFmtId="0" fontId="0" fillId="0" borderId="14" xfId="0" applyFill="1" applyBorder="1" applyAlignment="1">
      <alignment horizontal="left" vertical="top" wrapText="1"/>
    </xf>
    <xf numFmtId="10" fontId="0" fillId="0" borderId="11" xfId="11" applyNumberFormat="1" applyFont="1" applyFill="1" applyBorder="1" applyAlignment="1">
      <alignment horizontal="left" vertical="top"/>
    </xf>
    <xf numFmtId="0" fontId="2" fillId="0" borderId="4" xfId="0" applyFont="1" applyFill="1" applyBorder="1" applyAlignment="1">
      <alignment horizontal="left" vertical="top" wrapText="1"/>
    </xf>
    <xf numFmtId="0" fontId="0" fillId="0" borderId="42" xfId="0" applyFill="1" applyBorder="1" applyAlignment="1">
      <alignment horizontal="left" vertical="top" wrapText="1"/>
    </xf>
    <xf numFmtId="0" fontId="0" fillId="0" borderId="5" xfId="0" applyFill="1" applyBorder="1" applyAlignment="1">
      <alignment horizontal="left" vertical="top" wrapText="1"/>
    </xf>
    <xf numFmtId="0" fontId="0" fillId="0" borderId="8" xfId="0" applyFill="1" applyBorder="1" applyAlignment="1">
      <alignment horizontal="left" vertical="top" wrapText="1"/>
    </xf>
    <xf numFmtId="0" fontId="0" fillId="0" borderId="9" xfId="0" applyFill="1" applyBorder="1" applyAlignment="1">
      <alignment horizontal="left" vertical="top" wrapText="1"/>
    </xf>
    <xf numFmtId="0" fontId="0" fillId="0" borderId="1" xfId="0" applyFill="1" applyBorder="1" applyAlignment="1">
      <alignment horizontal="left" vertical="top" wrapText="1"/>
    </xf>
    <xf numFmtId="9" fontId="0" fillId="0" borderId="4" xfId="0" applyNumberFormat="1" applyFill="1" applyBorder="1"/>
    <xf numFmtId="2" fontId="0" fillId="24" borderId="3" xfId="0" applyNumberFormat="1" applyFill="1" applyBorder="1"/>
    <xf numFmtId="44" fontId="0" fillId="24" borderId="0" xfId="0" applyNumberFormat="1" applyFill="1"/>
    <xf numFmtId="0" fontId="0" fillId="0" borderId="6" xfId="0" applyBorder="1" applyAlignment="1">
      <alignment horizontal="center" wrapText="1"/>
    </xf>
    <xf numFmtId="0" fontId="0" fillId="0" borderId="12" xfId="0" applyBorder="1" applyAlignment="1">
      <alignment horizontal="center" wrapText="1"/>
    </xf>
    <xf numFmtId="2" fontId="8" fillId="0" borderId="1" xfId="1" applyNumberFormat="1" applyFont="1" applyBorder="1"/>
    <xf numFmtId="2" fontId="0" fillId="0" borderId="14" xfId="0" applyNumberFormat="1" applyFont="1" applyBorder="1"/>
    <xf numFmtId="2" fontId="0" fillId="0" borderId="14" xfId="0" applyNumberFormat="1" applyBorder="1"/>
    <xf numFmtId="2" fontId="0" fillId="0" borderId="11" xfId="0" applyNumberFormat="1" applyBorder="1"/>
    <xf numFmtId="0" fontId="24" fillId="0" borderId="0" xfId="0" applyFont="1" applyBorder="1"/>
    <xf numFmtId="9" fontId="0" fillId="0" borderId="11" xfId="0" applyNumberFormat="1" applyBorder="1"/>
    <xf numFmtId="9" fontId="0" fillId="0" borderId="10" xfId="0" applyNumberFormat="1" applyBorder="1"/>
    <xf numFmtId="9" fontId="0" fillId="0" borderId="1" xfId="0" applyNumberFormat="1" applyBorder="1"/>
    <xf numFmtId="43" fontId="0" fillId="0" borderId="8" xfId="1" applyFont="1" applyBorder="1"/>
    <xf numFmtId="43" fontId="0" fillId="0" borderId="10" xfId="1" applyFont="1" applyBorder="1"/>
    <xf numFmtId="43" fontId="0" fillId="0" borderId="9" xfId="1" applyFont="1" applyBorder="1"/>
    <xf numFmtId="43" fontId="0" fillId="0" borderId="12" xfId="1" applyFont="1" applyBorder="1"/>
    <xf numFmtId="43" fontId="0" fillId="0" borderId="1" xfId="1" applyFont="1" applyBorder="1"/>
    <xf numFmtId="43" fontId="0" fillId="0" borderId="11" xfId="1" applyFont="1" applyBorder="1"/>
    <xf numFmtId="44" fontId="21" fillId="0" borderId="0" xfId="0" applyNumberFormat="1" applyFont="1" applyAlignment="1">
      <alignment vertical="top" wrapText="1"/>
    </xf>
    <xf numFmtId="44" fontId="94" fillId="0" borderId="0" xfId="0" applyNumberFormat="1" applyFont="1" applyAlignment="1">
      <alignment vertical="top" wrapText="1"/>
    </xf>
    <xf numFmtId="0" fontId="26" fillId="0" borderId="0" xfId="0" applyFont="1" applyAlignment="1">
      <alignment vertical="top"/>
    </xf>
    <xf numFmtId="0" fontId="0" fillId="0" borderId="4" xfId="0" applyFill="1" applyBorder="1" applyAlignment="1">
      <alignment wrapText="1"/>
    </xf>
    <xf numFmtId="0" fontId="0" fillId="0" borderId="4" xfId="0" applyFill="1" applyBorder="1" applyAlignment="1">
      <alignment horizontal="center" vertical="center" wrapText="1"/>
    </xf>
    <xf numFmtId="0" fontId="0" fillId="0" borderId="42" xfId="0" applyFill="1" applyBorder="1" applyAlignment="1">
      <alignment horizontal="center" vertical="center" wrapText="1"/>
    </xf>
    <xf numFmtId="0" fontId="0" fillId="0" borderId="5" xfId="0" applyFill="1" applyBorder="1" applyAlignment="1">
      <alignment horizontal="center" vertical="center" wrapText="1"/>
    </xf>
    <xf numFmtId="167" fontId="0" fillId="0" borderId="42" xfId="2" applyNumberFormat="1" applyFont="1" applyFill="1" applyBorder="1"/>
    <xf numFmtId="2" fontId="8" fillId="0" borderId="2" xfId="1" applyNumberFormat="1" applyFont="1" applyFill="1" applyBorder="1" applyAlignment="1">
      <alignment horizontal="left" vertical="top" wrapText="1"/>
    </xf>
    <xf numFmtId="2" fontId="8" fillId="0" borderId="7" xfId="1" applyNumberFormat="1" applyFont="1" applyFill="1" applyBorder="1" applyAlignment="1">
      <alignment horizontal="left" vertical="top" wrapText="1"/>
    </xf>
    <xf numFmtId="0" fontId="2" fillId="0" borderId="7" xfId="0" applyFont="1" applyFill="1" applyBorder="1"/>
    <xf numFmtId="6" fontId="0" fillId="0" borderId="10" xfId="2" applyNumberFormat="1" applyFont="1" applyFill="1" applyBorder="1"/>
    <xf numFmtId="6" fontId="0" fillId="0" borderId="11" xfId="2" applyNumberFormat="1" applyFont="1" applyFill="1" applyBorder="1"/>
    <xf numFmtId="6" fontId="0" fillId="0" borderId="12" xfId="2" applyNumberFormat="1" applyFont="1" applyFill="1" applyBorder="1"/>
    <xf numFmtId="6" fontId="0" fillId="0" borderId="5" xfId="2" applyNumberFormat="1" applyFont="1" applyFill="1" applyBorder="1"/>
    <xf numFmtId="0" fontId="33" fillId="0" borderId="2" xfId="0" applyFont="1" applyFill="1" applyBorder="1" applyAlignment="1">
      <alignment vertical="center" wrapText="1"/>
    </xf>
    <xf numFmtId="0" fontId="2" fillId="0" borderId="10" xfId="0" applyFont="1" applyFill="1" applyBorder="1" applyAlignment="1">
      <alignment wrapText="1"/>
    </xf>
    <xf numFmtId="167" fontId="1" fillId="0" borderId="7" xfId="2" applyNumberFormat="1" applyFont="1" applyFill="1" applyBorder="1"/>
    <xf numFmtId="167" fontId="1" fillId="0" borderId="11" xfId="2" applyNumberFormat="1" applyFont="1" applyFill="1" applyBorder="1"/>
    <xf numFmtId="0" fontId="0" fillId="0" borderId="0" xfId="0" applyFill="1" applyBorder="1" applyAlignment="1"/>
    <xf numFmtId="43" fontId="0" fillId="0" borderId="13" xfId="0" applyNumberFormat="1" applyFill="1" applyBorder="1" applyAlignment="1"/>
    <xf numFmtId="44" fontId="0" fillId="0" borderId="14" xfId="2" applyFont="1" applyFill="1" applyBorder="1" applyAlignment="1"/>
    <xf numFmtId="0" fontId="0" fillId="0" borderId="14" xfId="0" applyFill="1" applyBorder="1" applyAlignment="1">
      <alignment horizontal="left"/>
    </xf>
    <xf numFmtId="0" fontId="0" fillId="0" borderId="13" xfId="0" applyBorder="1" applyAlignment="1">
      <alignment horizontal="left"/>
    </xf>
    <xf numFmtId="0" fontId="0" fillId="0" borderId="14" xfId="0" applyBorder="1" applyAlignment="1">
      <alignment horizontal="left"/>
    </xf>
    <xf numFmtId="43" fontId="8" fillId="4" borderId="0" xfId="0" applyNumberFormat="1" applyFont="1" applyFill="1"/>
    <xf numFmtId="0" fontId="0" fillId="0" borderId="8" xfId="0" applyBorder="1" applyAlignment="1">
      <alignment horizontal="center"/>
    </xf>
    <xf numFmtId="0" fontId="0" fillId="0" borderId="10" xfId="0" applyBorder="1" applyAlignment="1">
      <alignment horizontal="center"/>
    </xf>
    <xf numFmtId="0" fontId="0" fillId="0" borderId="4" xfId="0" applyBorder="1" applyAlignment="1">
      <alignment horizontal="center"/>
    </xf>
    <xf numFmtId="0" fontId="0" fillId="0" borderId="42"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0" fillId="0" borderId="37" xfId="0"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0" fillId="0" borderId="7" xfId="0" applyBorder="1" applyAlignment="1">
      <alignment horizontal="center" vertical="center" wrapText="1"/>
    </xf>
    <xf numFmtId="0" fontId="21" fillId="2" borderId="2"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7" xfId="0" applyFont="1" applyFill="1" applyBorder="1" applyAlignment="1">
      <alignment horizontal="left" vertical="top" wrapText="1"/>
    </xf>
    <xf numFmtId="0" fontId="26" fillId="2" borderId="2" xfId="0" applyFont="1" applyFill="1" applyBorder="1" applyAlignment="1">
      <alignment horizontal="left" vertical="top" wrapText="1"/>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0" fillId="0" borderId="29" xfId="0" applyBorder="1" applyAlignment="1">
      <alignment horizontal="center" vertical="center" wrapText="1"/>
    </xf>
    <xf numFmtId="0" fontId="0" fillId="0" borderId="31" xfId="0"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0" fontId="0" fillId="0" borderId="32" xfId="0" applyBorder="1" applyAlignment="1">
      <alignment horizontal="center" vertical="center" wrapText="1"/>
    </xf>
    <xf numFmtId="0" fontId="27" fillId="0" borderId="8"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58" xfId="0" applyFont="1" applyBorder="1" applyAlignment="1">
      <alignment horizontal="center" vertical="center" wrapText="1"/>
    </xf>
    <xf numFmtId="0" fontId="16" fillId="0" borderId="2" xfId="0" applyFont="1" applyBorder="1" applyAlignment="1">
      <alignment horizontal="center" vertical="center"/>
    </xf>
    <xf numFmtId="0" fontId="16" fillId="0" borderId="7" xfId="0" applyFont="1" applyBorder="1" applyAlignment="1">
      <alignment horizontal="center" vertical="center"/>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1" fillId="0" borderId="59" xfId="7" applyBorder="1" applyAlignment="1">
      <alignment horizontal="center" vertical="center"/>
    </xf>
    <xf numFmtId="0" fontId="1" fillId="0" borderId="56" xfId="7" applyBorder="1" applyAlignment="1">
      <alignment horizontal="center" vertical="center"/>
    </xf>
    <xf numFmtId="0" fontId="0" fillId="0" borderId="6" xfId="0" applyBorder="1" applyAlignment="1">
      <alignment horizontal="center" vertical="center" wrapText="1"/>
    </xf>
    <xf numFmtId="0" fontId="0" fillId="0" borderId="24" xfId="0" applyBorder="1" applyAlignment="1">
      <alignment horizontal="center" vertical="center" wrapText="1"/>
    </xf>
    <xf numFmtId="0" fontId="0" fillId="0" borderId="9" xfId="0"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71" fillId="0" borderId="15" xfId="0" applyFont="1" applyBorder="1" applyAlignment="1">
      <alignment horizontal="center" vertical="center" wrapText="1"/>
    </xf>
    <xf numFmtId="0" fontId="71" fillId="0" borderId="37" xfId="0" applyFont="1" applyBorder="1" applyAlignment="1">
      <alignment horizontal="center" vertical="center" wrapText="1"/>
    </xf>
    <xf numFmtId="0" fontId="71" fillId="0" borderId="29"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33" xfId="0" applyFont="1" applyBorder="1" applyAlignment="1">
      <alignment horizontal="center" vertical="center" wrapText="1"/>
    </xf>
    <xf numFmtId="0" fontId="27" fillId="3" borderId="15" xfId="0" applyFont="1" applyFill="1" applyBorder="1" applyAlignment="1">
      <alignment horizontal="center"/>
    </xf>
    <xf numFmtId="0" fontId="27" fillId="3" borderId="37" xfId="0" applyFont="1" applyFill="1" applyBorder="1" applyAlignment="1">
      <alignment horizontal="center"/>
    </xf>
    <xf numFmtId="0" fontId="27" fillId="3" borderId="29" xfId="0" applyFont="1" applyFill="1" applyBorder="1" applyAlignment="1">
      <alignment horizontal="center"/>
    </xf>
    <xf numFmtId="0" fontId="27" fillId="3" borderId="39" xfId="0" applyFont="1" applyFill="1" applyBorder="1" applyAlignment="1">
      <alignment horizontal="center"/>
    </xf>
    <xf numFmtId="0" fontId="27" fillId="3" borderId="38" xfId="0" applyFont="1" applyFill="1" applyBorder="1" applyAlignment="1">
      <alignment horizontal="center"/>
    </xf>
    <xf numFmtId="0" fontId="27" fillId="3" borderId="34" xfId="0" applyFont="1" applyFill="1" applyBorder="1" applyAlignment="1">
      <alignment horizontal="center"/>
    </xf>
    <xf numFmtId="0" fontId="27" fillId="3" borderId="15" xfId="0" applyFont="1" applyFill="1" applyBorder="1" applyAlignment="1">
      <alignment horizontal="center" wrapText="1"/>
    </xf>
    <xf numFmtId="0" fontId="27" fillId="3" borderId="37" xfId="0" applyFont="1" applyFill="1" applyBorder="1" applyAlignment="1">
      <alignment horizontal="center" wrapText="1"/>
    </xf>
    <xf numFmtId="0" fontId="27" fillId="3" borderId="29" xfId="0" applyFont="1" applyFill="1" applyBorder="1" applyAlignment="1">
      <alignment horizontal="center" wrapText="1"/>
    </xf>
    <xf numFmtId="0" fontId="27" fillId="3" borderId="39" xfId="0" applyFont="1" applyFill="1" applyBorder="1" applyAlignment="1">
      <alignment horizontal="center" wrapText="1"/>
    </xf>
    <xf numFmtId="0" fontId="27" fillId="3" borderId="38" xfId="0" applyFont="1" applyFill="1" applyBorder="1" applyAlignment="1">
      <alignment horizontal="center" wrapText="1"/>
    </xf>
    <xf numFmtId="0" fontId="27" fillId="3" borderId="34" xfId="0" applyFont="1" applyFill="1" applyBorder="1" applyAlignment="1">
      <alignment horizontal="center" wrapText="1"/>
    </xf>
    <xf numFmtId="0" fontId="27" fillId="0" borderId="15" xfId="0" applyFont="1" applyBorder="1" applyAlignment="1">
      <alignment horizontal="center" vertical="center"/>
    </xf>
    <xf numFmtId="0" fontId="27" fillId="0" borderId="37" xfId="0" applyFont="1" applyBorder="1" applyAlignment="1">
      <alignment horizontal="center" vertical="center"/>
    </xf>
    <xf numFmtId="0" fontId="27" fillId="0" borderId="29" xfId="0" applyFont="1" applyBorder="1" applyAlignment="1">
      <alignment horizontal="center" vertical="center"/>
    </xf>
    <xf numFmtId="0" fontId="27" fillId="0" borderId="39" xfId="0" applyFont="1" applyBorder="1" applyAlignment="1">
      <alignment horizontal="center" vertical="center"/>
    </xf>
    <xf numFmtId="0" fontId="27" fillId="0" borderId="38" xfId="0" applyFont="1" applyBorder="1" applyAlignment="1">
      <alignment horizontal="center" vertical="center"/>
    </xf>
    <xf numFmtId="0" fontId="27" fillId="0" borderId="34" xfId="0" applyFont="1" applyBorder="1" applyAlignment="1">
      <alignment horizontal="center" vertical="center"/>
    </xf>
    <xf numFmtId="0" fontId="68" fillId="0" borderId="41" xfId="0" applyFont="1" applyBorder="1" applyAlignment="1">
      <alignment horizontal="center" vertical="center"/>
    </xf>
    <xf numFmtId="0" fontId="68" fillId="0" borderId="39" xfId="0" applyFont="1" applyBorder="1" applyAlignment="1">
      <alignment horizontal="center" vertical="center"/>
    </xf>
    <xf numFmtId="0" fontId="69" fillId="0" borderId="41" xfId="0" applyFont="1" applyBorder="1" applyAlignment="1">
      <alignment horizontal="center" vertical="center" wrapText="1"/>
    </xf>
    <xf numFmtId="0" fontId="69" fillId="0" borderId="0" xfId="0" applyFont="1" applyBorder="1" applyAlignment="1">
      <alignment horizontal="center" vertical="center" wrapText="1"/>
    </xf>
    <xf numFmtId="0" fontId="69" fillId="0" borderId="33" xfId="0" applyFont="1" applyBorder="1" applyAlignment="1">
      <alignment horizontal="center" vertical="center" wrapText="1"/>
    </xf>
    <xf numFmtId="0" fontId="69" fillId="0" borderId="49" xfId="0" applyFont="1" applyBorder="1" applyAlignment="1">
      <alignment horizontal="center" vertical="center" wrapText="1"/>
    </xf>
    <xf numFmtId="0" fontId="69" fillId="0" borderId="14" xfId="0" applyFont="1" applyBorder="1" applyAlignment="1">
      <alignment horizontal="center" vertical="center" wrapText="1"/>
    </xf>
    <xf numFmtId="0" fontId="69" fillId="0" borderId="31" xfId="0" applyFont="1" applyBorder="1" applyAlignment="1">
      <alignment horizontal="center" vertical="center" wrapText="1"/>
    </xf>
    <xf numFmtId="0" fontId="68" fillId="0" borderId="41"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39" xfId="0" applyFont="1" applyBorder="1" applyAlignment="1">
      <alignment horizontal="center" vertical="center" wrapText="1"/>
    </xf>
    <xf numFmtId="0" fontId="68" fillId="0" borderId="34" xfId="0" applyFont="1" applyBorder="1" applyAlignment="1">
      <alignment horizontal="center" vertical="center" wrapText="1"/>
    </xf>
    <xf numFmtId="0" fontId="0" fillId="0" borderId="57" xfId="0" applyBorder="1" applyAlignment="1">
      <alignment horizontal="center" vertical="center" wrapText="1"/>
    </xf>
    <xf numFmtId="0" fontId="0" fillId="0" borderId="28" xfId="0" applyBorder="1" applyAlignment="1">
      <alignment horizontal="center" vertical="center" wrapText="1"/>
    </xf>
    <xf numFmtId="0" fontId="68" fillId="0" borderId="15" xfId="0" applyFont="1" applyBorder="1" applyAlignment="1">
      <alignment horizontal="center" vertical="center" wrapText="1"/>
    </xf>
    <xf numFmtId="0" fontId="68" fillId="0" borderId="29"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31" xfId="0" applyFont="1" applyBorder="1" applyAlignment="1">
      <alignment horizontal="center" vertical="center" wrapText="1"/>
    </xf>
    <xf numFmtId="0" fontId="0" fillId="0" borderId="15" xfId="0" applyBorder="1" applyAlignment="1">
      <alignment horizontal="center" vertical="center" wrapText="1"/>
    </xf>
    <xf numFmtId="0" fontId="0" fillId="0" borderId="33" xfId="0" applyBorder="1" applyAlignment="1">
      <alignment horizontal="center" vertical="center" wrapText="1"/>
    </xf>
    <xf numFmtId="0" fontId="0" fillId="0" borderId="2"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21" fillId="0" borderId="0" xfId="0" applyFont="1" applyAlignment="1">
      <alignment horizontal="left" vertical="top" wrapText="1"/>
    </xf>
    <xf numFmtId="0" fontId="26" fillId="0" borderId="0" xfId="0" applyFont="1" applyAlignment="1">
      <alignment horizontal="left" vertical="top"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43" fontId="85" fillId="3" borderId="15" xfId="1" applyNumberFormat="1" applyFont="1" applyFill="1" applyBorder="1" applyAlignment="1">
      <alignment horizontal="center" wrapText="1"/>
    </xf>
    <xf numFmtId="43" fontId="85" fillId="3" borderId="37" xfId="1" applyNumberFormat="1" applyFont="1" applyFill="1" applyBorder="1" applyAlignment="1">
      <alignment horizontal="center" wrapText="1"/>
    </xf>
    <xf numFmtId="43" fontId="85" fillId="3" borderId="29" xfId="1" applyNumberFormat="1" applyFont="1" applyFill="1" applyBorder="1" applyAlignment="1">
      <alignment horizontal="center" wrapText="1"/>
    </xf>
    <xf numFmtId="43" fontId="85" fillId="3" borderId="41" xfId="1" applyNumberFormat="1" applyFont="1" applyFill="1" applyBorder="1" applyAlignment="1">
      <alignment horizontal="center" wrapText="1"/>
    </xf>
    <xf numFmtId="43" fontId="85" fillId="3" borderId="0" xfId="1" applyNumberFormat="1" applyFont="1" applyFill="1" applyBorder="1" applyAlignment="1">
      <alignment horizontal="center" wrapText="1"/>
    </xf>
    <xf numFmtId="43" fontId="85" fillId="3" borderId="33" xfId="1" applyNumberFormat="1" applyFont="1" applyFill="1" applyBorder="1" applyAlignment="1">
      <alignment horizontal="center" wrapText="1"/>
    </xf>
    <xf numFmtId="43" fontId="85" fillId="3" borderId="39" xfId="1" applyNumberFormat="1" applyFont="1" applyFill="1" applyBorder="1" applyAlignment="1">
      <alignment horizontal="center" wrapText="1"/>
    </xf>
    <xf numFmtId="43" fontId="85" fillId="3" borderId="38" xfId="1" applyNumberFormat="1" applyFont="1" applyFill="1" applyBorder="1" applyAlignment="1">
      <alignment horizontal="center" wrapText="1"/>
    </xf>
    <xf numFmtId="43" fontId="85" fillId="3" borderId="34" xfId="1" applyNumberFormat="1" applyFont="1" applyFill="1" applyBorder="1" applyAlignment="1">
      <alignment horizontal="center" wrapText="1"/>
    </xf>
    <xf numFmtId="0" fontId="21" fillId="9" borderId="2" xfId="0" applyFont="1" applyFill="1" applyBorder="1" applyAlignment="1">
      <alignment horizontal="left" vertical="top" wrapText="1"/>
    </xf>
    <xf numFmtId="0" fontId="21" fillId="9" borderId="6" xfId="0" applyFont="1" applyFill="1" applyBorder="1" applyAlignment="1">
      <alignment horizontal="left" vertical="top" wrapText="1"/>
    </xf>
    <xf numFmtId="0" fontId="21" fillId="9" borderId="7" xfId="0" applyFont="1" applyFill="1" applyBorder="1" applyAlignment="1">
      <alignment horizontal="left" vertical="top" wrapText="1"/>
    </xf>
    <xf numFmtId="0" fontId="26" fillId="9" borderId="2" xfId="0" applyFont="1" applyFill="1" applyBorder="1" applyAlignment="1">
      <alignment horizontal="left" vertical="top" wrapText="1"/>
    </xf>
    <xf numFmtId="0" fontId="26" fillId="9" borderId="6" xfId="0" applyFont="1" applyFill="1" applyBorder="1" applyAlignment="1">
      <alignment horizontal="left" vertical="top" wrapText="1"/>
    </xf>
    <xf numFmtId="0" fontId="26" fillId="9" borderId="7" xfId="0" applyFont="1" applyFill="1" applyBorder="1" applyAlignment="1">
      <alignment horizontal="left" vertical="top" wrapText="1"/>
    </xf>
    <xf numFmtId="0" fontId="26" fillId="10" borderId="2" xfId="0" applyFont="1" applyFill="1" applyBorder="1" applyAlignment="1">
      <alignment horizontal="left" vertical="top" wrapText="1"/>
    </xf>
    <xf numFmtId="0" fontId="26" fillId="10" borderId="6" xfId="0" applyFont="1" applyFill="1" applyBorder="1" applyAlignment="1">
      <alignment horizontal="left" vertical="top" wrapText="1"/>
    </xf>
    <xf numFmtId="0" fontId="26" fillId="24" borderId="2" xfId="0" applyFont="1" applyFill="1" applyBorder="1" applyAlignment="1">
      <alignment horizontal="left" vertical="top" wrapText="1"/>
    </xf>
    <xf numFmtId="0" fontId="26" fillId="24" borderId="6" xfId="0" applyFont="1" applyFill="1" applyBorder="1" applyAlignment="1">
      <alignment horizontal="left" vertical="top" wrapText="1"/>
    </xf>
    <xf numFmtId="0" fontId="26" fillId="24" borderId="7" xfId="0" applyFont="1" applyFill="1" applyBorder="1" applyAlignment="1">
      <alignment horizontal="left" vertical="top" wrapText="1"/>
    </xf>
    <xf numFmtId="43" fontId="0" fillId="0" borderId="41" xfId="1" applyNumberFormat="1" applyFont="1" applyBorder="1" applyAlignment="1">
      <alignment horizontal="center" vertical="center" wrapText="1"/>
    </xf>
    <xf numFmtId="43" fontId="0" fillId="0" borderId="21" xfId="1" applyNumberFormat="1" applyFont="1" applyBorder="1" applyAlignment="1">
      <alignment horizontal="center" vertical="center" wrapText="1"/>
    </xf>
    <xf numFmtId="43" fontId="0" fillId="0" borderId="28" xfId="1" applyNumberFormat="1" applyFont="1" applyBorder="1" applyAlignment="1">
      <alignment horizontal="center" vertical="center" wrapText="1"/>
    </xf>
    <xf numFmtId="43" fontId="0" fillId="0" borderId="26" xfId="1" applyNumberFormat="1" applyFont="1" applyBorder="1" applyAlignment="1">
      <alignment horizontal="center" vertical="center" wrapText="1"/>
    </xf>
    <xf numFmtId="0" fontId="21" fillId="10" borderId="2" xfId="0" applyFont="1" applyFill="1" applyBorder="1" applyAlignment="1">
      <alignment horizontal="left" vertical="top" wrapText="1"/>
    </xf>
    <xf numFmtId="0" fontId="21" fillId="10" borderId="6" xfId="0" applyFont="1" applyFill="1" applyBorder="1" applyAlignment="1">
      <alignment horizontal="left" vertical="top" wrapText="1"/>
    </xf>
    <xf numFmtId="0" fontId="21" fillId="10" borderId="7" xfId="0" applyFont="1" applyFill="1" applyBorder="1" applyAlignment="1">
      <alignment horizontal="left" vertical="top" wrapText="1"/>
    </xf>
    <xf numFmtId="0" fontId="26" fillId="10" borderId="7" xfId="0" applyFont="1" applyFill="1" applyBorder="1" applyAlignment="1">
      <alignment horizontal="left" vertical="top" wrapText="1"/>
    </xf>
    <xf numFmtId="0" fontId="26" fillId="29" borderId="2" xfId="0" applyFont="1" applyFill="1" applyBorder="1" applyAlignment="1">
      <alignment horizontal="left" vertical="top" wrapText="1"/>
    </xf>
    <xf numFmtId="0" fontId="26" fillId="29" borderId="6" xfId="0" applyFont="1" applyFill="1" applyBorder="1" applyAlignment="1">
      <alignment horizontal="left" vertical="top" wrapText="1"/>
    </xf>
    <xf numFmtId="0" fontId="26" fillId="29" borderId="7" xfId="0" applyFont="1" applyFill="1" applyBorder="1" applyAlignment="1">
      <alignment horizontal="left" vertical="top" wrapText="1"/>
    </xf>
    <xf numFmtId="0" fontId="26" fillId="26" borderId="2" xfId="0" applyFont="1" applyFill="1" applyBorder="1" applyAlignment="1">
      <alignment horizontal="left" vertical="top" wrapText="1"/>
    </xf>
    <xf numFmtId="0" fontId="26" fillId="26" borderId="6" xfId="0" applyFont="1" applyFill="1" applyBorder="1" applyAlignment="1">
      <alignment horizontal="left" vertical="top" wrapText="1"/>
    </xf>
    <xf numFmtId="0" fontId="26" fillId="26" borderId="7" xfId="0" applyFont="1" applyFill="1" applyBorder="1" applyAlignment="1">
      <alignment horizontal="left" vertical="top" wrapText="1"/>
    </xf>
    <xf numFmtId="0" fontId="21" fillId="14" borderId="2" xfId="0" applyFont="1" applyFill="1" applyBorder="1" applyAlignment="1">
      <alignment horizontal="left" vertical="top" wrapText="1"/>
    </xf>
    <xf numFmtId="0" fontId="21" fillId="14" borderId="6" xfId="0" applyFont="1" applyFill="1" applyBorder="1" applyAlignment="1">
      <alignment horizontal="left" vertical="top" wrapText="1"/>
    </xf>
    <xf numFmtId="0" fontId="21" fillId="14" borderId="7"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6" xfId="0" applyFont="1" applyFill="1" applyBorder="1" applyAlignment="1">
      <alignment horizontal="left" vertical="top" wrapText="1"/>
    </xf>
    <xf numFmtId="0" fontId="8" fillId="14" borderId="7" xfId="0" applyFont="1" applyFill="1" applyBorder="1" applyAlignment="1">
      <alignment horizontal="left" vertical="top" wrapText="1"/>
    </xf>
    <xf numFmtId="0" fontId="21" fillId="24" borderId="2" xfId="0" applyFont="1" applyFill="1" applyBorder="1" applyAlignment="1">
      <alignment horizontal="left" vertical="top" wrapText="1"/>
    </xf>
    <xf numFmtId="0" fontId="21" fillId="24" borderId="6" xfId="0" applyFont="1" applyFill="1" applyBorder="1" applyAlignment="1">
      <alignment horizontal="left" vertical="top" wrapText="1"/>
    </xf>
    <xf numFmtId="0" fontId="21" fillId="24" borderId="7" xfId="0" applyFont="1" applyFill="1" applyBorder="1" applyAlignment="1">
      <alignment horizontal="left" vertical="top" wrapText="1"/>
    </xf>
    <xf numFmtId="0" fontId="21" fillId="29" borderId="2" xfId="0" applyFont="1" applyFill="1" applyBorder="1" applyAlignment="1">
      <alignment horizontal="left" vertical="top" wrapText="1"/>
    </xf>
    <xf numFmtId="0" fontId="21" fillId="29" borderId="6" xfId="0" applyFont="1" applyFill="1" applyBorder="1" applyAlignment="1">
      <alignment horizontal="left" vertical="top" wrapText="1"/>
    </xf>
    <xf numFmtId="0" fontId="21" fillId="29" borderId="7" xfId="0" applyFont="1" applyFill="1" applyBorder="1" applyAlignment="1">
      <alignment horizontal="left" vertical="top" wrapText="1"/>
    </xf>
    <xf numFmtId="0" fontId="2" fillId="0" borderId="0" xfId="0" applyFont="1" applyAlignment="1">
      <alignment horizontal="center"/>
    </xf>
    <xf numFmtId="0" fontId="0" fillId="0" borderId="0" xfId="0" applyBorder="1" applyAlignment="1">
      <alignment horizontal="center"/>
    </xf>
    <xf numFmtId="0" fontId="0" fillId="0" borderId="4" xfId="0" applyBorder="1" applyAlignment="1">
      <alignment horizontal="center" vertical="top" wrapText="1"/>
    </xf>
    <xf numFmtId="0" fontId="0" fillId="0" borderId="42" xfId="0" applyBorder="1" applyAlignment="1">
      <alignment horizontal="center" vertical="top" wrapText="1"/>
    </xf>
    <xf numFmtId="0" fontId="0" fillId="0" borderId="5" xfId="0" applyBorder="1" applyAlignment="1">
      <alignment horizontal="center" vertical="top" wrapText="1"/>
    </xf>
    <xf numFmtId="0" fontId="0" fillId="0" borderId="9" xfId="0" applyBorder="1" applyAlignment="1">
      <alignment horizontal="center"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4" xfId="0" applyBorder="1" applyAlignment="1">
      <alignment horizontal="center" wrapText="1"/>
    </xf>
    <xf numFmtId="0" fontId="0" fillId="0" borderId="42" xfId="0" applyBorder="1" applyAlignment="1">
      <alignment horizontal="center" wrapText="1"/>
    </xf>
    <xf numFmtId="0" fontId="0" fillId="0" borderId="5" xfId="0" applyBorder="1" applyAlignment="1">
      <alignment horizontal="center" wrapText="1"/>
    </xf>
    <xf numFmtId="0" fontId="0" fillId="0" borderId="1" xfId="0" applyBorder="1" applyAlignment="1">
      <alignment horizontal="center" wrapText="1"/>
    </xf>
    <xf numFmtId="0" fontId="0" fillId="0" borderId="14" xfId="0" applyBorder="1" applyAlignment="1">
      <alignment horizontal="center" wrapText="1"/>
    </xf>
    <xf numFmtId="0" fontId="0" fillId="0" borderId="11" xfId="0" applyBorder="1" applyAlignment="1">
      <alignment horizontal="center" wrapText="1"/>
    </xf>
    <xf numFmtId="0" fontId="0" fillId="0" borderId="8"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wrapText="1"/>
    </xf>
    <xf numFmtId="0" fontId="21" fillId="0" borderId="2" xfId="0" applyFont="1" applyBorder="1" applyAlignment="1">
      <alignment horizontal="left" vertical="top" wrapText="1"/>
    </xf>
    <xf numFmtId="0" fontId="21" fillId="0" borderId="6" xfId="0" applyFont="1" applyBorder="1" applyAlignment="1">
      <alignment horizontal="left" vertical="top" wrapText="1"/>
    </xf>
    <xf numFmtId="0" fontId="21" fillId="0" borderId="7" xfId="0" applyFont="1" applyBorder="1" applyAlignment="1">
      <alignment horizontal="left" vertical="top" wrapText="1"/>
    </xf>
    <xf numFmtId="0" fontId="26" fillId="0" borderId="2"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90" fillId="0" borderId="4" xfId="0" applyFont="1" applyBorder="1" applyAlignment="1">
      <alignment horizontal="center" vertical="center" wrapText="1"/>
    </xf>
    <xf numFmtId="0" fontId="90" fillId="0" borderId="5" xfId="0" applyFont="1" applyBorder="1" applyAlignment="1">
      <alignment horizontal="center" vertical="center" wrapText="1"/>
    </xf>
    <xf numFmtId="0" fontId="21" fillId="12" borderId="2" xfId="0" applyFont="1" applyFill="1" applyBorder="1" applyAlignment="1">
      <alignment horizontal="left" vertical="top" wrapText="1"/>
    </xf>
    <xf numFmtId="0" fontId="21" fillId="12" borderId="6" xfId="0" applyFont="1" applyFill="1" applyBorder="1" applyAlignment="1">
      <alignment horizontal="left" vertical="top" wrapText="1"/>
    </xf>
    <xf numFmtId="0" fontId="21" fillId="12" borderId="7" xfId="0" applyFont="1" applyFill="1" applyBorder="1" applyAlignment="1">
      <alignment horizontal="left" vertical="top" wrapText="1"/>
    </xf>
    <xf numFmtId="0" fontId="26" fillId="12" borderId="2" xfId="0" applyFont="1" applyFill="1" applyBorder="1" applyAlignment="1">
      <alignment horizontal="left" vertical="top" wrapText="1"/>
    </xf>
    <xf numFmtId="0" fontId="26" fillId="12" borderId="6" xfId="0" applyFont="1" applyFill="1" applyBorder="1" applyAlignment="1">
      <alignment horizontal="left" vertical="top" wrapText="1"/>
    </xf>
    <xf numFmtId="0" fontId="26" fillId="12" borderId="7" xfId="0" applyFont="1" applyFill="1" applyBorder="1" applyAlignment="1">
      <alignment horizontal="left" vertical="top" wrapText="1"/>
    </xf>
    <xf numFmtId="0" fontId="21" fillId="32" borderId="2" xfId="0" applyFont="1" applyFill="1" applyBorder="1" applyAlignment="1">
      <alignment horizontal="left" vertical="top" wrapText="1"/>
    </xf>
    <xf numFmtId="0" fontId="21" fillId="32" borderId="6" xfId="0" applyFont="1" applyFill="1" applyBorder="1" applyAlignment="1">
      <alignment horizontal="left" vertical="top" wrapText="1"/>
    </xf>
    <xf numFmtId="0" fontId="21" fillId="32" borderId="7" xfId="0" applyFont="1" applyFill="1" applyBorder="1" applyAlignment="1">
      <alignment horizontal="left" vertical="top" wrapText="1"/>
    </xf>
    <xf numFmtId="0" fontId="26" fillId="32" borderId="2" xfId="0" applyFont="1" applyFill="1" applyBorder="1" applyAlignment="1">
      <alignment horizontal="left" vertical="top" wrapText="1"/>
    </xf>
    <xf numFmtId="0" fontId="26" fillId="32" borderId="6" xfId="0" applyFont="1" applyFill="1" applyBorder="1" applyAlignment="1">
      <alignment horizontal="left" vertical="top" wrapText="1"/>
    </xf>
    <xf numFmtId="0" fontId="26" fillId="32" borderId="7" xfId="0" applyFont="1" applyFill="1" applyBorder="1" applyAlignment="1">
      <alignment horizontal="left" vertical="top" wrapText="1"/>
    </xf>
    <xf numFmtId="0" fontId="2" fillId="0" borderId="0" xfId="0" applyFont="1" applyBorder="1" applyAlignment="1">
      <alignment horizontal="center"/>
    </xf>
    <xf numFmtId="0" fontId="21" fillId="15" borderId="2" xfId="0" applyFont="1" applyFill="1" applyBorder="1" applyAlignment="1">
      <alignment horizontal="left" vertical="top" wrapText="1"/>
    </xf>
    <xf numFmtId="0" fontId="21" fillId="15" borderId="6" xfId="0" applyFont="1" applyFill="1" applyBorder="1" applyAlignment="1">
      <alignment horizontal="left" vertical="top" wrapText="1"/>
    </xf>
    <xf numFmtId="0" fontId="21" fillId="15" borderId="7" xfId="0" applyFont="1" applyFill="1" applyBorder="1" applyAlignment="1">
      <alignment horizontal="left" vertical="top" wrapText="1"/>
    </xf>
    <xf numFmtId="0" fontId="26" fillId="15" borderId="2" xfId="0" applyFont="1" applyFill="1" applyBorder="1" applyAlignment="1">
      <alignment horizontal="left" vertical="top" wrapText="1"/>
    </xf>
    <xf numFmtId="0" fontId="26" fillId="15" borderId="6" xfId="0" applyFont="1" applyFill="1" applyBorder="1" applyAlignment="1">
      <alignment horizontal="left" vertical="top" wrapText="1"/>
    </xf>
    <xf numFmtId="0" fontId="26" fillId="15" borderId="7" xfId="0" applyFont="1" applyFill="1" applyBorder="1" applyAlignment="1">
      <alignment horizontal="left" vertical="top" wrapText="1"/>
    </xf>
    <xf numFmtId="0" fontId="26" fillId="35" borderId="2" xfId="0" applyFont="1" applyFill="1" applyBorder="1" applyAlignment="1">
      <alignment horizontal="left" vertical="top" wrapText="1"/>
    </xf>
    <xf numFmtId="0" fontId="26" fillId="35" borderId="6" xfId="0" applyFont="1" applyFill="1" applyBorder="1" applyAlignment="1">
      <alignment horizontal="left" vertical="top" wrapText="1"/>
    </xf>
    <xf numFmtId="0" fontId="21" fillId="35" borderId="2" xfId="0" applyFont="1" applyFill="1" applyBorder="1" applyAlignment="1">
      <alignment horizontal="left" vertical="top" wrapText="1"/>
    </xf>
    <xf numFmtId="0" fontId="21" fillId="35" borderId="6" xfId="0" applyFont="1" applyFill="1" applyBorder="1" applyAlignment="1">
      <alignment horizontal="left" vertical="top" wrapText="1"/>
    </xf>
    <xf numFmtId="0" fontId="26" fillId="0" borderId="2" xfId="0" applyFont="1" applyFill="1" applyBorder="1" applyAlignment="1">
      <alignment horizontal="left" vertical="top" wrapText="1"/>
    </xf>
    <xf numFmtId="0" fontId="26" fillId="0" borderId="6" xfId="0" applyFont="1" applyFill="1" applyBorder="1" applyAlignment="1">
      <alignment horizontal="left" vertical="top" wrapText="1"/>
    </xf>
    <xf numFmtId="167" fontId="0" fillId="0" borderId="4" xfId="0" applyNumberFormat="1" applyFill="1" applyBorder="1" applyAlignment="1">
      <alignment horizontal="center"/>
    </xf>
    <xf numFmtId="167" fontId="0" fillId="0" borderId="5" xfId="0" applyNumberFormat="1" applyFill="1" applyBorder="1" applyAlignment="1">
      <alignment horizontal="center"/>
    </xf>
    <xf numFmtId="0" fontId="0" fillId="0" borderId="8" xfId="0" applyFill="1" applyBorder="1" applyAlignment="1">
      <alignment horizontal="center" vertical="center"/>
    </xf>
    <xf numFmtId="0" fontId="0" fillId="0" borderId="10" xfId="0" applyFill="1" applyBorder="1" applyAlignment="1">
      <alignment horizontal="center" vertical="center"/>
    </xf>
    <xf numFmtId="0" fontId="0" fillId="0" borderId="4" xfId="0" applyFill="1" applyBorder="1" applyAlignment="1">
      <alignment horizontal="center"/>
    </xf>
    <xf numFmtId="0" fontId="0" fillId="0" borderId="42" xfId="0" applyFill="1" applyBorder="1" applyAlignment="1">
      <alignment horizontal="center"/>
    </xf>
    <xf numFmtId="0" fontId="0" fillId="0" borderId="5" xfId="0" applyFill="1" applyBorder="1" applyAlignment="1">
      <alignment horizontal="center"/>
    </xf>
    <xf numFmtId="0" fontId="2" fillId="0" borderId="4" xfId="0" applyFont="1" applyBorder="1" applyAlignment="1">
      <alignment horizontal="center" wrapText="1"/>
    </xf>
    <xf numFmtId="0" fontId="2" fillId="0" borderId="42" xfId="0" applyFont="1" applyBorder="1" applyAlignment="1">
      <alignment horizontal="center" wrapText="1"/>
    </xf>
    <xf numFmtId="0" fontId="2" fillId="0" borderId="5" xfId="0" applyFont="1" applyBorder="1" applyAlignment="1">
      <alignment horizontal="center" wrapText="1"/>
    </xf>
    <xf numFmtId="0" fontId="0" fillId="0" borderId="2" xfId="0" applyFill="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9" xfId="0" applyFont="1" applyBorder="1" applyAlignment="1">
      <alignment horizontal="center" wrapText="1"/>
    </xf>
    <xf numFmtId="0" fontId="0" fillId="0" borderId="0" xfId="0" applyFont="1" applyBorder="1" applyAlignment="1">
      <alignment horizontal="center" wrapText="1"/>
    </xf>
    <xf numFmtId="0" fontId="0" fillId="0" borderId="12" xfId="0" applyFont="1" applyBorder="1" applyAlignment="1">
      <alignment horizontal="center" wrapText="1"/>
    </xf>
    <xf numFmtId="0" fontId="21" fillId="0" borderId="2" xfId="0" applyFont="1" applyFill="1" applyBorder="1" applyAlignment="1">
      <alignment horizontal="left" vertical="top" wrapText="1"/>
    </xf>
    <xf numFmtId="0" fontId="21" fillId="0" borderId="6" xfId="0" applyFont="1" applyFill="1" applyBorder="1" applyAlignment="1">
      <alignment horizontal="left" vertical="top" wrapText="1"/>
    </xf>
    <xf numFmtId="0" fontId="21" fillId="0" borderId="7" xfId="0" applyFont="1" applyFill="1" applyBorder="1" applyAlignment="1">
      <alignment horizontal="left" vertical="top" wrapText="1"/>
    </xf>
    <xf numFmtId="0" fontId="21" fillId="22" borderId="2" xfId="0" applyFont="1" applyFill="1" applyBorder="1" applyAlignment="1">
      <alignment horizontal="left" vertical="top" wrapText="1"/>
    </xf>
    <xf numFmtId="0" fontId="21" fillId="22" borderId="6" xfId="0" applyFont="1" applyFill="1" applyBorder="1" applyAlignment="1">
      <alignment horizontal="left" vertical="top" wrapText="1"/>
    </xf>
    <xf numFmtId="0" fontId="21" fillId="22" borderId="7" xfId="0" applyFont="1" applyFill="1" applyBorder="1" applyAlignment="1">
      <alignment horizontal="left" vertical="top" wrapText="1"/>
    </xf>
    <xf numFmtId="0" fontId="21" fillId="3" borderId="2" xfId="0" applyFont="1" applyFill="1" applyBorder="1" applyAlignment="1">
      <alignment horizontal="left" vertical="top" wrapText="1"/>
    </xf>
    <xf numFmtId="0" fontId="21" fillId="3" borderId="6" xfId="0" applyFont="1" applyFill="1" applyBorder="1" applyAlignment="1">
      <alignment horizontal="left" vertical="top" wrapText="1"/>
    </xf>
    <xf numFmtId="0" fontId="21" fillId="3" borderId="7" xfId="0" applyFont="1" applyFill="1" applyBorder="1" applyAlignment="1">
      <alignment horizontal="left" vertical="top" wrapText="1"/>
    </xf>
    <xf numFmtId="0" fontId="8" fillId="3" borderId="2" xfId="0" applyFont="1" applyFill="1" applyBorder="1" applyAlignment="1">
      <alignment horizontal="left" vertical="top" wrapText="1"/>
    </xf>
    <xf numFmtId="0" fontId="8" fillId="3" borderId="6" xfId="0" applyFont="1" applyFill="1" applyBorder="1" applyAlignment="1">
      <alignment horizontal="left" vertical="top" wrapText="1"/>
    </xf>
    <xf numFmtId="0" fontId="8" fillId="3" borderId="7" xfId="0" applyFont="1" applyFill="1" applyBorder="1" applyAlignment="1">
      <alignment horizontal="left" vertical="top" wrapText="1"/>
    </xf>
    <xf numFmtId="0" fontId="21" fillId="13" borderId="2" xfId="0" applyFont="1" applyFill="1" applyBorder="1" applyAlignment="1">
      <alignment horizontal="left" vertical="top" wrapText="1"/>
    </xf>
    <xf numFmtId="0" fontId="21" fillId="13" borderId="6" xfId="0" applyFont="1" applyFill="1" applyBorder="1" applyAlignment="1">
      <alignment horizontal="left" vertical="top" wrapText="1"/>
    </xf>
    <xf numFmtId="0" fontId="21" fillId="13" borderId="7" xfId="0" applyFont="1" applyFill="1" applyBorder="1" applyAlignment="1">
      <alignment horizontal="left" vertical="top" wrapText="1"/>
    </xf>
    <xf numFmtId="0" fontId="8" fillId="26" borderId="2" xfId="0" applyFont="1" applyFill="1" applyBorder="1" applyAlignment="1">
      <alignment horizontal="left" vertical="top" wrapText="1"/>
    </xf>
    <xf numFmtId="0" fontId="8" fillId="26" borderId="6" xfId="0" applyFont="1" applyFill="1" applyBorder="1" applyAlignment="1">
      <alignment horizontal="left" vertical="top" wrapText="1"/>
    </xf>
    <xf numFmtId="0" fontId="8" fillId="26" borderId="7" xfId="0" applyFont="1" applyFill="1" applyBorder="1" applyAlignment="1">
      <alignment horizontal="left" vertical="top" wrapText="1"/>
    </xf>
    <xf numFmtId="0" fontId="21" fillId="34" borderId="2" xfId="0" applyFont="1" applyFill="1" applyBorder="1" applyAlignment="1">
      <alignment horizontal="left" vertical="top" wrapText="1"/>
    </xf>
    <xf numFmtId="0" fontId="21" fillId="34" borderId="6" xfId="0" applyFont="1" applyFill="1" applyBorder="1" applyAlignment="1">
      <alignment horizontal="left" vertical="top" wrapText="1"/>
    </xf>
    <xf numFmtId="0" fontId="21" fillId="34" borderId="7" xfId="0" applyFont="1" applyFill="1" applyBorder="1" applyAlignment="1">
      <alignment horizontal="left" vertical="top" wrapText="1"/>
    </xf>
    <xf numFmtId="0" fontId="8" fillId="34" borderId="2" xfId="0" applyFont="1" applyFill="1" applyBorder="1" applyAlignment="1">
      <alignment horizontal="left" vertical="top" wrapText="1"/>
    </xf>
    <xf numFmtId="0" fontId="8" fillId="34" borderId="6" xfId="0" applyFont="1" applyFill="1" applyBorder="1" applyAlignment="1">
      <alignment horizontal="left" vertical="top" wrapText="1"/>
    </xf>
    <xf numFmtId="0" fontId="8" fillId="34" borderId="7" xfId="0" applyFont="1" applyFill="1" applyBorder="1" applyAlignment="1">
      <alignment horizontal="left" vertical="top" wrapText="1"/>
    </xf>
    <xf numFmtId="0" fontId="26" fillId="13" borderId="2" xfId="0" applyFont="1" applyFill="1" applyBorder="1" applyAlignment="1">
      <alignment horizontal="left" vertical="top" wrapText="1"/>
    </xf>
    <xf numFmtId="0" fontId="26" fillId="13" borderId="6" xfId="0" applyFont="1" applyFill="1" applyBorder="1" applyAlignment="1">
      <alignment horizontal="left" vertical="top" wrapText="1"/>
    </xf>
    <xf numFmtId="0" fontId="26" fillId="13" borderId="7" xfId="0" applyFont="1" applyFill="1" applyBorder="1" applyAlignment="1">
      <alignment horizontal="left" vertical="top" wrapText="1"/>
    </xf>
    <xf numFmtId="0" fontId="0" fillId="0" borderId="8" xfId="0" applyBorder="1" applyAlignment="1">
      <alignment horizontal="center" vertical="top" wrapText="1"/>
    </xf>
    <xf numFmtId="0" fontId="0" fillId="0" borderId="13" xfId="0" applyBorder="1" applyAlignment="1">
      <alignment horizontal="center" vertical="top" wrapText="1"/>
    </xf>
    <xf numFmtId="0" fontId="0" fillId="0" borderId="10" xfId="0" applyBorder="1" applyAlignment="1">
      <alignment horizontal="center" vertical="top" wrapText="1"/>
    </xf>
    <xf numFmtId="0" fontId="0" fillId="0" borderId="8" xfId="0" applyBorder="1" applyAlignment="1">
      <alignment horizontal="center" vertical="top"/>
    </xf>
    <xf numFmtId="0" fontId="0" fillId="0" borderId="13" xfId="0" applyBorder="1" applyAlignment="1">
      <alignment horizontal="center" vertical="top"/>
    </xf>
    <xf numFmtId="0" fontId="0" fillId="0" borderId="13" xfId="0" applyFill="1" applyBorder="1" applyAlignment="1">
      <alignment horizontal="center"/>
    </xf>
    <xf numFmtId="0" fontId="27" fillId="3" borderId="41" xfId="0" applyFont="1" applyFill="1" applyBorder="1" applyAlignment="1">
      <alignment horizontal="center" wrapText="1"/>
    </xf>
    <xf numFmtId="0" fontId="27" fillId="3" borderId="0" xfId="0" applyFont="1" applyFill="1" applyBorder="1" applyAlignment="1">
      <alignment horizontal="center" wrapText="1"/>
    </xf>
    <xf numFmtId="0" fontId="27" fillId="3" borderId="41"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7" fillId="3" borderId="39" xfId="0" applyFont="1" applyFill="1" applyBorder="1" applyAlignment="1">
      <alignment horizontal="center" vertical="center" wrapText="1"/>
    </xf>
    <xf numFmtId="0" fontId="27" fillId="3" borderId="38" xfId="0" applyFont="1" applyFill="1" applyBorder="1" applyAlignment="1">
      <alignment horizontal="center" vertical="center" wrapText="1"/>
    </xf>
    <xf numFmtId="0" fontId="68" fillId="0" borderId="37" xfId="0" applyFont="1" applyBorder="1" applyAlignment="1">
      <alignment horizontal="center" vertical="center" wrapText="1"/>
    </xf>
    <xf numFmtId="0" fontId="68" fillId="0" borderId="38" xfId="0" applyFont="1" applyBorder="1" applyAlignment="1">
      <alignment horizontal="center" vertical="center" wrapText="1"/>
    </xf>
    <xf numFmtId="0" fontId="69" fillId="0" borderId="15" xfId="0" applyFont="1" applyBorder="1" applyAlignment="1">
      <alignment horizontal="center" vertical="center" wrapText="1"/>
    </xf>
    <xf numFmtId="0" fontId="69" fillId="0" borderId="37" xfId="0" applyFont="1" applyBorder="1" applyAlignment="1">
      <alignment horizontal="center" vertical="center" wrapText="1"/>
    </xf>
    <xf numFmtId="0" fontId="69" fillId="0" borderId="29" xfId="0" applyFont="1" applyBorder="1" applyAlignment="1">
      <alignment horizontal="center" vertical="center" wrapText="1"/>
    </xf>
    <xf numFmtId="43" fontId="0" fillId="0" borderId="41" xfId="1" applyFont="1" applyBorder="1" applyAlignment="1">
      <alignment horizontal="center" vertical="center" wrapText="1"/>
    </xf>
    <xf numFmtId="43" fontId="0" fillId="0" borderId="21" xfId="1" applyFont="1" applyBorder="1" applyAlignment="1">
      <alignment horizontal="center" vertical="center" wrapText="1"/>
    </xf>
    <xf numFmtId="43" fontId="0" fillId="0" borderId="28" xfId="1" applyFont="1" applyBorder="1" applyAlignment="1">
      <alignment horizontal="center" vertical="center" wrapText="1"/>
    </xf>
    <xf numFmtId="43" fontId="0" fillId="0" borderId="26" xfId="1" applyFont="1" applyBorder="1" applyAlignment="1">
      <alignment horizontal="center" vertical="center" wrapText="1"/>
    </xf>
    <xf numFmtId="43" fontId="0" fillId="26" borderId="28" xfId="1" applyFont="1" applyFill="1" applyBorder="1" applyAlignment="1">
      <alignment horizontal="center" vertical="center" wrapText="1"/>
    </xf>
    <xf numFmtId="43" fontId="0" fillId="26" borderId="26" xfId="1" applyFont="1" applyFill="1" applyBorder="1" applyAlignment="1">
      <alignment horizontal="center" vertical="center" wrapText="1"/>
    </xf>
    <xf numFmtId="43" fontId="0" fillId="26" borderId="29" xfId="1" applyFont="1" applyFill="1" applyBorder="1" applyAlignment="1">
      <alignment horizontal="center" vertical="center" wrapText="1"/>
    </xf>
    <xf numFmtId="43" fontId="0" fillId="26" borderId="31" xfId="1" applyFont="1" applyFill="1" applyBorder="1" applyAlignment="1">
      <alignment horizontal="center" vertical="center" wrapText="1"/>
    </xf>
    <xf numFmtId="0" fontId="21" fillId="5" borderId="2" xfId="0" applyFont="1" applyFill="1" applyBorder="1" applyAlignment="1">
      <alignment horizontal="left" vertical="top" wrapText="1"/>
    </xf>
    <xf numFmtId="0" fontId="21" fillId="5" borderId="6" xfId="0" applyFont="1" applyFill="1" applyBorder="1" applyAlignment="1">
      <alignment horizontal="left" vertical="top" wrapText="1"/>
    </xf>
    <xf numFmtId="0" fontId="21" fillId="5" borderId="7" xfId="0" applyFont="1" applyFill="1" applyBorder="1" applyAlignment="1">
      <alignment horizontal="left" vertical="top" wrapText="1"/>
    </xf>
    <xf numFmtId="43" fontId="0" fillId="26" borderId="57" xfId="1" applyFont="1" applyFill="1" applyBorder="1" applyAlignment="1">
      <alignment horizontal="center" vertical="center" wrapText="1"/>
    </xf>
    <xf numFmtId="0" fontId="1" fillId="0" borderId="14" xfId="7" applyBorder="1" applyAlignment="1">
      <alignment horizontal="center" vertical="center"/>
    </xf>
    <xf numFmtId="0" fontId="1" fillId="0" borderId="11" xfId="7" applyBorder="1" applyAlignment="1">
      <alignment horizontal="center" vertical="center"/>
    </xf>
    <xf numFmtId="0" fontId="71" fillId="0" borderId="0" xfId="0" applyFont="1" applyAlignment="1">
      <alignment horizontal="center" vertical="center" wrapText="1"/>
    </xf>
    <xf numFmtId="43" fontId="85" fillId="3" borderId="15" xfId="1" applyFont="1" applyFill="1" applyBorder="1" applyAlignment="1">
      <alignment horizontal="center" vertical="center" wrapText="1"/>
    </xf>
    <xf numFmtId="43" fontId="85" fillId="3" borderId="37" xfId="1" applyFont="1" applyFill="1" applyBorder="1" applyAlignment="1">
      <alignment horizontal="center" vertical="center" wrapText="1"/>
    </xf>
    <xf numFmtId="43" fontId="85" fillId="3" borderId="29" xfId="1" applyFont="1" applyFill="1" applyBorder="1" applyAlignment="1">
      <alignment horizontal="center" vertical="center" wrapText="1"/>
    </xf>
    <xf numFmtId="43" fontId="85" fillId="3" borderId="41" xfId="1" applyFont="1" applyFill="1" applyBorder="1" applyAlignment="1">
      <alignment horizontal="center" vertical="center" wrapText="1"/>
    </xf>
    <xf numFmtId="43" fontId="85" fillId="3" borderId="0" xfId="1" applyFont="1" applyFill="1" applyBorder="1" applyAlignment="1">
      <alignment horizontal="center" vertical="center" wrapText="1"/>
    </xf>
    <xf numFmtId="43" fontId="85" fillId="3" borderId="33" xfId="1" applyFont="1" applyFill="1" applyBorder="1" applyAlignment="1">
      <alignment horizontal="center" vertical="center" wrapText="1"/>
    </xf>
    <xf numFmtId="43" fontId="85" fillId="3" borderId="39" xfId="1" applyFont="1" applyFill="1" applyBorder="1" applyAlignment="1">
      <alignment horizontal="center" vertical="center" wrapText="1"/>
    </xf>
    <xf numFmtId="43" fontId="85" fillId="3" borderId="38" xfId="1" applyFont="1" applyFill="1" applyBorder="1" applyAlignment="1">
      <alignment horizontal="center" vertical="center" wrapText="1"/>
    </xf>
    <xf numFmtId="43" fontId="85" fillId="3" borderId="34" xfId="1" applyFont="1" applyFill="1" applyBorder="1" applyAlignment="1">
      <alignment horizontal="center" vertical="center" wrapText="1"/>
    </xf>
    <xf numFmtId="0" fontId="21" fillId="8" borderId="2" xfId="0" applyFont="1" applyFill="1" applyBorder="1" applyAlignment="1">
      <alignment horizontal="left" vertical="top" wrapText="1"/>
    </xf>
    <xf numFmtId="0" fontId="21" fillId="8" borderId="6" xfId="0" applyFont="1" applyFill="1" applyBorder="1" applyAlignment="1">
      <alignment horizontal="left" vertical="top" wrapText="1"/>
    </xf>
    <xf numFmtId="0" fontId="21" fillId="8" borderId="7" xfId="0" applyFont="1" applyFill="1" applyBorder="1" applyAlignment="1">
      <alignment horizontal="left" vertical="top" wrapText="1"/>
    </xf>
    <xf numFmtId="0" fontId="26" fillId="8" borderId="2" xfId="0" applyFont="1" applyFill="1" applyBorder="1" applyAlignment="1">
      <alignment horizontal="left" vertical="top" wrapText="1"/>
    </xf>
    <xf numFmtId="0" fontId="26" fillId="8" borderId="6" xfId="0" applyFont="1" applyFill="1" applyBorder="1" applyAlignment="1">
      <alignment horizontal="left" vertical="top" wrapText="1"/>
    </xf>
    <xf numFmtId="0" fontId="26" fillId="8" borderId="7" xfId="0" applyFont="1" applyFill="1" applyBorder="1" applyAlignment="1">
      <alignment horizontal="left" vertical="top" wrapText="1"/>
    </xf>
    <xf numFmtId="0" fontId="21" fillId="42" borderId="2" xfId="0" applyFont="1" applyFill="1" applyBorder="1" applyAlignment="1">
      <alignment horizontal="left" vertical="top" wrapText="1"/>
    </xf>
    <xf numFmtId="0" fontId="21" fillId="42" borderId="6" xfId="0" applyFont="1" applyFill="1" applyBorder="1" applyAlignment="1">
      <alignment horizontal="left" vertical="top" wrapText="1"/>
    </xf>
    <xf numFmtId="0" fontId="21" fillId="42" borderId="7" xfId="0" applyFont="1" applyFill="1" applyBorder="1" applyAlignment="1">
      <alignment horizontal="left" vertical="top" wrapText="1"/>
    </xf>
    <xf numFmtId="0" fontId="21" fillId="35" borderId="7" xfId="0" applyFont="1" applyFill="1" applyBorder="1" applyAlignment="1">
      <alignment horizontal="left" vertical="top" wrapText="1"/>
    </xf>
    <xf numFmtId="0" fontId="26" fillId="35" borderId="7" xfId="0" applyFont="1" applyFill="1" applyBorder="1" applyAlignment="1">
      <alignment horizontal="left" vertical="top" wrapText="1"/>
    </xf>
    <xf numFmtId="0" fontId="26" fillId="34" borderId="2" xfId="0" applyFont="1" applyFill="1" applyBorder="1" applyAlignment="1">
      <alignment horizontal="left" vertical="top" wrapText="1"/>
    </xf>
    <xf numFmtId="0" fontId="26" fillId="34" borderId="6" xfId="0" applyFont="1" applyFill="1" applyBorder="1" applyAlignment="1">
      <alignment horizontal="left" vertical="top" wrapText="1"/>
    </xf>
    <xf numFmtId="0" fontId="26" fillId="34" borderId="7" xfId="0" applyFont="1" applyFill="1" applyBorder="1" applyAlignment="1">
      <alignment horizontal="left" vertical="top" wrapText="1"/>
    </xf>
    <xf numFmtId="0" fontId="0" fillId="0" borderId="0" xfId="0" applyAlignment="1">
      <alignment horizontal="center" wrapText="1"/>
    </xf>
    <xf numFmtId="0" fontId="0" fillId="26" borderId="9" xfId="0" applyFill="1" applyBorder="1" applyAlignment="1">
      <alignment horizontal="center" wrapText="1"/>
    </xf>
    <xf numFmtId="0" fontId="0" fillId="26" borderId="1" xfId="0" applyFill="1" applyBorder="1" applyAlignment="1">
      <alignment horizontal="center" wrapText="1"/>
    </xf>
    <xf numFmtId="0" fontId="0" fillId="26" borderId="0" xfId="0" applyFill="1" applyBorder="1" applyAlignment="1">
      <alignment horizontal="center" wrapText="1"/>
    </xf>
    <xf numFmtId="0" fontId="0" fillId="26" borderId="14" xfId="0" applyFill="1" applyBorder="1" applyAlignment="1">
      <alignment horizontal="center" wrapText="1"/>
    </xf>
    <xf numFmtId="0" fontId="26" fillId="0" borderId="7" xfId="0" applyFont="1" applyFill="1" applyBorder="1" applyAlignment="1">
      <alignment horizontal="left" vertical="top" wrapText="1"/>
    </xf>
    <xf numFmtId="0" fontId="26" fillId="14" borderId="2" xfId="0" applyFont="1" applyFill="1" applyBorder="1" applyAlignment="1">
      <alignment horizontal="left" vertical="top" wrapText="1"/>
    </xf>
    <xf numFmtId="0" fontId="26" fillId="14" borderId="6" xfId="0" applyFont="1" applyFill="1" applyBorder="1" applyAlignment="1">
      <alignment horizontal="left" vertical="top" wrapText="1"/>
    </xf>
    <xf numFmtId="0" fontId="26" fillId="14" borderId="7" xfId="0" applyFont="1" applyFill="1" applyBorder="1" applyAlignment="1">
      <alignment horizontal="left" vertical="top" wrapText="1"/>
    </xf>
    <xf numFmtId="0" fontId="26" fillId="3" borderId="2" xfId="0" applyFont="1" applyFill="1" applyBorder="1" applyAlignment="1">
      <alignment horizontal="left" vertical="top" wrapText="1"/>
    </xf>
    <xf numFmtId="0" fontId="26" fillId="3" borderId="6" xfId="0" applyFont="1" applyFill="1" applyBorder="1" applyAlignment="1">
      <alignment horizontal="left" vertical="top" wrapText="1"/>
    </xf>
    <xf numFmtId="0" fontId="26" fillId="3" borderId="7" xfId="0" applyFont="1" applyFill="1" applyBorder="1" applyAlignment="1">
      <alignment horizontal="left" vertical="top" wrapText="1"/>
    </xf>
    <xf numFmtId="0" fontId="0" fillId="0" borderId="4" xfId="0" applyFont="1" applyBorder="1" applyAlignment="1">
      <alignment horizontal="center" wrapText="1"/>
    </xf>
    <xf numFmtId="0" fontId="0" fillId="0" borderId="42" xfId="0" applyFont="1" applyBorder="1" applyAlignment="1">
      <alignment horizontal="center" wrapText="1"/>
    </xf>
    <xf numFmtId="0" fontId="0" fillId="0" borderId="5" xfId="0" applyFont="1" applyBorder="1" applyAlignment="1">
      <alignment horizontal="center" wrapText="1"/>
    </xf>
    <xf numFmtId="0" fontId="0" fillId="3" borderId="21" xfId="0" applyFill="1" applyBorder="1" applyAlignment="1">
      <alignment horizontal="left" vertical="top" wrapText="1"/>
    </xf>
    <xf numFmtId="0" fontId="0" fillId="0" borderId="21" xfId="0" applyBorder="1" applyAlignment="1">
      <alignment horizontal="left" vertical="top" wrapText="1"/>
    </xf>
    <xf numFmtId="0" fontId="69" fillId="0" borderId="0" xfId="0" applyFont="1" applyAlignment="1">
      <alignment horizontal="center" vertical="center" wrapText="1"/>
    </xf>
    <xf numFmtId="0" fontId="0" fillId="0" borderId="4" xfId="0" applyBorder="1" applyAlignment="1">
      <alignment horizontal="center" vertical="top"/>
    </xf>
    <xf numFmtId="0" fontId="0" fillId="0" borderId="42" xfId="0" applyBorder="1" applyAlignment="1">
      <alignment horizontal="center" vertical="top"/>
    </xf>
    <xf numFmtId="0" fontId="0" fillId="0" borderId="5" xfId="0" applyBorder="1" applyAlignment="1">
      <alignment horizontal="center" vertical="top"/>
    </xf>
    <xf numFmtId="0" fontId="26" fillId="6" borderId="2" xfId="0" applyFont="1" applyFill="1" applyBorder="1" applyAlignment="1">
      <alignment horizontal="left" vertical="top" wrapText="1"/>
    </xf>
    <xf numFmtId="0" fontId="26" fillId="6" borderId="6" xfId="0" applyFont="1" applyFill="1" applyBorder="1" applyAlignment="1">
      <alignment horizontal="left" vertical="top" wrapText="1"/>
    </xf>
    <xf numFmtId="0" fontId="26" fillId="6" borderId="7" xfId="0" applyFont="1" applyFill="1" applyBorder="1" applyAlignment="1">
      <alignment horizontal="left" vertical="top" wrapText="1"/>
    </xf>
    <xf numFmtId="0" fontId="21" fillId="48" borderId="2" xfId="0" applyFont="1" applyFill="1" applyBorder="1" applyAlignment="1">
      <alignment horizontal="left" vertical="top" wrapText="1"/>
    </xf>
    <xf numFmtId="0" fontId="21" fillId="48" borderId="6" xfId="0" applyFont="1" applyFill="1" applyBorder="1" applyAlignment="1">
      <alignment horizontal="left" vertical="top" wrapText="1"/>
    </xf>
    <xf numFmtId="0" fontId="21" fillId="48" borderId="7" xfId="0" applyFont="1" applyFill="1" applyBorder="1" applyAlignment="1">
      <alignment horizontal="left" vertical="top" wrapText="1"/>
    </xf>
    <xf numFmtId="0" fontId="26" fillId="48" borderId="2" xfId="0" applyFont="1" applyFill="1" applyBorder="1" applyAlignment="1">
      <alignment horizontal="left" vertical="top" wrapText="1"/>
    </xf>
    <xf numFmtId="0" fontId="26" fillId="48" borderId="6" xfId="0" applyFont="1" applyFill="1" applyBorder="1" applyAlignment="1">
      <alignment horizontal="left" vertical="top" wrapText="1"/>
    </xf>
    <xf numFmtId="0" fontId="26" fillId="48" borderId="7" xfId="0" applyFont="1" applyFill="1" applyBorder="1" applyAlignment="1">
      <alignment horizontal="left" vertical="top" wrapText="1"/>
    </xf>
    <xf numFmtId="0" fontId="2" fillId="0" borderId="42" xfId="0" applyFont="1" applyFill="1" applyBorder="1" applyAlignment="1">
      <alignment horizontal="center"/>
    </xf>
    <xf numFmtId="0" fontId="2" fillId="0" borderId="5" xfId="0" applyFont="1" applyFill="1" applyBorder="1" applyAlignment="1">
      <alignment horizontal="center"/>
    </xf>
    <xf numFmtId="0" fontId="0" fillId="0" borderId="8" xfId="0" applyBorder="1" applyAlignment="1">
      <alignment horizontal="center" textRotation="90"/>
    </xf>
    <xf numFmtId="0" fontId="0" fillId="0" borderId="9" xfId="0" applyBorder="1" applyAlignment="1">
      <alignment horizontal="center" textRotation="90"/>
    </xf>
    <xf numFmtId="0" fontId="0" fillId="0" borderId="1" xfId="0" applyBorder="1" applyAlignment="1">
      <alignment horizontal="center" textRotation="90"/>
    </xf>
    <xf numFmtId="0" fontId="26" fillId="37" borderId="2" xfId="0" applyFont="1" applyFill="1" applyBorder="1" applyAlignment="1">
      <alignment horizontal="left" vertical="top" wrapText="1"/>
    </xf>
    <xf numFmtId="0" fontId="26" fillId="37" borderId="6" xfId="0" applyFont="1" applyFill="1" applyBorder="1" applyAlignment="1">
      <alignment horizontal="left" vertical="top" wrapText="1"/>
    </xf>
    <xf numFmtId="0" fontId="26" fillId="37" borderId="7" xfId="0" applyFont="1" applyFill="1" applyBorder="1" applyAlignment="1">
      <alignment horizontal="left" vertical="top" wrapText="1"/>
    </xf>
    <xf numFmtId="0" fontId="2" fillId="0" borderId="0" xfId="0" applyFont="1" applyFill="1" applyBorder="1" applyAlignment="1">
      <alignment horizontal="center"/>
    </xf>
    <xf numFmtId="0" fontId="0" fillId="0" borderId="9" xfId="0" applyFill="1" applyBorder="1" applyAlignment="1">
      <alignment horizontal="center" wrapText="1"/>
    </xf>
    <xf numFmtId="0" fontId="0" fillId="0" borderId="0" xfId="0" applyFill="1" applyBorder="1" applyAlignment="1">
      <alignment horizontal="center" wrapText="1"/>
    </xf>
    <xf numFmtId="0" fontId="0" fillId="0" borderId="12" xfId="0" applyFill="1" applyBorder="1" applyAlignment="1">
      <alignment horizontal="center" wrapText="1"/>
    </xf>
    <xf numFmtId="0" fontId="26" fillId="42" borderId="2" xfId="0" applyFont="1" applyFill="1" applyBorder="1" applyAlignment="1">
      <alignment horizontal="left" vertical="top" wrapText="1"/>
    </xf>
    <xf numFmtId="0" fontId="26" fillId="42" borderId="6" xfId="0" applyFont="1" applyFill="1" applyBorder="1" applyAlignment="1">
      <alignment horizontal="left" vertical="top" wrapText="1"/>
    </xf>
    <xf numFmtId="0" fontId="26" fillId="42" borderId="7" xfId="0" applyFont="1" applyFill="1" applyBorder="1" applyAlignment="1">
      <alignment horizontal="left" vertical="top" wrapText="1"/>
    </xf>
    <xf numFmtId="0" fontId="19" fillId="0" borderId="0" xfId="0" applyFont="1" applyFill="1" applyBorder="1" applyAlignment="1">
      <alignment horizontal="center" vertical="center"/>
    </xf>
    <xf numFmtId="0" fontId="0" fillId="0" borderId="0" xfId="0" applyNumberFormat="1" applyFill="1" applyBorder="1"/>
    <xf numFmtId="0" fontId="2" fillId="0" borderId="0" xfId="0" applyNumberFormat="1" applyFont="1" applyFill="1" applyBorder="1"/>
  </cellXfs>
  <cellStyles count="17">
    <cellStyle name="Comma" xfId="1" builtinId="3"/>
    <cellStyle name="Comma 2" xfId="6" xr:uid="{00000000-0005-0000-0000-000001000000}"/>
    <cellStyle name="Comma 2 2" xfId="10" xr:uid="{00000000-0005-0000-0000-000002000000}"/>
    <cellStyle name="Comma 3" xfId="16" xr:uid="{1364A553-414E-5346-8463-2A6CB58127E5}"/>
    <cellStyle name="Currency" xfId="2" builtinId="4"/>
    <cellStyle name="Currency 2" xfId="4" xr:uid="{00000000-0005-0000-0000-000004000000}"/>
    <cellStyle name="Currency 2 2" xfId="9" xr:uid="{00000000-0005-0000-0000-000005000000}"/>
    <cellStyle name="Hyperlink" xfId="14" builtinId="8"/>
    <cellStyle name="Hyperlink 2" xfId="15" xr:uid="{00000000-0005-0000-0000-000007000000}"/>
    <cellStyle name="Normal" xfId="0" builtinId="0"/>
    <cellStyle name="Normal 2" xfId="3" xr:uid="{00000000-0005-0000-0000-000009000000}"/>
    <cellStyle name="Normal 2 2" xfId="8" xr:uid="{00000000-0005-0000-0000-00000A000000}"/>
    <cellStyle name="Normal 3" xfId="7" xr:uid="{00000000-0005-0000-0000-00000B000000}"/>
    <cellStyle name="Normal 4" xfId="12" xr:uid="{00000000-0005-0000-0000-00000C000000}"/>
    <cellStyle name="Normal 5" xfId="13" xr:uid="{00000000-0005-0000-0000-00000D000000}"/>
    <cellStyle name="Per cent" xfId="11" builtinId="5"/>
    <cellStyle name="Per cent 2" xfId="5" xr:uid="{00000000-0005-0000-0000-00000E000000}"/>
  </cellStyles>
  <dxfs count="0"/>
  <tableStyles count="0" defaultTableStyle="TableStyleMedium2" defaultPivotStyle="PivotStyleLight16"/>
  <colors>
    <mruColors>
      <color rgb="FFFAC6FC"/>
      <color rgb="FFFF41E4"/>
      <color rgb="FFF8A1EC"/>
      <color rgb="FFFF00A8"/>
      <color rgb="FFE6E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tiff"/><Relationship Id="rId1" Type="http://schemas.openxmlformats.org/officeDocument/2006/relationships/image" Target="../media/image3.tiff"/></Relationships>
</file>

<file path=xl/drawings/_rels/drawing11.xml.rels><?xml version="1.0" encoding="UTF-8" standalone="yes"?>
<Relationships xmlns="http://schemas.openxmlformats.org/package/2006/relationships"><Relationship Id="rId3" Type="http://schemas.openxmlformats.org/officeDocument/2006/relationships/image" Target="../media/image1.tiff"/><Relationship Id="rId7" Type="http://schemas.openxmlformats.org/officeDocument/2006/relationships/image" Target="../media/image5.tiff"/><Relationship Id="rId2" Type="http://schemas.openxmlformats.org/officeDocument/2006/relationships/image" Target="../media/image7.tiff"/><Relationship Id="rId1" Type="http://schemas.openxmlformats.org/officeDocument/2006/relationships/image" Target="../media/image2.png"/><Relationship Id="rId6" Type="http://schemas.openxmlformats.org/officeDocument/2006/relationships/image" Target="../media/image6.tiff"/><Relationship Id="rId5" Type="http://schemas.openxmlformats.org/officeDocument/2006/relationships/image" Target="../media/image4.tiff"/><Relationship Id="rId4" Type="http://schemas.openxmlformats.org/officeDocument/2006/relationships/image" Target="../media/image3.tiff"/></Relationships>
</file>

<file path=xl/drawings/_rels/drawing12.xml.rels><?xml version="1.0" encoding="UTF-8" standalone="yes"?>
<Relationships xmlns="http://schemas.openxmlformats.org/package/2006/relationships"><Relationship Id="rId3" Type="http://schemas.openxmlformats.org/officeDocument/2006/relationships/image" Target="../media/image1.tiff"/><Relationship Id="rId2" Type="http://schemas.openxmlformats.org/officeDocument/2006/relationships/image" Target="../media/image7.tiff"/><Relationship Id="rId1" Type="http://schemas.openxmlformats.org/officeDocument/2006/relationships/image" Target="../media/image2.png"/><Relationship Id="rId5" Type="http://schemas.openxmlformats.org/officeDocument/2006/relationships/image" Target="../media/image5.tiff"/><Relationship Id="rId4" Type="http://schemas.openxmlformats.org/officeDocument/2006/relationships/image" Target="../media/image6.tiff"/></Relationships>
</file>

<file path=xl/drawings/_rels/drawing13.xml.rels><?xml version="1.0" encoding="UTF-8" standalone="yes"?>
<Relationships xmlns="http://schemas.openxmlformats.org/package/2006/relationships"><Relationship Id="rId3" Type="http://schemas.openxmlformats.org/officeDocument/2006/relationships/image" Target="../media/image1.tiff"/><Relationship Id="rId2" Type="http://schemas.openxmlformats.org/officeDocument/2006/relationships/image" Target="../media/image5.tiff"/><Relationship Id="rId1" Type="http://schemas.openxmlformats.org/officeDocument/2006/relationships/image" Target="../media/image2.png"/><Relationship Id="rId4" Type="http://schemas.openxmlformats.org/officeDocument/2006/relationships/image" Target="../media/image6.tiff"/></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tiff"/><Relationship Id="rId1" Type="http://schemas.openxmlformats.org/officeDocument/2006/relationships/image" Target="../media/image3.tiff"/></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tiff"/><Relationship Id="rId1" Type="http://schemas.openxmlformats.org/officeDocument/2006/relationships/image" Target="../media/image3.tiff"/></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tiff"/><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tiff"/><Relationship Id="rId1" Type="http://schemas.openxmlformats.org/officeDocument/2006/relationships/image" Target="../media/image3.tiff"/></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tiff"/><Relationship Id="rId1" Type="http://schemas.openxmlformats.org/officeDocument/2006/relationships/image" Target="../media/image3.tiff"/></Relationships>
</file>

<file path=xl/drawings/_rels/drawing7.xml.rels><?xml version="1.0" encoding="UTF-8" standalone="yes"?>
<Relationships xmlns="http://schemas.openxmlformats.org/package/2006/relationships"><Relationship Id="rId3" Type="http://schemas.openxmlformats.org/officeDocument/2006/relationships/image" Target="../media/image1.tiff"/><Relationship Id="rId2" Type="http://schemas.openxmlformats.org/officeDocument/2006/relationships/image" Target="../media/image5.tiff"/><Relationship Id="rId1" Type="http://schemas.openxmlformats.org/officeDocument/2006/relationships/image" Target="../media/image2.png"/><Relationship Id="rId4" Type="http://schemas.openxmlformats.org/officeDocument/2006/relationships/image" Target="../media/image6.tiff"/></Relationships>
</file>

<file path=xl/drawings/_rels/drawing8.xml.rels><?xml version="1.0" encoding="UTF-8" standalone="yes"?>
<Relationships xmlns="http://schemas.openxmlformats.org/package/2006/relationships"><Relationship Id="rId3" Type="http://schemas.openxmlformats.org/officeDocument/2006/relationships/image" Target="../media/image6.tiff"/><Relationship Id="rId2" Type="http://schemas.openxmlformats.org/officeDocument/2006/relationships/image" Target="../media/image1.tiff"/><Relationship Id="rId1" Type="http://schemas.openxmlformats.org/officeDocument/2006/relationships/image" Target="../media/image2.png"/><Relationship Id="rId4" Type="http://schemas.openxmlformats.org/officeDocument/2006/relationships/image" Target="../media/image5.tiff"/></Relationships>
</file>

<file path=xl/drawings/_rels/drawing9.xml.rels><?xml version="1.0" encoding="UTF-8" standalone="yes"?>
<Relationships xmlns="http://schemas.openxmlformats.org/package/2006/relationships"><Relationship Id="rId3" Type="http://schemas.openxmlformats.org/officeDocument/2006/relationships/image" Target="../media/image6.tiff"/><Relationship Id="rId2" Type="http://schemas.openxmlformats.org/officeDocument/2006/relationships/image" Target="../media/image1.tiff"/><Relationship Id="rId1" Type="http://schemas.openxmlformats.org/officeDocument/2006/relationships/image" Target="../media/image2.png"/><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oneCellAnchor>
    <xdr:from>
      <xdr:col>1</xdr:col>
      <xdr:colOff>2165157</xdr:colOff>
      <xdr:row>37</xdr:row>
      <xdr:rowOff>19820</xdr:rowOff>
    </xdr:from>
    <xdr:ext cx="5538878" cy="267090"/>
    <xdr:pic>
      <xdr:nvPicPr>
        <xdr:cNvPr id="2" name="Picture 1">
          <a:extLst>
            <a:ext uri="{FF2B5EF4-FFF2-40B4-BE49-F238E27FC236}">
              <a16:creationId xmlns:a16="http://schemas.microsoft.com/office/drawing/2014/main" id="{1577E566-B77E-F744-8EF5-5483A120CCD3}"/>
            </a:ext>
          </a:extLst>
        </xdr:cNvPr>
        <xdr:cNvPicPr>
          <a:picLocks noChangeAspect="1"/>
        </xdr:cNvPicPr>
      </xdr:nvPicPr>
      <xdr:blipFill>
        <a:blip xmlns:r="http://schemas.openxmlformats.org/officeDocument/2006/relationships" r:embed="rId1"/>
        <a:stretch>
          <a:fillRect/>
        </a:stretch>
      </xdr:blipFill>
      <xdr:spPr>
        <a:xfrm>
          <a:off x="2990657" y="4934720"/>
          <a:ext cx="5538878" cy="26709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3</xdr:col>
      <xdr:colOff>110788</xdr:colOff>
      <xdr:row>470</xdr:row>
      <xdr:rowOff>97548</xdr:rowOff>
    </xdr:from>
    <xdr:to>
      <xdr:col>10</xdr:col>
      <xdr:colOff>629755</xdr:colOff>
      <xdr:row>470</xdr:row>
      <xdr:rowOff>429639</xdr:rowOff>
    </xdr:to>
    <xdr:pic>
      <xdr:nvPicPr>
        <xdr:cNvPr id="5" name="Picture 4">
          <a:extLst>
            <a:ext uri="{FF2B5EF4-FFF2-40B4-BE49-F238E27FC236}">
              <a16:creationId xmlns:a16="http://schemas.microsoft.com/office/drawing/2014/main" id="{278D9A54-BB82-924C-B429-E1A19916062C}"/>
            </a:ext>
          </a:extLst>
        </xdr:cNvPr>
        <xdr:cNvPicPr>
          <a:picLocks noChangeAspect="1"/>
        </xdr:cNvPicPr>
      </xdr:nvPicPr>
      <xdr:blipFill rotWithShape="1">
        <a:blip xmlns:r="http://schemas.openxmlformats.org/officeDocument/2006/relationships" r:embed="rId1"/>
        <a:srcRect r="5927" b="51852"/>
        <a:stretch/>
      </xdr:blipFill>
      <xdr:spPr>
        <a:xfrm>
          <a:off x="2714288" y="62848248"/>
          <a:ext cx="9772433" cy="332091"/>
        </a:xfrm>
        <a:prstGeom prst="rect">
          <a:avLst/>
        </a:prstGeom>
      </xdr:spPr>
    </xdr:pic>
    <xdr:clientData/>
  </xdr:twoCellAnchor>
  <xdr:twoCellAnchor editAs="oneCell">
    <xdr:from>
      <xdr:col>2</xdr:col>
      <xdr:colOff>1841500</xdr:colOff>
      <xdr:row>504</xdr:row>
      <xdr:rowOff>152400</xdr:rowOff>
    </xdr:from>
    <xdr:to>
      <xdr:col>8</xdr:col>
      <xdr:colOff>2281565</xdr:colOff>
      <xdr:row>506</xdr:row>
      <xdr:rowOff>126999</xdr:rowOff>
    </xdr:to>
    <xdr:pic>
      <xdr:nvPicPr>
        <xdr:cNvPr id="6" name="Picture 5">
          <a:extLst>
            <a:ext uri="{FF2B5EF4-FFF2-40B4-BE49-F238E27FC236}">
              <a16:creationId xmlns:a16="http://schemas.microsoft.com/office/drawing/2014/main" id="{DC28D3D4-6184-4749-8CD5-515203E03B84}"/>
            </a:ext>
          </a:extLst>
        </xdr:cNvPr>
        <xdr:cNvPicPr>
          <a:picLocks noChangeAspect="1"/>
        </xdr:cNvPicPr>
      </xdr:nvPicPr>
      <xdr:blipFill>
        <a:blip xmlns:r="http://schemas.openxmlformats.org/officeDocument/2006/relationships" r:embed="rId2"/>
        <a:stretch>
          <a:fillRect/>
        </a:stretch>
      </xdr:blipFill>
      <xdr:spPr>
        <a:xfrm>
          <a:off x="2413000" y="66179700"/>
          <a:ext cx="8913887" cy="380999"/>
        </a:xfrm>
        <a:prstGeom prst="rect">
          <a:avLst/>
        </a:prstGeom>
      </xdr:spPr>
    </xdr:pic>
    <xdr:clientData/>
  </xdr:twoCellAnchor>
  <xdr:twoCellAnchor editAs="oneCell">
    <xdr:from>
      <xdr:col>3</xdr:col>
      <xdr:colOff>0</xdr:colOff>
      <xdr:row>534</xdr:row>
      <xdr:rowOff>190500</xdr:rowOff>
    </xdr:from>
    <xdr:to>
      <xdr:col>11</xdr:col>
      <xdr:colOff>177594</xdr:colOff>
      <xdr:row>536</xdr:row>
      <xdr:rowOff>101600</xdr:rowOff>
    </xdr:to>
    <xdr:pic>
      <xdr:nvPicPr>
        <xdr:cNvPr id="9" name="Picture 8">
          <a:extLst>
            <a:ext uri="{FF2B5EF4-FFF2-40B4-BE49-F238E27FC236}">
              <a16:creationId xmlns:a16="http://schemas.microsoft.com/office/drawing/2014/main" id="{E50FA40F-FFC8-6C4D-A5D5-1544C33A0212}"/>
            </a:ext>
          </a:extLst>
        </xdr:cNvPr>
        <xdr:cNvPicPr>
          <a:picLocks noChangeAspect="1"/>
        </xdr:cNvPicPr>
      </xdr:nvPicPr>
      <xdr:blipFill rotWithShape="1">
        <a:blip xmlns:r="http://schemas.openxmlformats.org/officeDocument/2006/relationships" r:embed="rId1"/>
        <a:srcRect l="2440" t="53704"/>
        <a:stretch/>
      </xdr:blipFill>
      <xdr:spPr>
        <a:xfrm>
          <a:off x="2603500" y="76822300"/>
          <a:ext cx="10138117" cy="317500"/>
        </a:xfrm>
        <a:prstGeom prst="rect">
          <a:avLst/>
        </a:prstGeom>
      </xdr:spPr>
    </xdr:pic>
    <xdr:clientData/>
  </xdr:twoCellAnchor>
  <xdr:oneCellAnchor>
    <xdr:from>
      <xdr:col>3</xdr:col>
      <xdr:colOff>110788</xdr:colOff>
      <xdr:row>137</xdr:row>
      <xdr:rowOff>97548</xdr:rowOff>
    </xdr:from>
    <xdr:ext cx="9772433" cy="332091"/>
    <xdr:pic>
      <xdr:nvPicPr>
        <xdr:cNvPr id="20" name="Picture 19">
          <a:extLst>
            <a:ext uri="{FF2B5EF4-FFF2-40B4-BE49-F238E27FC236}">
              <a16:creationId xmlns:a16="http://schemas.microsoft.com/office/drawing/2014/main" id="{6365EBC1-470C-8A4A-B364-27B2D503FCA8}"/>
            </a:ext>
          </a:extLst>
        </xdr:cNvPr>
        <xdr:cNvPicPr>
          <a:picLocks noChangeAspect="1"/>
        </xdr:cNvPicPr>
      </xdr:nvPicPr>
      <xdr:blipFill rotWithShape="1">
        <a:blip xmlns:r="http://schemas.openxmlformats.org/officeDocument/2006/relationships" r:embed="rId1"/>
        <a:srcRect r="5927" b="51852"/>
        <a:stretch/>
      </xdr:blipFill>
      <xdr:spPr>
        <a:xfrm>
          <a:off x="2714288" y="77427848"/>
          <a:ext cx="9772433" cy="332091"/>
        </a:xfrm>
        <a:prstGeom prst="rect">
          <a:avLst/>
        </a:prstGeom>
      </xdr:spPr>
    </xdr:pic>
    <xdr:clientData/>
  </xdr:oneCellAnchor>
  <xdr:oneCellAnchor>
    <xdr:from>
      <xdr:col>2</xdr:col>
      <xdr:colOff>1727200</xdr:colOff>
      <xdr:row>170</xdr:row>
      <xdr:rowOff>152400</xdr:rowOff>
    </xdr:from>
    <xdr:ext cx="8913887" cy="380999"/>
    <xdr:pic>
      <xdr:nvPicPr>
        <xdr:cNvPr id="21" name="Picture 20">
          <a:extLst>
            <a:ext uri="{FF2B5EF4-FFF2-40B4-BE49-F238E27FC236}">
              <a16:creationId xmlns:a16="http://schemas.microsoft.com/office/drawing/2014/main" id="{E91E82D6-66B2-D14D-A61E-7012982D201E}"/>
            </a:ext>
          </a:extLst>
        </xdr:cNvPr>
        <xdr:cNvPicPr>
          <a:picLocks noChangeAspect="1"/>
        </xdr:cNvPicPr>
      </xdr:nvPicPr>
      <xdr:blipFill>
        <a:blip xmlns:r="http://schemas.openxmlformats.org/officeDocument/2006/relationships" r:embed="rId2"/>
        <a:stretch>
          <a:fillRect/>
        </a:stretch>
      </xdr:blipFill>
      <xdr:spPr>
        <a:xfrm>
          <a:off x="2298700" y="84251800"/>
          <a:ext cx="8913887" cy="380999"/>
        </a:xfrm>
        <a:prstGeom prst="rect">
          <a:avLst/>
        </a:prstGeom>
      </xdr:spPr>
    </xdr:pic>
    <xdr:clientData/>
  </xdr:oneCellAnchor>
  <xdr:oneCellAnchor>
    <xdr:from>
      <xdr:col>3</xdr:col>
      <xdr:colOff>0</xdr:colOff>
      <xdr:row>200</xdr:row>
      <xdr:rowOff>190500</xdr:rowOff>
    </xdr:from>
    <xdr:ext cx="10138117" cy="317500"/>
    <xdr:pic>
      <xdr:nvPicPr>
        <xdr:cNvPr id="22" name="Picture 21">
          <a:extLst>
            <a:ext uri="{FF2B5EF4-FFF2-40B4-BE49-F238E27FC236}">
              <a16:creationId xmlns:a16="http://schemas.microsoft.com/office/drawing/2014/main" id="{A2B81714-B05A-BB4B-A264-8968DF1FB318}"/>
            </a:ext>
          </a:extLst>
        </xdr:cNvPr>
        <xdr:cNvPicPr>
          <a:picLocks noChangeAspect="1"/>
        </xdr:cNvPicPr>
      </xdr:nvPicPr>
      <xdr:blipFill rotWithShape="1">
        <a:blip xmlns:r="http://schemas.openxmlformats.org/officeDocument/2006/relationships" r:embed="rId1"/>
        <a:srcRect l="2440" t="53704"/>
        <a:stretch/>
      </xdr:blipFill>
      <xdr:spPr>
        <a:xfrm>
          <a:off x="2603500" y="91401900"/>
          <a:ext cx="10138117" cy="317500"/>
        </a:xfrm>
        <a:prstGeom prst="rect">
          <a:avLst/>
        </a:prstGeom>
      </xdr:spPr>
    </xdr:pic>
    <xdr:clientData/>
  </xdr:oneCellAnchor>
  <xdr:oneCellAnchor>
    <xdr:from>
      <xdr:col>3</xdr:col>
      <xdr:colOff>76200</xdr:colOff>
      <xdr:row>289</xdr:row>
      <xdr:rowOff>61878</xdr:rowOff>
    </xdr:from>
    <xdr:ext cx="4828460" cy="446898"/>
    <xdr:pic>
      <xdr:nvPicPr>
        <xdr:cNvPr id="18" name="Picture 17">
          <a:extLst>
            <a:ext uri="{FF2B5EF4-FFF2-40B4-BE49-F238E27FC236}">
              <a16:creationId xmlns:a16="http://schemas.microsoft.com/office/drawing/2014/main" id="{E97B090B-A71E-774F-BA70-B44A4D1749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05100" y="512174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1860933</xdr:colOff>
      <xdr:row>460</xdr:row>
      <xdr:rowOff>100364</xdr:rowOff>
    </xdr:from>
    <xdr:to>
      <xdr:col>5</xdr:col>
      <xdr:colOff>730820</xdr:colOff>
      <xdr:row>462</xdr:row>
      <xdr:rowOff>140086</xdr:rowOff>
    </xdr:to>
    <xdr:pic>
      <xdr:nvPicPr>
        <xdr:cNvPr id="2" name="Picture 1">
          <a:extLst>
            <a:ext uri="{FF2B5EF4-FFF2-40B4-BE49-F238E27FC236}">
              <a16:creationId xmlns:a16="http://schemas.microsoft.com/office/drawing/2014/main" id="{28BDFCFF-6CFF-FF4A-8405-AE6632BA5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206" y="120418432"/>
          <a:ext cx="4809830" cy="44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149128</xdr:colOff>
      <xdr:row>405</xdr:row>
      <xdr:rowOff>83904</xdr:rowOff>
    </xdr:from>
    <xdr:to>
      <xdr:col>11</xdr:col>
      <xdr:colOff>732605</xdr:colOff>
      <xdr:row>419</xdr:row>
      <xdr:rowOff>87050</xdr:rowOff>
    </xdr:to>
    <xdr:pic>
      <xdr:nvPicPr>
        <xdr:cNvPr id="3" name="Picture 2">
          <a:extLst>
            <a:ext uri="{FF2B5EF4-FFF2-40B4-BE49-F238E27FC236}">
              <a16:creationId xmlns:a16="http://schemas.microsoft.com/office/drawing/2014/main" id="{054B6C71-3E65-204D-B6BF-5D444E5C1399}"/>
            </a:ext>
          </a:extLst>
        </xdr:cNvPr>
        <xdr:cNvPicPr>
          <a:picLocks noChangeAspect="1"/>
        </xdr:cNvPicPr>
      </xdr:nvPicPr>
      <xdr:blipFill>
        <a:blip xmlns:r="http://schemas.openxmlformats.org/officeDocument/2006/relationships" r:embed="rId2"/>
        <a:stretch>
          <a:fillRect/>
        </a:stretch>
      </xdr:blipFill>
      <xdr:spPr>
        <a:xfrm>
          <a:off x="11795028" y="90050704"/>
          <a:ext cx="4946572" cy="2886046"/>
        </a:xfrm>
        <a:prstGeom prst="rect">
          <a:avLst/>
        </a:prstGeom>
      </xdr:spPr>
    </xdr:pic>
    <xdr:clientData/>
  </xdr:twoCellAnchor>
  <xdr:twoCellAnchor editAs="oneCell">
    <xdr:from>
      <xdr:col>2</xdr:col>
      <xdr:colOff>2022763</xdr:colOff>
      <xdr:row>412</xdr:row>
      <xdr:rowOff>31750</xdr:rowOff>
    </xdr:from>
    <xdr:to>
      <xdr:col>6</xdr:col>
      <xdr:colOff>518547</xdr:colOff>
      <xdr:row>413</xdr:row>
      <xdr:rowOff>95253</xdr:rowOff>
    </xdr:to>
    <xdr:pic>
      <xdr:nvPicPr>
        <xdr:cNvPr id="4" name="Picture 3">
          <a:extLst>
            <a:ext uri="{FF2B5EF4-FFF2-40B4-BE49-F238E27FC236}">
              <a16:creationId xmlns:a16="http://schemas.microsoft.com/office/drawing/2014/main" id="{C09933C7-89C9-754D-B7C2-950475B14E9E}"/>
            </a:ext>
          </a:extLst>
        </xdr:cNvPr>
        <xdr:cNvPicPr>
          <a:picLocks noChangeAspect="1"/>
        </xdr:cNvPicPr>
      </xdr:nvPicPr>
      <xdr:blipFill>
        <a:blip xmlns:r="http://schemas.openxmlformats.org/officeDocument/2006/relationships" r:embed="rId3"/>
        <a:stretch>
          <a:fillRect/>
        </a:stretch>
      </xdr:blipFill>
      <xdr:spPr>
        <a:xfrm>
          <a:off x="2594263" y="108019850"/>
          <a:ext cx="5532823" cy="266700"/>
        </a:xfrm>
        <a:prstGeom prst="rect">
          <a:avLst/>
        </a:prstGeom>
      </xdr:spPr>
    </xdr:pic>
    <xdr:clientData/>
  </xdr:twoCellAnchor>
  <xdr:twoCellAnchor editAs="oneCell">
    <xdr:from>
      <xdr:col>3</xdr:col>
      <xdr:colOff>110788</xdr:colOff>
      <xdr:row>279</xdr:row>
      <xdr:rowOff>97548</xdr:rowOff>
    </xdr:from>
    <xdr:to>
      <xdr:col>10</xdr:col>
      <xdr:colOff>349795</xdr:colOff>
      <xdr:row>279</xdr:row>
      <xdr:rowOff>429639</xdr:rowOff>
    </xdr:to>
    <xdr:pic>
      <xdr:nvPicPr>
        <xdr:cNvPr id="5" name="Picture 4">
          <a:extLst>
            <a:ext uri="{FF2B5EF4-FFF2-40B4-BE49-F238E27FC236}">
              <a16:creationId xmlns:a16="http://schemas.microsoft.com/office/drawing/2014/main" id="{5FC93804-6945-744A-A861-89556F31C8A6}"/>
            </a:ext>
          </a:extLst>
        </xdr:cNvPr>
        <xdr:cNvPicPr>
          <a:picLocks noChangeAspect="1"/>
        </xdr:cNvPicPr>
      </xdr:nvPicPr>
      <xdr:blipFill rotWithShape="1">
        <a:blip xmlns:r="http://schemas.openxmlformats.org/officeDocument/2006/relationships" r:embed="rId4"/>
        <a:srcRect r="5927" b="51852"/>
        <a:stretch/>
      </xdr:blipFill>
      <xdr:spPr>
        <a:xfrm>
          <a:off x="2714288" y="79942448"/>
          <a:ext cx="9792331" cy="332091"/>
        </a:xfrm>
        <a:prstGeom prst="rect">
          <a:avLst/>
        </a:prstGeom>
      </xdr:spPr>
    </xdr:pic>
    <xdr:clientData/>
  </xdr:twoCellAnchor>
  <xdr:twoCellAnchor editAs="oneCell">
    <xdr:from>
      <xdr:col>2</xdr:col>
      <xdr:colOff>1727200</xdr:colOff>
      <xdr:row>312</xdr:row>
      <xdr:rowOff>152400</xdr:rowOff>
    </xdr:from>
    <xdr:to>
      <xdr:col>9</xdr:col>
      <xdr:colOff>447021</xdr:colOff>
      <xdr:row>314</xdr:row>
      <xdr:rowOff>126999</xdr:rowOff>
    </xdr:to>
    <xdr:pic>
      <xdr:nvPicPr>
        <xdr:cNvPr id="6" name="Picture 5">
          <a:extLst>
            <a:ext uri="{FF2B5EF4-FFF2-40B4-BE49-F238E27FC236}">
              <a16:creationId xmlns:a16="http://schemas.microsoft.com/office/drawing/2014/main" id="{8625C3FC-B1D0-F844-8B25-D991DA5F8C82}"/>
            </a:ext>
          </a:extLst>
        </xdr:cNvPr>
        <xdr:cNvPicPr>
          <a:picLocks noChangeAspect="1"/>
        </xdr:cNvPicPr>
      </xdr:nvPicPr>
      <xdr:blipFill>
        <a:blip xmlns:r="http://schemas.openxmlformats.org/officeDocument/2006/relationships" r:embed="rId5"/>
        <a:stretch>
          <a:fillRect/>
        </a:stretch>
      </xdr:blipFill>
      <xdr:spPr>
        <a:xfrm>
          <a:off x="2298700" y="86766400"/>
          <a:ext cx="8926053" cy="380998"/>
        </a:xfrm>
        <a:prstGeom prst="rect">
          <a:avLst/>
        </a:prstGeom>
      </xdr:spPr>
    </xdr:pic>
    <xdr:clientData/>
  </xdr:twoCellAnchor>
  <xdr:twoCellAnchor editAs="oneCell">
    <xdr:from>
      <xdr:col>3</xdr:col>
      <xdr:colOff>88900</xdr:colOff>
      <xdr:row>389</xdr:row>
      <xdr:rowOff>63500</xdr:rowOff>
    </xdr:from>
    <xdr:to>
      <xdr:col>3</xdr:col>
      <xdr:colOff>1524000</xdr:colOff>
      <xdr:row>390</xdr:row>
      <xdr:rowOff>152396</xdr:rowOff>
    </xdr:to>
    <xdr:pic>
      <xdr:nvPicPr>
        <xdr:cNvPr id="7" name="Picture 6">
          <a:extLst>
            <a:ext uri="{FF2B5EF4-FFF2-40B4-BE49-F238E27FC236}">
              <a16:creationId xmlns:a16="http://schemas.microsoft.com/office/drawing/2014/main" id="{E7954A76-B2D1-AD44-B8E2-5EDB0D4D6D01}"/>
            </a:ext>
          </a:extLst>
        </xdr:cNvPr>
        <xdr:cNvPicPr>
          <a:picLocks noChangeAspect="1"/>
        </xdr:cNvPicPr>
      </xdr:nvPicPr>
      <xdr:blipFill>
        <a:blip xmlns:r="http://schemas.openxmlformats.org/officeDocument/2006/relationships" r:embed="rId6"/>
        <a:stretch>
          <a:fillRect/>
        </a:stretch>
      </xdr:blipFill>
      <xdr:spPr>
        <a:xfrm>
          <a:off x="2692400" y="103339900"/>
          <a:ext cx="1435100" cy="292097"/>
        </a:xfrm>
        <a:prstGeom prst="rect">
          <a:avLst/>
        </a:prstGeom>
      </xdr:spPr>
    </xdr:pic>
    <xdr:clientData/>
  </xdr:twoCellAnchor>
  <xdr:twoCellAnchor editAs="oneCell">
    <xdr:from>
      <xdr:col>2</xdr:col>
      <xdr:colOff>1402540</xdr:colOff>
      <xdr:row>485</xdr:row>
      <xdr:rowOff>6350</xdr:rowOff>
    </xdr:from>
    <xdr:to>
      <xdr:col>7</xdr:col>
      <xdr:colOff>248789</xdr:colOff>
      <xdr:row>486</xdr:row>
      <xdr:rowOff>158754</xdr:rowOff>
    </xdr:to>
    <xdr:pic>
      <xdr:nvPicPr>
        <xdr:cNvPr id="8" name="Picture 7">
          <a:extLst>
            <a:ext uri="{FF2B5EF4-FFF2-40B4-BE49-F238E27FC236}">
              <a16:creationId xmlns:a16="http://schemas.microsoft.com/office/drawing/2014/main" id="{29CB50FC-B45A-DF43-A87B-BBDA5425A5A2}"/>
            </a:ext>
          </a:extLst>
        </xdr:cNvPr>
        <xdr:cNvPicPr>
          <a:picLocks noChangeAspect="1"/>
        </xdr:cNvPicPr>
      </xdr:nvPicPr>
      <xdr:blipFill rotWithShape="1">
        <a:blip xmlns:r="http://schemas.openxmlformats.org/officeDocument/2006/relationships" r:embed="rId7"/>
        <a:srcRect t="51724" r="460"/>
        <a:stretch/>
      </xdr:blipFill>
      <xdr:spPr>
        <a:xfrm>
          <a:off x="1974040" y="124263150"/>
          <a:ext cx="6792066" cy="355603"/>
        </a:xfrm>
        <a:prstGeom prst="rect">
          <a:avLst/>
        </a:prstGeom>
      </xdr:spPr>
    </xdr:pic>
    <xdr:clientData/>
  </xdr:twoCellAnchor>
  <xdr:twoCellAnchor editAs="oneCell">
    <xdr:from>
      <xdr:col>3</xdr:col>
      <xdr:colOff>0</xdr:colOff>
      <xdr:row>340</xdr:row>
      <xdr:rowOff>190500</xdr:rowOff>
    </xdr:from>
    <xdr:to>
      <xdr:col>10</xdr:col>
      <xdr:colOff>603633</xdr:colOff>
      <xdr:row>342</xdr:row>
      <xdr:rowOff>101603</xdr:rowOff>
    </xdr:to>
    <xdr:pic>
      <xdr:nvPicPr>
        <xdr:cNvPr id="9" name="Picture 8">
          <a:extLst>
            <a:ext uri="{FF2B5EF4-FFF2-40B4-BE49-F238E27FC236}">
              <a16:creationId xmlns:a16="http://schemas.microsoft.com/office/drawing/2014/main" id="{42D77C3E-DC8E-5A45-A6AA-C4B6372D271C}"/>
            </a:ext>
          </a:extLst>
        </xdr:cNvPr>
        <xdr:cNvPicPr>
          <a:picLocks noChangeAspect="1"/>
        </xdr:cNvPicPr>
      </xdr:nvPicPr>
      <xdr:blipFill rotWithShape="1">
        <a:blip xmlns:r="http://schemas.openxmlformats.org/officeDocument/2006/relationships" r:embed="rId4"/>
        <a:srcRect l="2440" t="53704"/>
        <a:stretch/>
      </xdr:blipFill>
      <xdr:spPr>
        <a:xfrm>
          <a:off x="2603500" y="93510100"/>
          <a:ext cx="10158015" cy="317500"/>
        </a:xfrm>
        <a:prstGeom prst="rect">
          <a:avLst/>
        </a:prstGeom>
      </xdr:spPr>
    </xdr:pic>
    <xdr:clientData/>
  </xdr:twoCellAnchor>
  <xdr:oneCellAnchor>
    <xdr:from>
      <xdr:col>3</xdr:col>
      <xdr:colOff>76200</xdr:colOff>
      <xdr:row>231</xdr:row>
      <xdr:rowOff>61878</xdr:rowOff>
    </xdr:from>
    <xdr:ext cx="4828460" cy="446898"/>
    <xdr:pic>
      <xdr:nvPicPr>
        <xdr:cNvPr id="10" name="Picture 9">
          <a:extLst>
            <a:ext uri="{FF2B5EF4-FFF2-40B4-BE49-F238E27FC236}">
              <a16:creationId xmlns:a16="http://schemas.microsoft.com/office/drawing/2014/main" id="{C1BB1257-9FA5-A24D-8BC4-A4609417E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9700" y="700007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692728</xdr:colOff>
      <xdr:row>388</xdr:row>
      <xdr:rowOff>86589</xdr:rowOff>
    </xdr:from>
    <xdr:to>
      <xdr:col>8</xdr:col>
      <xdr:colOff>1933865</xdr:colOff>
      <xdr:row>396</xdr:row>
      <xdr:rowOff>48105</xdr:rowOff>
    </xdr:to>
    <xdr:sp macro="" textlink="">
      <xdr:nvSpPr>
        <xdr:cNvPr id="14" name="TextBox 13">
          <a:extLst>
            <a:ext uri="{FF2B5EF4-FFF2-40B4-BE49-F238E27FC236}">
              <a16:creationId xmlns:a16="http://schemas.microsoft.com/office/drawing/2014/main" id="{DA0FE641-DBAA-7B4C-B4F8-81176ECBE0BF}"/>
            </a:ext>
          </a:extLst>
        </xdr:cNvPr>
        <xdr:cNvSpPr txBox="1"/>
      </xdr:nvSpPr>
      <xdr:spPr>
        <a:xfrm>
          <a:off x="7131628" y="103159789"/>
          <a:ext cx="3463637" cy="1587116"/>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Question:</a:t>
          </a:r>
          <a:br>
            <a:rPr lang="en-GB" sz="1400">
              <a:solidFill>
                <a:schemeClr val="bg1"/>
              </a:solidFill>
            </a:rPr>
          </a:br>
          <a:r>
            <a:rPr lang="en-GB" sz="1400">
              <a:solidFill>
                <a:schemeClr val="bg1"/>
              </a:solidFill>
            </a:rPr>
            <a:t>1) 50 baits per km2</a:t>
          </a:r>
          <a:r>
            <a:rPr lang="en-GB" sz="1400" baseline="0">
              <a:solidFill>
                <a:schemeClr val="bg1"/>
              </a:solidFill>
            </a:rPr>
            <a:t> is reasonable?</a:t>
          </a:r>
        </a:p>
        <a:p>
          <a:r>
            <a:rPr lang="en-GB" sz="1400" baseline="0">
              <a:solidFill>
                <a:schemeClr val="bg1"/>
              </a:solidFill>
            </a:rPr>
            <a:t>2) $0.5 per bait?</a:t>
          </a:r>
        </a:p>
        <a:p>
          <a:r>
            <a:rPr lang="en-GB" sz="1400" baseline="0">
              <a:solidFill>
                <a:schemeClr val="bg1"/>
              </a:solidFill>
            </a:rPr>
            <a:t>3) need to ship by securecold  truck</a:t>
          </a:r>
        </a:p>
        <a:p>
          <a:endParaRPr lang="en-GB" sz="1400">
            <a:solidFill>
              <a:schemeClr val="bg1"/>
            </a:solidFill>
          </a:endParaRPr>
        </a:p>
      </xdr:txBody>
    </xdr:sp>
    <xdr:clientData/>
  </xdr:twoCellAnchor>
  <xdr:oneCellAnchor>
    <xdr:from>
      <xdr:col>3</xdr:col>
      <xdr:colOff>88900</xdr:colOff>
      <xdr:row>352</xdr:row>
      <xdr:rowOff>63500</xdr:rowOff>
    </xdr:from>
    <xdr:ext cx="1435100" cy="292098"/>
    <xdr:pic>
      <xdr:nvPicPr>
        <xdr:cNvPr id="17" name="Picture 16">
          <a:extLst>
            <a:ext uri="{FF2B5EF4-FFF2-40B4-BE49-F238E27FC236}">
              <a16:creationId xmlns:a16="http://schemas.microsoft.com/office/drawing/2014/main" id="{539AB128-28FA-BD47-B991-7EC13FE518E6}"/>
            </a:ext>
          </a:extLst>
        </xdr:cNvPr>
        <xdr:cNvPicPr>
          <a:picLocks noChangeAspect="1"/>
        </xdr:cNvPicPr>
      </xdr:nvPicPr>
      <xdr:blipFill>
        <a:blip xmlns:r="http://schemas.openxmlformats.org/officeDocument/2006/relationships" r:embed="rId6"/>
        <a:stretch>
          <a:fillRect/>
        </a:stretch>
      </xdr:blipFill>
      <xdr:spPr>
        <a:xfrm>
          <a:off x="2692400" y="95821500"/>
          <a:ext cx="1435100" cy="292098"/>
        </a:xfrm>
        <a:prstGeom prst="rect">
          <a:avLst/>
        </a:prstGeom>
      </xdr:spPr>
    </xdr:pic>
    <xdr:clientData/>
  </xdr:oneCellAnchor>
  <xdr:oneCellAnchor>
    <xdr:from>
      <xdr:col>3</xdr:col>
      <xdr:colOff>76200</xdr:colOff>
      <xdr:row>560</xdr:row>
      <xdr:rowOff>61878</xdr:rowOff>
    </xdr:from>
    <xdr:ext cx="4828460" cy="446898"/>
    <xdr:pic>
      <xdr:nvPicPr>
        <xdr:cNvPr id="18" name="Picture 17">
          <a:extLst>
            <a:ext uri="{FF2B5EF4-FFF2-40B4-BE49-F238E27FC236}">
              <a16:creationId xmlns:a16="http://schemas.microsoft.com/office/drawing/2014/main" id="{0FDF739E-8078-E34C-9E20-4604D8BEAE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9700" y="1395967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6</xdr:col>
      <xdr:colOff>644621</xdr:colOff>
      <xdr:row>773</xdr:row>
      <xdr:rowOff>9621</xdr:rowOff>
    </xdr:from>
    <xdr:to>
      <xdr:col>9</xdr:col>
      <xdr:colOff>1895379</xdr:colOff>
      <xdr:row>781</xdr:row>
      <xdr:rowOff>182803</xdr:rowOff>
    </xdr:to>
    <xdr:sp macro="" textlink="">
      <xdr:nvSpPr>
        <xdr:cNvPr id="5" name="TextBox 4">
          <a:extLst>
            <a:ext uri="{FF2B5EF4-FFF2-40B4-BE49-F238E27FC236}">
              <a16:creationId xmlns:a16="http://schemas.microsoft.com/office/drawing/2014/main" id="{2DC6A3F0-F841-6D45-A4E5-9CACD5ADFD20}"/>
            </a:ext>
          </a:extLst>
        </xdr:cNvPr>
        <xdr:cNvSpPr txBox="1"/>
      </xdr:nvSpPr>
      <xdr:spPr>
        <a:xfrm>
          <a:off x="6753321" y="161337721"/>
          <a:ext cx="3981258" cy="179878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Question:</a:t>
          </a:r>
        </a:p>
        <a:p>
          <a:r>
            <a:rPr lang="en-GB" sz="1400">
              <a:solidFill>
                <a:schemeClr val="bg1"/>
              </a:solidFill>
            </a:rPr>
            <a:t>1) Does 3 weeks of post-action analysis for 100km2</a:t>
          </a:r>
          <a:r>
            <a:rPr lang="en-GB" sz="1400" baseline="0">
              <a:solidFill>
                <a:schemeClr val="bg1"/>
              </a:solidFill>
            </a:rPr>
            <a:t> sound suitable?</a:t>
          </a:r>
        </a:p>
        <a:p>
          <a:r>
            <a:rPr lang="en-GB" sz="1400" baseline="0">
              <a:solidFill>
                <a:schemeClr val="bg1"/>
              </a:solidFill>
            </a:rPr>
            <a:t>3) At what level of labour expertise does this occur?</a:t>
          </a:r>
          <a:endParaRPr lang="en-GB" sz="1400">
            <a:solidFill>
              <a:schemeClr val="bg1"/>
            </a:solidFill>
          </a:endParaRPr>
        </a:p>
      </xdr:txBody>
    </xdr:sp>
    <xdr:clientData/>
  </xdr:twoCellAnchor>
  <xdr:oneCellAnchor>
    <xdr:from>
      <xdr:col>3</xdr:col>
      <xdr:colOff>76200</xdr:colOff>
      <xdr:row>193</xdr:row>
      <xdr:rowOff>61878</xdr:rowOff>
    </xdr:from>
    <xdr:ext cx="4828460" cy="446898"/>
    <xdr:pic>
      <xdr:nvPicPr>
        <xdr:cNvPr id="13" name="Picture 12">
          <a:extLst>
            <a:ext uri="{FF2B5EF4-FFF2-40B4-BE49-F238E27FC236}">
              <a16:creationId xmlns:a16="http://schemas.microsoft.com/office/drawing/2014/main" id="{7664A8DE-785D-1945-B145-66135CA40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4900" y="623426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1860933</xdr:colOff>
      <xdr:row>359</xdr:row>
      <xdr:rowOff>100364</xdr:rowOff>
    </xdr:from>
    <xdr:to>
      <xdr:col>6</xdr:col>
      <xdr:colOff>870520</xdr:colOff>
      <xdr:row>361</xdr:row>
      <xdr:rowOff>140085</xdr:rowOff>
    </xdr:to>
    <xdr:pic>
      <xdr:nvPicPr>
        <xdr:cNvPr id="14" name="Picture 13">
          <a:extLst>
            <a:ext uri="{FF2B5EF4-FFF2-40B4-BE49-F238E27FC236}">
              <a16:creationId xmlns:a16="http://schemas.microsoft.com/office/drawing/2014/main" id="{313E5ED2-C38B-C04C-ADEC-398FF4203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4833" y="96912464"/>
          <a:ext cx="4813487" cy="446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149128</xdr:colOff>
      <xdr:row>305</xdr:row>
      <xdr:rowOff>83904</xdr:rowOff>
    </xdr:from>
    <xdr:to>
      <xdr:col>13</xdr:col>
      <xdr:colOff>808805</xdr:colOff>
      <xdr:row>319</xdr:row>
      <xdr:rowOff>125150</xdr:rowOff>
    </xdr:to>
    <xdr:pic>
      <xdr:nvPicPr>
        <xdr:cNvPr id="15" name="Picture 14">
          <a:extLst>
            <a:ext uri="{FF2B5EF4-FFF2-40B4-BE49-F238E27FC236}">
              <a16:creationId xmlns:a16="http://schemas.microsoft.com/office/drawing/2014/main" id="{A6CCD2C2-1C6E-6843-A16D-A2A81011E82A}"/>
            </a:ext>
          </a:extLst>
        </xdr:cNvPr>
        <xdr:cNvPicPr>
          <a:picLocks noChangeAspect="1"/>
        </xdr:cNvPicPr>
      </xdr:nvPicPr>
      <xdr:blipFill>
        <a:blip xmlns:r="http://schemas.openxmlformats.org/officeDocument/2006/relationships" r:embed="rId2"/>
        <a:stretch>
          <a:fillRect/>
        </a:stretch>
      </xdr:blipFill>
      <xdr:spPr>
        <a:xfrm>
          <a:off x="9712228" y="85504104"/>
          <a:ext cx="4926877" cy="2886046"/>
        </a:xfrm>
        <a:prstGeom prst="rect">
          <a:avLst/>
        </a:prstGeom>
      </xdr:spPr>
    </xdr:pic>
    <xdr:clientData/>
  </xdr:twoCellAnchor>
  <xdr:twoCellAnchor editAs="oneCell">
    <xdr:from>
      <xdr:col>2</xdr:col>
      <xdr:colOff>2022763</xdr:colOff>
      <xdr:row>312</xdr:row>
      <xdr:rowOff>31750</xdr:rowOff>
    </xdr:from>
    <xdr:to>
      <xdr:col>7</xdr:col>
      <xdr:colOff>493147</xdr:colOff>
      <xdr:row>313</xdr:row>
      <xdr:rowOff>95253</xdr:rowOff>
    </xdr:to>
    <xdr:pic>
      <xdr:nvPicPr>
        <xdr:cNvPr id="16" name="Picture 15">
          <a:extLst>
            <a:ext uri="{FF2B5EF4-FFF2-40B4-BE49-F238E27FC236}">
              <a16:creationId xmlns:a16="http://schemas.microsoft.com/office/drawing/2014/main" id="{DAF71B4D-EB05-3343-BFF7-8B48BF79C12D}"/>
            </a:ext>
          </a:extLst>
        </xdr:cNvPr>
        <xdr:cNvPicPr>
          <a:picLocks noChangeAspect="1"/>
        </xdr:cNvPicPr>
      </xdr:nvPicPr>
      <xdr:blipFill>
        <a:blip xmlns:r="http://schemas.openxmlformats.org/officeDocument/2006/relationships" r:embed="rId3"/>
        <a:stretch>
          <a:fillRect/>
        </a:stretch>
      </xdr:blipFill>
      <xdr:spPr>
        <a:xfrm>
          <a:off x="2746663" y="86912450"/>
          <a:ext cx="5531584" cy="266703"/>
        </a:xfrm>
        <a:prstGeom prst="rect">
          <a:avLst/>
        </a:prstGeom>
      </xdr:spPr>
    </xdr:pic>
    <xdr:clientData/>
  </xdr:twoCellAnchor>
  <xdr:twoCellAnchor editAs="oneCell">
    <xdr:from>
      <xdr:col>3</xdr:col>
      <xdr:colOff>88900</xdr:colOff>
      <xdr:row>241</xdr:row>
      <xdr:rowOff>63500</xdr:rowOff>
    </xdr:from>
    <xdr:to>
      <xdr:col>3</xdr:col>
      <xdr:colOff>1524000</xdr:colOff>
      <xdr:row>242</xdr:row>
      <xdr:rowOff>152397</xdr:rowOff>
    </xdr:to>
    <xdr:pic>
      <xdr:nvPicPr>
        <xdr:cNvPr id="17" name="Picture 16">
          <a:extLst>
            <a:ext uri="{FF2B5EF4-FFF2-40B4-BE49-F238E27FC236}">
              <a16:creationId xmlns:a16="http://schemas.microsoft.com/office/drawing/2014/main" id="{8CA6F3E2-120C-CD40-9C36-04E160E0F610}"/>
            </a:ext>
          </a:extLst>
        </xdr:cNvPr>
        <xdr:cNvPicPr>
          <a:picLocks noChangeAspect="1"/>
        </xdr:cNvPicPr>
      </xdr:nvPicPr>
      <xdr:blipFill>
        <a:blip xmlns:r="http://schemas.openxmlformats.org/officeDocument/2006/relationships" r:embed="rId4"/>
        <a:stretch>
          <a:fillRect/>
        </a:stretch>
      </xdr:blipFill>
      <xdr:spPr>
        <a:xfrm>
          <a:off x="2984500" y="82232500"/>
          <a:ext cx="1435100" cy="292097"/>
        </a:xfrm>
        <a:prstGeom prst="rect">
          <a:avLst/>
        </a:prstGeom>
      </xdr:spPr>
    </xdr:pic>
    <xdr:clientData/>
  </xdr:twoCellAnchor>
  <xdr:twoCellAnchor editAs="oneCell">
    <xdr:from>
      <xdr:col>2</xdr:col>
      <xdr:colOff>1402540</xdr:colOff>
      <xdr:row>384</xdr:row>
      <xdr:rowOff>6350</xdr:rowOff>
    </xdr:from>
    <xdr:to>
      <xdr:col>8</xdr:col>
      <xdr:colOff>274189</xdr:colOff>
      <xdr:row>385</xdr:row>
      <xdr:rowOff>158754</xdr:rowOff>
    </xdr:to>
    <xdr:pic>
      <xdr:nvPicPr>
        <xdr:cNvPr id="18" name="Picture 17">
          <a:extLst>
            <a:ext uri="{FF2B5EF4-FFF2-40B4-BE49-F238E27FC236}">
              <a16:creationId xmlns:a16="http://schemas.microsoft.com/office/drawing/2014/main" id="{1B13CAAA-B25D-D24C-B921-B1E65E2561FD}"/>
            </a:ext>
          </a:extLst>
        </xdr:cNvPr>
        <xdr:cNvPicPr>
          <a:picLocks noChangeAspect="1"/>
        </xdr:cNvPicPr>
      </xdr:nvPicPr>
      <xdr:blipFill rotWithShape="1">
        <a:blip xmlns:r="http://schemas.openxmlformats.org/officeDocument/2006/relationships" r:embed="rId5"/>
        <a:srcRect t="51724" r="460"/>
        <a:stretch/>
      </xdr:blipFill>
      <xdr:spPr>
        <a:xfrm>
          <a:off x="2126440" y="101936550"/>
          <a:ext cx="6796449" cy="3556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1904229</xdr:colOff>
      <xdr:row>354</xdr:row>
      <xdr:rowOff>158090</xdr:rowOff>
    </xdr:from>
    <xdr:to>
      <xdr:col>7</xdr:col>
      <xdr:colOff>324048</xdr:colOff>
      <xdr:row>356</xdr:row>
      <xdr:rowOff>197812</xdr:rowOff>
    </xdr:to>
    <xdr:pic>
      <xdr:nvPicPr>
        <xdr:cNvPr id="2" name="Picture 1">
          <a:extLst>
            <a:ext uri="{FF2B5EF4-FFF2-40B4-BE49-F238E27FC236}">
              <a16:creationId xmlns:a16="http://schemas.microsoft.com/office/drawing/2014/main" id="{B46C7A4E-A724-FA4A-8B8E-961B15FA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5729" y="53371090"/>
          <a:ext cx="4828792" cy="446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1561290</xdr:colOff>
      <xdr:row>379</xdr:row>
      <xdr:rowOff>38100</xdr:rowOff>
    </xdr:from>
    <xdr:to>
      <xdr:col>8</xdr:col>
      <xdr:colOff>505349</xdr:colOff>
      <xdr:row>380</xdr:row>
      <xdr:rowOff>190502</xdr:rowOff>
    </xdr:to>
    <xdr:pic>
      <xdr:nvPicPr>
        <xdr:cNvPr id="8" name="Picture 7">
          <a:extLst>
            <a:ext uri="{FF2B5EF4-FFF2-40B4-BE49-F238E27FC236}">
              <a16:creationId xmlns:a16="http://schemas.microsoft.com/office/drawing/2014/main" id="{2F581F50-B05F-CF44-87ED-EB706E3BC071}"/>
            </a:ext>
          </a:extLst>
        </xdr:cNvPr>
        <xdr:cNvPicPr>
          <a:picLocks noChangeAspect="1"/>
        </xdr:cNvPicPr>
      </xdr:nvPicPr>
      <xdr:blipFill rotWithShape="1">
        <a:blip xmlns:r="http://schemas.openxmlformats.org/officeDocument/2006/relationships" r:embed="rId2"/>
        <a:srcRect t="51724" r="460"/>
        <a:stretch/>
      </xdr:blipFill>
      <xdr:spPr>
        <a:xfrm>
          <a:off x="2132790" y="57759600"/>
          <a:ext cx="6785841" cy="355603"/>
        </a:xfrm>
        <a:prstGeom prst="rect">
          <a:avLst/>
        </a:prstGeom>
      </xdr:spPr>
    </xdr:pic>
    <xdr:clientData/>
  </xdr:twoCellAnchor>
  <xdr:oneCellAnchor>
    <xdr:from>
      <xdr:col>2</xdr:col>
      <xdr:colOff>2022763</xdr:colOff>
      <xdr:row>464</xdr:row>
      <xdr:rowOff>0</xdr:rowOff>
    </xdr:from>
    <xdr:ext cx="5539659" cy="264028"/>
    <xdr:pic>
      <xdr:nvPicPr>
        <xdr:cNvPr id="27" name="Picture 26">
          <a:extLst>
            <a:ext uri="{FF2B5EF4-FFF2-40B4-BE49-F238E27FC236}">
              <a16:creationId xmlns:a16="http://schemas.microsoft.com/office/drawing/2014/main" id="{6DA678FB-39AD-004D-AE90-D631A9F4E61B}"/>
            </a:ext>
          </a:extLst>
        </xdr:cNvPr>
        <xdr:cNvPicPr>
          <a:picLocks noChangeAspect="1"/>
        </xdr:cNvPicPr>
      </xdr:nvPicPr>
      <xdr:blipFill>
        <a:blip xmlns:r="http://schemas.openxmlformats.org/officeDocument/2006/relationships" r:embed="rId3"/>
        <a:stretch>
          <a:fillRect/>
        </a:stretch>
      </xdr:blipFill>
      <xdr:spPr>
        <a:xfrm>
          <a:off x="2011495" y="82543555"/>
          <a:ext cx="5539659" cy="264028"/>
        </a:xfrm>
        <a:prstGeom prst="rect">
          <a:avLst/>
        </a:prstGeom>
      </xdr:spPr>
    </xdr:pic>
    <xdr:clientData/>
  </xdr:oneCellAnchor>
  <xdr:oneCellAnchor>
    <xdr:from>
      <xdr:col>3</xdr:col>
      <xdr:colOff>79351</xdr:colOff>
      <xdr:row>451</xdr:row>
      <xdr:rowOff>15755</xdr:rowOff>
    </xdr:from>
    <xdr:ext cx="1435100" cy="289425"/>
    <xdr:pic>
      <xdr:nvPicPr>
        <xdr:cNvPr id="28" name="Picture 27">
          <a:extLst>
            <a:ext uri="{FF2B5EF4-FFF2-40B4-BE49-F238E27FC236}">
              <a16:creationId xmlns:a16="http://schemas.microsoft.com/office/drawing/2014/main" id="{D81C3D76-61AF-934D-96E1-6742C682A7DE}"/>
            </a:ext>
          </a:extLst>
        </xdr:cNvPr>
        <xdr:cNvPicPr>
          <a:picLocks noChangeAspect="1"/>
        </xdr:cNvPicPr>
      </xdr:nvPicPr>
      <xdr:blipFill>
        <a:blip xmlns:r="http://schemas.openxmlformats.org/officeDocument/2006/relationships" r:embed="rId4"/>
        <a:stretch>
          <a:fillRect/>
        </a:stretch>
      </xdr:blipFill>
      <xdr:spPr>
        <a:xfrm>
          <a:off x="2084614" y="78278311"/>
          <a:ext cx="1435100" cy="289425"/>
        </a:xfrm>
        <a:prstGeom prst="rect">
          <a:avLst/>
        </a:prstGeom>
      </xdr:spPr>
    </xdr:pic>
    <xdr:clientData/>
  </xdr:oneCellAnchor>
  <xdr:oneCellAnchor>
    <xdr:from>
      <xdr:col>2</xdr:col>
      <xdr:colOff>1561290</xdr:colOff>
      <xdr:row>527</xdr:row>
      <xdr:rowOff>38100</xdr:rowOff>
    </xdr:from>
    <xdr:ext cx="6788515" cy="352929"/>
    <xdr:pic>
      <xdr:nvPicPr>
        <xdr:cNvPr id="29" name="Picture 28">
          <a:extLst>
            <a:ext uri="{FF2B5EF4-FFF2-40B4-BE49-F238E27FC236}">
              <a16:creationId xmlns:a16="http://schemas.microsoft.com/office/drawing/2014/main" id="{731D7444-D0E7-394A-A7F9-3545577D7C57}"/>
            </a:ext>
          </a:extLst>
        </xdr:cNvPr>
        <xdr:cNvPicPr>
          <a:picLocks noChangeAspect="1"/>
        </xdr:cNvPicPr>
      </xdr:nvPicPr>
      <xdr:blipFill rotWithShape="1">
        <a:blip xmlns:r="http://schemas.openxmlformats.org/officeDocument/2006/relationships" r:embed="rId2"/>
        <a:srcRect t="51724" r="460"/>
        <a:stretch/>
      </xdr:blipFill>
      <xdr:spPr>
        <a:xfrm>
          <a:off x="2007222" y="96615393"/>
          <a:ext cx="6788515" cy="35292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6</xdr:col>
      <xdr:colOff>644621</xdr:colOff>
      <xdr:row>724</xdr:row>
      <xdr:rowOff>9621</xdr:rowOff>
    </xdr:from>
    <xdr:to>
      <xdr:col>9</xdr:col>
      <xdr:colOff>1895379</xdr:colOff>
      <xdr:row>732</xdr:row>
      <xdr:rowOff>182803</xdr:rowOff>
    </xdr:to>
    <xdr:sp macro="" textlink="">
      <xdr:nvSpPr>
        <xdr:cNvPr id="5" name="TextBox 4">
          <a:extLst>
            <a:ext uri="{FF2B5EF4-FFF2-40B4-BE49-F238E27FC236}">
              <a16:creationId xmlns:a16="http://schemas.microsoft.com/office/drawing/2014/main" id="{090DFE2A-739D-204D-BE07-94DB0F0AEEAF}"/>
            </a:ext>
          </a:extLst>
        </xdr:cNvPr>
        <xdr:cNvSpPr txBox="1"/>
      </xdr:nvSpPr>
      <xdr:spPr>
        <a:xfrm>
          <a:off x="7235921" y="161172621"/>
          <a:ext cx="4997258" cy="179878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Question:</a:t>
          </a:r>
        </a:p>
        <a:p>
          <a:r>
            <a:rPr lang="en-GB" sz="1400">
              <a:solidFill>
                <a:schemeClr val="bg1"/>
              </a:solidFill>
            </a:rPr>
            <a:t>1) Does 3 weeks of post-action analysis for 100km2</a:t>
          </a:r>
          <a:r>
            <a:rPr lang="en-GB" sz="1400" baseline="0">
              <a:solidFill>
                <a:schemeClr val="bg1"/>
              </a:solidFill>
            </a:rPr>
            <a:t> sound suitable?</a:t>
          </a:r>
        </a:p>
        <a:p>
          <a:r>
            <a:rPr lang="en-GB" sz="1400" baseline="0">
              <a:solidFill>
                <a:schemeClr val="bg1"/>
              </a:solidFill>
            </a:rPr>
            <a:t>3) At what level of labour expertise does this occur?</a:t>
          </a:r>
          <a:endParaRPr lang="en-GB" sz="1400">
            <a:solidFill>
              <a:schemeClr val="bg1"/>
            </a:solidFill>
          </a:endParaRPr>
        </a:p>
      </xdr:txBody>
    </xdr:sp>
    <xdr:clientData/>
  </xdr:twoCellAnchor>
  <xdr:oneCellAnchor>
    <xdr:from>
      <xdr:col>3</xdr:col>
      <xdr:colOff>76200</xdr:colOff>
      <xdr:row>206</xdr:row>
      <xdr:rowOff>61878</xdr:rowOff>
    </xdr:from>
    <xdr:ext cx="4828460" cy="446898"/>
    <xdr:pic>
      <xdr:nvPicPr>
        <xdr:cNvPr id="13" name="Picture 12">
          <a:extLst>
            <a:ext uri="{FF2B5EF4-FFF2-40B4-BE49-F238E27FC236}">
              <a16:creationId xmlns:a16="http://schemas.microsoft.com/office/drawing/2014/main" id="{D9EB0F69-83C3-FB45-A399-DE1E27280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0" y="621775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839422</xdr:colOff>
      <xdr:row>143</xdr:row>
      <xdr:rowOff>0</xdr:rowOff>
    </xdr:from>
    <xdr:to>
      <xdr:col>10</xdr:col>
      <xdr:colOff>622753</xdr:colOff>
      <xdr:row>151</xdr:row>
      <xdr:rowOff>182789</xdr:rowOff>
    </xdr:to>
    <xdr:sp macro="" textlink="">
      <xdr:nvSpPr>
        <xdr:cNvPr id="14" name="TextBox 13">
          <a:extLst>
            <a:ext uri="{FF2B5EF4-FFF2-40B4-BE49-F238E27FC236}">
              <a16:creationId xmlns:a16="http://schemas.microsoft.com/office/drawing/2014/main" id="{2441E42E-5E57-5345-9FC6-A5269F41D8C2}"/>
            </a:ext>
          </a:extLst>
        </xdr:cNvPr>
        <xdr:cNvSpPr txBox="1"/>
      </xdr:nvSpPr>
      <xdr:spPr>
        <a:xfrm>
          <a:off x="8345122" y="49072800"/>
          <a:ext cx="4380731" cy="180838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Question:</a:t>
          </a:r>
        </a:p>
        <a:p>
          <a:r>
            <a:rPr lang="en-GB" sz="1400">
              <a:solidFill>
                <a:schemeClr val="bg1"/>
              </a:solidFill>
            </a:rPr>
            <a:t>1) Does 30%</a:t>
          </a:r>
          <a:r>
            <a:rPr lang="en-GB" sz="1400" baseline="0">
              <a:solidFill>
                <a:schemeClr val="bg1"/>
              </a:solidFill>
            </a:rPr>
            <a:t> of representative proportion sound reasonable?</a:t>
          </a:r>
        </a:p>
        <a:p>
          <a:r>
            <a:rPr lang="en-GB" sz="1400" baseline="0">
              <a:solidFill>
                <a:schemeClr val="bg1"/>
              </a:solidFill>
            </a:rPr>
            <a:t>2) How frequent does field planning occur?</a:t>
          </a:r>
        </a:p>
        <a:p>
          <a:endParaRPr lang="en-GB" sz="1400">
            <a:solidFill>
              <a:schemeClr val="bg1"/>
            </a:solidFill>
          </a:endParaRPr>
        </a:p>
      </xdr:txBody>
    </xdr:sp>
    <xdr:clientData/>
  </xdr:twoCellAnchor>
  <xdr:twoCellAnchor>
    <xdr:from>
      <xdr:col>7</xdr:col>
      <xdr:colOff>0</xdr:colOff>
      <xdr:row>168</xdr:row>
      <xdr:rowOff>114300</xdr:rowOff>
    </xdr:from>
    <xdr:to>
      <xdr:col>9</xdr:col>
      <xdr:colOff>748146</xdr:colOff>
      <xdr:row>174</xdr:row>
      <xdr:rowOff>45797</xdr:rowOff>
    </xdr:to>
    <xdr:sp macro="" textlink="">
      <xdr:nvSpPr>
        <xdr:cNvPr id="15" name="TextBox 14">
          <a:extLst>
            <a:ext uri="{FF2B5EF4-FFF2-40B4-BE49-F238E27FC236}">
              <a16:creationId xmlns:a16="http://schemas.microsoft.com/office/drawing/2014/main" id="{BA047FFF-0A67-7B48-BF70-00F6F26E46F3}"/>
            </a:ext>
          </a:extLst>
        </xdr:cNvPr>
        <xdr:cNvSpPr txBox="1"/>
      </xdr:nvSpPr>
      <xdr:spPr>
        <a:xfrm>
          <a:off x="7505700" y="54305200"/>
          <a:ext cx="4050146" cy="118879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Assume:</a:t>
          </a:r>
        </a:p>
        <a:p>
          <a:r>
            <a:rPr lang="en-GB" sz="1400">
              <a:solidFill>
                <a:schemeClr val="bg1"/>
              </a:solidFill>
            </a:rPr>
            <a:t>1) field</a:t>
          </a:r>
          <a:r>
            <a:rPr lang="en-GB" sz="1400" baseline="0">
              <a:solidFill>
                <a:schemeClr val="bg1"/>
              </a:solidFill>
            </a:rPr>
            <a:t> work is done by "entry" level employee</a:t>
          </a:r>
        </a:p>
        <a:p>
          <a:r>
            <a:rPr lang="en-GB" sz="1400" baseline="0">
              <a:solidFill>
                <a:schemeClr val="bg1"/>
              </a:solidFill>
            </a:rPr>
            <a:t>2) Minimum 2 staff at all times</a:t>
          </a:r>
          <a:endParaRPr lang="en-GB" sz="1400">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3</xdr:col>
      <xdr:colOff>110788</xdr:colOff>
      <xdr:row>93</xdr:row>
      <xdr:rowOff>97548</xdr:rowOff>
    </xdr:from>
    <xdr:ext cx="9772433" cy="332091"/>
    <xdr:pic>
      <xdr:nvPicPr>
        <xdr:cNvPr id="2" name="Picture 1">
          <a:extLst>
            <a:ext uri="{FF2B5EF4-FFF2-40B4-BE49-F238E27FC236}">
              <a16:creationId xmlns:a16="http://schemas.microsoft.com/office/drawing/2014/main" id="{B1A42854-D972-204C-8897-533136C165D3}"/>
            </a:ext>
          </a:extLst>
        </xdr:cNvPr>
        <xdr:cNvPicPr>
          <a:picLocks noChangeAspect="1"/>
        </xdr:cNvPicPr>
      </xdr:nvPicPr>
      <xdr:blipFill rotWithShape="1">
        <a:blip xmlns:r="http://schemas.openxmlformats.org/officeDocument/2006/relationships" r:embed="rId1"/>
        <a:srcRect r="5927" b="51852"/>
        <a:stretch/>
      </xdr:blipFill>
      <xdr:spPr>
        <a:xfrm>
          <a:off x="2853988" y="24240248"/>
          <a:ext cx="9772433" cy="332091"/>
        </a:xfrm>
        <a:prstGeom prst="rect">
          <a:avLst/>
        </a:prstGeom>
      </xdr:spPr>
    </xdr:pic>
    <xdr:clientData/>
  </xdr:oneCellAnchor>
  <xdr:oneCellAnchor>
    <xdr:from>
      <xdr:col>2</xdr:col>
      <xdr:colOff>1727200</xdr:colOff>
      <xdr:row>126</xdr:row>
      <xdr:rowOff>152400</xdr:rowOff>
    </xdr:from>
    <xdr:ext cx="8913887" cy="380999"/>
    <xdr:pic>
      <xdr:nvPicPr>
        <xdr:cNvPr id="3" name="Picture 2">
          <a:extLst>
            <a:ext uri="{FF2B5EF4-FFF2-40B4-BE49-F238E27FC236}">
              <a16:creationId xmlns:a16="http://schemas.microsoft.com/office/drawing/2014/main" id="{FF5232B1-0F93-3D4E-B3F0-8C66E24E263E}"/>
            </a:ext>
          </a:extLst>
        </xdr:cNvPr>
        <xdr:cNvPicPr>
          <a:picLocks noChangeAspect="1"/>
        </xdr:cNvPicPr>
      </xdr:nvPicPr>
      <xdr:blipFill>
        <a:blip xmlns:r="http://schemas.openxmlformats.org/officeDocument/2006/relationships" r:embed="rId2"/>
        <a:stretch>
          <a:fillRect/>
        </a:stretch>
      </xdr:blipFill>
      <xdr:spPr>
        <a:xfrm>
          <a:off x="2298700" y="31267400"/>
          <a:ext cx="8913887" cy="380999"/>
        </a:xfrm>
        <a:prstGeom prst="rect">
          <a:avLst/>
        </a:prstGeom>
      </xdr:spPr>
    </xdr:pic>
    <xdr:clientData/>
  </xdr:oneCellAnchor>
  <xdr:oneCellAnchor>
    <xdr:from>
      <xdr:col>3</xdr:col>
      <xdr:colOff>0</xdr:colOff>
      <xdr:row>156</xdr:row>
      <xdr:rowOff>190500</xdr:rowOff>
    </xdr:from>
    <xdr:ext cx="10138117" cy="317500"/>
    <xdr:pic>
      <xdr:nvPicPr>
        <xdr:cNvPr id="4" name="Picture 3">
          <a:extLst>
            <a:ext uri="{FF2B5EF4-FFF2-40B4-BE49-F238E27FC236}">
              <a16:creationId xmlns:a16="http://schemas.microsoft.com/office/drawing/2014/main" id="{09B2565E-B168-8C43-A11C-11E1D776D9D7}"/>
            </a:ext>
          </a:extLst>
        </xdr:cNvPr>
        <xdr:cNvPicPr>
          <a:picLocks noChangeAspect="1"/>
        </xdr:cNvPicPr>
      </xdr:nvPicPr>
      <xdr:blipFill rotWithShape="1">
        <a:blip xmlns:r="http://schemas.openxmlformats.org/officeDocument/2006/relationships" r:embed="rId1"/>
        <a:srcRect l="2440" t="53704"/>
        <a:stretch/>
      </xdr:blipFill>
      <xdr:spPr>
        <a:xfrm>
          <a:off x="2743200" y="37401500"/>
          <a:ext cx="10138117" cy="317500"/>
        </a:xfrm>
        <a:prstGeom prst="rect">
          <a:avLst/>
        </a:prstGeom>
      </xdr:spPr>
    </xdr:pic>
    <xdr:clientData/>
  </xdr:oneCellAnchor>
  <xdr:oneCellAnchor>
    <xdr:from>
      <xdr:col>3</xdr:col>
      <xdr:colOff>76200</xdr:colOff>
      <xdr:row>245</xdr:row>
      <xdr:rowOff>61878</xdr:rowOff>
    </xdr:from>
    <xdr:ext cx="4828460" cy="446898"/>
    <xdr:pic>
      <xdr:nvPicPr>
        <xdr:cNvPr id="5" name="Picture 4">
          <a:extLst>
            <a:ext uri="{FF2B5EF4-FFF2-40B4-BE49-F238E27FC236}">
              <a16:creationId xmlns:a16="http://schemas.microsoft.com/office/drawing/2014/main" id="{2FC959DC-714B-BC43-87A0-50BA7DE5A8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9400" y="556116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839422</xdr:colOff>
      <xdr:row>182</xdr:row>
      <xdr:rowOff>0</xdr:rowOff>
    </xdr:from>
    <xdr:to>
      <xdr:col>10</xdr:col>
      <xdr:colOff>622753</xdr:colOff>
      <xdr:row>190</xdr:row>
      <xdr:rowOff>182789</xdr:rowOff>
    </xdr:to>
    <xdr:sp macro="" textlink="">
      <xdr:nvSpPr>
        <xdr:cNvPr id="6" name="TextBox 5">
          <a:extLst>
            <a:ext uri="{FF2B5EF4-FFF2-40B4-BE49-F238E27FC236}">
              <a16:creationId xmlns:a16="http://schemas.microsoft.com/office/drawing/2014/main" id="{C413E632-2768-814C-ACD5-5F353F897DBE}"/>
            </a:ext>
          </a:extLst>
        </xdr:cNvPr>
        <xdr:cNvSpPr txBox="1"/>
      </xdr:nvSpPr>
      <xdr:spPr>
        <a:xfrm>
          <a:off x="9792922" y="42506900"/>
          <a:ext cx="4660131" cy="180838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Question:</a:t>
          </a:r>
        </a:p>
        <a:p>
          <a:r>
            <a:rPr lang="en-GB" sz="1400">
              <a:solidFill>
                <a:schemeClr val="bg1"/>
              </a:solidFill>
            </a:rPr>
            <a:t>1) Does 30%</a:t>
          </a:r>
          <a:r>
            <a:rPr lang="en-GB" sz="1400" baseline="0">
              <a:solidFill>
                <a:schemeClr val="bg1"/>
              </a:solidFill>
            </a:rPr>
            <a:t> of representative proportion sound reasonable?</a:t>
          </a:r>
        </a:p>
        <a:p>
          <a:r>
            <a:rPr lang="en-GB" sz="1400" baseline="0">
              <a:solidFill>
                <a:schemeClr val="bg1"/>
              </a:solidFill>
            </a:rPr>
            <a:t>2) How frequent does field planning occur?</a:t>
          </a:r>
        </a:p>
        <a:p>
          <a:endParaRPr lang="en-GB" sz="1400">
            <a:solidFill>
              <a:schemeClr val="bg1"/>
            </a:solidFill>
          </a:endParaRPr>
        </a:p>
      </xdr:txBody>
    </xdr:sp>
    <xdr:clientData/>
  </xdr:twoCellAnchor>
  <xdr:twoCellAnchor>
    <xdr:from>
      <xdr:col>7</xdr:col>
      <xdr:colOff>0</xdr:colOff>
      <xdr:row>207</xdr:row>
      <xdr:rowOff>114300</xdr:rowOff>
    </xdr:from>
    <xdr:to>
      <xdr:col>9</xdr:col>
      <xdr:colOff>748146</xdr:colOff>
      <xdr:row>213</xdr:row>
      <xdr:rowOff>45797</xdr:rowOff>
    </xdr:to>
    <xdr:sp macro="" textlink="">
      <xdr:nvSpPr>
        <xdr:cNvPr id="7" name="TextBox 6">
          <a:extLst>
            <a:ext uri="{FF2B5EF4-FFF2-40B4-BE49-F238E27FC236}">
              <a16:creationId xmlns:a16="http://schemas.microsoft.com/office/drawing/2014/main" id="{5B5A2966-379F-D743-92CB-95D9DA64F09A}"/>
            </a:ext>
          </a:extLst>
        </xdr:cNvPr>
        <xdr:cNvSpPr txBox="1"/>
      </xdr:nvSpPr>
      <xdr:spPr>
        <a:xfrm>
          <a:off x="8953500" y="47739300"/>
          <a:ext cx="4329546" cy="118879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Assume:</a:t>
          </a:r>
        </a:p>
        <a:p>
          <a:r>
            <a:rPr lang="en-GB" sz="1400">
              <a:solidFill>
                <a:schemeClr val="bg1"/>
              </a:solidFill>
            </a:rPr>
            <a:t>1) field</a:t>
          </a:r>
          <a:r>
            <a:rPr lang="en-GB" sz="1400" baseline="0">
              <a:solidFill>
                <a:schemeClr val="bg1"/>
              </a:solidFill>
            </a:rPr>
            <a:t> work is done by "entry" level employee</a:t>
          </a:r>
        </a:p>
        <a:p>
          <a:r>
            <a:rPr lang="en-GB" sz="1400" baseline="0">
              <a:solidFill>
                <a:schemeClr val="bg1"/>
              </a:solidFill>
            </a:rPr>
            <a:t>2) Minimum 2 staff at all times</a:t>
          </a:r>
          <a:endParaRPr lang="en-GB" sz="1400">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3</xdr:col>
      <xdr:colOff>76200</xdr:colOff>
      <xdr:row>198</xdr:row>
      <xdr:rowOff>61878</xdr:rowOff>
    </xdr:from>
    <xdr:ext cx="4828460" cy="446898"/>
    <xdr:pic>
      <xdr:nvPicPr>
        <xdr:cNvPr id="3" name="Picture 2">
          <a:extLst>
            <a:ext uri="{FF2B5EF4-FFF2-40B4-BE49-F238E27FC236}">
              <a16:creationId xmlns:a16="http://schemas.microsoft.com/office/drawing/2014/main" id="{B58860DD-C32B-FE42-82C4-8B3BF1D99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1600" y="423909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76200</xdr:colOff>
      <xdr:row>170</xdr:row>
      <xdr:rowOff>61878</xdr:rowOff>
    </xdr:from>
    <xdr:ext cx="4828460" cy="446898"/>
    <xdr:pic>
      <xdr:nvPicPr>
        <xdr:cNvPr id="3" name="Picture 2">
          <a:extLst>
            <a:ext uri="{FF2B5EF4-FFF2-40B4-BE49-F238E27FC236}">
              <a16:creationId xmlns:a16="http://schemas.microsoft.com/office/drawing/2014/main" id="{0C44740D-AE78-094E-8032-7F3A5773E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1600" y="616187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110788</xdr:colOff>
      <xdr:row>257</xdr:row>
      <xdr:rowOff>97548</xdr:rowOff>
    </xdr:from>
    <xdr:to>
      <xdr:col>9</xdr:col>
      <xdr:colOff>598638</xdr:colOff>
      <xdr:row>257</xdr:row>
      <xdr:rowOff>429639</xdr:rowOff>
    </xdr:to>
    <xdr:pic>
      <xdr:nvPicPr>
        <xdr:cNvPr id="2" name="Picture 1">
          <a:extLst>
            <a:ext uri="{FF2B5EF4-FFF2-40B4-BE49-F238E27FC236}">
              <a16:creationId xmlns:a16="http://schemas.microsoft.com/office/drawing/2014/main" id="{8EEA99C1-2C76-CF4E-9686-9F84ED313A75}"/>
            </a:ext>
          </a:extLst>
        </xdr:cNvPr>
        <xdr:cNvPicPr>
          <a:picLocks noChangeAspect="1"/>
        </xdr:cNvPicPr>
      </xdr:nvPicPr>
      <xdr:blipFill rotWithShape="1">
        <a:blip xmlns:r="http://schemas.openxmlformats.org/officeDocument/2006/relationships" r:embed="rId1"/>
        <a:srcRect r="5927" b="51852"/>
        <a:stretch/>
      </xdr:blipFill>
      <xdr:spPr>
        <a:xfrm>
          <a:off x="4123988" y="76373748"/>
          <a:ext cx="9816244" cy="332091"/>
        </a:xfrm>
        <a:prstGeom prst="rect">
          <a:avLst/>
        </a:prstGeom>
      </xdr:spPr>
    </xdr:pic>
    <xdr:clientData/>
  </xdr:twoCellAnchor>
  <xdr:twoCellAnchor editAs="oneCell">
    <xdr:from>
      <xdr:col>2</xdr:col>
      <xdr:colOff>1499152</xdr:colOff>
      <xdr:row>288</xdr:row>
      <xdr:rowOff>8835</xdr:rowOff>
    </xdr:from>
    <xdr:to>
      <xdr:col>8</xdr:col>
      <xdr:colOff>1244576</xdr:colOff>
      <xdr:row>289</xdr:row>
      <xdr:rowOff>182220</xdr:rowOff>
    </xdr:to>
    <xdr:pic>
      <xdr:nvPicPr>
        <xdr:cNvPr id="3" name="Picture 2">
          <a:extLst>
            <a:ext uri="{FF2B5EF4-FFF2-40B4-BE49-F238E27FC236}">
              <a16:creationId xmlns:a16="http://schemas.microsoft.com/office/drawing/2014/main" id="{FEA7B947-AE5C-9F4B-8DC4-ECE4FCE80735}"/>
            </a:ext>
          </a:extLst>
        </xdr:cNvPr>
        <xdr:cNvPicPr>
          <a:picLocks noChangeAspect="1"/>
        </xdr:cNvPicPr>
      </xdr:nvPicPr>
      <xdr:blipFill>
        <a:blip xmlns:r="http://schemas.openxmlformats.org/officeDocument/2006/relationships" r:embed="rId2"/>
        <a:stretch>
          <a:fillRect/>
        </a:stretch>
      </xdr:blipFill>
      <xdr:spPr>
        <a:xfrm>
          <a:off x="2197652" y="82850935"/>
          <a:ext cx="8940076" cy="376584"/>
        </a:xfrm>
        <a:prstGeom prst="rect">
          <a:avLst/>
        </a:prstGeom>
      </xdr:spPr>
    </xdr:pic>
    <xdr:clientData/>
  </xdr:twoCellAnchor>
  <xdr:oneCellAnchor>
    <xdr:from>
      <xdr:col>3</xdr:col>
      <xdr:colOff>76200</xdr:colOff>
      <xdr:row>396</xdr:row>
      <xdr:rowOff>61878</xdr:rowOff>
    </xdr:from>
    <xdr:ext cx="4828460" cy="446898"/>
    <xdr:pic>
      <xdr:nvPicPr>
        <xdr:cNvPr id="9" name="Picture 8">
          <a:extLst>
            <a:ext uri="{FF2B5EF4-FFF2-40B4-BE49-F238E27FC236}">
              <a16:creationId xmlns:a16="http://schemas.microsoft.com/office/drawing/2014/main" id="{297C4940-767F-C646-B932-36934B0026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9400" y="1050908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644621</xdr:colOff>
      <xdr:row>800</xdr:row>
      <xdr:rowOff>9621</xdr:rowOff>
    </xdr:from>
    <xdr:to>
      <xdr:col>9</xdr:col>
      <xdr:colOff>1895379</xdr:colOff>
      <xdr:row>808</xdr:row>
      <xdr:rowOff>182803</xdr:rowOff>
    </xdr:to>
    <xdr:sp macro="" textlink="">
      <xdr:nvSpPr>
        <xdr:cNvPr id="5" name="TextBox 4">
          <a:extLst>
            <a:ext uri="{FF2B5EF4-FFF2-40B4-BE49-F238E27FC236}">
              <a16:creationId xmlns:a16="http://schemas.microsoft.com/office/drawing/2014/main" id="{D37B800B-24EC-6046-BBBE-C6B17A587891}"/>
            </a:ext>
          </a:extLst>
        </xdr:cNvPr>
        <xdr:cNvSpPr txBox="1"/>
      </xdr:nvSpPr>
      <xdr:spPr>
        <a:xfrm>
          <a:off x="7235921" y="161172621"/>
          <a:ext cx="4997258" cy="179878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Question:</a:t>
          </a:r>
        </a:p>
        <a:p>
          <a:r>
            <a:rPr lang="en-GB" sz="1400">
              <a:solidFill>
                <a:schemeClr val="bg1"/>
              </a:solidFill>
            </a:rPr>
            <a:t>1) Does 3 weeks of post-action analysis for 100km2</a:t>
          </a:r>
          <a:r>
            <a:rPr lang="en-GB" sz="1400" baseline="0">
              <a:solidFill>
                <a:schemeClr val="bg1"/>
              </a:solidFill>
            </a:rPr>
            <a:t> sound suitable?</a:t>
          </a:r>
        </a:p>
        <a:p>
          <a:r>
            <a:rPr lang="en-GB" sz="1400" baseline="0">
              <a:solidFill>
                <a:schemeClr val="bg1"/>
              </a:solidFill>
            </a:rPr>
            <a:t>3) At what level of labour expertise does this occur?</a:t>
          </a:r>
          <a:endParaRPr lang="en-GB" sz="1400">
            <a:solidFill>
              <a:schemeClr val="bg1"/>
            </a:solidFill>
          </a:endParaRPr>
        </a:p>
      </xdr:txBody>
    </xdr:sp>
    <xdr:clientData/>
  </xdr:twoCellAnchor>
  <xdr:oneCellAnchor>
    <xdr:from>
      <xdr:col>3</xdr:col>
      <xdr:colOff>110788</xdr:colOff>
      <xdr:row>125</xdr:row>
      <xdr:rowOff>97548</xdr:rowOff>
    </xdr:from>
    <xdr:ext cx="9772433" cy="332091"/>
    <xdr:pic>
      <xdr:nvPicPr>
        <xdr:cNvPr id="6" name="Picture 5">
          <a:extLst>
            <a:ext uri="{FF2B5EF4-FFF2-40B4-BE49-F238E27FC236}">
              <a16:creationId xmlns:a16="http://schemas.microsoft.com/office/drawing/2014/main" id="{8A663677-153C-AA40-839F-76077ADDAAA8}"/>
            </a:ext>
          </a:extLst>
        </xdr:cNvPr>
        <xdr:cNvPicPr>
          <a:picLocks noChangeAspect="1"/>
        </xdr:cNvPicPr>
      </xdr:nvPicPr>
      <xdr:blipFill rotWithShape="1">
        <a:blip xmlns:r="http://schemas.openxmlformats.org/officeDocument/2006/relationships" r:embed="rId1"/>
        <a:srcRect r="5927" b="51852"/>
        <a:stretch/>
      </xdr:blipFill>
      <xdr:spPr>
        <a:xfrm>
          <a:off x="2853988" y="30806148"/>
          <a:ext cx="9772433" cy="332091"/>
        </a:xfrm>
        <a:prstGeom prst="rect">
          <a:avLst/>
        </a:prstGeom>
      </xdr:spPr>
    </xdr:pic>
    <xdr:clientData/>
  </xdr:oneCellAnchor>
  <xdr:oneCellAnchor>
    <xdr:from>
      <xdr:col>2</xdr:col>
      <xdr:colOff>1727200</xdr:colOff>
      <xdr:row>158</xdr:row>
      <xdr:rowOff>152400</xdr:rowOff>
    </xdr:from>
    <xdr:ext cx="8913887" cy="380999"/>
    <xdr:pic>
      <xdr:nvPicPr>
        <xdr:cNvPr id="7" name="Picture 6">
          <a:extLst>
            <a:ext uri="{FF2B5EF4-FFF2-40B4-BE49-F238E27FC236}">
              <a16:creationId xmlns:a16="http://schemas.microsoft.com/office/drawing/2014/main" id="{74F8DD88-9F67-6341-A76F-B6DE45502642}"/>
            </a:ext>
          </a:extLst>
        </xdr:cNvPr>
        <xdr:cNvPicPr>
          <a:picLocks noChangeAspect="1"/>
        </xdr:cNvPicPr>
      </xdr:nvPicPr>
      <xdr:blipFill>
        <a:blip xmlns:r="http://schemas.openxmlformats.org/officeDocument/2006/relationships" r:embed="rId2"/>
        <a:stretch>
          <a:fillRect/>
        </a:stretch>
      </xdr:blipFill>
      <xdr:spPr>
        <a:xfrm>
          <a:off x="2298700" y="37833300"/>
          <a:ext cx="8913887" cy="380999"/>
        </a:xfrm>
        <a:prstGeom prst="rect">
          <a:avLst/>
        </a:prstGeom>
      </xdr:spPr>
    </xdr:pic>
    <xdr:clientData/>
  </xdr:oneCellAnchor>
  <xdr:oneCellAnchor>
    <xdr:from>
      <xdr:col>3</xdr:col>
      <xdr:colOff>0</xdr:colOff>
      <xdr:row>188</xdr:row>
      <xdr:rowOff>190500</xdr:rowOff>
    </xdr:from>
    <xdr:ext cx="10138117" cy="317500"/>
    <xdr:pic>
      <xdr:nvPicPr>
        <xdr:cNvPr id="8" name="Picture 7">
          <a:extLst>
            <a:ext uri="{FF2B5EF4-FFF2-40B4-BE49-F238E27FC236}">
              <a16:creationId xmlns:a16="http://schemas.microsoft.com/office/drawing/2014/main" id="{F5121311-FAFD-E543-96C2-FCE018161556}"/>
            </a:ext>
          </a:extLst>
        </xdr:cNvPr>
        <xdr:cNvPicPr>
          <a:picLocks noChangeAspect="1"/>
        </xdr:cNvPicPr>
      </xdr:nvPicPr>
      <xdr:blipFill rotWithShape="1">
        <a:blip xmlns:r="http://schemas.openxmlformats.org/officeDocument/2006/relationships" r:embed="rId1"/>
        <a:srcRect l="2440" t="53704"/>
        <a:stretch/>
      </xdr:blipFill>
      <xdr:spPr>
        <a:xfrm>
          <a:off x="2743200" y="43967400"/>
          <a:ext cx="10138117" cy="317500"/>
        </a:xfrm>
        <a:prstGeom prst="rect">
          <a:avLst/>
        </a:prstGeom>
      </xdr:spPr>
    </xdr:pic>
    <xdr:clientData/>
  </xdr:oneCellAnchor>
  <xdr:oneCellAnchor>
    <xdr:from>
      <xdr:col>3</xdr:col>
      <xdr:colOff>76200</xdr:colOff>
      <xdr:row>277</xdr:row>
      <xdr:rowOff>61878</xdr:rowOff>
    </xdr:from>
    <xdr:ext cx="4828460" cy="446898"/>
    <xdr:pic>
      <xdr:nvPicPr>
        <xdr:cNvPr id="13" name="Picture 12">
          <a:extLst>
            <a:ext uri="{FF2B5EF4-FFF2-40B4-BE49-F238E27FC236}">
              <a16:creationId xmlns:a16="http://schemas.microsoft.com/office/drawing/2014/main" id="{9FAF8432-A168-DB43-804D-F34FD3E309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9400" y="621775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110788</xdr:colOff>
      <xdr:row>482</xdr:row>
      <xdr:rowOff>97548</xdr:rowOff>
    </xdr:from>
    <xdr:ext cx="9726862" cy="332091"/>
    <xdr:pic>
      <xdr:nvPicPr>
        <xdr:cNvPr id="17" name="Picture 16">
          <a:extLst>
            <a:ext uri="{FF2B5EF4-FFF2-40B4-BE49-F238E27FC236}">
              <a16:creationId xmlns:a16="http://schemas.microsoft.com/office/drawing/2014/main" id="{A209D4A4-25F5-F24A-BDDE-1417F9E7AE93}"/>
            </a:ext>
          </a:extLst>
        </xdr:cNvPr>
        <xdr:cNvPicPr>
          <a:picLocks noChangeAspect="1"/>
        </xdr:cNvPicPr>
      </xdr:nvPicPr>
      <xdr:blipFill rotWithShape="1">
        <a:blip xmlns:r="http://schemas.openxmlformats.org/officeDocument/2006/relationships" r:embed="rId1"/>
        <a:srcRect r="5927" b="51852"/>
        <a:stretch/>
      </xdr:blipFill>
      <xdr:spPr>
        <a:xfrm>
          <a:off x="2858805" y="150209358"/>
          <a:ext cx="9726862" cy="332091"/>
        </a:xfrm>
        <a:prstGeom prst="rect">
          <a:avLst/>
        </a:prstGeom>
      </xdr:spPr>
    </xdr:pic>
    <xdr:clientData/>
  </xdr:oneCellAnchor>
  <xdr:oneCellAnchor>
    <xdr:from>
      <xdr:col>2</xdr:col>
      <xdr:colOff>1841500</xdr:colOff>
      <xdr:row>516</xdr:row>
      <xdr:rowOff>152400</xdr:rowOff>
    </xdr:from>
    <xdr:ext cx="8907095" cy="390634"/>
    <xdr:pic>
      <xdr:nvPicPr>
        <xdr:cNvPr id="18" name="Picture 17">
          <a:extLst>
            <a:ext uri="{FF2B5EF4-FFF2-40B4-BE49-F238E27FC236}">
              <a16:creationId xmlns:a16="http://schemas.microsoft.com/office/drawing/2014/main" id="{72019A9D-38F6-2445-B273-E75DAA32781E}"/>
            </a:ext>
          </a:extLst>
        </xdr:cNvPr>
        <xdr:cNvPicPr>
          <a:picLocks noChangeAspect="1"/>
        </xdr:cNvPicPr>
      </xdr:nvPicPr>
      <xdr:blipFill>
        <a:blip xmlns:r="http://schemas.openxmlformats.org/officeDocument/2006/relationships" r:embed="rId2"/>
        <a:stretch>
          <a:fillRect/>
        </a:stretch>
      </xdr:blipFill>
      <xdr:spPr>
        <a:xfrm>
          <a:off x="2421759" y="157599555"/>
          <a:ext cx="8907095" cy="390634"/>
        </a:xfrm>
        <a:prstGeom prst="rect">
          <a:avLst/>
        </a:prstGeom>
      </xdr:spPr>
    </xdr:pic>
    <xdr:clientData/>
  </xdr:oneCellAnchor>
  <xdr:oneCellAnchor>
    <xdr:from>
      <xdr:col>3</xdr:col>
      <xdr:colOff>0</xdr:colOff>
      <xdr:row>547</xdr:row>
      <xdr:rowOff>190500</xdr:rowOff>
    </xdr:from>
    <xdr:ext cx="10089878" cy="327134"/>
    <xdr:pic>
      <xdr:nvPicPr>
        <xdr:cNvPr id="19" name="Picture 18">
          <a:extLst>
            <a:ext uri="{FF2B5EF4-FFF2-40B4-BE49-F238E27FC236}">
              <a16:creationId xmlns:a16="http://schemas.microsoft.com/office/drawing/2014/main" id="{3C196BBB-4877-F44D-BA61-D02F63761F7E}"/>
            </a:ext>
          </a:extLst>
        </xdr:cNvPr>
        <xdr:cNvPicPr>
          <a:picLocks noChangeAspect="1"/>
        </xdr:cNvPicPr>
      </xdr:nvPicPr>
      <xdr:blipFill rotWithShape="1">
        <a:blip xmlns:r="http://schemas.openxmlformats.org/officeDocument/2006/relationships" r:embed="rId1"/>
        <a:srcRect l="2440" t="53704"/>
        <a:stretch/>
      </xdr:blipFill>
      <xdr:spPr>
        <a:xfrm>
          <a:off x="2748017" y="163878172"/>
          <a:ext cx="10089878" cy="327134"/>
        </a:xfrm>
        <a:prstGeom prst="rect">
          <a:avLst/>
        </a:prstGeom>
      </xdr:spPr>
    </xdr:pic>
    <xdr:clientData/>
  </xdr:oneCellAnchor>
  <xdr:twoCellAnchor>
    <xdr:from>
      <xdr:col>11</xdr:col>
      <xdr:colOff>19628</xdr:colOff>
      <xdr:row>522</xdr:row>
      <xdr:rowOff>0</xdr:rowOff>
    </xdr:from>
    <xdr:to>
      <xdr:col>14</xdr:col>
      <xdr:colOff>0</xdr:colOff>
      <xdr:row>523</xdr:row>
      <xdr:rowOff>48105</xdr:rowOff>
    </xdr:to>
    <xdr:sp macro="" textlink="">
      <xdr:nvSpPr>
        <xdr:cNvPr id="20" name="TextBox 19">
          <a:extLst>
            <a:ext uri="{FF2B5EF4-FFF2-40B4-BE49-F238E27FC236}">
              <a16:creationId xmlns:a16="http://schemas.microsoft.com/office/drawing/2014/main" id="{16AB6669-B759-714E-8395-27BB3FDD4F79}"/>
            </a:ext>
          </a:extLst>
        </xdr:cNvPr>
        <xdr:cNvSpPr txBox="1"/>
      </xdr:nvSpPr>
      <xdr:spPr>
        <a:xfrm>
          <a:off x="15018766" y="158695259"/>
          <a:ext cx="2531320" cy="25612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Question:</a:t>
          </a:r>
          <a:br>
            <a:rPr lang="en-GB" sz="1400">
              <a:solidFill>
                <a:schemeClr val="bg1"/>
              </a:solidFill>
            </a:rPr>
          </a:br>
          <a:r>
            <a:rPr lang="en-GB" sz="1400">
              <a:solidFill>
                <a:schemeClr val="bg1"/>
              </a:solidFill>
            </a:rPr>
            <a:t>1) ammunition</a:t>
          </a:r>
          <a:r>
            <a:rPr lang="en-GB" sz="1400" baseline="0">
              <a:solidFill>
                <a:schemeClr val="bg1"/>
              </a:solidFill>
            </a:rPr>
            <a:t> costs should be inlcuded in hourly cost. If not:</a:t>
          </a:r>
          <a:endParaRPr lang="en-GB" sz="1400">
            <a:solidFill>
              <a:schemeClr val="bg1"/>
            </a:solidFill>
          </a:endParaRPr>
        </a:p>
        <a:p>
          <a:r>
            <a:rPr lang="en-GB" sz="1400">
              <a:solidFill>
                <a:schemeClr val="bg1"/>
              </a:solidFill>
            </a:rPr>
            <a:t>1) Does</a:t>
          </a:r>
          <a:r>
            <a:rPr lang="en-GB" sz="1400" baseline="0">
              <a:solidFill>
                <a:schemeClr val="bg1"/>
              </a:solidFill>
            </a:rPr>
            <a:t> 1 shot every 3 minutes sound sensible? i.e. 20 shots every hour</a:t>
          </a:r>
        </a:p>
        <a:p>
          <a:endParaRPr lang="en-GB" sz="1400" baseline="0">
            <a:solidFill>
              <a:schemeClr val="bg1"/>
            </a:solidFill>
          </a:endParaRPr>
        </a:p>
        <a:p>
          <a:endParaRPr lang="en-GB" sz="1400">
            <a:solidFill>
              <a:schemeClr val="bg1"/>
            </a:solidFill>
          </a:endParaRPr>
        </a:p>
      </xdr:txBody>
    </xdr:sp>
    <xdr:clientData/>
  </xdr:twoCellAnchor>
  <xdr:oneCellAnchor>
    <xdr:from>
      <xdr:col>3</xdr:col>
      <xdr:colOff>76200</xdr:colOff>
      <xdr:row>697</xdr:row>
      <xdr:rowOff>61878</xdr:rowOff>
    </xdr:from>
    <xdr:ext cx="4828460" cy="446898"/>
    <xdr:pic>
      <xdr:nvPicPr>
        <xdr:cNvPr id="22" name="Picture 21">
          <a:extLst>
            <a:ext uri="{FF2B5EF4-FFF2-40B4-BE49-F238E27FC236}">
              <a16:creationId xmlns:a16="http://schemas.microsoft.com/office/drawing/2014/main" id="{9892B89E-B183-C84B-A1CC-894494D54E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9400" y="585072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110788</xdr:colOff>
      <xdr:row>106</xdr:row>
      <xdr:rowOff>97548</xdr:rowOff>
    </xdr:from>
    <xdr:ext cx="9772433" cy="332091"/>
    <xdr:pic>
      <xdr:nvPicPr>
        <xdr:cNvPr id="2" name="Picture 1">
          <a:extLst>
            <a:ext uri="{FF2B5EF4-FFF2-40B4-BE49-F238E27FC236}">
              <a16:creationId xmlns:a16="http://schemas.microsoft.com/office/drawing/2014/main" id="{6687E719-8134-D847-AA95-196EA5C656F0}"/>
            </a:ext>
          </a:extLst>
        </xdr:cNvPr>
        <xdr:cNvPicPr>
          <a:picLocks noChangeAspect="1"/>
        </xdr:cNvPicPr>
      </xdr:nvPicPr>
      <xdr:blipFill rotWithShape="1">
        <a:blip xmlns:r="http://schemas.openxmlformats.org/officeDocument/2006/relationships" r:embed="rId1"/>
        <a:srcRect r="5927" b="51852"/>
        <a:stretch/>
      </xdr:blipFill>
      <xdr:spPr>
        <a:xfrm>
          <a:off x="2853988" y="21420848"/>
          <a:ext cx="9772433" cy="332091"/>
        </a:xfrm>
        <a:prstGeom prst="rect">
          <a:avLst/>
        </a:prstGeom>
      </xdr:spPr>
    </xdr:pic>
    <xdr:clientData/>
  </xdr:oneCellAnchor>
  <xdr:oneCellAnchor>
    <xdr:from>
      <xdr:col>2</xdr:col>
      <xdr:colOff>1727200</xdr:colOff>
      <xdr:row>139</xdr:row>
      <xdr:rowOff>152400</xdr:rowOff>
    </xdr:from>
    <xdr:ext cx="8913887" cy="380999"/>
    <xdr:pic>
      <xdr:nvPicPr>
        <xdr:cNvPr id="3" name="Picture 2">
          <a:extLst>
            <a:ext uri="{FF2B5EF4-FFF2-40B4-BE49-F238E27FC236}">
              <a16:creationId xmlns:a16="http://schemas.microsoft.com/office/drawing/2014/main" id="{7BACFFEC-222D-9049-8B9A-9035D1672AF3}"/>
            </a:ext>
          </a:extLst>
        </xdr:cNvPr>
        <xdr:cNvPicPr>
          <a:picLocks noChangeAspect="1"/>
        </xdr:cNvPicPr>
      </xdr:nvPicPr>
      <xdr:blipFill>
        <a:blip xmlns:r="http://schemas.openxmlformats.org/officeDocument/2006/relationships" r:embed="rId2"/>
        <a:stretch>
          <a:fillRect/>
        </a:stretch>
      </xdr:blipFill>
      <xdr:spPr>
        <a:xfrm>
          <a:off x="2298700" y="28448000"/>
          <a:ext cx="8913887" cy="380999"/>
        </a:xfrm>
        <a:prstGeom prst="rect">
          <a:avLst/>
        </a:prstGeom>
      </xdr:spPr>
    </xdr:pic>
    <xdr:clientData/>
  </xdr:oneCellAnchor>
  <xdr:oneCellAnchor>
    <xdr:from>
      <xdr:col>3</xdr:col>
      <xdr:colOff>0</xdr:colOff>
      <xdr:row>169</xdr:row>
      <xdr:rowOff>190500</xdr:rowOff>
    </xdr:from>
    <xdr:ext cx="10138117" cy="317500"/>
    <xdr:pic>
      <xdr:nvPicPr>
        <xdr:cNvPr id="4" name="Picture 3">
          <a:extLst>
            <a:ext uri="{FF2B5EF4-FFF2-40B4-BE49-F238E27FC236}">
              <a16:creationId xmlns:a16="http://schemas.microsoft.com/office/drawing/2014/main" id="{8E2B563E-2067-0449-8243-BDB79267D3A2}"/>
            </a:ext>
          </a:extLst>
        </xdr:cNvPr>
        <xdr:cNvPicPr>
          <a:picLocks noChangeAspect="1"/>
        </xdr:cNvPicPr>
      </xdr:nvPicPr>
      <xdr:blipFill rotWithShape="1">
        <a:blip xmlns:r="http://schemas.openxmlformats.org/officeDocument/2006/relationships" r:embed="rId1"/>
        <a:srcRect l="2440" t="53704"/>
        <a:stretch/>
      </xdr:blipFill>
      <xdr:spPr>
        <a:xfrm>
          <a:off x="2743200" y="34582100"/>
          <a:ext cx="10138117" cy="317500"/>
        </a:xfrm>
        <a:prstGeom prst="rect">
          <a:avLst/>
        </a:prstGeom>
      </xdr:spPr>
    </xdr:pic>
    <xdr:clientData/>
  </xdr:oneCellAnchor>
  <xdr:oneCellAnchor>
    <xdr:from>
      <xdr:col>3</xdr:col>
      <xdr:colOff>76200</xdr:colOff>
      <xdr:row>258</xdr:row>
      <xdr:rowOff>61878</xdr:rowOff>
    </xdr:from>
    <xdr:ext cx="4828460" cy="446898"/>
    <xdr:pic>
      <xdr:nvPicPr>
        <xdr:cNvPr id="5" name="Picture 4">
          <a:extLst>
            <a:ext uri="{FF2B5EF4-FFF2-40B4-BE49-F238E27FC236}">
              <a16:creationId xmlns:a16="http://schemas.microsoft.com/office/drawing/2014/main" id="{67BA8208-0180-6945-9133-3B8EED136D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9400" y="527922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110788</xdr:colOff>
      <xdr:row>137</xdr:row>
      <xdr:rowOff>97548</xdr:rowOff>
    </xdr:from>
    <xdr:ext cx="9772433" cy="332091"/>
    <xdr:pic>
      <xdr:nvPicPr>
        <xdr:cNvPr id="6" name="Picture 5">
          <a:extLst>
            <a:ext uri="{FF2B5EF4-FFF2-40B4-BE49-F238E27FC236}">
              <a16:creationId xmlns:a16="http://schemas.microsoft.com/office/drawing/2014/main" id="{976427A0-9EC1-7B4B-8A89-DEAD7A898A76}"/>
            </a:ext>
          </a:extLst>
        </xdr:cNvPr>
        <xdr:cNvPicPr>
          <a:picLocks noChangeAspect="1"/>
        </xdr:cNvPicPr>
      </xdr:nvPicPr>
      <xdr:blipFill rotWithShape="1">
        <a:blip xmlns:r="http://schemas.openxmlformats.org/officeDocument/2006/relationships" r:embed="rId1"/>
        <a:srcRect r="5927" b="51852"/>
        <a:stretch/>
      </xdr:blipFill>
      <xdr:spPr>
        <a:xfrm>
          <a:off x="2853988" y="30806148"/>
          <a:ext cx="9772433" cy="332091"/>
        </a:xfrm>
        <a:prstGeom prst="rect">
          <a:avLst/>
        </a:prstGeom>
      </xdr:spPr>
    </xdr:pic>
    <xdr:clientData/>
  </xdr:oneCellAnchor>
  <xdr:oneCellAnchor>
    <xdr:from>
      <xdr:col>2</xdr:col>
      <xdr:colOff>1727200</xdr:colOff>
      <xdr:row>170</xdr:row>
      <xdr:rowOff>152400</xdr:rowOff>
    </xdr:from>
    <xdr:ext cx="8913887" cy="380999"/>
    <xdr:pic>
      <xdr:nvPicPr>
        <xdr:cNvPr id="7" name="Picture 6">
          <a:extLst>
            <a:ext uri="{FF2B5EF4-FFF2-40B4-BE49-F238E27FC236}">
              <a16:creationId xmlns:a16="http://schemas.microsoft.com/office/drawing/2014/main" id="{267579F2-831A-2048-8B93-627E6571340C}"/>
            </a:ext>
          </a:extLst>
        </xdr:cNvPr>
        <xdr:cNvPicPr>
          <a:picLocks noChangeAspect="1"/>
        </xdr:cNvPicPr>
      </xdr:nvPicPr>
      <xdr:blipFill>
        <a:blip xmlns:r="http://schemas.openxmlformats.org/officeDocument/2006/relationships" r:embed="rId2"/>
        <a:stretch>
          <a:fillRect/>
        </a:stretch>
      </xdr:blipFill>
      <xdr:spPr>
        <a:xfrm>
          <a:off x="2298700" y="37833300"/>
          <a:ext cx="8913887" cy="380999"/>
        </a:xfrm>
        <a:prstGeom prst="rect">
          <a:avLst/>
        </a:prstGeom>
      </xdr:spPr>
    </xdr:pic>
    <xdr:clientData/>
  </xdr:oneCellAnchor>
  <xdr:oneCellAnchor>
    <xdr:from>
      <xdr:col>3</xdr:col>
      <xdr:colOff>0</xdr:colOff>
      <xdr:row>200</xdr:row>
      <xdr:rowOff>190500</xdr:rowOff>
    </xdr:from>
    <xdr:ext cx="10138117" cy="317500"/>
    <xdr:pic>
      <xdr:nvPicPr>
        <xdr:cNvPr id="8" name="Picture 7">
          <a:extLst>
            <a:ext uri="{FF2B5EF4-FFF2-40B4-BE49-F238E27FC236}">
              <a16:creationId xmlns:a16="http://schemas.microsoft.com/office/drawing/2014/main" id="{BE8800E5-4FB4-9446-B751-D6672D3FA679}"/>
            </a:ext>
          </a:extLst>
        </xdr:cNvPr>
        <xdr:cNvPicPr>
          <a:picLocks noChangeAspect="1"/>
        </xdr:cNvPicPr>
      </xdr:nvPicPr>
      <xdr:blipFill rotWithShape="1">
        <a:blip xmlns:r="http://schemas.openxmlformats.org/officeDocument/2006/relationships" r:embed="rId1"/>
        <a:srcRect l="2440" t="53704"/>
        <a:stretch/>
      </xdr:blipFill>
      <xdr:spPr>
        <a:xfrm>
          <a:off x="2743200" y="43967400"/>
          <a:ext cx="10138117" cy="317500"/>
        </a:xfrm>
        <a:prstGeom prst="rect">
          <a:avLst/>
        </a:prstGeom>
      </xdr:spPr>
    </xdr:pic>
    <xdr:clientData/>
  </xdr:oneCellAnchor>
  <xdr:oneCellAnchor>
    <xdr:from>
      <xdr:col>3</xdr:col>
      <xdr:colOff>76200</xdr:colOff>
      <xdr:row>289</xdr:row>
      <xdr:rowOff>61878</xdr:rowOff>
    </xdr:from>
    <xdr:ext cx="4828460" cy="446898"/>
    <xdr:pic>
      <xdr:nvPicPr>
        <xdr:cNvPr id="13" name="Picture 12">
          <a:extLst>
            <a:ext uri="{FF2B5EF4-FFF2-40B4-BE49-F238E27FC236}">
              <a16:creationId xmlns:a16="http://schemas.microsoft.com/office/drawing/2014/main" id="{C9E111BA-6E51-A944-9D1E-4E7B052F62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9400" y="621775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8</xdr:col>
      <xdr:colOff>0</xdr:colOff>
      <xdr:row>621</xdr:row>
      <xdr:rowOff>0</xdr:rowOff>
    </xdr:from>
    <xdr:to>
      <xdr:col>10</xdr:col>
      <xdr:colOff>837046</xdr:colOff>
      <xdr:row>626</xdr:row>
      <xdr:rowOff>134697</xdr:rowOff>
    </xdr:to>
    <xdr:sp macro="" textlink="">
      <xdr:nvSpPr>
        <xdr:cNvPr id="8" name="TextBox 7">
          <a:extLst>
            <a:ext uri="{FF2B5EF4-FFF2-40B4-BE49-F238E27FC236}">
              <a16:creationId xmlns:a16="http://schemas.microsoft.com/office/drawing/2014/main" id="{F65E55CB-F827-E241-8F51-AD8777503A95}"/>
            </a:ext>
          </a:extLst>
        </xdr:cNvPr>
        <xdr:cNvSpPr txBox="1"/>
      </xdr:nvSpPr>
      <xdr:spPr>
        <a:xfrm>
          <a:off x="13512800" y="120015000"/>
          <a:ext cx="3605646" cy="115069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Assume:</a:t>
          </a:r>
        </a:p>
        <a:p>
          <a:r>
            <a:rPr lang="en-GB" sz="1400">
              <a:solidFill>
                <a:schemeClr val="bg1"/>
              </a:solidFill>
            </a:rPr>
            <a:t>1) field</a:t>
          </a:r>
          <a:r>
            <a:rPr lang="en-GB" sz="1400" baseline="0">
              <a:solidFill>
                <a:schemeClr val="bg1"/>
              </a:solidFill>
            </a:rPr>
            <a:t> work is done by "entry" level employee</a:t>
          </a:r>
        </a:p>
        <a:p>
          <a:r>
            <a:rPr lang="en-GB" sz="1400" baseline="0">
              <a:solidFill>
                <a:schemeClr val="bg1"/>
              </a:solidFill>
            </a:rPr>
            <a:t>2) Minimum 2 staff at all times</a:t>
          </a:r>
          <a:endParaRPr lang="en-GB" sz="1400">
            <a:solidFill>
              <a:schemeClr val="bg1"/>
            </a:solidFill>
          </a:endParaRPr>
        </a:p>
      </xdr:txBody>
    </xdr:sp>
    <xdr:clientData/>
  </xdr:twoCellAnchor>
  <xdr:twoCellAnchor>
    <xdr:from>
      <xdr:col>7</xdr:col>
      <xdr:colOff>0</xdr:colOff>
      <xdr:row>610</xdr:row>
      <xdr:rowOff>114300</xdr:rowOff>
    </xdr:from>
    <xdr:to>
      <xdr:col>9</xdr:col>
      <xdr:colOff>748146</xdr:colOff>
      <xdr:row>616</xdr:row>
      <xdr:rowOff>45797</xdr:rowOff>
    </xdr:to>
    <xdr:sp macro="" textlink="">
      <xdr:nvSpPr>
        <xdr:cNvPr id="9" name="TextBox 8">
          <a:extLst>
            <a:ext uri="{FF2B5EF4-FFF2-40B4-BE49-F238E27FC236}">
              <a16:creationId xmlns:a16="http://schemas.microsoft.com/office/drawing/2014/main" id="{AE2D0B09-A889-9944-8F95-A30BD1EB84DC}"/>
            </a:ext>
          </a:extLst>
        </xdr:cNvPr>
        <xdr:cNvSpPr txBox="1"/>
      </xdr:nvSpPr>
      <xdr:spPr>
        <a:xfrm>
          <a:off x="11366500" y="117856000"/>
          <a:ext cx="4342246" cy="118879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Assume:</a:t>
          </a:r>
        </a:p>
        <a:p>
          <a:r>
            <a:rPr lang="en-GB" sz="1400">
              <a:solidFill>
                <a:schemeClr val="bg1"/>
              </a:solidFill>
            </a:rPr>
            <a:t>1) field</a:t>
          </a:r>
          <a:r>
            <a:rPr lang="en-GB" sz="1400" baseline="0">
              <a:solidFill>
                <a:schemeClr val="bg1"/>
              </a:solidFill>
            </a:rPr>
            <a:t> work is done by "entry" level employee</a:t>
          </a:r>
        </a:p>
        <a:p>
          <a:r>
            <a:rPr lang="en-GB" sz="1400" baseline="0">
              <a:solidFill>
                <a:schemeClr val="bg1"/>
              </a:solidFill>
            </a:rPr>
            <a:t>2) Minimum 2 staff at all times</a:t>
          </a:r>
          <a:endParaRPr lang="en-GB" sz="1400">
            <a:solidFill>
              <a:schemeClr val="bg1"/>
            </a:solidFill>
          </a:endParaRPr>
        </a:p>
      </xdr:txBody>
    </xdr:sp>
    <xdr:clientData/>
  </xdr:twoCellAnchor>
  <xdr:oneCellAnchor>
    <xdr:from>
      <xdr:col>2</xdr:col>
      <xdr:colOff>1904229</xdr:colOff>
      <xdr:row>390</xdr:row>
      <xdr:rowOff>158090</xdr:rowOff>
    </xdr:from>
    <xdr:ext cx="4846019" cy="446122"/>
    <xdr:pic>
      <xdr:nvPicPr>
        <xdr:cNvPr id="10" name="Picture 9">
          <a:extLst>
            <a:ext uri="{FF2B5EF4-FFF2-40B4-BE49-F238E27FC236}">
              <a16:creationId xmlns:a16="http://schemas.microsoft.com/office/drawing/2014/main" id="{85532209-8BC7-6F4E-89D8-4023C8975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4829" y="74529290"/>
          <a:ext cx="4846019" cy="4461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1459690</xdr:colOff>
      <xdr:row>414</xdr:row>
      <xdr:rowOff>177800</xdr:rowOff>
    </xdr:from>
    <xdr:ext cx="6792659" cy="355602"/>
    <xdr:pic>
      <xdr:nvPicPr>
        <xdr:cNvPr id="11" name="Picture 10">
          <a:extLst>
            <a:ext uri="{FF2B5EF4-FFF2-40B4-BE49-F238E27FC236}">
              <a16:creationId xmlns:a16="http://schemas.microsoft.com/office/drawing/2014/main" id="{DE8D149B-DE7F-9843-A965-124605EEC9EF}"/>
            </a:ext>
          </a:extLst>
        </xdr:cNvPr>
        <xdr:cNvPicPr>
          <a:picLocks noChangeAspect="1"/>
        </xdr:cNvPicPr>
      </xdr:nvPicPr>
      <xdr:blipFill rotWithShape="1">
        <a:blip xmlns:r="http://schemas.openxmlformats.org/officeDocument/2006/relationships" r:embed="rId2"/>
        <a:srcRect t="51724" r="460"/>
        <a:stretch/>
      </xdr:blipFill>
      <xdr:spPr>
        <a:xfrm>
          <a:off x="2450290" y="146989800"/>
          <a:ext cx="6792659" cy="355602"/>
        </a:xfrm>
        <a:prstGeom prst="rect">
          <a:avLst/>
        </a:prstGeom>
      </xdr:spPr>
    </xdr:pic>
    <xdr:clientData/>
  </xdr:oneCellAnchor>
  <xdr:oneCellAnchor>
    <xdr:from>
      <xdr:col>2</xdr:col>
      <xdr:colOff>2022763</xdr:colOff>
      <xdr:row>500</xdr:row>
      <xdr:rowOff>0</xdr:rowOff>
    </xdr:from>
    <xdr:ext cx="5539659" cy="264028"/>
    <xdr:pic>
      <xdr:nvPicPr>
        <xdr:cNvPr id="12" name="Picture 11">
          <a:extLst>
            <a:ext uri="{FF2B5EF4-FFF2-40B4-BE49-F238E27FC236}">
              <a16:creationId xmlns:a16="http://schemas.microsoft.com/office/drawing/2014/main" id="{9EEA5BE9-53C0-5C4A-A62F-AE0B8AE47E74}"/>
            </a:ext>
          </a:extLst>
        </xdr:cNvPr>
        <xdr:cNvPicPr>
          <a:picLocks noChangeAspect="1"/>
        </xdr:cNvPicPr>
      </xdr:nvPicPr>
      <xdr:blipFill>
        <a:blip xmlns:r="http://schemas.openxmlformats.org/officeDocument/2006/relationships" r:embed="rId3"/>
        <a:stretch>
          <a:fillRect/>
        </a:stretch>
      </xdr:blipFill>
      <xdr:spPr>
        <a:xfrm>
          <a:off x="2937163" y="96761300"/>
          <a:ext cx="5539659" cy="264028"/>
        </a:xfrm>
        <a:prstGeom prst="rect">
          <a:avLst/>
        </a:prstGeom>
      </xdr:spPr>
    </xdr:pic>
    <xdr:clientData/>
  </xdr:oneCellAnchor>
  <xdr:oneCellAnchor>
    <xdr:from>
      <xdr:col>3</xdr:col>
      <xdr:colOff>79351</xdr:colOff>
      <xdr:row>487</xdr:row>
      <xdr:rowOff>15755</xdr:rowOff>
    </xdr:from>
    <xdr:ext cx="1435100" cy="289425"/>
    <xdr:pic>
      <xdr:nvPicPr>
        <xdr:cNvPr id="13" name="Picture 12">
          <a:extLst>
            <a:ext uri="{FF2B5EF4-FFF2-40B4-BE49-F238E27FC236}">
              <a16:creationId xmlns:a16="http://schemas.microsoft.com/office/drawing/2014/main" id="{19A26CC5-CEA1-D94F-AAEC-0545E9B6411C}"/>
            </a:ext>
          </a:extLst>
        </xdr:cNvPr>
        <xdr:cNvPicPr>
          <a:picLocks noChangeAspect="1"/>
        </xdr:cNvPicPr>
      </xdr:nvPicPr>
      <xdr:blipFill>
        <a:blip xmlns:r="http://schemas.openxmlformats.org/officeDocument/2006/relationships" r:embed="rId4"/>
        <a:stretch>
          <a:fillRect/>
        </a:stretch>
      </xdr:blipFill>
      <xdr:spPr>
        <a:xfrm>
          <a:off x="3013051" y="94135455"/>
          <a:ext cx="1435100" cy="289425"/>
        </a:xfrm>
        <a:prstGeom prst="rect">
          <a:avLst/>
        </a:prstGeom>
      </xdr:spPr>
    </xdr:pic>
    <xdr:clientData/>
  </xdr:oneCellAnchor>
  <xdr:oneCellAnchor>
    <xdr:from>
      <xdr:col>2</xdr:col>
      <xdr:colOff>1561290</xdr:colOff>
      <xdr:row>563</xdr:row>
      <xdr:rowOff>38100</xdr:rowOff>
    </xdr:from>
    <xdr:ext cx="6788515" cy="352929"/>
    <xdr:pic>
      <xdr:nvPicPr>
        <xdr:cNvPr id="14" name="Picture 13">
          <a:extLst>
            <a:ext uri="{FF2B5EF4-FFF2-40B4-BE49-F238E27FC236}">
              <a16:creationId xmlns:a16="http://schemas.microsoft.com/office/drawing/2014/main" id="{D011D6A1-D685-5C42-BE94-F819C66ABDD7}"/>
            </a:ext>
          </a:extLst>
        </xdr:cNvPr>
        <xdr:cNvPicPr>
          <a:picLocks noChangeAspect="1"/>
        </xdr:cNvPicPr>
      </xdr:nvPicPr>
      <xdr:blipFill rotWithShape="1">
        <a:blip xmlns:r="http://schemas.openxmlformats.org/officeDocument/2006/relationships" r:embed="rId2"/>
        <a:srcRect t="51724" r="460"/>
        <a:stretch/>
      </xdr:blipFill>
      <xdr:spPr>
        <a:xfrm>
          <a:off x="2551890" y="109816900"/>
          <a:ext cx="6788515" cy="35292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76200</xdr:colOff>
      <xdr:row>138</xdr:row>
      <xdr:rowOff>61878</xdr:rowOff>
    </xdr:from>
    <xdr:ext cx="4828460" cy="446898"/>
    <xdr:pic>
      <xdr:nvPicPr>
        <xdr:cNvPr id="2" name="Picture 1">
          <a:extLst>
            <a:ext uri="{FF2B5EF4-FFF2-40B4-BE49-F238E27FC236}">
              <a16:creationId xmlns:a16="http://schemas.microsoft.com/office/drawing/2014/main" id="{A046E70A-8740-F04C-A5EC-974AC8A4A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0" y="295385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2022763</xdr:colOff>
      <xdr:row>645</xdr:row>
      <xdr:rowOff>0</xdr:rowOff>
    </xdr:from>
    <xdr:ext cx="5539659" cy="264028"/>
    <xdr:pic>
      <xdr:nvPicPr>
        <xdr:cNvPr id="3" name="Picture 2">
          <a:extLst>
            <a:ext uri="{FF2B5EF4-FFF2-40B4-BE49-F238E27FC236}">
              <a16:creationId xmlns:a16="http://schemas.microsoft.com/office/drawing/2014/main" id="{408EF2A2-B999-3446-9FAC-01EB8A911412}"/>
            </a:ext>
          </a:extLst>
        </xdr:cNvPr>
        <xdr:cNvPicPr>
          <a:picLocks noChangeAspect="1"/>
        </xdr:cNvPicPr>
      </xdr:nvPicPr>
      <xdr:blipFill>
        <a:blip xmlns:r="http://schemas.openxmlformats.org/officeDocument/2006/relationships" r:embed="rId2"/>
        <a:stretch>
          <a:fillRect/>
        </a:stretch>
      </xdr:blipFill>
      <xdr:spPr>
        <a:xfrm>
          <a:off x="2594263" y="133197600"/>
          <a:ext cx="5539659" cy="264028"/>
        </a:xfrm>
        <a:prstGeom prst="rect">
          <a:avLst/>
        </a:prstGeom>
      </xdr:spPr>
    </xdr:pic>
    <xdr:clientData/>
  </xdr:oneCellAnchor>
  <xdr:oneCellAnchor>
    <xdr:from>
      <xdr:col>3</xdr:col>
      <xdr:colOff>79351</xdr:colOff>
      <xdr:row>632</xdr:row>
      <xdr:rowOff>15755</xdr:rowOff>
    </xdr:from>
    <xdr:ext cx="1435100" cy="289425"/>
    <xdr:pic>
      <xdr:nvPicPr>
        <xdr:cNvPr id="4" name="Picture 3">
          <a:extLst>
            <a:ext uri="{FF2B5EF4-FFF2-40B4-BE49-F238E27FC236}">
              <a16:creationId xmlns:a16="http://schemas.microsoft.com/office/drawing/2014/main" id="{6085E44C-0356-C04A-8B41-6DA3E3D38CE7}"/>
            </a:ext>
          </a:extLst>
        </xdr:cNvPr>
        <xdr:cNvPicPr>
          <a:picLocks noChangeAspect="1"/>
        </xdr:cNvPicPr>
      </xdr:nvPicPr>
      <xdr:blipFill>
        <a:blip xmlns:r="http://schemas.openxmlformats.org/officeDocument/2006/relationships" r:embed="rId3"/>
        <a:stretch>
          <a:fillRect/>
        </a:stretch>
      </xdr:blipFill>
      <xdr:spPr>
        <a:xfrm>
          <a:off x="2822551" y="130571755"/>
          <a:ext cx="1435100" cy="289425"/>
        </a:xfrm>
        <a:prstGeom prst="rect">
          <a:avLst/>
        </a:prstGeom>
      </xdr:spPr>
    </xdr:pic>
    <xdr:clientData/>
  </xdr:oneCellAnchor>
  <xdr:oneCellAnchor>
    <xdr:from>
      <xdr:col>2</xdr:col>
      <xdr:colOff>1561290</xdr:colOff>
      <xdr:row>708</xdr:row>
      <xdr:rowOff>38100</xdr:rowOff>
    </xdr:from>
    <xdr:ext cx="6788515" cy="352929"/>
    <xdr:pic>
      <xdr:nvPicPr>
        <xdr:cNvPr id="5" name="Picture 4">
          <a:extLst>
            <a:ext uri="{FF2B5EF4-FFF2-40B4-BE49-F238E27FC236}">
              <a16:creationId xmlns:a16="http://schemas.microsoft.com/office/drawing/2014/main" id="{C9D09559-25F7-CD4C-BD71-8F47732F93D8}"/>
            </a:ext>
          </a:extLst>
        </xdr:cNvPr>
        <xdr:cNvPicPr>
          <a:picLocks noChangeAspect="1"/>
        </xdr:cNvPicPr>
      </xdr:nvPicPr>
      <xdr:blipFill rotWithShape="1">
        <a:blip xmlns:r="http://schemas.openxmlformats.org/officeDocument/2006/relationships" r:embed="rId4"/>
        <a:srcRect t="51724" r="460"/>
        <a:stretch/>
      </xdr:blipFill>
      <xdr:spPr>
        <a:xfrm>
          <a:off x="2132790" y="146253200"/>
          <a:ext cx="6788515" cy="352929"/>
        </a:xfrm>
        <a:prstGeom prst="rect">
          <a:avLst/>
        </a:prstGeom>
      </xdr:spPr>
    </xdr:pic>
    <xdr:clientData/>
  </xdr:oneCellAnchor>
  <xdr:oneCellAnchor>
    <xdr:from>
      <xdr:col>2</xdr:col>
      <xdr:colOff>1459690</xdr:colOff>
      <xdr:row>556</xdr:row>
      <xdr:rowOff>177800</xdr:rowOff>
    </xdr:from>
    <xdr:ext cx="6792659" cy="355602"/>
    <xdr:pic>
      <xdr:nvPicPr>
        <xdr:cNvPr id="6" name="Picture 5">
          <a:extLst>
            <a:ext uri="{FF2B5EF4-FFF2-40B4-BE49-F238E27FC236}">
              <a16:creationId xmlns:a16="http://schemas.microsoft.com/office/drawing/2014/main" id="{D70E8AC5-0539-A243-A678-3193E8AC5F79}"/>
            </a:ext>
          </a:extLst>
        </xdr:cNvPr>
        <xdr:cNvPicPr>
          <a:picLocks noChangeAspect="1"/>
        </xdr:cNvPicPr>
      </xdr:nvPicPr>
      <xdr:blipFill rotWithShape="1">
        <a:blip xmlns:r="http://schemas.openxmlformats.org/officeDocument/2006/relationships" r:embed="rId4"/>
        <a:srcRect t="51724" r="460"/>
        <a:stretch/>
      </xdr:blipFill>
      <xdr:spPr>
        <a:xfrm>
          <a:off x="2031190" y="115277900"/>
          <a:ext cx="6792659" cy="355602"/>
        </a:xfrm>
        <a:prstGeom prst="rect">
          <a:avLst/>
        </a:prstGeom>
      </xdr:spPr>
    </xdr:pic>
    <xdr:clientData/>
  </xdr:oneCellAnchor>
  <xdr:oneCellAnchor>
    <xdr:from>
      <xdr:col>3</xdr:col>
      <xdr:colOff>76200</xdr:colOff>
      <xdr:row>870</xdr:row>
      <xdr:rowOff>61878</xdr:rowOff>
    </xdr:from>
    <xdr:ext cx="4828460" cy="446898"/>
    <xdr:pic>
      <xdr:nvPicPr>
        <xdr:cNvPr id="7" name="Picture 6">
          <a:extLst>
            <a:ext uri="{FF2B5EF4-FFF2-40B4-BE49-F238E27FC236}">
              <a16:creationId xmlns:a16="http://schemas.microsoft.com/office/drawing/2014/main" id="{4993A47F-5FD5-3D41-888B-B1F326324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0" y="1741661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6</xdr:col>
      <xdr:colOff>644621</xdr:colOff>
      <xdr:row>889</xdr:row>
      <xdr:rowOff>9621</xdr:rowOff>
    </xdr:from>
    <xdr:to>
      <xdr:col>9</xdr:col>
      <xdr:colOff>1895379</xdr:colOff>
      <xdr:row>897</xdr:row>
      <xdr:rowOff>182803</xdr:rowOff>
    </xdr:to>
    <xdr:sp macro="" textlink="">
      <xdr:nvSpPr>
        <xdr:cNvPr id="5" name="TextBox 4">
          <a:extLst>
            <a:ext uri="{FF2B5EF4-FFF2-40B4-BE49-F238E27FC236}">
              <a16:creationId xmlns:a16="http://schemas.microsoft.com/office/drawing/2014/main" id="{55F2B8CA-701B-B44C-B192-757EDA8E32DC}"/>
            </a:ext>
          </a:extLst>
        </xdr:cNvPr>
        <xdr:cNvSpPr txBox="1"/>
      </xdr:nvSpPr>
      <xdr:spPr>
        <a:xfrm>
          <a:off x="7235921" y="161172621"/>
          <a:ext cx="4997258" cy="179878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bg1"/>
              </a:solidFill>
            </a:rPr>
            <a:t>Question:</a:t>
          </a:r>
        </a:p>
        <a:p>
          <a:r>
            <a:rPr lang="en-GB" sz="1400">
              <a:solidFill>
                <a:schemeClr val="bg1"/>
              </a:solidFill>
            </a:rPr>
            <a:t>1) Does 3 weeks of post-action analysis for 100km2</a:t>
          </a:r>
          <a:r>
            <a:rPr lang="en-GB" sz="1400" baseline="0">
              <a:solidFill>
                <a:schemeClr val="bg1"/>
              </a:solidFill>
            </a:rPr>
            <a:t> sound suitable?</a:t>
          </a:r>
        </a:p>
        <a:p>
          <a:r>
            <a:rPr lang="en-GB" sz="1400" baseline="0">
              <a:solidFill>
                <a:schemeClr val="bg1"/>
              </a:solidFill>
            </a:rPr>
            <a:t>3) At what level of labour expertise does this occur?</a:t>
          </a:r>
          <a:endParaRPr lang="en-GB" sz="1400">
            <a:solidFill>
              <a:schemeClr val="bg1"/>
            </a:solidFill>
          </a:endParaRPr>
        </a:p>
      </xdr:txBody>
    </xdr:sp>
    <xdr:clientData/>
  </xdr:twoCellAnchor>
  <xdr:oneCellAnchor>
    <xdr:from>
      <xdr:col>3</xdr:col>
      <xdr:colOff>76200</xdr:colOff>
      <xdr:row>188</xdr:row>
      <xdr:rowOff>61878</xdr:rowOff>
    </xdr:from>
    <xdr:ext cx="4828460" cy="446898"/>
    <xdr:pic>
      <xdr:nvPicPr>
        <xdr:cNvPr id="13" name="Picture 12">
          <a:extLst>
            <a:ext uri="{FF2B5EF4-FFF2-40B4-BE49-F238E27FC236}">
              <a16:creationId xmlns:a16="http://schemas.microsoft.com/office/drawing/2014/main" id="{F8EA8277-486C-7F4C-9831-3115584737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9400" y="62177578"/>
          <a:ext cx="4828460" cy="4468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2022763</xdr:colOff>
      <xdr:row>777</xdr:row>
      <xdr:rowOff>0</xdr:rowOff>
    </xdr:from>
    <xdr:ext cx="5539659" cy="264028"/>
    <xdr:pic>
      <xdr:nvPicPr>
        <xdr:cNvPr id="17" name="Picture 16">
          <a:extLst>
            <a:ext uri="{FF2B5EF4-FFF2-40B4-BE49-F238E27FC236}">
              <a16:creationId xmlns:a16="http://schemas.microsoft.com/office/drawing/2014/main" id="{2ACC99AD-C2E8-AE45-B2BD-A711414B0B36}"/>
            </a:ext>
          </a:extLst>
        </xdr:cNvPr>
        <xdr:cNvPicPr>
          <a:picLocks noChangeAspect="1"/>
        </xdr:cNvPicPr>
      </xdr:nvPicPr>
      <xdr:blipFill>
        <a:blip xmlns:r="http://schemas.openxmlformats.org/officeDocument/2006/relationships" r:embed="rId2"/>
        <a:stretch>
          <a:fillRect/>
        </a:stretch>
      </xdr:blipFill>
      <xdr:spPr>
        <a:xfrm>
          <a:off x="2937163" y="96558100"/>
          <a:ext cx="5539659" cy="264028"/>
        </a:xfrm>
        <a:prstGeom prst="rect">
          <a:avLst/>
        </a:prstGeom>
      </xdr:spPr>
    </xdr:pic>
    <xdr:clientData/>
  </xdr:oneCellAnchor>
  <xdr:oneCellAnchor>
    <xdr:from>
      <xdr:col>3</xdr:col>
      <xdr:colOff>79351</xdr:colOff>
      <xdr:row>764</xdr:row>
      <xdr:rowOff>15755</xdr:rowOff>
    </xdr:from>
    <xdr:ext cx="1435100" cy="289425"/>
    <xdr:pic>
      <xdr:nvPicPr>
        <xdr:cNvPr id="18" name="Picture 17">
          <a:extLst>
            <a:ext uri="{FF2B5EF4-FFF2-40B4-BE49-F238E27FC236}">
              <a16:creationId xmlns:a16="http://schemas.microsoft.com/office/drawing/2014/main" id="{74C97706-2C43-BF4B-BC99-D5FE22A4F9C6}"/>
            </a:ext>
          </a:extLst>
        </xdr:cNvPr>
        <xdr:cNvPicPr>
          <a:picLocks noChangeAspect="1"/>
        </xdr:cNvPicPr>
      </xdr:nvPicPr>
      <xdr:blipFill>
        <a:blip xmlns:r="http://schemas.openxmlformats.org/officeDocument/2006/relationships" r:embed="rId3"/>
        <a:stretch>
          <a:fillRect/>
        </a:stretch>
      </xdr:blipFill>
      <xdr:spPr>
        <a:xfrm>
          <a:off x="3013051" y="93932255"/>
          <a:ext cx="1435100" cy="289425"/>
        </a:xfrm>
        <a:prstGeom prst="rect">
          <a:avLst/>
        </a:prstGeom>
      </xdr:spPr>
    </xdr:pic>
    <xdr:clientData/>
  </xdr:oneCellAnchor>
  <xdr:oneCellAnchor>
    <xdr:from>
      <xdr:col>2</xdr:col>
      <xdr:colOff>1561290</xdr:colOff>
      <xdr:row>840</xdr:row>
      <xdr:rowOff>38100</xdr:rowOff>
    </xdr:from>
    <xdr:ext cx="6788515" cy="352929"/>
    <xdr:pic>
      <xdr:nvPicPr>
        <xdr:cNvPr id="19" name="Picture 18">
          <a:extLst>
            <a:ext uri="{FF2B5EF4-FFF2-40B4-BE49-F238E27FC236}">
              <a16:creationId xmlns:a16="http://schemas.microsoft.com/office/drawing/2014/main" id="{56891433-50F7-BA4C-86D1-0A353A0DCD71}"/>
            </a:ext>
          </a:extLst>
        </xdr:cNvPr>
        <xdr:cNvPicPr>
          <a:picLocks noChangeAspect="1"/>
        </xdr:cNvPicPr>
      </xdr:nvPicPr>
      <xdr:blipFill rotWithShape="1">
        <a:blip xmlns:r="http://schemas.openxmlformats.org/officeDocument/2006/relationships" r:embed="rId4"/>
        <a:srcRect t="51724" r="460"/>
        <a:stretch/>
      </xdr:blipFill>
      <xdr:spPr>
        <a:xfrm>
          <a:off x="2551890" y="109613700"/>
          <a:ext cx="6788515" cy="352929"/>
        </a:xfrm>
        <a:prstGeom prst="rect">
          <a:avLst/>
        </a:prstGeom>
      </xdr:spPr>
    </xdr:pic>
    <xdr:clientData/>
  </xdr:oneCellAnchor>
  <xdr:oneCellAnchor>
    <xdr:from>
      <xdr:col>2</xdr:col>
      <xdr:colOff>1459690</xdr:colOff>
      <xdr:row>692</xdr:row>
      <xdr:rowOff>177800</xdr:rowOff>
    </xdr:from>
    <xdr:ext cx="6792659" cy="355602"/>
    <xdr:pic>
      <xdr:nvPicPr>
        <xdr:cNvPr id="22" name="Picture 21">
          <a:extLst>
            <a:ext uri="{FF2B5EF4-FFF2-40B4-BE49-F238E27FC236}">
              <a16:creationId xmlns:a16="http://schemas.microsoft.com/office/drawing/2014/main" id="{C360B38A-7BF1-CA4F-99CB-08E0BDAE8041}"/>
            </a:ext>
          </a:extLst>
        </xdr:cNvPr>
        <xdr:cNvPicPr>
          <a:picLocks noChangeAspect="1"/>
        </xdr:cNvPicPr>
      </xdr:nvPicPr>
      <xdr:blipFill rotWithShape="1">
        <a:blip xmlns:r="http://schemas.openxmlformats.org/officeDocument/2006/relationships" r:embed="rId4"/>
        <a:srcRect t="51724" r="460"/>
        <a:stretch/>
      </xdr:blipFill>
      <xdr:spPr>
        <a:xfrm>
          <a:off x="2450290" y="79260700"/>
          <a:ext cx="6792659" cy="355602"/>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Chuanji Yong" id="{86B27C57-62B5-2843-97B1-E2EC325F0510}" userId="S::uqcyong1@uq.edu.au::42e3d10a-4448-49ca-95b0-1ace3e966d60" providerId="AD"/>
  <person displayName="Chuanji Yong" id="{549EC465-DBBC-584C-AE84-B2731244D76D}" userId="S::chuanji.yong@students.mq.edu.au::b0690792-8dea-4307-8fce-5b0e51dbc10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5" dT="2021-04-09T07:45:27.67" personId="{549EC465-DBBC-584C-AE84-B2731244D76D}" id="{270C8276-CA15-9041-A52E-523FFDE27232}">
    <text>These are applied later !!!!!</text>
  </threadedComment>
</ThreadedComments>
</file>

<file path=xl/threadedComments/threadedComment10.xml><?xml version="1.0" encoding="utf-8"?>
<ThreadedComments xmlns="http://schemas.microsoft.com/office/spreadsheetml/2018/threadedcomments" xmlns:x="http://schemas.openxmlformats.org/spreadsheetml/2006/main">
  <threadedComment ref="C29" dT="2021-03-11T05:43:13.30" personId="{86B27C57-62B5-2843-97B1-E2EC325F0510}" id="{7688FEA0-EC17-D947-83A6-FB828E7173D5}">
    <text xml:space="preserve">Note to Michelle 2021/03/10: I guess for these the generic map will just be all of australia, and then when April cuts it it’ll reduce down to the species blob maps B,C and D. </text>
  </threadedComment>
  <threadedComment ref="B49" dT="2021-03-04T02:02:44.40" personId="{86B27C57-62B5-2843-97B1-E2EC325F0510}" id="{4B4794C2-65BF-E94D-8043-3E2AA929EC48}">
    <text xml:space="preserve">This one is only for general management,  this is not included in the threatened species threat abatement
</text>
  </threadedComment>
</ThreadedComments>
</file>

<file path=xl/threadedComments/threadedComment11.xml><?xml version="1.0" encoding="utf-8"?>
<ThreadedComments xmlns="http://schemas.microsoft.com/office/spreadsheetml/2018/threadedcomments" xmlns:x="http://schemas.openxmlformats.org/spreadsheetml/2006/main">
  <threadedComment ref="U23" dT="2020-11-20T03:48:44.70" personId="{86B27C57-62B5-2843-97B1-E2EC325F0510}" id="{D59DCF0F-7700-3A4C-ABDD-FA1AA2B28DD9}">
    <text>This is not divided across 100km2 as it is a a non-spatial cost</text>
  </threadedComment>
  <threadedComment ref="AB23" dT="2020-11-20T03:48:54.93" personId="{86B27C57-62B5-2843-97B1-E2EC325F0510}" id="{40240153-A26B-DA43-B0BA-A835D936F997}">
    <text>This is not divided across 100km2 as it is a a non-spatial cost</text>
  </threadedComment>
</ThreadedComments>
</file>

<file path=xl/threadedComments/threadedComment2.xml><?xml version="1.0" encoding="utf-8"?>
<ThreadedComments xmlns="http://schemas.microsoft.com/office/spreadsheetml/2018/threadedcomments" xmlns:x="http://schemas.openxmlformats.org/spreadsheetml/2006/main">
  <threadedComment ref="U39" dT="2020-11-20T03:48:44.70" personId="{86B27C57-62B5-2843-97B1-E2EC325F0510}" id="{CF5FB3E2-B99C-B740-A6B7-4ED00BE957F5}">
    <text>This is not divided across 100km2 as it is a a non-spatial cost</text>
  </threadedComment>
</ThreadedComments>
</file>

<file path=xl/threadedComments/threadedComment3.xml><?xml version="1.0" encoding="utf-8"?>
<ThreadedComments xmlns="http://schemas.microsoft.com/office/spreadsheetml/2018/threadedcomments" xmlns:x="http://schemas.openxmlformats.org/spreadsheetml/2006/main">
  <threadedComment ref="U43" dT="2020-11-20T03:48:44.70" personId="{86B27C57-62B5-2843-97B1-E2EC325F0510}" id="{F1A2F3A3-CB19-E24C-9546-A314BDD61B6B}">
    <text>This is not divided across 100km2 as it is a a non-spatial cost</text>
  </threadedComment>
  <threadedComment ref="AB43" dT="2020-11-20T03:48:54.93" personId="{86B27C57-62B5-2843-97B1-E2EC325F0510}" id="{E2FE122E-4814-CC47-9301-CFBA26366696}">
    <text>This is not divided across 100km2 as it is a a non-spatial cost</text>
  </threadedComment>
  <threadedComment ref="U47" dT="2020-11-20T03:30:33.70" personId="{86B27C57-62B5-2843-97B1-E2EC325F0510}" id="{A7061BA6-E489-694A-92F7-600026C33F32}">
    <text>This is not divided across 100km2 as it is a a non-spatial cost</text>
  </threadedComment>
</ThreadedComments>
</file>

<file path=xl/threadedComments/threadedComment4.xml><?xml version="1.0" encoding="utf-8"?>
<ThreadedComments xmlns="http://schemas.microsoft.com/office/spreadsheetml/2018/threadedcomments" xmlns:x="http://schemas.openxmlformats.org/spreadsheetml/2006/main">
  <threadedComment ref="U43" dT="2020-11-20T03:31:23.10" personId="{86B27C57-62B5-2843-97B1-E2EC325F0510}" id="{37D70F77-6AEC-0D44-A13D-30A46F8255CC}">
    <text xml:space="preserve">This is not divided by 100km2 as it is a non-spatial cost
</text>
  </threadedComment>
  <threadedComment ref="AB43" dT="2020-11-20T03:48:13.10" personId="{86B27C57-62B5-2843-97B1-E2EC325F0510}" id="{8745D2A5-B026-BB4D-ABF8-1D28A2E0553B}">
    <text>This is not divided across 100km2 as it is a a non-spatial cost</text>
  </threadedComment>
  <threadedComment ref="N55" dT="2020-11-07T08:52:52.52" personId="{86B27C57-62B5-2843-97B1-E2EC325F0510}" id="{A9E81EFD-79CB-1E4A-A90E-905EFEA5507C}">
    <text>I have minused the first years cost from this, as it only occurs from the subsequent years!</text>
  </threadedComment>
  <threadedComment ref="N56" dT="2020-11-07T08:52:52.52" personId="{86B27C57-62B5-2843-97B1-E2EC325F0510}" id="{493F2501-076C-F04E-AA44-1230C4176769}">
    <text>I have minused the first years cost from this, as it only occurs from the subsequent years!</text>
  </threadedComment>
  <threadedComment ref="N57" dT="2020-11-07T08:52:52.52" personId="{86B27C57-62B5-2843-97B1-E2EC325F0510}" id="{984651CB-F8D0-094C-BB71-754C582D6227}">
    <text>I have minused the first years cost from this, as it only occurs from the subsequent years!</text>
  </threadedComment>
  <threadedComment ref="N63" dT="2020-11-07T08:52:52.52" personId="{86B27C57-62B5-2843-97B1-E2EC325F0510}" id="{899F0018-DED3-A74F-8DC8-CBA6FB40E6F3}">
    <text>I have minused the first years cost from this, as it only occurs from the subsequent years!</text>
  </threadedComment>
  <threadedComment ref="N64" dT="2020-11-07T08:52:52.52" personId="{86B27C57-62B5-2843-97B1-E2EC325F0510}" id="{D79B3D5E-BDED-EF49-8E28-2DD16B0E24AE}">
    <text>I have minused the first years cost from this, as it only occurs from the subsequent years!</text>
  </threadedComment>
  <threadedComment ref="N65" dT="2020-11-07T08:52:52.52" personId="{86B27C57-62B5-2843-97B1-E2EC325F0510}" id="{ADF45F8E-61E0-F344-9D71-A9B840B9B571}">
    <text>I have minused the first years cost from this, as it only occurs from the subsequent years!</text>
  </threadedComment>
</ThreadedComments>
</file>

<file path=xl/threadedComments/threadedComment5.xml><?xml version="1.0" encoding="utf-8"?>
<ThreadedComments xmlns="http://schemas.microsoft.com/office/spreadsheetml/2018/threadedcomments" xmlns:x="http://schemas.openxmlformats.org/spreadsheetml/2006/main">
  <threadedComment ref="U39" dT="2020-11-20T03:48:44.70" personId="{86B27C57-62B5-2843-97B1-E2EC325F0510}" id="{F6E21CA8-DC5C-FA44-B0AA-3E1ED3427353}">
    <text>This is not divided across 100km2 as it is a a non-spatial cost</text>
  </threadedComment>
</ThreadedComments>
</file>

<file path=xl/threadedComments/threadedComment6.xml><?xml version="1.0" encoding="utf-8"?>
<ThreadedComments xmlns="http://schemas.microsoft.com/office/spreadsheetml/2018/threadedcomments" xmlns:x="http://schemas.openxmlformats.org/spreadsheetml/2006/main">
  <threadedComment ref="U31" dT="2020-11-20T03:30:33.70" personId="{86B27C57-62B5-2843-97B1-E2EC325F0510}" id="{5F3ADDB3-1710-AA4B-A287-6AA8AFBF0A31}">
    <text>This is not divided across 100km2 as it is a a non-spatial cost</text>
  </threadedComment>
</ThreadedComments>
</file>

<file path=xl/threadedComments/threadedComment7.xml><?xml version="1.0" encoding="utf-8"?>
<ThreadedComments xmlns="http://schemas.microsoft.com/office/spreadsheetml/2018/threadedcomments" xmlns:x="http://schemas.openxmlformats.org/spreadsheetml/2006/main">
  <threadedComment ref="N51" dT="2020-11-07T08:52:52.52" personId="{86B27C57-62B5-2843-97B1-E2EC325F0510}" id="{18B50DA4-A1F0-D245-AA6F-575B6C145CEE}">
    <text>I have minused the first years cost from this, as it only occurs from the subsequent years!</text>
  </threadedComment>
  <threadedComment ref="N75" dT="2020-11-07T08:52:52.52" personId="{86B27C57-62B5-2843-97B1-E2EC325F0510}" id="{3F075882-E5C8-CA4C-905B-9790A40FBD91}">
    <text>I have minused the first years cost from this, as it only occurs from the subsequent years!</text>
  </threadedComment>
</ThreadedComments>
</file>

<file path=xl/threadedComments/threadedComment8.xml><?xml version="1.0" encoding="utf-8"?>
<ThreadedComments xmlns="http://schemas.microsoft.com/office/spreadsheetml/2018/threadedcomments" xmlns:x="http://schemas.openxmlformats.org/spreadsheetml/2006/main">
  <threadedComment ref="U39" dT="2020-11-20T03:48:44.70" personId="{86B27C57-62B5-2843-97B1-E2EC325F0510}" id="{2FF71A2A-AAD2-5C41-AADB-6A6CF550182A}">
    <text>This is not divided across 100km2 as it is a a non-spatial cost</text>
  </threadedComment>
  <threadedComment ref="AB39" dT="2020-11-20T03:48:54.93" personId="{86B27C57-62B5-2843-97B1-E2EC325F0510}" id="{7C6517A7-E660-D84A-B729-1556448CA5D1}">
    <text>This is not divided across 100km2 as it is a a non-spatial cost</text>
  </threadedComment>
</ThreadedComments>
</file>

<file path=xl/threadedComments/threadedComment9.xml><?xml version="1.0" encoding="utf-8"?>
<ThreadedComments xmlns="http://schemas.microsoft.com/office/spreadsheetml/2018/threadedcomments" xmlns:x="http://schemas.openxmlformats.org/spreadsheetml/2006/main">
  <threadedComment ref="N55" dT="2020-11-07T08:52:52.52" personId="{86B27C57-62B5-2843-97B1-E2EC325F0510}" id="{C80FA112-F620-BE48-939E-21816282B3FB}">
    <text>I have minused the first years cost from this, as it only occurs from the subsequent years!</text>
  </threadedComment>
  <threadedComment ref="N56" dT="2020-11-07T08:52:52.52" personId="{86B27C57-62B5-2843-97B1-E2EC325F0510}" id="{A992BD4D-56A7-E647-B6CC-A376E87055E7}">
    <text>I have minused the first years cost from this, as it only occurs from the subsequent years!</text>
  </threadedComment>
  <threadedComment ref="N57" dT="2020-11-07T08:52:52.52" personId="{86B27C57-62B5-2843-97B1-E2EC325F0510}" id="{F91BF3C3-962D-5444-9070-A2C2E92883D9}">
    <text>I have minused the first years cost from this, as it only occurs from the subsequent years!</text>
  </threadedComment>
  <threadedComment ref="N63" dT="2020-11-07T08:52:52.52" personId="{86B27C57-62B5-2843-97B1-E2EC325F0510}" id="{6AD16A79-0DD0-2447-BDA0-A369ED593BA5}">
    <text>I have minused the first years cost from this, as it only occurs from the subsequent years!</text>
  </threadedComment>
  <threadedComment ref="N64" dT="2020-11-07T08:52:52.52" personId="{86B27C57-62B5-2843-97B1-E2EC325F0510}" id="{F510C591-CEA7-A248-A9CE-06D8CB6744D8}">
    <text>I have minused the first years cost from this, as it only occurs from the subsequent years!</text>
  </threadedComment>
  <threadedComment ref="N65" dT="2020-11-07T08:52:52.52" personId="{86B27C57-62B5-2843-97B1-E2EC325F0510}" id="{784DDAFF-5D5B-1941-B972-2CFA3DF1D433}">
    <text>I have minused the first years cost from this, as it only occurs from the subsequent years!</text>
  </threadedComment>
  <threadedComment ref="N71" dT="2020-11-07T08:52:52.52" personId="{86B27C57-62B5-2843-97B1-E2EC325F0510}" id="{A05671A2-3B45-AD4B-8B7C-EC4EABBAC870}">
    <text>I have minused the first years cost from this, as it only occurs from the subsequent years!</text>
  </threadedComment>
  <threadedComment ref="N72" dT="2020-11-07T08:52:52.52" personId="{86B27C57-62B5-2843-97B1-E2EC325F0510}" id="{93221B7A-DF17-1641-B49C-CF4E5BAAE50B}">
    <text>I have minused the first years cost from this, as it only occurs from the subsequent years!</text>
  </threadedComment>
  <threadedComment ref="N73" dT="2020-11-07T08:52:52.52" personId="{86B27C57-62B5-2843-97B1-E2EC325F0510}" id="{A2B115C9-675C-D846-A536-17DB19BB4858}">
    <text>I have minused the first years cost from this, as it only occurs from the subsequent years!</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blog.iseekplant.com.au/blog/water-cart-hire-rates" TargetMode="External"/><Relationship Id="rId7" Type="http://schemas.microsoft.com/office/2017/10/relationships/threadedComment" Target="../threadedComments/threadedComment1.xml"/><Relationship Id="rId2" Type="http://schemas.openxmlformats.org/officeDocument/2006/relationships/hyperlink" Target="https://www.hr.unsw.edu.au/services/salaries/oncosts.html" TargetMode="External"/><Relationship Id="rId1" Type="http://schemas.openxmlformats.org/officeDocument/2006/relationships/hyperlink" Target="https://www.awe.gov.au/sites/default/files/2020-01/schedule-salaries-allowances-determination-enterprise-agreement-2016-2019.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www.bladeslapper.com/viewtopic.php?t=8515" TargetMode="External"/><Relationship Id="rId13" Type="http://schemas.openxmlformats.org/officeDocument/2006/relationships/hyperlink" Target="https://www.pacfire.com.au/product/fixed-wand-fire-lighter-drip-torch/" TargetMode="External"/><Relationship Id="rId3" Type="http://schemas.openxmlformats.org/officeDocument/2006/relationships/hyperlink" Target="https://www.pacfire.com.au/product/fixed-wand-fire-lighter-drip-torch/" TargetMode="External"/><Relationship Id="rId7" Type="http://schemas.openxmlformats.org/officeDocument/2006/relationships/hyperlink" Target="https://www.raindancesystems.com.au/wp-content/uploads/2014/05/R3-a4-broucher_improved-R3_web.pdf" TargetMode="External"/><Relationship Id="rId12" Type="http://schemas.openxmlformats.org/officeDocument/2006/relationships/hyperlink" Target="https://specialistsales.com.au/shop/farm-chemicals/farm-speciality-products/drip-torch-firelighter/pacific-fire-lighter-mkii-hand-held-drip-torch/" TargetMode="External"/><Relationship Id="rId2" Type="http://schemas.openxmlformats.org/officeDocument/2006/relationships/hyperlink" Target="https://specialistsales.com.au/shop/farm-chemicals/farm-speciality-products/drip-torch-firelighter/pacific-fire-lighter-mkii-hand-held-drip-torch/" TargetMode="External"/><Relationship Id="rId16" Type="http://schemas.openxmlformats.org/officeDocument/2006/relationships/drawing" Target="../drawings/drawing4.xml"/><Relationship Id="rId1" Type="http://schemas.openxmlformats.org/officeDocument/2006/relationships/hyperlink" Target="https://hayesproducts.com.au/product/pasture-harrows-16-1-2ft-folding-1336/" TargetMode="External"/><Relationship Id="rId6" Type="http://schemas.openxmlformats.org/officeDocument/2006/relationships/hyperlink" Target="https://cfs.nrcan.gc.ca/pubwarehouse/pdfs/12021.pdf" TargetMode="External"/><Relationship Id="rId11" Type="http://schemas.openxmlformats.org/officeDocument/2006/relationships/hyperlink" Target="https://blog.iseekplant.com.au/blog/water-cart-hire-rates" TargetMode="External"/><Relationship Id="rId5" Type="http://schemas.openxmlformats.org/officeDocument/2006/relationships/hyperlink" Target="https://blog.iseekplant.com.au/blog/water-cart-hire-rates" TargetMode="External"/><Relationship Id="rId15" Type="http://schemas.openxmlformats.org/officeDocument/2006/relationships/hyperlink" Target="https://blog.iseekplant.com.au/blog/water-cart-hire-rates" TargetMode="External"/><Relationship Id="rId10" Type="http://schemas.openxmlformats.org/officeDocument/2006/relationships/hyperlink" Target="https://www.pacfire.com.au/product/fixed-wand-fire-lighter-drip-torch/" TargetMode="External"/><Relationship Id="rId4" Type="http://schemas.openxmlformats.org/officeDocument/2006/relationships/hyperlink" Target="https://www.ebay.com.au/itm/Sheen-Flame-Gun-Weed-Killer-Back-Burning-Machine-Made-in-England/133457489654?hash=item1f12afaef6:g:dMsAAOSwAlJeVd24" TargetMode="External"/><Relationship Id="rId9" Type="http://schemas.openxmlformats.org/officeDocument/2006/relationships/hyperlink" Target="https://specialistsales.com.au/shop/farm-chemicals/farm-speciality-products/drip-torch-firelighter/pacific-fire-lighter-mkii-hand-held-drip-torch/" TargetMode="External"/><Relationship Id="rId14" Type="http://schemas.openxmlformats.org/officeDocument/2006/relationships/hyperlink" Target="https://blog.iseekplant.com.au/blog/water-cart-hire-rates"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 Id="rId4" Type="http://schemas.microsoft.com/office/2017/10/relationships/threadedComment" Target="../threadedComments/threadedComment3.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agriculture.gov.au/sites/default/files/abares/forestsaustralia/documents/sofr_2018/maps%20and%20other%20graphics/c2/SOFR_2018_Fig_2_1_Native_forest_commerciality.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environment.gov.au/system/files/resources/b39c119e-c58a-4473-9507-db68da31a95c/files/fencing.pdf" TargetMode="External"/><Relationship Id="rId1" Type="http://schemas.openxmlformats.org/officeDocument/2006/relationships/hyperlink" Target="https://www.environment.gov.au/system/files/resources/b39c119e-c58a-4473-9507-db68da31a95c/files/fencing.pdf" TargetMode="External"/><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specialistsales.com.au/shop/woody-weeds/woody-weed-herbicides/liquid-chemicals/roundup-biactive-herbicide-glyphosate/?attribute_pa_size=20-litre&amp;gclid=EAIaIQobChMInuG-nofZ6wIVYZ_CCh2u5AaIEAkYASABEgJor_D_BwE" TargetMode="External"/><Relationship Id="rId1" Type="http://schemas.openxmlformats.org/officeDocument/2006/relationships/hyperlink" Target="https://specialistsales.com.au/shop/woody-weeds/woody-weed-herbicides/liquid-chemicals/raizon-herbicide-triclopyr-picloram/?attribute_pa_size=5-litre&amp;gclid=CjwKCAjwtNf6BRAwEiwAkt6UQu9U1DcwPzEFvydMQllNbvCYHBEvL6z40f0X1GUym-s8iP-7KXdpoxoC9UgQAvD_BwE" TargetMode="External"/><Relationship Id="rId6" Type="http://schemas.microsoft.com/office/2017/10/relationships/threadedComment" Target="../threadedComments/threadedComment5.xm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specialistsales.com.au/shop/woody-weeds/woody-weed-herbicides/liquid-chemicals/roundup-biactive-herbicide-glyphosate/?attribute_pa_size=20-litre&amp;gclid=EAIaIQobChMInuG-nofZ6wIVYZ_CCh2u5AaIEAkYASABEgJor_D_BwE" TargetMode="External"/><Relationship Id="rId1" Type="http://schemas.openxmlformats.org/officeDocument/2006/relationships/hyperlink" Target="https://specialistsales.com.au/shop/woody-weeds/woody-weed-herbicides/liquid-chemicals/raizon-herbicide-triclopyr-picloram/?attribute_pa_size=5-litre&amp;gclid=CjwKCAjwtNf6BRAwEiwAkt6UQu9U1DcwPzEFvydMQllNbvCYHBEvL6z40f0X1GUym-s8iP-7KXdpoxoC9UgQAvD_BwE"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specialistsales.com.au/shop/woody-weeds/woody-weed-herbicides/liquid-chemicals/roundup-biactive-herbicide-glyphosate/?attribute_pa_size=20-litre&amp;gclid=EAIaIQobChMInuG-nofZ6wIVYZ_CCh2u5AaIEAkYASABEgJor_D_BwE" TargetMode="External"/><Relationship Id="rId1" Type="http://schemas.openxmlformats.org/officeDocument/2006/relationships/hyperlink" Target="https://specialistsales.com.au/shop/woody-weeds/woody-weed-herbicides/liquid-chemicals/raizon-herbicide-triclopyr-picloram/?attribute_pa_size=5-litre&amp;gclid=CjwKCAjwtNf6BRAwEiwAkt6UQu9U1DcwPzEFvydMQllNbvCYHBEvL6z40f0X1GUym-s8iP-7KXdpoxoC9UgQAvD_BwE"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3" Type="http://schemas.openxmlformats.org/officeDocument/2006/relationships/hyperlink" Target="https://www.thebarn.net.au/Products/Aussie%20Outback%20308WIN%20Sierra%20Tipped%20Matchking%20168GR/84416" TargetMode="External"/><Relationship Id="rId2" Type="http://schemas.openxmlformats.org/officeDocument/2006/relationships/hyperlink" Target="https://www.researchgate.net/profile/Peter_Caley/publication/248882734_Population_Dynamics_of_Feral_Pigs_Sus_Scrofa_in_a_Tropical_Riverine_Habitat_Complex/links/598913480f7e9b6c8539fdde/Population-Dynamics-of-Feral-Pigs-Sus-Scrofa-in-a-Tropical-Riverine-Habitat-Complex.pdf" TargetMode="External"/><Relationship Id="rId1" Type="http://schemas.openxmlformats.org/officeDocument/2006/relationships/hyperlink" Target="https://afacms.com.au/" TargetMode="External"/><Relationship Id="rId4"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6.xml.rels><?xml version="1.0" encoding="UTF-8" standalone="yes"?>
<Relationships xmlns="http://schemas.openxmlformats.org/package/2006/relationships"><Relationship Id="rId3" Type="http://schemas.openxmlformats.org/officeDocument/2006/relationships/hyperlink" Target="https://blog.iseekplant.com.au/blog/tractor-hire-rates" TargetMode="External"/><Relationship Id="rId7" Type="http://schemas.openxmlformats.org/officeDocument/2006/relationships/drawing" Target="../drawings/drawing12.xml"/><Relationship Id="rId2" Type="http://schemas.openxmlformats.org/officeDocument/2006/relationships/hyperlink" Target="https://www.tradefarmmachinery.com.au/detail/kanga-m-range-3-tine-ripper-437748" TargetMode="External"/><Relationship Id="rId1" Type="http://schemas.openxmlformats.org/officeDocument/2006/relationships/hyperlink" Target="https://www.agric.wa.gov.au/mechanical-physical-and-cultural/rabbit-warren-and-harbourage-destruction" TargetMode="External"/><Relationship Id="rId6" Type="http://schemas.openxmlformats.org/officeDocument/2006/relationships/hyperlink" Target="https://www.agric.wa.gov.au/baits-poisons/rabbit-control-fumigation" TargetMode="External"/><Relationship Id="rId5" Type="http://schemas.openxmlformats.org/officeDocument/2006/relationships/hyperlink" Target="https://www.thebarn.net.au/Products/Aussie%20Outback%20308WIN%20Sierra%20Tipped%20Matchking%20168GR/84416" TargetMode="External"/><Relationship Id="rId4" Type="http://schemas.openxmlformats.org/officeDocument/2006/relationships/hyperlink" Target="https://afacms.com.au/"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specialistsales.com.au/shop/woody-weeds/woody-weed-herbicides/liquid-chemicals/roundup-biactive-herbicide-glyphosate/?attribute_pa_size=20-litre&amp;gclid=EAIaIQobChMInuG-nofZ6wIVYZ_CCh2u5AaIEAkYASABEgJor_D_BwE" TargetMode="External"/><Relationship Id="rId1" Type="http://schemas.openxmlformats.org/officeDocument/2006/relationships/hyperlink" Target="https://specialistsales.com.au/shop/woody-weeds/woody-weed-herbicides/liquid-chemicals/raizon-herbicide-triclopyr-picloram/?attribute_pa_size=5-litre&amp;gclid=CjwKCAjwtNf6BRAwEiwAkt6UQu9U1DcwPzEFvydMQllNbvCYHBEvL6z40f0X1GUym-s8iP-7KXdpoxoC9UgQAvD_BwE"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thebarn.net.au/Products/Aussie%20Outback%20308WIN%20Sierra%20Tipped%20Matchking%20168GR/84416" TargetMode="External"/><Relationship Id="rId13" Type="http://schemas.openxmlformats.org/officeDocument/2006/relationships/comments" Target="../comments7.xml"/><Relationship Id="rId3" Type="http://schemas.openxmlformats.org/officeDocument/2006/relationships/hyperlink" Target="https://birdboxesaustralia.com.au/shop/" TargetMode="External"/><Relationship Id="rId7" Type="http://schemas.openxmlformats.org/officeDocument/2006/relationships/hyperlink" Target="https://afacms.com.au/" TargetMode="External"/><Relationship Id="rId12" Type="http://schemas.openxmlformats.org/officeDocument/2006/relationships/vmlDrawing" Target="../drawings/vmlDrawing7.vml"/><Relationship Id="rId2" Type="http://schemas.openxmlformats.org/officeDocument/2006/relationships/hyperlink" Target="https://www.nestingboxes.com.au/" TargetMode="External"/><Relationship Id="rId1" Type="http://schemas.openxmlformats.org/officeDocument/2006/relationships/hyperlink" Target="https://landcaresj.com.au/cockatubes-saving-black-cockatoos/" TargetMode="External"/><Relationship Id="rId6" Type="http://schemas.openxmlformats.org/officeDocument/2006/relationships/hyperlink" Target="https://www.nestingboxes.com.au/epages/shsh6893.sf/en_AU/?ObjectPath=/Shops/shsh6893/Categories/Assembly_Mounting__Care" TargetMode="External"/><Relationship Id="rId11" Type="http://schemas.openxmlformats.org/officeDocument/2006/relationships/drawing" Target="../drawings/drawing14.xml"/><Relationship Id="rId5" Type="http://schemas.openxmlformats.org/officeDocument/2006/relationships/hyperlink" Target="https://landcaresj.com.au/cockatubes-saving-black-cockatoos/" TargetMode="External"/><Relationship Id="rId10" Type="http://schemas.openxmlformats.org/officeDocument/2006/relationships/hyperlink" Target="https://www.thebarn.net.au/Products/Aussie%20Outback%20308WIN%20Sierra%20Tipped%20Matchking%20168GR/84416" TargetMode="External"/><Relationship Id="rId4" Type="http://schemas.openxmlformats.org/officeDocument/2006/relationships/hyperlink" Target="https://www.bunnings.com.au/australian-handyman-supplies-1200-x-600mm-0-75-galvabond-mini-sheet_p0910181" TargetMode="External"/><Relationship Id="rId9" Type="http://schemas.openxmlformats.org/officeDocument/2006/relationships/hyperlink" Target="https://afacms.com.au/" TargetMode="External"/><Relationship Id="rId14" Type="http://schemas.microsoft.com/office/2017/10/relationships/threadedComment" Target="../threadedComments/threadedComment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5.xml"/><Relationship Id="rId4" Type="http://schemas.microsoft.com/office/2017/10/relationships/threadedComment" Target="../threadedComments/threadedComment8.xml"/></Relationships>
</file>

<file path=xl/worksheets/_rels/sheet34.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https://afacms.com.au/" TargetMode="External"/><Relationship Id="rId7" Type="http://schemas.openxmlformats.org/officeDocument/2006/relationships/drawing" Target="../drawings/drawing16.xml"/><Relationship Id="rId2" Type="http://schemas.openxmlformats.org/officeDocument/2006/relationships/hyperlink" Target="https://www.environment.gov.au/system/files/resources/b39c119e-c58a-4473-9507-db68da31a95c/files/fencing.pdf" TargetMode="External"/><Relationship Id="rId1" Type="http://schemas.openxmlformats.org/officeDocument/2006/relationships/hyperlink" Target="https://www.environment.gov.au/system/files/resources/b39c119e-c58a-4473-9507-db68da31a95c/files/fencing.pdf" TargetMode="External"/><Relationship Id="rId6" Type="http://schemas.openxmlformats.org/officeDocument/2006/relationships/hyperlink" Target="https://www.thebarn.net.au/Products/Aussie%20Outback%20308WIN%20Sierra%20Tipped%20Matchking%20168GR/84416" TargetMode="External"/><Relationship Id="rId5" Type="http://schemas.openxmlformats.org/officeDocument/2006/relationships/hyperlink" Target="https://www.environment.gov.au/system/files/resources/b39c119e-c58a-4473-9507-db68da31a95c/files/fencing.pdf" TargetMode="External"/><Relationship Id="rId10" Type="http://schemas.microsoft.com/office/2017/10/relationships/threadedComment" Target="../threadedComments/threadedComment9.xml"/><Relationship Id="rId4" Type="http://schemas.openxmlformats.org/officeDocument/2006/relationships/hyperlink" Target="https://www.researchgate.net/profile/Peter_Caley/publication/248882734_Population_Dynamics_of_Feral_Pigs_Sus_Scrofa_in_a_Tropical_Riverine_Habitat_Complex/links/598913480f7e9b6c8539fdde/Population-Dynamics-of-Feral-Pigs-Sus-Scrofa-in-a-Tropical-Riverine-Habitat-Complex.pdf" TargetMode="External"/><Relationship Id="rId9" Type="http://schemas.openxmlformats.org/officeDocument/2006/relationships/comments" Target="../comments9.xml"/></Relationships>
</file>

<file path=xl/worksheets/_rels/sheet35.xml.rels><?xml version="1.0" encoding="UTF-8" standalone="yes"?>
<Relationships xmlns="http://schemas.openxmlformats.org/package/2006/relationships"><Relationship Id="rId3" Type="http://schemas.microsoft.com/office/2017/10/relationships/threadedComment" Target="../threadedComments/threadedComment10.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6.xml.rels><?xml version="1.0" encoding="UTF-8" standalone="yes"?>
<Relationships xmlns="http://schemas.openxmlformats.org/package/2006/relationships"><Relationship Id="rId3" Type="http://schemas.microsoft.com/office/2017/10/relationships/threadedComment" Target="../threadedComments/threadedComment11.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https://www.environment.gov.au/system/files/resources/b39c119e-c58a-4473-9507-db68da31a95c/files/fencing.pdf"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cpsm-phytophthora.org/phytophthora.php"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specialistsales.com.au/shop/woody-weeds/wetting-agents-woody-weeds/protec-plus-spray-adjuvant-canola-oil/" TargetMode="External"/><Relationship Id="rId7" Type="http://schemas.openxmlformats.org/officeDocument/2006/relationships/hyperlink" Target="https://www.cpsm-phytophthora.org/phytophthora.php" TargetMode="External"/><Relationship Id="rId2" Type="http://schemas.openxmlformats.org/officeDocument/2006/relationships/hyperlink" Target="https://www.ebay.com.au/itm/Monopotassium-Phosphate-technincal-grade/174310281922?hash=item2895b3d2c2:g:idYAAOSwVzxe3edi" TargetMode="External"/><Relationship Id="rId1" Type="http://schemas.openxmlformats.org/officeDocument/2006/relationships/hyperlink" Target="https://www.cpsm-phytophthora.org/phytophthora.php" TargetMode="External"/><Relationship Id="rId6" Type="http://schemas.openxmlformats.org/officeDocument/2006/relationships/hyperlink" Target="https://www.cpsm-phytophthora.org/phytophthora.php" TargetMode="External"/><Relationship Id="rId5" Type="http://schemas.openxmlformats.org/officeDocument/2006/relationships/hyperlink" Target="https://www.cpsm-phytophthora.org/phytophthora.php" TargetMode="External"/><Relationship Id="rId4" Type="http://schemas.openxmlformats.org/officeDocument/2006/relationships/hyperlink" Target="https://www.smbsc.com/pdf/SprayAdjuvants.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H253"/>
  <sheetViews>
    <sheetView showGridLines="0" tabSelected="1" zoomScaleNormal="100" workbookViewId="0">
      <selection activeCell="G20" sqref="G20"/>
    </sheetView>
  </sheetViews>
  <sheetFormatPr baseColWidth="10" defaultColWidth="11" defaultRowHeight="16"/>
  <cols>
    <col min="2" max="2" width="28.6640625" customWidth="1"/>
    <col min="3" max="5" width="25.6640625" customWidth="1"/>
    <col min="9" max="9" width="83.1640625" customWidth="1"/>
    <col min="11" max="12" width="22.33203125" customWidth="1"/>
    <col min="13" max="13" width="12.6640625" customWidth="1"/>
    <col min="15" max="15" width="13.33203125" customWidth="1"/>
  </cols>
  <sheetData>
    <row r="1" spans="2:34" s="172" customFormat="1">
      <c r="C1" s="173"/>
      <c r="D1" s="174"/>
      <c r="AG1"/>
      <c r="AH1"/>
    </row>
    <row r="2" spans="2:34">
      <c r="C2" s="24"/>
      <c r="D2" s="16"/>
    </row>
    <row r="3" spans="2:34">
      <c r="B3" s="8"/>
      <c r="C3" s="24"/>
      <c r="D3" s="16"/>
    </row>
    <row r="4" spans="2:34">
      <c r="B4" t="s">
        <v>184</v>
      </c>
      <c r="C4" s="24"/>
      <c r="D4" s="16"/>
    </row>
    <row r="5" spans="2:34">
      <c r="B5" s="8" t="s">
        <v>159</v>
      </c>
      <c r="C5" s="28" t="s">
        <v>925</v>
      </c>
      <c r="D5" s="16"/>
    </row>
    <row r="6" spans="2:34">
      <c r="B6" t="s">
        <v>160</v>
      </c>
      <c r="C6" s="29">
        <v>100</v>
      </c>
      <c r="D6" s="30" t="s">
        <v>948</v>
      </c>
      <c r="J6" s="3"/>
    </row>
    <row r="7" spans="2:34" ht="16" customHeight="1">
      <c r="C7" s="29">
        <f>C6/2</f>
        <v>50</v>
      </c>
      <c r="D7" s="16" t="s">
        <v>922</v>
      </c>
    </row>
    <row r="8" spans="2:34" ht="16" customHeight="1">
      <c r="C8" s="29">
        <f>C6</f>
        <v>100</v>
      </c>
      <c r="D8" s="16" t="s">
        <v>1342</v>
      </c>
    </row>
    <row r="9" spans="2:34" ht="16" customHeight="1">
      <c r="C9" s="29">
        <v>40</v>
      </c>
      <c r="D9" s="16" t="s">
        <v>1320</v>
      </c>
    </row>
    <row r="10" spans="2:34" ht="16" customHeight="1">
      <c r="C10" s="913">
        <v>0</v>
      </c>
      <c r="D10" s="16" t="s">
        <v>916</v>
      </c>
    </row>
    <row r="11" spans="2:34" ht="16" customHeight="1">
      <c r="C11" s="913">
        <v>0</v>
      </c>
      <c r="D11" s="16" t="s">
        <v>917</v>
      </c>
    </row>
    <row r="12" spans="2:34" ht="16" customHeight="1">
      <c r="C12" s="912"/>
      <c r="D12" s="16"/>
    </row>
    <row r="13" spans="2:34" ht="16" customHeight="1">
      <c r="B13" s="3" t="s">
        <v>158</v>
      </c>
      <c r="C13" s="103">
        <v>0.3</v>
      </c>
      <c r="D13" s="16" t="s">
        <v>946</v>
      </c>
      <c r="E13" s="16"/>
      <c r="F13" s="16"/>
      <c r="M13" s="578">
        <f>(1+C13)</f>
        <v>1.3</v>
      </c>
    </row>
    <row r="14" spans="2:34" ht="16" customHeight="1">
      <c r="B14" s="3"/>
      <c r="C14" s="103">
        <v>0.1</v>
      </c>
      <c r="D14" s="16" t="s">
        <v>945</v>
      </c>
      <c r="E14" s="16"/>
      <c r="M14" s="578">
        <f>(1+C14)</f>
        <v>1.1000000000000001</v>
      </c>
    </row>
    <row r="15" spans="2:34" ht="16" customHeight="1">
      <c r="B15" s="3"/>
      <c r="C15" s="103">
        <v>0.3</v>
      </c>
      <c r="D15" t="s">
        <v>798</v>
      </c>
      <c r="M15" s="578">
        <f>(1+C15)</f>
        <v>1.3</v>
      </c>
    </row>
    <row r="16" spans="2:34" ht="16" customHeight="1">
      <c r="B16" s="3"/>
      <c r="C16" s="578">
        <f>M16-1</f>
        <v>0.85900000000000021</v>
      </c>
      <c r="D16" t="s">
        <v>2442</v>
      </c>
      <c r="E16" s="16"/>
      <c r="L16" t="s">
        <v>1046</v>
      </c>
      <c r="M16" s="578">
        <f>PRODUCT(M13:M15)</f>
        <v>1.8590000000000002</v>
      </c>
    </row>
    <row r="17" spans="2:10" ht="16" customHeight="1">
      <c r="C17" s="795" t="s">
        <v>1197</v>
      </c>
      <c r="D17" s="16" t="s">
        <v>947</v>
      </c>
    </row>
    <row r="18" spans="2:10" ht="16" customHeight="1">
      <c r="C18" s="912"/>
      <c r="D18" s="16"/>
    </row>
    <row r="19" spans="2:10" ht="16" customHeight="1">
      <c r="C19" s="912"/>
      <c r="D19" s="16"/>
    </row>
    <row r="20" spans="2:10" ht="16" customHeight="1">
      <c r="B20" t="s">
        <v>953</v>
      </c>
      <c r="C20" s="5" t="s">
        <v>399</v>
      </c>
    </row>
    <row r="21" spans="2:10" ht="16" customHeight="1">
      <c r="C21" s="1764">
        <v>0.04</v>
      </c>
      <c r="D21" t="s">
        <v>1371</v>
      </c>
    </row>
    <row r="22" spans="2:10">
      <c r="C22" s="7">
        <v>80</v>
      </c>
      <c r="D22" t="s">
        <v>951</v>
      </c>
      <c r="F22" s="15"/>
    </row>
    <row r="23" spans="2:10" ht="16" customHeight="1">
      <c r="C23" s="7">
        <v>5</v>
      </c>
      <c r="D23" t="s">
        <v>952</v>
      </c>
      <c r="J23" s="3"/>
    </row>
    <row r="24" spans="2:10" ht="16" customHeight="1">
      <c r="J24" s="3"/>
    </row>
    <row r="25" spans="2:10" ht="16" customHeight="1">
      <c r="C25" s="1605">
        <v>1.4999999999999999E-2</v>
      </c>
      <c r="D25" t="s">
        <v>1372</v>
      </c>
      <c r="J25" s="3"/>
    </row>
    <row r="26" spans="2:10" ht="16" customHeight="1">
      <c r="C26" s="1605">
        <v>5.5599999999999997E-2</v>
      </c>
      <c r="D26" t="s">
        <v>1370</v>
      </c>
      <c r="J26" s="3"/>
    </row>
    <row r="27" spans="2:10" ht="16" customHeight="1">
      <c r="C27" s="581">
        <f>(1+C26)/(1+C25)-1</f>
        <v>4.0000000000000258E-2</v>
      </c>
      <c r="D27" t="s">
        <v>1369</v>
      </c>
    </row>
    <row r="28" spans="2:10" ht="16" customHeight="1">
      <c r="C28" s="581"/>
    </row>
    <row r="29" spans="2:10" ht="16" customHeight="1">
      <c r="B29" t="s">
        <v>254</v>
      </c>
      <c r="C29" s="914" t="s">
        <v>924</v>
      </c>
      <c r="D29" s="28"/>
    </row>
    <row r="30" spans="2:10" ht="16" customHeight="1">
      <c r="C30" s="913"/>
      <c r="D30" s="16" t="s">
        <v>923</v>
      </c>
    </row>
    <row r="31" spans="2:10">
      <c r="C31" s="910"/>
      <c r="D31" s="99" t="s">
        <v>918</v>
      </c>
    </row>
    <row r="32" spans="2:10">
      <c r="C32" s="910"/>
      <c r="D32" s="31" t="s">
        <v>919</v>
      </c>
    </row>
    <row r="33" spans="3:8">
      <c r="C33" s="911"/>
      <c r="D33" s="31" t="s">
        <v>920</v>
      </c>
    </row>
    <row r="34" spans="3:8">
      <c r="C34" s="263"/>
      <c r="D34" s="16"/>
      <c r="E34" t="s">
        <v>921</v>
      </c>
    </row>
    <row r="36" spans="3:8" ht="16" customHeight="1">
      <c r="C36" s="30" t="s">
        <v>950</v>
      </c>
      <c r="D36" s="16"/>
    </row>
    <row r="37" spans="3:8" ht="19">
      <c r="C37" s="37"/>
      <c r="D37" s="16"/>
    </row>
    <row r="38" spans="3:8">
      <c r="C38" s="24"/>
      <c r="D38" s="16"/>
    </row>
    <row r="39" spans="3:8">
      <c r="C39" s="24"/>
      <c r="D39" s="16"/>
    </row>
    <row r="40" spans="3:8">
      <c r="C40" s="6" t="s">
        <v>75</v>
      </c>
      <c r="D40" s="16"/>
      <c r="G40" s="6"/>
    </row>
    <row r="41" spans="3:8">
      <c r="C41" s="251"/>
      <c r="D41" s="16"/>
      <c r="G41" s="6"/>
    </row>
    <row r="42" spans="3:8">
      <c r="C42" s="6" t="s">
        <v>76</v>
      </c>
      <c r="D42" s="16"/>
      <c r="G42" s="6"/>
    </row>
    <row r="43" spans="3:8">
      <c r="C43" s="6" t="s">
        <v>77</v>
      </c>
      <c r="D43" s="16"/>
      <c r="G43" s="6"/>
    </row>
    <row r="44" spans="3:8">
      <c r="C44" s="6" t="s">
        <v>78</v>
      </c>
      <c r="D44" s="16"/>
      <c r="G44" s="6"/>
    </row>
    <row r="45" spans="3:8">
      <c r="C45" s="24"/>
      <c r="D45" s="16"/>
      <c r="H45" s="43" t="s">
        <v>27</v>
      </c>
    </row>
    <row r="46" spans="3:8">
      <c r="C46" s="40">
        <v>4.46</v>
      </c>
      <c r="D46" s="164" t="s">
        <v>794</v>
      </c>
      <c r="E46" s="161"/>
      <c r="H46" s="43" t="s">
        <v>26</v>
      </c>
    </row>
    <row r="47" spans="3:8">
      <c r="C47" s="152"/>
      <c r="D47" s="76"/>
      <c r="E47" s="246"/>
      <c r="H47" s="16" t="s">
        <v>777</v>
      </c>
    </row>
    <row r="48" spans="3:8">
      <c r="C48" s="688">
        <v>1</v>
      </c>
      <c r="D48" s="76" t="s">
        <v>783</v>
      </c>
      <c r="E48" s="246"/>
    </row>
    <row r="49" spans="2:20">
      <c r="C49" s="688">
        <v>0.75</v>
      </c>
      <c r="D49" s="76" t="s">
        <v>784</v>
      </c>
      <c r="E49" s="246"/>
      <c r="H49" s="480"/>
      <c r="I49" s="618" t="s">
        <v>772</v>
      </c>
      <c r="J49" s="618" t="s">
        <v>752</v>
      </c>
      <c r="K49" s="619" t="s">
        <v>751</v>
      </c>
    </row>
    <row r="50" spans="2:20">
      <c r="C50" s="688">
        <v>0.5</v>
      </c>
      <c r="D50" s="76" t="s">
        <v>785</v>
      </c>
      <c r="E50" s="246"/>
      <c r="H50" s="480" t="s">
        <v>749</v>
      </c>
      <c r="I50" s="796" t="s">
        <v>773</v>
      </c>
      <c r="J50" s="796" t="s">
        <v>753</v>
      </c>
      <c r="K50" s="797" t="s">
        <v>770</v>
      </c>
    </row>
    <row r="51" spans="2:20">
      <c r="C51" s="125"/>
      <c r="D51" s="333" t="s">
        <v>859</v>
      </c>
      <c r="E51" s="162"/>
      <c r="H51" s="591" t="s">
        <v>750</v>
      </c>
      <c r="I51" s="100" t="s">
        <v>774</v>
      </c>
      <c r="J51" s="100" t="s">
        <v>25</v>
      </c>
      <c r="K51" s="798" t="s">
        <v>25</v>
      </c>
    </row>
    <row r="52" spans="2:20">
      <c r="C52" s="24"/>
      <c r="D52" s="16"/>
      <c r="H52" s="591" t="s">
        <v>769</v>
      </c>
      <c r="I52" s="100" t="s">
        <v>775</v>
      </c>
      <c r="J52" s="100" t="s">
        <v>24</v>
      </c>
      <c r="K52" s="798" t="s">
        <v>771</v>
      </c>
    </row>
    <row r="53" spans="2:20">
      <c r="C53" s="632">
        <f>C$46*C48</f>
        <v>4.46</v>
      </c>
      <c r="D53" s="319" t="s">
        <v>780</v>
      </c>
      <c r="E53" s="108"/>
      <c r="H53" s="480" t="s">
        <v>749</v>
      </c>
      <c r="I53" s="799">
        <f>1</f>
        <v>1</v>
      </c>
      <c r="J53" s="799">
        <v>1</v>
      </c>
      <c r="K53" s="799">
        <v>1</v>
      </c>
      <c r="L53" s="402">
        <f>I53*J53*K53</f>
        <v>1</v>
      </c>
      <c r="M53" s="161" t="s">
        <v>776</v>
      </c>
      <c r="N53" s="79"/>
      <c r="O53" s="79"/>
      <c r="P53" s="79"/>
    </row>
    <row r="54" spans="2:20">
      <c r="C54" s="633">
        <f>C$46*C49</f>
        <v>3.3449999999999998</v>
      </c>
      <c r="D54" s="34" t="s">
        <v>781</v>
      </c>
      <c r="E54" s="109"/>
      <c r="H54" s="591" t="s">
        <v>750</v>
      </c>
      <c r="I54" s="800">
        <f>100/110</f>
        <v>0.90909090909090906</v>
      </c>
      <c r="J54" s="800">
        <f>AVERAGE(J53,J55)</f>
        <v>0.92999999999999994</v>
      </c>
      <c r="K54" s="800">
        <v>0.85</v>
      </c>
      <c r="L54" s="404">
        <f>I54*J54*K54</f>
        <v>0.71863636363636352</v>
      </c>
      <c r="M54" s="246"/>
      <c r="N54" s="79"/>
      <c r="O54" s="79"/>
      <c r="P54" s="79"/>
    </row>
    <row r="55" spans="2:20">
      <c r="C55" s="634">
        <f>C$46*C50</f>
        <v>2.23</v>
      </c>
      <c r="D55" s="322" t="s">
        <v>782</v>
      </c>
      <c r="E55" s="323"/>
      <c r="H55" s="481" t="s">
        <v>769</v>
      </c>
      <c r="I55" s="801">
        <f>100/135</f>
        <v>0.7407407407407407</v>
      </c>
      <c r="J55" s="801">
        <v>0.86</v>
      </c>
      <c r="K55" s="801">
        <v>0.7</v>
      </c>
      <c r="L55" s="405">
        <f>I55*J55*K55</f>
        <v>0.44592592592592584</v>
      </c>
      <c r="M55" s="162"/>
      <c r="N55" s="79"/>
      <c r="O55" s="79"/>
      <c r="P55" s="79"/>
    </row>
    <row r="56" spans="2:20">
      <c r="C56" s="24"/>
      <c r="D56" s="16"/>
      <c r="G56" s="6"/>
    </row>
    <row r="57" spans="2:20">
      <c r="C57" s="48"/>
      <c r="D57" s="24"/>
      <c r="F57" s="3"/>
      <c r="G57" s="3"/>
      <c r="H57" s="3"/>
    </row>
    <row r="58" spans="2:20" ht="16" customHeight="1">
      <c r="B58" s="8" t="s">
        <v>136</v>
      </c>
      <c r="C58" s="16"/>
      <c r="D58" s="24"/>
      <c r="H58" s="100"/>
      <c r="I58" s="15"/>
      <c r="J58" s="15"/>
      <c r="K58" s="15"/>
      <c r="L58" s="15"/>
      <c r="M58" s="15"/>
      <c r="N58" s="15"/>
      <c r="O58" s="15"/>
      <c r="P58" s="15"/>
      <c r="T58" s="15"/>
    </row>
    <row r="59" spans="2:20" ht="16" customHeight="1">
      <c r="C59" s="24"/>
      <c r="D59" s="16"/>
      <c r="H59" s="100"/>
      <c r="I59" s="15"/>
      <c r="J59" s="15"/>
      <c r="K59" s="15"/>
      <c r="L59" s="15"/>
      <c r="M59" s="15"/>
      <c r="N59" s="15"/>
      <c r="O59" s="15"/>
      <c r="P59" s="15"/>
      <c r="T59" s="15"/>
    </row>
    <row r="60" spans="2:20" ht="16" customHeight="1">
      <c r="C60" s="24"/>
      <c r="D60" s="16" t="s">
        <v>1028</v>
      </c>
      <c r="I60" t="s">
        <v>148</v>
      </c>
      <c r="J60" s="514" t="s">
        <v>147</v>
      </c>
    </row>
    <row r="61" spans="2:20" ht="16" customHeight="1">
      <c r="B61" t="s">
        <v>235</v>
      </c>
      <c r="C61" s="32">
        <v>30</v>
      </c>
      <c r="D61" s="24" t="s">
        <v>1027</v>
      </c>
    </row>
    <row r="62" spans="2:20" ht="16" customHeight="1">
      <c r="B62" t="s">
        <v>227</v>
      </c>
      <c r="C62" s="32">
        <v>45</v>
      </c>
      <c r="D62" s="16" t="s">
        <v>35</v>
      </c>
    </row>
    <row r="63" spans="2:20" ht="16" customHeight="1">
      <c r="B63" t="s">
        <v>227</v>
      </c>
      <c r="C63" s="32">
        <v>65</v>
      </c>
      <c r="D63" s="16" t="s">
        <v>35</v>
      </c>
    </row>
    <row r="64" spans="2:20" ht="16" customHeight="1"/>
    <row r="65" spans="2:10" ht="16" customHeight="1">
      <c r="B65" t="s">
        <v>146</v>
      </c>
      <c r="C65" s="103">
        <v>0</v>
      </c>
      <c r="D65" s="16" t="s">
        <v>963</v>
      </c>
    </row>
    <row r="66" spans="2:10" ht="16" customHeight="1">
      <c r="C66" s="24"/>
      <c r="D66" s="16"/>
    </row>
    <row r="67" spans="2:10">
      <c r="B67" t="s">
        <v>235</v>
      </c>
      <c r="C67" s="454">
        <f>C61*(1+C65)</f>
        <v>30</v>
      </c>
      <c r="I67" t="s">
        <v>143</v>
      </c>
      <c r="J67" s="514" t="s">
        <v>142</v>
      </c>
    </row>
    <row r="68" spans="2:10">
      <c r="C68" s="33">
        <f>C61*7.5*(1+$C$65)</f>
        <v>225</v>
      </c>
      <c r="D68" s="16" t="s">
        <v>32</v>
      </c>
      <c r="I68" t="s">
        <v>144</v>
      </c>
    </row>
    <row r="69" spans="2:10">
      <c r="C69" s="33">
        <f>C68*250</f>
        <v>56250</v>
      </c>
      <c r="D69" s="16" t="s">
        <v>40</v>
      </c>
      <c r="I69" t="s">
        <v>145</v>
      </c>
    </row>
    <row r="70" spans="2:10">
      <c r="C70" s="33"/>
      <c r="D70" s="16"/>
    </row>
    <row r="71" spans="2:10">
      <c r="B71" t="s">
        <v>227</v>
      </c>
      <c r="C71" s="259">
        <f>C62*(1+C65)</f>
        <v>45</v>
      </c>
    </row>
    <row r="72" spans="2:10">
      <c r="C72" s="33">
        <f>C62*7.5*(1+$C$65)</f>
        <v>337.5</v>
      </c>
      <c r="D72" s="16" t="s">
        <v>32</v>
      </c>
    </row>
    <row r="73" spans="2:10">
      <c r="C73" s="33">
        <f>C72*250</f>
        <v>84375</v>
      </c>
      <c r="D73" s="16" t="s">
        <v>40</v>
      </c>
    </row>
    <row r="74" spans="2:10">
      <c r="C74" s="33"/>
      <c r="D74" s="16"/>
    </row>
    <row r="75" spans="2:10">
      <c r="B75" t="s">
        <v>236</v>
      </c>
      <c r="C75" s="259">
        <f>C63*((1+C65))</f>
        <v>65</v>
      </c>
    </row>
    <row r="76" spans="2:10">
      <c r="C76" s="33">
        <f>C63*7.5*(1+$C$65)</f>
        <v>487.5</v>
      </c>
      <c r="D76" s="16" t="s">
        <v>32</v>
      </c>
    </row>
    <row r="77" spans="2:10">
      <c r="C77" s="33">
        <f>C76*250</f>
        <v>121875</v>
      </c>
      <c r="D77" s="16" t="s">
        <v>40</v>
      </c>
    </row>
    <row r="79" spans="2:10">
      <c r="B79" t="s">
        <v>70</v>
      </c>
      <c r="C79" s="956">
        <v>150</v>
      </c>
      <c r="D79" s="16" t="s">
        <v>149</v>
      </c>
    </row>
    <row r="80" spans="2:10">
      <c r="C80" s="956">
        <v>60</v>
      </c>
      <c r="D80" s="16" t="s">
        <v>71</v>
      </c>
    </row>
    <row r="81" spans="2:19">
      <c r="C81" s="33">
        <f>SUM(C79:C80)</f>
        <v>210</v>
      </c>
      <c r="D81" s="16" t="s">
        <v>965</v>
      </c>
    </row>
    <row r="82" spans="2:19">
      <c r="C82" s="33"/>
      <c r="D82" s="16"/>
    </row>
    <row r="83" spans="2:19">
      <c r="B83" t="s">
        <v>313</v>
      </c>
      <c r="C83" s="262">
        <v>21</v>
      </c>
      <c r="D83" s="16" t="s">
        <v>949</v>
      </c>
    </row>
    <row r="85" spans="2:19">
      <c r="C85" s="33"/>
      <c r="D85" s="16"/>
    </row>
    <row r="86" spans="2:19">
      <c r="C86" s="16"/>
      <c r="D86" s="16"/>
    </row>
    <row r="87" spans="2:19">
      <c r="B87" t="s">
        <v>937</v>
      </c>
      <c r="C87" s="2476">
        <v>0.95</v>
      </c>
      <c r="D87" s="16" t="s">
        <v>932</v>
      </c>
      <c r="R87" t="s">
        <v>926</v>
      </c>
    </row>
    <row r="88" spans="2:19">
      <c r="C88" s="34">
        <f>C87*C90</f>
        <v>76</v>
      </c>
      <c r="D88" s="16" t="s">
        <v>933</v>
      </c>
      <c r="H88" s="592"/>
      <c r="I88" s="401"/>
      <c r="J88" s="401"/>
      <c r="K88" s="401"/>
      <c r="L88" s="401"/>
      <c r="M88" s="401"/>
      <c r="N88" s="401"/>
      <c r="O88" s="401"/>
      <c r="P88" s="274"/>
      <c r="R88" t="s">
        <v>441</v>
      </c>
      <c r="S88" t="s">
        <v>431</v>
      </c>
    </row>
    <row r="89" spans="2:19">
      <c r="C89" s="34">
        <f>C88*7.5</f>
        <v>570</v>
      </c>
      <c r="D89" s="16" t="s">
        <v>934</v>
      </c>
      <c r="H89" s="404"/>
      <c r="I89" s="79"/>
      <c r="J89" s="79"/>
      <c r="K89" s="79"/>
      <c r="L89" s="79"/>
      <c r="M89" s="79"/>
      <c r="N89" s="79"/>
      <c r="O89" s="79"/>
      <c r="P89" s="246"/>
    </row>
    <row r="90" spans="2:19">
      <c r="C90" s="957">
        <v>80</v>
      </c>
      <c r="D90" s="16" t="s">
        <v>33</v>
      </c>
      <c r="H90" s="404"/>
      <c r="I90" s="79"/>
      <c r="J90" s="79"/>
      <c r="K90" s="79"/>
      <c r="L90" s="79"/>
      <c r="M90" s="79"/>
      <c r="N90" s="79"/>
      <c r="O90" s="79"/>
      <c r="P90" s="246"/>
      <c r="R90">
        <v>10</v>
      </c>
      <c r="S90" t="s">
        <v>432</v>
      </c>
    </row>
    <row r="91" spans="2:19">
      <c r="C91" s="957">
        <v>40</v>
      </c>
      <c r="D91" s="16" t="s">
        <v>34</v>
      </c>
      <c r="H91" s="404"/>
      <c r="I91" s="79"/>
      <c r="J91" s="79"/>
      <c r="K91" s="79"/>
      <c r="L91" s="79"/>
      <c r="M91" s="79"/>
      <c r="N91" s="79"/>
      <c r="O91" s="79"/>
      <c r="P91" s="246"/>
      <c r="R91">
        <v>15</v>
      </c>
      <c r="S91" t="s">
        <v>433</v>
      </c>
    </row>
    <row r="92" spans="2:19">
      <c r="C92" s="24"/>
      <c r="D92" s="16"/>
      <c r="H92" s="404"/>
      <c r="I92" s="79"/>
      <c r="J92" s="79"/>
      <c r="K92" s="79"/>
      <c r="L92" s="79"/>
      <c r="M92" s="79"/>
      <c r="N92" s="79"/>
      <c r="O92" s="79"/>
      <c r="P92" s="246"/>
      <c r="R92">
        <v>30</v>
      </c>
      <c r="S92" t="s">
        <v>434</v>
      </c>
    </row>
    <row r="93" spans="2:19">
      <c r="B93" t="s">
        <v>936</v>
      </c>
      <c r="C93" s="958">
        <f>I100</f>
        <v>285</v>
      </c>
      <c r="D93" s="16" t="s">
        <v>935</v>
      </c>
      <c r="H93" s="404"/>
      <c r="I93" s="79"/>
      <c r="J93" s="79"/>
      <c r="K93" s="79"/>
      <c r="L93" s="79"/>
      <c r="M93" s="79"/>
      <c r="N93" s="79"/>
      <c r="O93" s="79"/>
      <c r="P93" s="246"/>
    </row>
    <row r="94" spans="2:19">
      <c r="C94" s="24"/>
      <c r="D94" s="16"/>
      <c r="H94" s="404"/>
      <c r="I94" s="79"/>
      <c r="J94" s="79"/>
      <c r="K94" s="79"/>
      <c r="L94" s="79"/>
      <c r="M94" s="79"/>
      <c r="N94" s="79"/>
      <c r="O94" s="79"/>
      <c r="P94" s="246"/>
      <c r="R94" s="203">
        <v>1.5</v>
      </c>
      <c r="S94" t="s">
        <v>435</v>
      </c>
    </row>
    <row r="95" spans="2:19">
      <c r="B95" t="s">
        <v>150</v>
      </c>
      <c r="C95" s="958">
        <v>1500</v>
      </c>
      <c r="D95" s="16" t="s">
        <v>2571</v>
      </c>
      <c r="H95" s="832"/>
      <c r="I95" s="10"/>
      <c r="J95" s="79"/>
      <c r="K95" s="79"/>
      <c r="L95" s="79"/>
      <c r="M95" s="79"/>
      <c r="N95" s="79"/>
      <c r="O95" s="79"/>
      <c r="P95" s="246"/>
    </row>
    <row r="96" spans="2:19">
      <c r="C96" s="958">
        <v>850</v>
      </c>
      <c r="D96" s="16" t="s">
        <v>45</v>
      </c>
      <c r="H96" s="405"/>
      <c r="I96" s="439"/>
      <c r="J96" s="439"/>
      <c r="K96" s="439"/>
      <c r="L96" s="439"/>
      <c r="M96" s="439"/>
      <c r="N96" s="439"/>
      <c r="O96" s="439"/>
      <c r="P96" s="162"/>
      <c r="R96" t="s">
        <v>436</v>
      </c>
    </row>
    <row r="97" spans="2:20">
      <c r="C97" s="957">
        <v>250</v>
      </c>
      <c r="D97" s="16" t="s">
        <v>33</v>
      </c>
      <c r="R97" s="203">
        <f>R90/100*$R$94</f>
        <v>0.15000000000000002</v>
      </c>
      <c r="S97" t="s">
        <v>437</v>
      </c>
    </row>
    <row r="98" spans="2:20">
      <c r="C98" s="957">
        <v>130</v>
      </c>
      <c r="D98" s="16" t="s">
        <v>34</v>
      </c>
      <c r="J98" t="s">
        <v>928</v>
      </c>
      <c r="R98" s="203">
        <f>R91/100*$R$94</f>
        <v>0.22499999999999998</v>
      </c>
      <c r="S98" t="s">
        <v>438</v>
      </c>
      <c r="T98" s="203">
        <f>R98*750</f>
        <v>168.74999999999997</v>
      </c>
    </row>
    <row r="99" spans="2:20">
      <c r="C99" s="957">
        <v>400</v>
      </c>
      <c r="D99" s="16" t="s">
        <v>46</v>
      </c>
      <c r="I99">
        <v>300</v>
      </c>
      <c r="J99" t="s">
        <v>929</v>
      </c>
      <c r="R99" s="203">
        <f>R92/100*$R$94</f>
        <v>0.44999999999999996</v>
      </c>
      <c r="S99" t="s">
        <v>434</v>
      </c>
    </row>
    <row r="100" spans="2:20">
      <c r="C100" s="962">
        <f>C7</f>
        <v>50</v>
      </c>
      <c r="D100" s="16" t="s">
        <v>966</v>
      </c>
      <c r="I100" s="197">
        <f>$C$87*I99</f>
        <v>285</v>
      </c>
      <c r="J100" t="s">
        <v>309</v>
      </c>
      <c r="R100" s="203"/>
    </row>
    <row r="101" spans="2:20">
      <c r="C101" s="16"/>
      <c r="D101" s="16"/>
      <c r="I101">
        <f>100*7.5</f>
        <v>750</v>
      </c>
      <c r="J101" t="s">
        <v>930</v>
      </c>
    </row>
    <row r="102" spans="2:20">
      <c r="B102" t="s">
        <v>151</v>
      </c>
      <c r="C102" s="957"/>
      <c r="D102" s="16" t="s">
        <v>183</v>
      </c>
      <c r="I102" s="197">
        <f>$C$87*I101</f>
        <v>712.5</v>
      </c>
      <c r="J102" t="s">
        <v>931</v>
      </c>
    </row>
    <row r="103" spans="2:20">
      <c r="C103" s="957"/>
      <c r="D103" s="16" t="s">
        <v>33</v>
      </c>
      <c r="R103">
        <v>750</v>
      </c>
      <c r="S103" t="s">
        <v>440</v>
      </c>
    </row>
    <row r="104" spans="2:20">
      <c r="C104" s="34"/>
      <c r="D104" s="16"/>
      <c r="R104" s="203">
        <f>R103*R98</f>
        <v>168.74999999999997</v>
      </c>
      <c r="S104" t="s">
        <v>166</v>
      </c>
    </row>
    <row r="105" spans="2:20" s="2722" customFormat="1">
      <c r="B105" s="2722" t="s">
        <v>2098</v>
      </c>
      <c r="C105" s="624">
        <v>10</v>
      </c>
      <c r="D105" s="16" t="s">
        <v>2099</v>
      </c>
      <c r="R105" s="203"/>
    </row>
    <row r="106" spans="2:20" s="2722" customFormat="1">
      <c r="C106" s="624">
        <v>0.2</v>
      </c>
      <c r="D106" s="16" t="s">
        <v>2100</v>
      </c>
      <c r="R106" s="203"/>
    </row>
    <row r="107" spans="2:20" s="2722" customFormat="1">
      <c r="C107" s="1536">
        <v>0.1</v>
      </c>
      <c r="D107" s="109" t="s">
        <v>1242</v>
      </c>
      <c r="R107" s="203"/>
    </row>
    <row r="108" spans="2:20">
      <c r="C108" s="34"/>
      <c r="D108" s="16"/>
      <c r="R108" s="349">
        <v>150</v>
      </c>
      <c r="S108" t="s">
        <v>439</v>
      </c>
    </row>
    <row r="109" spans="2:20">
      <c r="C109" s="34"/>
      <c r="D109" s="16"/>
    </row>
    <row r="110" spans="2:20">
      <c r="C110" s="34"/>
      <c r="D110" s="16"/>
    </row>
    <row r="111" spans="2:20">
      <c r="B111" t="s">
        <v>1855</v>
      </c>
      <c r="C111" s="2476">
        <v>150</v>
      </c>
      <c r="D111" s="16" t="s">
        <v>1856</v>
      </c>
    </row>
    <row r="112" spans="2:20">
      <c r="C112" s="957">
        <v>25</v>
      </c>
      <c r="D112" s="16" t="s">
        <v>33</v>
      </c>
    </row>
    <row r="113" spans="2:19">
      <c r="C113" s="957"/>
      <c r="D113" s="16"/>
    </row>
    <row r="114" spans="2:19">
      <c r="C114" s="24"/>
      <c r="D114" s="16"/>
      <c r="R114" s="203"/>
    </row>
    <row r="115" spans="2:19">
      <c r="B115" t="s">
        <v>57</v>
      </c>
      <c r="C115" s="959">
        <v>3</v>
      </c>
      <c r="D115" s="16" t="s">
        <v>61</v>
      </c>
      <c r="E115" t="s">
        <v>943</v>
      </c>
      <c r="R115">
        <f>4000</f>
        <v>4000</v>
      </c>
      <c r="S115" t="s">
        <v>424</v>
      </c>
    </row>
    <row r="116" spans="2:19">
      <c r="C116" s="16">
        <f>C115*5</f>
        <v>15</v>
      </c>
      <c r="D116" s="16" t="s">
        <v>138</v>
      </c>
      <c r="R116">
        <v>1.6</v>
      </c>
      <c r="S116" t="s">
        <v>426</v>
      </c>
    </row>
    <row r="117" spans="2:19">
      <c r="C117" s="16">
        <f>C115*5*7.5</f>
        <v>112.5</v>
      </c>
      <c r="D117" s="16" t="s">
        <v>60</v>
      </c>
      <c r="R117">
        <f>R115*R116</f>
        <v>6400</v>
      </c>
      <c r="S117" t="s">
        <v>427</v>
      </c>
    </row>
    <row r="118" spans="2:19">
      <c r="C118" s="46">
        <f>C115/52</f>
        <v>5.7692307692307696E-2</v>
      </c>
      <c r="D118" s="16" t="s">
        <v>62</v>
      </c>
    </row>
    <row r="119" spans="2:19">
      <c r="C119" s="24"/>
      <c r="D119" s="16"/>
      <c r="R119">
        <f>R115/80</f>
        <v>50</v>
      </c>
      <c r="S119" t="s">
        <v>425</v>
      </c>
    </row>
    <row r="120" spans="2:19">
      <c r="B120" t="s">
        <v>58</v>
      </c>
      <c r="C120" s="960">
        <v>0.3</v>
      </c>
      <c r="D120" s="16" t="s">
        <v>1355</v>
      </c>
    </row>
    <row r="121" spans="2:19">
      <c r="C121" s="1739">
        <v>1</v>
      </c>
      <c r="D121" s="16" t="s">
        <v>1354</v>
      </c>
    </row>
    <row r="122" spans="2:19">
      <c r="C122" s="113"/>
      <c r="D122" s="16"/>
    </row>
    <row r="123" spans="2:19">
      <c r="B123" t="s">
        <v>59</v>
      </c>
      <c r="C123" s="960">
        <v>0.3</v>
      </c>
      <c r="D123" s="16" t="s">
        <v>964</v>
      </c>
    </row>
    <row r="124" spans="2:19">
      <c r="C124" s="24"/>
      <c r="D124" s="16"/>
    </row>
    <row r="125" spans="2:19">
      <c r="B125" t="s">
        <v>152</v>
      </c>
      <c r="C125" s="961">
        <v>3</v>
      </c>
      <c r="D125" s="16" t="s">
        <v>154</v>
      </c>
      <c r="R125">
        <f>R119/7.5</f>
        <v>6.666666666666667</v>
      </c>
      <c r="S125" t="s">
        <v>138</v>
      </c>
    </row>
    <row r="126" spans="2:19">
      <c r="C126" s="16">
        <f>C125*5</f>
        <v>15</v>
      </c>
      <c r="D126" s="16" t="s">
        <v>155</v>
      </c>
      <c r="R126" s="454">
        <f>C93</f>
        <v>285</v>
      </c>
      <c r="S126" t="s">
        <v>428</v>
      </c>
    </row>
    <row r="127" spans="2:19">
      <c r="C127" s="101">
        <f>C126*7.5</f>
        <v>112.5</v>
      </c>
      <c r="D127" s="16" t="s">
        <v>153</v>
      </c>
      <c r="R127" s="454">
        <f>R125*R126</f>
        <v>1900</v>
      </c>
      <c r="S127" t="s">
        <v>165</v>
      </c>
    </row>
    <row r="128" spans="2:19">
      <c r="C128" s="46">
        <f>C125/52</f>
        <v>5.7692307692307696E-2</v>
      </c>
      <c r="D128" s="16" t="s">
        <v>62</v>
      </c>
    </row>
    <row r="129" spans="2:19">
      <c r="C129" s="16"/>
      <c r="D129" s="16"/>
      <c r="S129" t="s">
        <v>429</v>
      </c>
    </row>
    <row r="130" spans="2:19">
      <c r="B130" t="s">
        <v>38</v>
      </c>
      <c r="C130" s="257">
        <v>2</v>
      </c>
      <c r="D130" s="16" t="s">
        <v>31</v>
      </c>
      <c r="S130" t="s">
        <v>430</v>
      </c>
    </row>
    <row r="131" spans="2:19">
      <c r="C131" s="257">
        <v>1</v>
      </c>
      <c r="D131" s="16" t="s">
        <v>44</v>
      </c>
      <c r="E131" t="s">
        <v>137</v>
      </c>
      <c r="R131" s="197">
        <f>15*1.5</f>
        <v>22.5</v>
      </c>
      <c r="S131" t="s">
        <v>430</v>
      </c>
    </row>
    <row r="132" spans="2:19">
      <c r="C132" s="1240">
        <v>0.5</v>
      </c>
      <c r="D132" s="16" t="s">
        <v>1068</v>
      </c>
      <c r="R132" s="259">
        <f>R131/100</f>
        <v>0.22500000000000001</v>
      </c>
      <c r="S132" t="s">
        <v>426</v>
      </c>
    </row>
    <row r="133" spans="2:19">
      <c r="C133" s="1240">
        <v>0.5</v>
      </c>
      <c r="D133" s="16" t="s">
        <v>1283</v>
      </c>
      <c r="R133" s="259"/>
    </row>
    <row r="134" spans="2:19">
      <c r="C134" s="1241">
        <v>0.1</v>
      </c>
      <c r="D134" s="16" t="s">
        <v>1067</v>
      </c>
    </row>
    <row r="135" spans="2:19">
      <c r="C135" s="390">
        <v>0.2</v>
      </c>
      <c r="D135" s="16" t="s">
        <v>1069</v>
      </c>
    </row>
    <row r="136" spans="2:19">
      <c r="C136" s="390">
        <v>0.02</v>
      </c>
      <c r="D136" s="16" t="s">
        <v>1073</v>
      </c>
    </row>
    <row r="137" spans="2:19">
      <c r="C137" s="9"/>
      <c r="D137" s="16"/>
    </row>
    <row r="138" spans="2:19">
      <c r="B138" t="s">
        <v>1889</v>
      </c>
      <c r="C138" s="390">
        <v>10</v>
      </c>
      <c r="D138" s="16" t="s">
        <v>1890</v>
      </c>
    </row>
    <row r="139" spans="2:19">
      <c r="C139" s="9"/>
      <c r="D139" s="16"/>
    </row>
    <row r="140" spans="2:19">
      <c r="C140" s="390"/>
      <c r="D140" s="16" t="s">
        <v>1895</v>
      </c>
    </row>
    <row r="141" spans="2:19">
      <c r="C141" s="9"/>
      <c r="D141" s="16"/>
    </row>
    <row r="142" spans="2:19">
      <c r="C142" s="9"/>
      <c r="D142" s="16"/>
    </row>
    <row r="143" spans="2:19">
      <c r="C143" s="390">
        <v>20</v>
      </c>
      <c r="D143" s="16" t="s">
        <v>1891</v>
      </c>
    </row>
    <row r="144" spans="2:19">
      <c r="C144" s="390">
        <v>10</v>
      </c>
      <c r="D144" s="16" t="s">
        <v>1893</v>
      </c>
    </row>
    <row r="145" spans="2:7">
      <c r="C145" s="9"/>
      <c r="D145" s="16"/>
    </row>
    <row r="146" spans="2:7">
      <c r="C146" s="390">
        <v>20</v>
      </c>
      <c r="D146" s="16" t="s">
        <v>1892</v>
      </c>
    </row>
    <row r="147" spans="2:7">
      <c r="C147" s="390">
        <v>10</v>
      </c>
      <c r="D147" s="16" t="s">
        <v>1894</v>
      </c>
    </row>
    <row r="149" spans="2:7">
      <c r="B149" t="s">
        <v>1228</v>
      </c>
      <c r="C149" s="390">
        <v>48</v>
      </c>
      <c r="D149" t="s">
        <v>1226</v>
      </c>
    </row>
    <row r="150" spans="2:7">
      <c r="C150" s="390">
        <v>10</v>
      </c>
      <c r="D150" t="s">
        <v>1223</v>
      </c>
    </row>
    <row r="151" spans="2:7">
      <c r="C151" s="390">
        <v>1</v>
      </c>
      <c r="D151" t="s">
        <v>1224</v>
      </c>
    </row>
    <row r="153" spans="2:7">
      <c r="B153" t="s">
        <v>1238</v>
      </c>
      <c r="C153" s="1535">
        <v>0.05</v>
      </c>
      <c r="D153" t="s">
        <v>1116</v>
      </c>
    </row>
    <row r="154" spans="2:7">
      <c r="C154" s="1535">
        <v>0.1</v>
      </c>
      <c r="D154" t="s">
        <v>25</v>
      </c>
    </row>
    <row r="155" spans="2:7">
      <c r="C155" s="1535">
        <v>0.15</v>
      </c>
      <c r="D155" t="s">
        <v>680</v>
      </c>
    </row>
    <row r="157" spans="2:7">
      <c r="C157" s="79"/>
      <c r="D157" s="122"/>
    </row>
    <row r="158" spans="2:7">
      <c r="B158" s="122" t="s">
        <v>650</v>
      </c>
      <c r="C158" s="1541">
        <v>3</v>
      </c>
      <c r="D158" s="122" t="s">
        <v>693</v>
      </c>
      <c r="E158" s="79"/>
      <c r="F158" s="79"/>
      <c r="G158" s="79"/>
    </row>
    <row r="159" spans="2:7">
      <c r="B159" s="79"/>
      <c r="C159" s="1542">
        <v>1</v>
      </c>
      <c r="D159" s="122" t="s">
        <v>648</v>
      </c>
      <c r="E159" s="79"/>
      <c r="F159" s="79"/>
      <c r="G159" s="79"/>
    </row>
    <row r="160" spans="2:7">
      <c r="B160" s="79"/>
      <c r="C160" s="1541">
        <v>0.6</v>
      </c>
      <c r="D160" s="122" t="s">
        <v>647</v>
      </c>
      <c r="E160" s="79"/>
      <c r="F160" s="79"/>
      <c r="G160" s="79"/>
    </row>
    <row r="161" spans="2:15">
      <c r="B161" s="79"/>
      <c r="C161" s="1542">
        <v>1</v>
      </c>
      <c r="D161" s="122" t="s">
        <v>649</v>
      </c>
      <c r="E161" s="79"/>
      <c r="F161" s="79"/>
      <c r="G161" s="79"/>
    </row>
    <row r="162" spans="2:15">
      <c r="B162" s="79"/>
      <c r="C162" s="79" t="s">
        <v>1116</v>
      </c>
      <c r="D162" s="122" t="s">
        <v>25</v>
      </c>
      <c r="E162" s="79" t="s">
        <v>680</v>
      </c>
      <c r="F162" s="79"/>
      <c r="G162" s="79"/>
    </row>
    <row r="163" spans="2:15">
      <c r="B163" s="79"/>
      <c r="C163" s="346">
        <v>4</v>
      </c>
      <c r="D163" s="549">
        <v>2</v>
      </c>
      <c r="E163" s="549">
        <v>1</v>
      </c>
      <c r="F163" s="122" t="s">
        <v>694</v>
      </c>
      <c r="G163" s="79"/>
    </row>
    <row r="164" spans="2:15">
      <c r="B164" s="79"/>
      <c r="C164" s="346">
        <v>4</v>
      </c>
      <c r="D164" s="549">
        <v>2</v>
      </c>
      <c r="E164" s="549">
        <v>1</v>
      </c>
      <c r="F164" s="122" t="s">
        <v>312</v>
      </c>
      <c r="G164" s="79"/>
    </row>
    <row r="165" spans="2:15">
      <c r="B165" s="79"/>
      <c r="C165" s="122">
        <v>0</v>
      </c>
      <c r="D165" s="571">
        <v>0</v>
      </c>
      <c r="E165" s="571">
        <v>0</v>
      </c>
      <c r="F165" s="122" t="s">
        <v>1245</v>
      </c>
      <c r="G165" s="79"/>
    </row>
    <row r="166" spans="2:15">
      <c r="B166" s="79"/>
      <c r="C166" s="346">
        <v>2</v>
      </c>
      <c r="D166" s="549">
        <v>1</v>
      </c>
      <c r="E166" s="549">
        <v>0.5</v>
      </c>
      <c r="F166" s="122" t="s">
        <v>651</v>
      </c>
      <c r="G166" s="79"/>
    </row>
    <row r="167" spans="2:15" s="7" customFormat="1"/>
    <row r="168" spans="2:15" s="9" customFormat="1">
      <c r="B168" s="8" t="s">
        <v>944</v>
      </c>
      <c r="C168" s="9" t="s">
        <v>2280</v>
      </c>
    </row>
    <row r="169" spans="2:15" s="9" customFormat="1">
      <c r="C169" s="976">
        <f>C13</f>
        <v>0.3</v>
      </c>
      <c r="D169" s="976" t="str">
        <f>D13</f>
        <v>Overhead ogranisational costs  (L only)</v>
      </c>
    </row>
    <row r="170" spans="2:15" s="9" customFormat="1">
      <c r="C170" s="976">
        <f t="shared" ref="C170:D171" si="0">C14</f>
        <v>0.1</v>
      </c>
      <c r="D170" s="976" t="str">
        <f t="shared" si="0"/>
        <v>Contingency buffer - This incorporates a contingency amount to account for bad weather, unforeseen circumstances (FIELD only, L+T+C)</v>
      </c>
    </row>
    <row r="171" spans="2:15" s="9" customFormat="1">
      <c r="C171" s="976">
        <f t="shared" si="0"/>
        <v>0.3</v>
      </c>
      <c r="D171" s="976" t="str">
        <f t="shared" si="0"/>
        <v>Uncertainty planning buffer - to account for underestimation of budgeting (this applies to everything)</v>
      </c>
    </row>
    <row r="172" spans="2:15" s="9" customFormat="1" ht="17" thickBot="1">
      <c r="C172" s="976"/>
      <c r="D172" s="976"/>
      <c r="K172" s="1755">
        <f>C169</f>
        <v>0.3</v>
      </c>
      <c r="L172" s="1755">
        <f>C170</f>
        <v>0.1</v>
      </c>
      <c r="M172" s="1755">
        <f>C171</f>
        <v>0.3</v>
      </c>
    </row>
    <row r="173" spans="2:15" ht="16" customHeight="1">
      <c r="J173" s="3389" t="s">
        <v>2268</v>
      </c>
      <c r="K173" s="3745" t="s">
        <v>816</v>
      </c>
      <c r="L173" s="3745" t="s">
        <v>818</v>
      </c>
      <c r="M173" s="3745" t="s">
        <v>817</v>
      </c>
      <c r="N173" s="3338" t="s">
        <v>909</v>
      </c>
      <c r="O173" s="3389"/>
    </row>
    <row r="174" spans="2:15" ht="17" thickBot="1">
      <c r="C174" s="781">
        <f>C176*C177</f>
        <v>179.20000000000002</v>
      </c>
      <c r="D174" s="750" t="s">
        <v>2270</v>
      </c>
      <c r="E174" s="274"/>
      <c r="J174" s="815"/>
      <c r="K174" s="3746"/>
      <c r="L174" s="3746"/>
      <c r="M174" s="3746"/>
      <c r="N174" s="3339"/>
      <c r="O174" s="815" t="s">
        <v>2264</v>
      </c>
    </row>
    <row r="175" spans="2:15">
      <c r="C175" s="197">
        <v>1.6</v>
      </c>
      <c r="D175" t="s">
        <v>2263</v>
      </c>
      <c r="F175" t="s">
        <v>849</v>
      </c>
      <c r="H175" s="3391">
        <f>C175</f>
        <v>1.6</v>
      </c>
      <c r="I175" s="805" t="str">
        <f>D175</f>
        <v>Poison delivery cost $/km</v>
      </c>
      <c r="J175" s="3389" t="s">
        <v>809</v>
      </c>
      <c r="K175" s="3402"/>
      <c r="L175" s="3392">
        <f>$C175*L$172</f>
        <v>0.16000000000000003</v>
      </c>
      <c r="M175" s="3392">
        <f>$C175*M$172</f>
        <v>0.48</v>
      </c>
      <c r="N175" s="3399">
        <f>SUM(K175:M175)</f>
        <v>0.64</v>
      </c>
      <c r="O175" s="3390">
        <f>H175+N175</f>
        <v>2.2400000000000002</v>
      </c>
    </row>
    <row r="176" spans="2:15" s="2953" customFormat="1">
      <c r="C176" s="259">
        <f>O175</f>
        <v>2.2400000000000002</v>
      </c>
      <c r="D176" s="2953" t="s">
        <v>2265</v>
      </c>
      <c r="H176" s="3394"/>
      <c r="I176" s="79"/>
      <c r="J176" s="815"/>
      <c r="K176" s="543"/>
      <c r="L176" s="2274"/>
      <c r="M176" s="2274"/>
      <c r="N176" s="3390"/>
      <c r="O176" s="3390"/>
    </row>
    <row r="177" spans="2:15">
      <c r="C177">
        <f>$C$90</f>
        <v>80</v>
      </c>
      <c r="D177" t="s">
        <v>1875</v>
      </c>
      <c r="H177" s="3396"/>
      <c r="I177" s="79" t="s">
        <v>2281</v>
      </c>
      <c r="J177" s="815"/>
      <c r="K177" s="79"/>
      <c r="L177" s="79"/>
      <c r="M177" s="79"/>
      <c r="N177" s="815"/>
      <c r="O177" s="815"/>
    </row>
    <row r="178" spans="2:15">
      <c r="H178" s="3396"/>
      <c r="I178" s="79"/>
      <c r="J178" s="815"/>
      <c r="K178" s="79"/>
      <c r="L178" s="79"/>
      <c r="M178" s="79"/>
      <c r="N178" s="815"/>
      <c r="O178" s="815"/>
    </row>
    <row r="179" spans="2:15">
      <c r="C179" s="780">
        <f>C184/7.5</f>
        <v>208.4</v>
      </c>
      <c r="D179" s="750" t="s">
        <v>2271</v>
      </c>
      <c r="E179" s="274"/>
      <c r="H179" s="3396"/>
      <c r="I179" s="79"/>
      <c r="J179" s="815"/>
      <c r="K179" s="79"/>
      <c r="L179" s="79"/>
      <c r="M179" s="79"/>
      <c r="N179" s="815"/>
      <c r="O179" s="815"/>
    </row>
    <row r="180" spans="2:15">
      <c r="B180" s="259">
        <f>C180/7.5</f>
        <v>60</v>
      </c>
      <c r="C180" s="197">
        <f>2*C68</f>
        <v>450</v>
      </c>
      <c r="D180" t="s">
        <v>823</v>
      </c>
      <c r="H180" s="3394">
        <f>C180</f>
        <v>450</v>
      </c>
      <c r="I180" s="79" t="str">
        <f>D180</f>
        <v>2xpersonnel (entry level)</v>
      </c>
      <c r="J180" s="815" t="s">
        <v>808</v>
      </c>
      <c r="K180" s="2274">
        <f>$H180*K$172</f>
        <v>135</v>
      </c>
      <c r="L180" s="2274">
        <f t="shared" ref="L180:M181" si="1">$H180*L$172</f>
        <v>45</v>
      </c>
      <c r="M180" s="2274">
        <f t="shared" si="1"/>
        <v>135</v>
      </c>
      <c r="N180" s="3390">
        <f t="shared" ref="N180:N181" si="2">SUM(K180:M180)</f>
        <v>315</v>
      </c>
      <c r="O180" s="3390">
        <f>H180+N180</f>
        <v>765</v>
      </c>
    </row>
    <row r="181" spans="2:15">
      <c r="B181" s="259">
        <f>C181/7.5</f>
        <v>76</v>
      </c>
      <c r="C181" s="197">
        <f>$C$89</f>
        <v>570</v>
      </c>
      <c r="D181" t="s">
        <v>938</v>
      </c>
      <c r="H181" s="3394">
        <f>C181</f>
        <v>570</v>
      </c>
      <c r="I181" s="79" t="str">
        <f>D181</f>
        <v>cost/day 4x4 Landcruiser trayback -set up for field work (0.95/km)</v>
      </c>
      <c r="J181" s="815" t="s">
        <v>809</v>
      </c>
      <c r="K181" s="3401"/>
      <c r="L181" s="2274">
        <f t="shared" si="1"/>
        <v>57</v>
      </c>
      <c r="M181" s="2274">
        <f t="shared" si="1"/>
        <v>171</v>
      </c>
      <c r="N181" s="3390">
        <f t="shared" si="2"/>
        <v>228</v>
      </c>
      <c r="O181" s="3390">
        <f>H181+N181</f>
        <v>798</v>
      </c>
    </row>
    <row r="182" spans="2:15" s="2953" customFormat="1">
      <c r="C182" s="197">
        <f>O180</f>
        <v>765</v>
      </c>
      <c r="D182" s="2953" t="s">
        <v>2266</v>
      </c>
      <c r="H182" s="3394"/>
      <c r="I182" s="79" t="s">
        <v>927</v>
      </c>
      <c r="J182" s="815"/>
      <c r="K182" s="79"/>
      <c r="L182" s="79"/>
      <c r="M182" s="2274"/>
      <c r="N182" s="3390"/>
      <c r="O182" s="815"/>
    </row>
    <row r="183" spans="2:15" s="2953" customFormat="1">
      <c r="C183" s="197">
        <f>O181</f>
        <v>798</v>
      </c>
      <c r="D183" s="2953" t="s">
        <v>2267</v>
      </c>
      <c r="H183" s="3394"/>
      <c r="I183" s="79"/>
      <c r="J183" s="815"/>
      <c r="K183" s="79"/>
      <c r="L183" s="79"/>
      <c r="M183" s="2274"/>
      <c r="N183" s="3390"/>
      <c r="O183" s="815"/>
    </row>
    <row r="184" spans="2:15">
      <c r="C184" s="197">
        <f>SUM(C182:C183)</f>
        <v>1563</v>
      </c>
      <c r="D184" t="s">
        <v>831</v>
      </c>
      <c r="H184" s="3396"/>
      <c r="I184" s="79"/>
      <c r="J184" s="815"/>
      <c r="K184" s="79"/>
      <c r="L184" s="79"/>
      <c r="M184" s="79"/>
      <c r="N184" s="815"/>
      <c r="O184" s="815"/>
    </row>
    <row r="185" spans="2:15">
      <c r="H185" s="3396"/>
      <c r="I185" s="79"/>
      <c r="J185" s="815"/>
      <c r="K185" s="79"/>
      <c r="L185" s="79"/>
      <c r="M185" s="79"/>
      <c r="N185" s="815"/>
      <c r="O185" s="815"/>
    </row>
    <row r="186" spans="2:15">
      <c r="C186" s="782">
        <f>SUM(C189:C190)</f>
        <v>1241</v>
      </c>
      <c r="D186" s="750" t="s">
        <v>2272</v>
      </c>
      <c r="E186" s="274"/>
      <c r="H186" s="3396"/>
      <c r="I186" s="79"/>
      <c r="J186" s="815"/>
      <c r="K186" s="79"/>
      <c r="L186" s="79"/>
      <c r="M186" s="79"/>
      <c r="N186" s="815"/>
      <c r="O186" s="815"/>
    </row>
    <row r="187" spans="2:15" s="2953" customFormat="1">
      <c r="C187" s="3469">
        <f>$C$67</f>
        <v>30</v>
      </c>
      <c r="D187" s="280" t="s">
        <v>1784</v>
      </c>
      <c r="E187" s="79"/>
      <c r="H187" s="3468">
        <f>$C$67</f>
        <v>30</v>
      </c>
      <c r="I187" s="79" t="s">
        <v>2301</v>
      </c>
      <c r="J187" s="815"/>
      <c r="K187" s="2274">
        <f>$H187*K$172</f>
        <v>9</v>
      </c>
      <c r="L187" s="2274">
        <f t="shared" ref="L187:M187" si="3">$H187*L$172</f>
        <v>3</v>
      </c>
      <c r="M187" s="2274">
        <f t="shared" si="3"/>
        <v>9</v>
      </c>
      <c r="N187" s="3390">
        <f t="shared" ref="N187" si="4">SUM(K187:M187)</f>
        <v>21</v>
      </c>
      <c r="O187" s="3390">
        <f>H187+N187</f>
        <v>51</v>
      </c>
    </row>
    <row r="188" spans="2:15">
      <c r="C188" s="454">
        <f>$C$96</f>
        <v>850</v>
      </c>
      <c r="D188" t="str">
        <f>D96</f>
        <v>Hourly rate for flying (AUD)</v>
      </c>
      <c r="H188" s="3468">
        <f>C188</f>
        <v>850</v>
      </c>
      <c r="I188" s="79" t="str">
        <f>D188</f>
        <v>Hourly rate for flying (AUD)</v>
      </c>
      <c r="J188" s="815" t="s">
        <v>809</v>
      </c>
      <c r="K188" s="3403"/>
      <c r="L188" s="2274">
        <f>$C188*L$172</f>
        <v>85</v>
      </c>
      <c r="M188" s="2274">
        <f>$C188*M$172</f>
        <v>255</v>
      </c>
      <c r="N188" s="3390">
        <f>SUM(K188:M188)</f>
        <v>340</v>
      </c>
      <c r="O188" s="3390">
        <f>H188+N188</f>
        <v>1190</v>
      </c>
    </row>
    <row r="189" spans="2:15" s="2953" customFormat="1">
      <c r="C189" s="454">
        <f>O187</f>
        <v>51</v>
      </c>
      <c r="D189" s="2953" t="s">
        <v>2274</v>
      </c>
      <c r="H189" s="3468"/>
      <c r="I189" s="79"/>
      <c r="J189" s="815"/>
      <c r="K189" s="3403"/>
      <c r="L189" s="2274"/>
      <c r="M189" s="2274"/>
      <c r="N189" s="3390"/>
      <c r="O189" s="3390"/>
    </row>
    <row r="190" spans="2:15">
      <c r="C190" s="259">
        <f>O188</f>
        <v>1190</v>
      </c>
      <c r="D190" s="2953" t="s">
        <v>2269</v>
      </c>
      <c r="H190" s="3396"/>
      <c r="I190" s="79"/>
      <c r="J190" s="815"/>
      <c r="K190" s="79"/>
      <c r="L190" s="79"/>
      <c r="M190" s="79"/>
      <c r="N190" s="815"/>
      <c r="O190" s="3390"/>
    </row>
    <row r="191" spans="2:15">
      <c r="C191">
        <f>$C$97</f>
        <v>250</v>
      </c>
      <c r="D191" t="str">
        <f>D97</f>
        <v>Transit speed (km/h)</v>
      </c>
      <c r="H191" s="3396"/>
      <c r="I191" s="79"/>
      <c r="J191" s="815"/>
      <c r="K191" s="79"/>
      <c r="L191" s="79"/>
      <c r="M191" s="79"/>
      <c r="N191" s="815"/>
      <c r="O191" s="3390"/>
    </row>
    <row r="192" spans="2:15">
      <c r="H192" s="3396"/>
      <c r="I192" s="79" t="s">
        <v>2281</v>
      </c>
      <c r="J192" s="815"/>
      <c r="K192" s="79"/>
      <c r="L192" s="79"/>
      <c r="M192" s="79"/>
      <c r="N192" s="815"/>
      <c r="O192" s="3390"/>
    </row>
    <row r="193" spans="3:15" s="2953" customFormat="1">
      <c r="C193" s="782">
        <f>SUM(C196:C197)</f>
        <v>2151</v>
      </c>
      <c r="D193" s="750" t="s">
        <v>2272</v>
      </c>
      <c r="E193" s="274"/>
      <c r="H193" s="3396"/>
      <c r="I193" s="79"/>
      <c r="J193" s="815"/>
      <c r="K193" s="79"/>
      <c r="L193" s="79"/>
      <c r="M193" s="79"/>
      <c r="N193" s="815"/>
      <c r="O193" s="815"/>
    </row>
    <row r="194" spans="3:15" s="2953" customFormat="1">
      <c r="C194" s="3469">
        <f>$C$67</f>
        <v>30</v>
      </c>
      <c r="D194" s="280" t="str">
        <f>D187</f>
        <v>1xpersonnel (entry level)</v>
      </c>
      <c r="E194" s="79"/>
      <c r="H194" s="3468">
        <f>$C$67</f>
        <v>30</v>
      </c>
      <c r="I194" s="79" t="s">
        <v>2301</v>
      </c>
      <c r="J194" s="815"/>
      <c r="K194" s="2274">
        <f>$H194*K$172</f>
        <v>9</v>
      </c>
      <c r="L194" s="2274">
        <f t="shared" ref="L194:M194" si="5">$H194*L$172</f>
        <v>3</v>
      </c>
      <c r="M194" s="2274">
        <f t="shared" si="5"/>
        <v>9</v>
      </c>
      <c r="N194" s="3390">
        <f t="shared" ref="N194" si="6">SUM(K194:M194)</f>
        <v>21</v>
      </c>
      <c r="O194" s="3390">
        <f>H194+N194</f>
        <v>51</v>
      </c>
    </row>
    <row r="195" spans="3:15" s="2953" customFormat="1">
      <c r="C195" s="454">
        <f>$C$95</f>
        <v>1500</v>
      </c>
      <c r="D195" s="2953" t="str">
        <f>D188</f>
        <v>Hourly rate for flying (AUD)</v>
      </c>
      <c r="H195" s="3468">
        <f>C195</f>
        <v>1500</v>
      </c>
      <c r="I195" s="79" t="str">
        <f>D195</f>
        <v>Hourly rate for flying (AUD)</v>
      </c>
      <c r="J195" s="815" t="s">
        <v>809</v>
      </c>
      <c r="K195" s="3403"/>
      <c r="L195" s="2274">
        <f>$C195*L$172</f>
        <v>150</v>
      </c>
      <c r="M195" s="2274">
        <f>$C195*M$172</f>
        <v>450</v>
      </c>
      <c r="N195" s="3390">
        <f>SUM(K195:M195)</f>
        <v>600</v>
      </c>
      <c r="O195" s="3390">
        <f>H195+N195</f>
        <v>2100</v>
      </c>
    </row>
    <row r="196" spans="3:15" s="2953" customFormat="1">
      <c r="C196" s="454">
        <f>O194</f>
        <v>51</v>
      </c>
      <c r="D196" s="2953" t="str">
        <f t="shared" ref="D196:D198" si="7">D189</f>
        <v>1xpersonnel (entry level) (with multipliers)</v>
      </c>
      <c r="H196" s="3468"/>
      <c r="I196" s="79"/>
      <c r="J196" s="815"/>
      <c r="K196" s="3403"/>
      <c r="L196" s="2274"/>
      <c r="M196" s="2274"/>
      <c r="N196" s="3390"/>
      <c r="O196" s="3390"/>
    </row>
    <row r="197" spans="3:15" s="2953" customFormat="1">
      <c r="C197" s="259">
        <f>O195</f>
        <v>2100</v>
      </c>
      <c r="D197" s="2953" t="str">
        <f t="shared" si="7"/>
        <v>Hourly rate for flying (AUD) (with multipliers)</v>
      </c>
      <c r="H197" s="3396"/>
      <c r="I197" s="79"/>
      <c r="J197" s="815"/>
      <c r="K197" s="79"/>
      <c r="L197" s="79"/>
      <c r="M197" s="79"/>
      <c r="N197" s="815"/>
      <c r="O197" s="3390"/>
    </row>
    <row r="198" spans="3:15" s="2953" customFormat="1">
      <c r="C198" s="2953">
        <f>$C$97</f>
        <v>250</v>
      </c>
      <c r="D198" s="2953" t="str">
        <f t="shared" si="7"/>
        <v>Transit speed (km/h)</v>
      </c>
      <c r="H198" s="3396"/>
      <c r="I198" s="79"/>
      <c r="J198" s="815"/>
      <c r="K198" s="79"/>
      <c r="L198" s="79"/>
      <c r="M198" s="79"/>
      <c r="N198" s="815"/>
      <c r="O198" s="3390"/>
    </row>
    <row r="199" spans="3:15" s="2953" customFormat="1">
      <c r="H199" s="3396"/>
      <c r="I199" s="79" t="s">
        <v>2281</v>
      </c>
      <c r="J199" s="815"/>
      <c r="K199" s="79"/>
      <c r="L199" s="79"/>
      <c r="M199" s="79"/>
      <c r="N199" s="815"/>
      <c r="O199" s="3390"/>
    </row>
    <row r="200" spans="3:15">
      <c r="C200" s="780">
        <f>C205</f>
        <v>331</v>
      </c>
      <c r="D200" s="401" t="s">
        <v>1788</v>
      </c>
      <c r="E200" s="274"/>
      <c r="H200" s="3396"/>
      <c r="I200" s="79"/>
      <c r="J200" s="815"/>
      <c r="K200" s="79"/>
      <c r="L200" s="79"/>
      <c r="M200" s="79"/>
      <c r="N200" s="815"/>
      <c r="O200" s="3390"/>
    </row>
    <row r="201" spans="3:15">
      <c r="C201" s="197">
        <f>$C$68</f>
        <v>225</v>
      </c>
      <c r="D201" t="s">
        <v>1784</v>
      </c>
      <c r="H201" s="3396">
        <f>C201</f>
        <v>225</v>
      </c>
      <c r="I201" s="79" t="str">
        <f>D201</f>
        <v>1xpersonnel (entry level)</v>
      </c>
      <c r="J201" s="815" t="s">
        <v>808</v>
      </c>
      <c r="K201" s="2274">
        <f>$C201*K$172</f>
        <v>67.5</v>
      </c>
      <c r="L201" s="2274">
        <f>$C201*L$172</f>
        <v>22.5</v>
      </c>
      <c r="M201" s="2274">
        <f>$C201*M$172</f>
        <v>67.5</v>
      </c>
      <c r="N201" s="3390">
        <f>SUM(K201:M201)</f>
        <v>157.5</v>
      </c>
      <c r="O201" s="3390">
        <f>H201+N201</f>
        <v>382.5</v>
      </c>
    </row>
    <row r="202" spans="3:15" ht="17" thickBot="1">
      <c r="C202" s="543">
        <f>C209</f>
        <v>200</v>
      </c>
      <c r="D202" s="79" t="s">
        <v>1563</v>
      </c>
      <c r="H202" s="3397">
        <f>C202</f>
        <v>200</v>
      </c>
      <c r="I202" s="574" t="str">
        <f>D202</f>
        <v>Water Cart cost per hour (9-16000L truck)</v>
      </c>
      <c r="J202" s="1073" t="s">
        <v>809</v>
      </c>
      <c r="K202" s="3404"/>
      <c r="L202" s="3398">
        <f>$C202*L$172</f>
        <v>20</v>
      </c>
      <c r="M202" s="3398">
        <f>$C202*M$172</f>
        <v>60</v>
      </c>
      <c r="N202" s="3400">
        <f>SUM(K202:M202)</f>
        <v>80</v>
      </c>
      <c r="O202" s="3400">
        <f>H202+N202</f>
        <v>280</v>
      </c>
    </row>
    <row r="203" spans="3:15" s="2953" customFormat="1">
      <c r="C203" s="259">
        <f>O201</f>
        <v>382.5</v>
      </c>
      <c r="D203" s="2953" t="s">
        <v>2274</v>
      </c>
      <c r="H203" s="3405"/>
      <c r="I203" s="805"/>
      <c r="J203" s="3389"/>
      <c r="K203" s="3406"/>
      <c r="L203" s="3392"/>
      <c r="M203" s="3392"/>
      <c r="N203" s="3399"/>
      <c r="O203" s="3393"/>
    </row>
    <row r="204" spans="3:15" s="2953" customFormat="1">
      <c r="C204" s="259">
        <f>O202</f>
        <v>280</v>
      </c>
      <c r="D204" s="79" t="s">
        <v>2275</v>
      </c>
      <c r="H204" s="3396"/>
      <c r="I204" s="79"/>
      <c r="J204" s="815"/>
      <c r="K204" s="543"/>
      <c r="L204" s="2274"/>
      <c r="M204" s="2274"/>
      <c r="N204" s="3390"/>
      <c r="O204" s="3395"/>
    </row>
    <row r="205" spans="3:15">
      <c r="C205" s="197">
        <f>C203/7.5+C204</f>
        <v>331</v>
      </c>
      <c r="D205" t="s">
        <v>2273</v>
      </c>
      <c r="H205" s="3396"/>
      <c r="I205" s="79"/>
      <c r="J205" s="815"/>
      <c r="K205" s="79"/>
      <c r="L205" s="79"/>
      <c r="M205" s="79"/>
      <c r="N205" s="815"/>
      <c r="O205" s="573"/>
    </row>
    <row r="206" spans="3:15" s="2953" customFormat="1">
      <c r="C206" s="197"/>
      <c r="H206" s="3396"/>
      <c r="I206" s="79"/>
      <c r="J206" s="815"/>
      <c r="K206" s="79"/>
      <c r="L206" s="79"/>
      <c r="M206" s="79"/>
      <c r="N206" s="815"/>
      <c r="O206" s="573"/>
    </row>
    <row r="207" spans="3:15" s="2953" customFormat="1">
      <c r="C207" s="978" t="s">
        <v>1570</v>
      </c>
      <c r="D207" s="66"/>
      <c r="E207" s="2138"/>
      <c r="F207" s="1119"/>
      <c r="H207" s="3396"/>
      <c r="I207" s="79"/>
      <c r="J207" s="815"/>
      <c r="K207" s="79"/>
      <c r="L207" s="79"/>
      <c r="M207" s="79"/>
      <c r="N207" s="815"/>
      <c r="O207" s="573"/>
    </row>
    <row r="208" spans="3:15" s="2953" customFormat="1">
      <c r="C208" s="1740">
        <v>1</v>
      </c>
      <c r="D208" s="66" t="s">
        <v>1571</v>
      </c>
      <c r="E208" s="2138"/>
      <c r="F208" s="1119"/>
      <c r="H208" s="3396"/>
      <c r="I208" s="79"/>
      <c r="J208" s="815"/>
      <c r="K208" s="79"/>
      <c r="L208" s="79"/>
      <c r="M208" s="79"/>
      <c r="N208" s="815"/>
      <c r="O208" s="573"/>
    </row>
    <row r="209" spans="3:15" s="2953" customFormat="1">
      <c r="C209" s="538">
        <v>200</v>
      </c>
      <c r="D209" s="79" t="s">
        <v>1563</v>
      </c>
      <c r="H209" s="3396"/>
      <c r="I209" s="79"/>
      <c r="J209" s="815"/>
      <c r="K209" s="79"/>
      <c r="L209" s="79"/>
      <c r="M209" s="79"/>
      <c r="N209" s="815"/>
      <c r="O209" s="573"/>
    </row>
    <row r="210" spans="3:15" s="2953" customFormat="1">
      <c r="C210" s="346">
        <v>2</v>
      </c>
      <c r="D210" s="79" t="s">
        <v>1565</v>
      </c>
      <c r="H210" s="3396"/>
      <c r="I210" s="79"/>
      <c r="J210" s="815"/>
      <c r="K210" s="79"/>
      <c r="L210" s="79"/>
      <c r="M210" s="79"/>
      <c r="N210" s="815"/>
      <c r="O210" s="573"/>
    </row>
    <row r="211" spans="3:15" s="2953" customFormat="1">
      <c r="C211" s="538">
        <v>300</v>
      </c>
      <c r="D211" s="79" t="s">
        <v>1678</v>
      </c>
      <c r="H211" s="3396"/>
      <c r="I211" s="79"/>
      <c r="J211" s="815"/>
      <c r="K211" s="79"/>
      <c r="L211" s="79"/>
      <c r="M211" s="79"/>
      <c r="N211" s="815"/>
      <c r="O211" s="573"/>
    </row>
    <row r="212" spans="3:15" s="2953" customFormat="1">
      <c r="C212" s="2143" t="s">
        <v>1577</v>
      </c>
      <c r="D212" s="2277" t="s">
        <v>1566</v>
      </c>
      <c r="H212" s="3396"/>
      <c r="I212" s="79">
        <f>60*7.5</f>
        <v>450</v>
      </c>
      <c r="J212" s="815"/>
      <c r="K212" s="79"/>
      <c r="L212" s="79"/>
      <c r="M212" s="79"/>
      <c r="N212" s="815"/>
      <c r="O212" s="573"/>
    </row>
    <row r="213" spans="3:15" s="2953" customFormat="1">
      <c r="C213" s="543"/>
      <c r="D213" s="79"/>
      <c r="H213" s="3396"/>
      <c r="I213" s="79"/>
      <c r="J213" s="815"/>
      <c r="K213" s="79"/>
      <c r="L213" s="79"/>
      <c r="M213" s="79"/>
      <c r="N213" s="815"/>
      <c r="O213" s="573"/>
    </row>
    <row r="214" spans="3:15" s="2953" customFormat="1">
      <c r="C214" s="79">
        <f>178*1.1</f>
        <v>195.8</v>
      </c>
      <c r="D214" s="66" t="s">
        <v>1559</v>
      </c>
      <c r="H214" s="3396"/>
      <c r="I214" s="79"/>
      <c r="J214" s="815"/>
      <c r="K214" s="79"/>
      <c r="L214" s="79"/>
      <c r="M214" s="79"/>
      <c r="N214" s="815"/>
      <c r="O214" s="573"/>
    </row>
    <row r="215" spans="3:15" s="2953" customFormat="1">
      <c r="C215" s="79"/>
      <c r="D215" s="79" t="s">
        <v>1560</v>
      </c>
      <c r="H215" s="3396"/>
      <c r="I215" s="79"/>
      <c r="J215" s="815"/>
      <c r="K215" s="79"/>
      <c r="L215" s="79"/>
      <c r="M215" s="79"/>
      <c r="N215" s="815"/>
      <c r="O215" s="573"/>
    </row>
    <row r="216" spans="3:15" s="2953" customFormat="1">
      <c r="C216" s="79"/>
      <c r="D216" s="79" t="s">
        <v>1561</v>
      </c>
      <c r="H216" s="3396"/>
      <c r="I216" s="79"/>
      <c r="J216" s="815"/>
      <c r="K216" s="79"/>
      <c r="L216" s="79"/>
      <c r="M216" s="79"/>
      <c r="N216" s="815"/>
      <c r="O216" s="573"/>
    </row>
    <row r="217" spans="3:15" s="2953" customFormat="1">
      <c r="C217" s="79"/>
      <c r="D217" s="473" t="s">
        <v>1562</v>
      </c>
      <c r="H217" s="3396"/>
      <c r="I217" s="79"/>
      <c r="J217" s="815"/>
      <c r="K217" s="79"/>
      <c r="L217" s="79"/>
      <c r="M217" s="79"/>
      <c r="N217" s="815"/>
      <c r="O217" s="573"/>
    </row>
    <row r="218" spans="3:15" s="2953" customFormat="1">
      <c r="C218" s="543"/>
      <c r="D218" s="79"/>
      <c r="H218" s="3396"/>
      <c r="I218" s="79"/>
      <c r="J218" s="815"/>
      <c r="K218" s="79"/>
      <c r="L218" s="79"/>
      <c r="M218" s="79"/>
      <c r="N218" s="815"/>
      <c r="O218" s="573"/>
    </row>
    <row r="219" spans="3:15">
      <c r="C219" s="543"/>
      <c r="D219" s="79"/>
      <c r="H219" s="3396"/>
      <c r="I219" s="79"/>
      <c r="J219" s="815"/>
      <c r="K219" s="79"/>
      <c r="L219" s="79"/>
      <c r="M219" s="79"/>
      <c r="N219" s="815"/>
      <c r="O219" s="573"/>
    </row>
    <row r="220" spans="3:15">
      <c r="C220" s="780">
        <f>C225</f>
        <v>107</v>
      </c>
      <c r="D220" s="401" t="s">
        <v>1790</v>
      </c>
      <c r="E220" s="274"/>
      <c r="H220" s="3396"/>
      <c r="I220" s="79"/>
      <c r="J220" s="815"/>
      <c r="K220" s="79"/>
      <c r="L220" s="79"/>
      <c r="M220" s="79"/>
      <c r="N220" s="815"/>
      <c r="O220" s="573"/>
    </row>
    <row r="221" spans="3:15">
      <c r="C221" s="197">
        <f>$C$68</f>
        <v>225</v>
      </c>
      <c r="D221" t="s">
        <v>1787</v>
      </c>
      <c r="H221" s="3396">
        <f>C221</f>
        <v>225</v>
      </c>
      <c r="I221" s="79" t="str">
        <f>D221</f>
        <v>1xpersonnel (entry level) driver</v>
      </c>
      <c r="J221" s="815" t="s">
        <v>808</v>
      </c>
      <c r="K221" s="2274">
        <f>$H221*K$172</f>
        <v>67.5</v>
      </c>
      <c r="L221" s="2274">
        <f t="shared" ref="L221:M222" si="8">$H221*L$172</f>
        <v>22.5</v>
      </c>
      <c r="M221" s="2274">
        <f t="shared" si="8"/>
        <v>67.5</v>
      </c>
      <c r="N221" s="3390">
        <f>SUM(K221:M221)</f>
        <v>157.5</v>
      </c>
      <c r="O221" s="573">
        <f t="shared" ref="O221:O222" si="9">H221+N221</f>
        <v>382.5</v>
      </c>
    </row>
    <row r="222" spans="3:15" ht="17" thickBot="1">
      <c r="C222" s="538">
        <v>300</v>
      </c>
      <c r="D222" s="79" t="s">
        <v>1789</v>
      </c>
      <c r="H222" s="3397">
        <f>C222</f>
        <v>300</v>
      </c>
      <c r="I222" s="574" t="str">
        <f>D222</f>
        <v>Semi trailer service to deliver tractor per day</v>
      </c>
      <c r="J222" s="1073" t="s">
        <v>809</v>
      </c>
      <c r="K222" s="3404"/>
      <c r="L222" s="3398">
        <f t="shared" si="8"/>
        <v>30</v>
      </c>
      <c r="M222" s="3398">
        <f t="shared" si="8"/>
        <v>90</v>
      </c>
      <c r="N222" s="3400">
        <f>SUM(K222:M222)</f>
        <v>120</v>
      </c>
      <c r="O222" s="575">
        <f t="shared" si="9"/>
        <v>420</v>
      </c>
    </row>
    <row r="223" spans="3:15" s="2953" customFormat="1">
      <c r="C223" s="543">
        <f>O221</f>
        <v>382.5</v>
      </c>
      <c r="D223" s="2953" t="s">
        <v>2276</v>
      </c>
      <c r="H223" s="79"/>
      <c r="I223" s="79"/>
      <c r="J223" s="79"/>
      <c r="K223" s="543"/>
      <c r="L223" s="2274"/>
      <c r="M223" s="2274"/>
      <c r="N223" s="2274"/>
      <c r="O223" s="79"/>
    </row>
    <row r="224" spans="3:15" s="2953" customFormat="1">
      <c r="C224" s="543">
        <f>O222</f>
        <v>420</v>
      </c>
      <c r="D224" s="79" t="s">
        <v>2277</v>
      </c>
      <c r="H224" s="79"/>
      <c r="I224" s="79"/>
      <c r="J224" s="79"/>
      <c r="K224" s="543"/>
      <c r="L224" s="2274"/>
      <c r="M224" s="2274"/>
      <c r="N224" s="2274"/>
      <c r="O224" s="79"/>
    </row>
    <row r="225" spans="2:5">
      <c r="C225" s="197">
        <f>SUM(C223+C224)/7.5</f>
        <v>107</v>
      </c>
      <c r="D225" t="s">
        <v>1786</v>
      </c>
    </row>
    <row r="226" spans="2:5">
      <c r="B226" s="930"/>
      <c r="D226" s="595"/>
      <c r="E226" s="595"/>
    </row>
    <row r="227" spans="2:5">
      <c r="C227" s="596"/>
      <c r="D227" s="596"/>
      <c r="E227" s="596"/>
    </row>
    <row r="228" spans="2:5">
      <c r="C228" s="597"/>
      <c r="D228" s="597"/>
      <c r="E228" s="597"/>
    </row>
    <row r="229" spans="2:5">
      <c r="C229" s="597"/>
      <c r="D229" s="597"/>
      <c r="E229" s="597"/>
    </row>
    <row r="230" spans="2:5">
      <c r="C230" s="378"/>
      <c r="D230" s="378"/>
      <c r="E230" s="378"/>
    </row>
    <row r="231" spans="2:5">
      <c r="C231" s="598"/>
      <c r="D231" s="598"/>
      <c r="E231" s="598"/>
    </row>
    <row r="232" spans="2:5">
      <c r="C232" s="599"/>
      <c r="D232" s="599"/>
      <c r="E232" s="599"/>
    </row>
    <row r="233" spans="2:5">
      <c r="C233" s="576"/>
      <c r="D233" s="576"/>
      <c r="E233" s="576"/>
    </row>
    <row r="234" spans="2:5">
      <c r="C234" s="598"/>
      <c r="D234" s="598"/>
      <c r="E234" s="598"/>
    </row>
    <row r="235" spans="2:5">
      <c r="C235" s="597"/>
      <c r="D235" s="597"/>
      <c r="E235" s="597"/>
    </row>
    <row r="236" spans="2:5">
      <c r="C236" s="597"/>
      <c r="D236" s="597"/>
      <c r="E236" s="597"/>
    </row>
    <row r="237" spans="2:5">
      <c r="C237" s="600"/>
      <c r="D237" s="600"/>
      <c r="E237" s="600"/>
    </row>
    <row r="238" spans="2:5">
      <c r="C238" s="378"/>
      <c r="D238" s="378"/>
      <c r="E238" s="378"/>
    </row>
    <row r="239" spans="2:5">
      <c r="C239" s="598"/>
      <c r="D239" s="598"/>
      <c r="E239" s="598"/>
    </row>
    <row r="240" spans="2:5">
      <c r="C240" s="597"/>
      <c r="D240" s="597"/>
      <c r="E240" s="597"/>
    </row>
    <row r="241" spans="2:5">
      <c r="C241" s="597"/>
      <c r="D241" s="597"/>
      <c r="E241" s="597"/>
    </row>
    <row r="242" spans="2:5">
      <c r="C242" s="600"/>
      <c r="D242" s="600"/>
      <c r="E242" s="600"/>
    </row>
    <row r="243" spans="2:5">
      <c r="C243" s="597"/>
      <c r="D243" s="597"/>
      <c r="E243" s="597"/>
    </row>
    <row r="244" spans="2:5">
      <c r="B244" s="378"/>
      <c r="C244" s="600"/>
      <c r="D244" s="600"/>
      <c r="E244" s="600"/>
    </row>
    <row r="245" spans="2:5">
      <c r="C245" s="601"/>
      <c r="D245" s="601"/>
      <c r="E245" s="601"/>
    </row>
    <row r="246" spans="2:5">
      <c r="C246" s="601"/>
      <c r="D246" s="601"/>
      <c r="E246" s="601"/>
    </row>
    <row r="247" spans="2:5">
      <c r="C247" s="601"/>
      <c r="D247" s="601"/>
      <c r="E247" s="601"/>
    </row>
    <row r="248" spans="2:5">
      <c r="C248" s="600"/>
      <c r="D248" s="600"/>
      <c r="E248" s="600"/>
    </row>
    <row r="249" spans="2:5">
      <c r="C249" s="602"/>
      <c r="D249" s="602"/>
      <c r="E249" s="602"/>
    </row>
    <row r="250" spans="2:5">
      <c r="C250" s="602"/>
      <c r="D250" s="602"/>
      <c r="E250" s="602"/>
    </row>
    <row r="251" spans="2:5">
      <c r="C251" s="603"/>
      <c r="D251" s="603"/>
      <c r="E251" s="603"/>
    </row>
    <row r="252" spans="2:5">
      <c r="C252" s="603"/>
      <c r="D252" s="603"/>
      <c r="E252" s="603"/>
    </row>
    <row r="253" spans="2:5">
      <c r="C253" s="602"/>
      <c r="D253" s="602"/>
      <c r="E253" s="602"/>
    </row>
  </sheetData>
  <mergeCells count="3">
    <mergeCell ref="K173:K174"/>
    <mergeCell ref="L173:L174"/>
    <mergeCell ref="M173:M174"/>
  </mergeCells>
  <hyperlinks>
    <hyperlink ref="J67" r:id="rId1" xr:uid="{00000000-0004-0000-0500-000000000000}"/>
    <hyperlink ref="J60" r:id="rId2" xr:uid="{00000000-0004-0000-0500-000001000000}"/>
    <hyperlink ref="D217" r:id="rId3" xr:uid="{00000000-0004-0000-0500-000002000000}"/>
  </hyperlinks>
  <pageMargins left="0.7" right="0.7" top="0.75" bottom="0.75" header="0.3" footer="0.3"/>
  <pageSetup paperSize="9" orientation="portrait" horizontalDpi="0" verticalDpi="0"/>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AP894"/>
  <sheetViews>
    <sheetView showGridLines="0" zoomScaleNormal="100" workbookViewId="0">
      <selection activeCell="H36" sqref="H36"/>
    </sheetView>
  </sheetViews>
  <sheetFormatPr baseColWidth="10" defaultColWidth="11" defaultRowHeight="16"/>
  <cols>
    <col min="1" max="1" width="2.6640625" customWidth="1"/>
    <col min="2" max="2" width="4.83203125" customWidth="1"/>
    <col min="3" max="3" width="32.6640625" customWidth="1"/>
    <col min="4" max="4" width="43.33203125" style="24" customWidth="1"/>
    <col min="5" max="5" width="14.6640625" style="16" customWidth="1"/>
    <col min="6" max="6" width="19.5" customWidth="1"/>
    <col min="7" max="7" width="19" style="359" customWidth="1"/>
    <col min="8" max="8" width="19.33203125" customWidth="1"/>
    <col min="9" max="9" width="17.5" customWidth="1"/>
    <col min="10" max="10" width="18.83203125" customWidth="1"/>
    <col min="11" max="11" width="31.5" customWidth="1"/>
    <col min="12" max="12" width="12.1640625" customWidth="1"/>
    <col min="13" max="13" width="10.6640625" customWidth="1"/>
    <col min="14" max="14" width="14.33203125" customWidth="1"/>
    <col min="15" max="15" width="13.6640625" customWidth="1"/>
    <col min="16" max="16" width="15.1640625" customWidth="1"/>
    <col min="17" max="19" width="15.1640625" style="2791" customWidth="1"/>
    <col min="20" max="20" width="2.6640625" customWidth="1"/>
    <col min="21" max="21" width="11.1640625" customWidth="1"/>
    <col min="22" max="24" width="11.6640625" customWidth="1"/>
    <col min="25" max="26" width="18.83203125" customWidth="1"/>
    <col min="27" max="27" width="19.33203125" customWidth="1"/>
    <col min="28" max="29" width="16.6640625" customWidth="1"/>
    <col min="30" max="30" width="21" customWidth="1"/>
    <col min="31" max="31" width="23.5" customWidth="1"/>
    <col min="32" max="32" width="37.5" customWidth="1"/>
    <col min="34" max="34" width="14.33203125" customWidth="1"/>
    <col min="35" max="35" width="12.6640625" bestFit="1" customWidth="1"/>
    <col min="42" max="42" width="12.5" bestFit="1" customWidth="1"/>
  </cols>
  <sheetData>
    <row r="1" spans="2:35">
      <c r="B1" s="3" t="s">
        <v>19</v>
      </c>
      <c r="C1" s="24"/>
      <c r="D1" s="6" t="s">
        <v>1446</v>
      </c>
      <c r="E1"/>
      <c r="F1" s="359"/>
      <c r="G1"/>
      <c r="H1" s="359"/>
    </row>
    <row r="2" spans="2:35">
      <c r="C2" s="24" t="s">
        <v>10</v>
      </c>
      <c r="D2" s="160" t="s">
        <v>1447</v>
      </c>
      <c r="E2"/>
      <c r="F2" s="359"/>
      <c r="G2"/>
      <c r="H2" s="359"/>
    </row>
    <row r="3" spans="2:35">
      <c r="C3" s="24" t="s">
        <v>0</v>
      </c>
      <c r="D3" s="239" t="s">
        <v>1445</v>
      </c>
      <c r="E3"/>
      <c r="F3" s="359"/>
      <c r="G3"/>
      <c r="H3" s="359"/>
    </row>
    <row r="4" spans="2:35">
      <c r="B4" s="3"/>
      <c r="C4" s="24" t="s">
        <v>1</v>
      </c>
      <c r="D4" s="239" t="s">
        <v>1448</v>
      </c>
      <c r="E4"/>
      <c r="F4" s="359"/>
      <c r="G4"/>
      <c r="H4" s="359"/>
    </row>
    <row r="5" spans="2:35">
      <c r="B5" s="3" t="s">
        <v>20</v>
      </c>
      <c r="C5" s="24"/>
      <c r="D5" s="16"/>
      <c r="E5"/>
      <c r="F5" s="359"/>
      <c r="H5" s="1"/>
      <c r="I5" s="359"/>
    </row>
    <row r="6" spans="2:35">
      <c r="C6" s="24" t="s">
        <v>2</v>
      </c>
      <c r="D6" s="239" t="s">
        <v>1449</v>
      </c>
      <c r="E6"/>
      <c r="F6" s="359"/>
      <c r="H6" s="6"/>
      <c r="I6" s="359"/>
      <c r="T6" s="15"/>
    </row>
    <row r="7" spans="2:35">
      <c r="C7" s="24" t="s">
        <v>22</v>
      </c>
      <c r="D7" s="239" t="s">
        <v>1723</v>
      </c>
      <c r="E7"/>
      <c r="F7" s="359"/>
      <c r="H7" s="6"/>
      <c r="I7" s="359"/>
    </row>
    <row r="8" spans="2:35">
      <c r="C8" s="24" t="s">
        <v>7</v>
      </c>
      <c r="D8" s="238" t="s">
        <v>1450</v>
      </c>
      <c r="E8"/>
      <c r="F8" s="359"/>
      <c r="H8" s="6"/>
      <c r="I8" s="359"/>
      <c r="W8" s="15"/>
    </row>
    <row r="9" spans="2:35">
      <c r="C9" s="24" t="s">
        <v>8</v>
      </c>
      <c r="D9" s="238" t="s">
        <v>1451</v>
      </c>
      <c r="E9"/>
      <c r="F9" s="359"/>
      <c r="H9" s="6"/>
      <c r="I9" s="359"/>
      <c r="U9" s="5"/>
    </row>
    <row r="10" spans="2:35" ht="19">
      <c r="C10" s="24"/>
      <c r="D10" s="16"/>
      <c r="F10" s="359"/>
      <c r="I10" s="359"/>
      <c r="AC10" s="1804"/>
      <c r="AF10" s="1805"/>
    </row>
    <row r="11" spans="2:35" ht="19">
      <c r="B11" s="904" t="s">
        <v>140</v>
      </c>
      <c r="C11" s="113"/>
      <c r="D11" s="16"/>
      <c r="F11" s="359"/>
      <c r="I11" s="359"/>
      <c r="AA11" s="2953" t="s">
        <v>2305</v>
      </c>
      <c r="AB11" s="2953"/>
      <c r="AC11" s="1804"/>
      <c r="AE11" t="s">
        <v>2302</v>
      </c>
      <c r="AF11" s="1805"/>
    </row>
    <row r="12" spans="2:35" ht="19">
      <c r="C12" s="31" t="s">
        <v>960</v>
      </c>
      <c r="D12" s="16"/>
      <c r="F12" s="359"/>
      <c r="I12" s="359"/>
      <c r="AA12" s="204">
        <f ca="1">SUMIF(T23:T104,"L",AA23:AA104)-AA13-AA15+AA16</f>
        <v>322.86020647165651</v>
      </c>
      <c r="AB12" s="2953" t="s">
        <v>2303</v>
      </c>
      <c r="AC12" s="1804"/>
      <c r="AD12" s="2953">
        <f>'GIS - Ecological Fire Regimes'!J52*'Ecological Fire Regimes'!AA43</f>
        <v>64.354723614513688</v>
      </c>
      <c r="AE12" t="s">
        <v>2604</v>
      </c>
      <c r="AF12" s="1805"/>
    </row>
    <row r="13" spans="2:35" ht="19">
      <c r="C13" s="955" t="s">
        <v>961</v>
      </c>
      <c r="D13" s="16"/>
      <c r="F13" s="359"/>
      <c r="I13" s="359"/>
      <c r="AA13" s="454">
        <v>0</v>
      </c>
      <c r="AB13" s="2953" t="s">
        <v>2304</v>
      </c>
      <c r="AC13" s="1804"/>
      <c r="AD13" s="259">
        <f ca="1">AA47*'GIS - Ecological Fire Regimes'!N54</f>
        <v>0.12073285714285706</v>
      </c>
      <c r="AE13" t="s">
        <v>2603</v>
      </c>
      <c r="AF13" s="1805"/>
    </row>
    <row r="14" spans="2:35" ht="16" customHeight="1">
      <c r="C14" t="s">
        <v>976</v>
      </c>
      <c r="D14" s="16"/>
      <c r="F14" s="359"/>
      <c r="I14" s="359"/>
      <c r="L14" s="5" t="s">
        <v>399</v>
      </c>
      <c r="M14" s="5"/>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SUM(AA31,AA35,AA39,AA43,AA47,AA51,AA59,AA63,AA67)</f>
        <v>1029.2976956360651</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f ca="1">SUM(AD12:AD13)</f>
        <v>64.475456471656543</v>
      </c>
      <c r="AB16" s="814" t="s">
        <v>2602</v>
      </c>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1801"/>
      <c r="C21" s="3767" t="s">
        <v>185</v>
      </c>
      <c r="D21" s="3769" t="s">
        <v>13</v>
      </c>
      <c r="E21" s="3769" t="s">
        <v>30</v>
      </c>
      <c r="F21" s="3904" t="s">
        <v>2335</v>
      </c>
      <c r="G21" s="3905"/>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1806"/>
      <c r="AG21" s="1806"/>
      <c r="AH21" s="909" t="s">
        <v>66</v>
      </c>
      <c r="AI21" s="895"/>
      <c r="AJ21" s="3748" t="s">
        <v>190</v>
      </c>
      <c r="AK21" s="3748" t="s">
        <v>181</v>
      </c>
    </row>
    <row r="22" spans="1:37" s="893" customFormat="1" ht="38" customHeight="1">
      <c r="B22" s="1802"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1806"/>
      <c r="AG22" s="893" t="s">
        <v>732</v>
      </c>
      <c r="AH22" s="1803" t="s">
        <v>17</v>
      </c>
      <c r="AI22" s="898" t="s">
        <v>18</v>
      </c>
      <c r="AJ22" s="3749"/>
      <c r="AK22" s="3749"/>
    </row>
    <row r="23" spans="1:37" ht="19" customHeight="1">
      <c r="B23" s="260">
        <v>1</v>
      </c>
      <c r="C23" s="3844" t="s">
        <v>201</v>
      </c>
      <c r="D23" s="3847" t="s">
        <v>1452</v>
      </c>
      <c r="E23" s="12" t="s">
        <v>3</v>
      </c>
      <c r="F23" s="1172"/>
      <c r="G23" s="3554">
        <f>$E$109</f>
        <v>30</v>
      </c>
      <c r="H23" s="188">
        <f>F109</f>
        <v>10125</v>
      </c>
      <c r="I23" s="921" t="s">
        <v>407</v>
      </c>
      <c r="J23" s="377" t="str">
        <f>IF(K23=1,"Annual","Done every "&amp;K23&amp;" years")</f>
        <v>Annual</v>
      </c>
      <c r="K23" s="11">
        <f>$D$96</f>
        <v>1</v>
      </c>
      <c r="L23" s="1043">
        <f>$L$16/K23</f>
        <v>80</v>
      </c>
      <c r="M23" s="171">
        <f>$L$16/L23</f>
        <v>1</v>
      </c>
      <c r="N23" s="240">
        <f>$H23*(1-(1+$L$15)^-(L23*M23))/((1+$L$15)^M23-1)*(1+((1+$L$15)^M23-1))</f>
        <v>251829.07614717213</v>
      </c>
      <c r="O23" s="191">
        <f>N23/(1+$L$15)*($L$15)/(1-(1+$L$15)^-$L$16)</f>
        <v>10124.999999999991</v>
      </c>
      <c r="P23" s="195">
        <f>SUM(O23:O26)</f>
        <v>10124.999999999991</v>
      </c>
      <c r="Q23" s="3016"/>
      <c r="R23" s="3016"/>
      <c r="S23" s="3016"/>
      <c r="T23" s="1031" t="s">
        <v>808</v>
      </c>
      <c r="U23" s="583">
        <f>O23/$U$16</f>
        <v>101.24999999999991</v>
      </c>
      <c r="V23" s="583">
        <f>IF($T23="L",SUM($U23:U23)*V$16,"")</f>
        <v>30.374999999999972</v>
      </c>
      <c r="W23" s="1474"/>
      <c r="X23" s="583">
        <f>IF($U23="","",SUM($U23:W23)*X$16)</f>
        <v>39.487499999999962</v>
      </c>
      <c r="Y23" s="240">
        <f t="shared" ref="Y23:Y29" si="0">IF($U23="","",SUM(V23:X23))</f>
        <v>69.862499999999926</v>
      </c>
      <c r="Z23" s="240">
        <f>SUM(V23:X26)</f>
        <v>69.862499999999926</v>
      </c>
      <c r="AA23" s="191">
        <f t="shared" ref="AA23:AA29" si="1">IF($U23="","",SUM(U23,Y23))</f>
        <v>171.11249999999984</v>
      </c>
      <c r="AB23" s="195">
        <f>SUM(AA23:AA26)</f>
        <v>171.11249999999984</v>
      </c>
      <c r="AC23" s="889">
        <f t="shared" ref="AC23:AC29" ca="1" si="2">IF(AA23="","",AA23/OFFSET($AB$23,AF23,0))</f>
        <v>1</v>
      </c>
      <c r="AD23" s="941"/>
      <c r="AE23" s="1063"/>
      <c r="AF23" s="587">
        <v>0</v>
      </c>
      <c r="AG23" s="816">
        <f ca="1">SUM(AC23:AC26)-1</f>
        <v>0</v>
      </c>
      <c r="AH23" s="13">
        <f>$AH$16/K23</f>
        <v>5</v>
      </c>
      <c r="AI23" s="13">
        <f>$AH$16/AH23</f>
        <v>1</v>
      </c>
      <c r="AJ23" s="14">
        <f>$H23*(1-(1+$L$15)^-(AH23*AI23))/((1+$L$15)^AI23-1)*(1+((1+$L$15)^AI23-1))</f>
        <v>46877.689145600671</v>
      </c>
      <c r="AK23" s="191">
        <f>SUM(AJ23:AJ26)</f>
        <v>46877.689145600671</v>
      </c>
    </row>
    <row r="24" spans="1:37" ht="19" customHeight="1">
      <c r="B24" s="261"/>
      <c r="C24" s="3845"/>
      <c r="D24" s="3848"/>
      <c r="E24" s="12" t="s">
        <v>308</v>
      </c>
      <c r="F24" s="1172"/>
      <c r="G24" s="3554"/>
      <c r="H24" s="188"/>
      <c r="I24" s="921"/>
      <c r="J24" s="377"/>
      <c r="K24" s="11"/>
      <c r="L24" s="1044"/>
      <c r="M24" s="944"/>
      <c r="N24" s="241"/>
      <c r="O24" s="342"/>
      <c r="P24" s="193"/>
      <c r="Q24" s="3017">
        <v>0</v>
      </c>
      <c r="R24" s="3017">
        <v>0</v>
      </c>
      <c r="S24" s="3017">
        <v>0</v>
      </c>
      <c r="T24" s="1032" t="s">
        <v>809</v>
      </c>
      <c r="U24" s="585"/>
      <c r="V24" s="585" t="str">
        <f>IF($T24="L",SUM($U24:U24)*V$16,"")</f>
        <v/>
      </c>
      <c r="W24" s="1475"/>
      <c r="X24" s="585" t="str">
        <f>IF($U24="","",SUM($U24:W24)*X$16)</f>
        <v/>
      </c>
      <c r="Y24" s="242" t="str">
        <f t="shared" si="0"/>
        <v/>
      </c>
      <c r="Z24" s="242"/>
      <c r="AA24" s="342" t="str">
        <f t="shared" si="1"/>
        <v/>
      </c>
      <c r="AB24" s="193"/>
      <c r="AC24" s="890" t="str">
        <f t="shared" ca="1" si="2"/>
        <v/>
      </c>
      <c r="AD24" s="582"/>
      <c r="AE24" s="573"/>
      <c r="AF24" s="587">
        <f>AF23</f>
        <v>0</v>
      </c>
      <c r="AG24" s="587"/>
      <c r="AH24" s="13"/>
      <c r="AI24" s="13"/>
      <c r="AJ24" s="189"/>
      <c r="AK24" s="342"/>
    </row>
    <row r="25" spans="1:37" ht="16" customHeight="1">
      <c r="B25" s="261"/>
      <c r="C25" s="3845"/>
      <c r="D25" s="3848"/>
      <c r="E25" s="12" t="s">
        <v>4</v>
      </c>
      <c r="F25" s="1172"/>
      <c r="G25" s="3554"/>
      <c r="H25" s="188"/>
      <c r="I25" s="921"/>
      <c r="J25" s="377"/>
      <c r="K25" s="11"/>
      <c r="L25" s="1044"/>
      <c r="M25" s="944"/>
      <c r="N25" s="241"/>
      <c r="O25" s="342"/>
      <c r="P25" s="193"/>
      <c r="Q25" s="3017"/>
      <c r="R25" s="3017"/>
      <c r="S25" s="3017"/>
      <c r="T25" s="1032" t="s">
        <v>810</v>
      </c>
      <c r="U25" s="585"/>
      <c r="V25" s="585" t="str">
        <f>IF($T25="L",SUM($U25:U25)*V$16,"")</f>
        <v/>
      </c>
      <c r="W25" s="1475"/>
      <c r="X25" s="585" t="str">
        <f>IF($U25="","",SUM($U25:W25)*X$16)</f>
        <v/>
      </c>
      <c r="Y25" s="242" t="str">
        <f t="shared" si="0"/>
        <v/>
      </c>
      <c r="Z25" s="242"/>
      <c r="AA25" s="342" t="str">
        <f t="shared" si="1"/>
        <v/>
      </c>
      <c r="AB25" s="193"/>
      <c r="AC25" s="890" t="str">
        <f t="shared" ca="1" si="2"/>
        <v/>
      </c>
      <c r="AD25" s="582"/>
      <c r="AE25" s="573"/>
      <c r="AF25" s="587">
        <f>AF24</f>
        <v>0</v>
      </c>
      <c r="AG25" s="587"/>
      <c r="AH25" s="13"/>
      <c r="AI25" s="13"/>
      <c r="AJ25" s="189"/>
      <c r="AK25" s="342"/>
    </row>
    <row r="26" spans="1:37" ht="19" customHeight="1">
      <c r="B26" s="923"/>
      <c r="C26" s="3846"/>
      <c r="D26" s="3849"/>
      <c r="E26" s="12" t="s">
        <v>21</v>
      </c>
      <c r="F26" s="1172"/>
      <c r="G26" s="3554"/>
      <c r="H26" s="188"/>
      <c r="I26" s="921"/>
      <c r="J26" s="377"/>
      <c r="K26" s="11"/>
      <c r="L26" s="1045"/>
      <c r="M26" s="945"/>
      <c r="N26" s="243"/>
      <c r="O26" s="343"/>
      <c r="P26" s="196"/>
      <c r="Q26" s="3018"/>
      <c r="R26" s="3018"/>
      <c r="S26" s="3018"/>
      <c r="T26" s="1033" t="s">
        <v>811</v>
      </c>
      <c r="U26" s="891"/>
      <c r="V26" s="891" t="str">
        <f>IF($T26="L",SUM($U26:U26)*V$16,"")</f>
        <v/>
      </c>
      <c r="W26" s="1478"/>
      <c r="X26" s="891" t="str">
        <f>IF($U26="","",SUM($U26:W26)*X$16)</f>
        <v/>
      </c>
      <c r="Y26" s="244" t="str">
        <f t="shared" si="0"/>
        <v/>
      </c>
      <c r="Z26" s="244"/>
      <c r="AA26" s="343" t="str">
        <f t="shared" si="1"/>
        <v/>
      </c>
      <c r="AB26" s="196"/>
      <c r="AC26" s="892" t="str">
        <f t="shared" ca="1" si="2"/>
        <v/>
      </c>
      <c r="AD26" s="942"/>
      <c r="AE26" s="1065"/>
      <c r="AF26" s="587">
        <f>AF25</f>
        <v>0</v>
      </c>
      <c r="AG26" s="587"/>
      <c r="AH26" s="13"/>
      <c r="AI26" s="13"/>
      <c r="AJ26" s="189"/>
      <c r="AK26" s="342"/>
    </row>
    <row r="27" spans="1:37" s="9" customFormat="1" ht="18" customHeight="1">
      <c r="B27" s="986">
        <v>2</v>
      </c>
      <c r="C27" s="1818" t="s">
        <v>202</v>
      </c>
      <c r="D27" s="3929" t="s">
        <v>1453</v>
      </c>
      <c r="E27" s="987" t="s">
        <v>3</v>
      </c>
      <c r="F27" s="1173"/>
      <c r="G27" s="3551">
        <f>$D$150</f>
        <v>0.20512820512820515</v>
      </c>
      <c r="H27" s="988">
        <f>H199</f>
        <v>46.15384615384616</v>
      </c>
      <c r="I27" s="989" t="s">
        <v>475</v>
      </c>
      <c r="J27" s="990" t="str">
        <f>IF(K27=1,"Annual","Done every "&amp;K27&amp;" years")</f>
        <v>Annual</v>
      </c>
      <c r="K27" s="991">
        <f>J199</f>
        <v>1</v>
      </c>
      <c r="L27" s="992">
        <f t="shared" ref="L27:M29" si="3">$L$16/K27</f>
        <v>80</v>
      </c>
      <c r="M27" s="991">
        <f t="shared" si="3"/>
        <v>1</v>
      </c>
      <c r="N27" s="988">
        <f>$H27*(1-(1+$L$15)^-(L27*M27))/((1+$L$15)^M27-1)*(1+((1+$L$15)^M27-1))</f>
        <v>1147.9388086480785</v>
      </c>
      <c r="O27" s="847">
        <f>N27/(1+$L$15)*($L$15)/(1-(1+$L$15)^-$L$16)</f>
        <v>46.153846153846125</v>
      </c>
      <c r="P27" s="382">
        <f>SUM(O27:O30)</f>
        <v>1353.8461538461524</v>
      </c>
      <c r="Q27" s="3019"/>
      <c r="R27" s="3019"/>
      <c r="S27" s="3019"/>
      <c r="T27" s="1076" t="s">
        <v>808</v>
      </c>
      <c r="U27" s="919">
        <f>O27/$U$16</f>
        <v>0.46153846153846123</v>
      </c>
      <c r="V27" s="993">
        <f>IF($T27="L",SUM($U27:U27)*V$16,"")</f>
        <v>0.13846153846153836</v>
      </c>
      <c r="W27" s="993">
        <f>IF($U27="","",IF(OR($T27="L",$T27="T",$T27="C"),SUM($U27:V27)*W$16,""))</f>
        <v>5.999999999999997E-2</v>
      </c>
      <c r="X27" s="993">
        <f>IF($U27="","",SUM($U27:W27)*X$16)</f>
        <v>0.19799999999999987</v>
      </c>
      <c r="Y27" s="384">
        <f t="shared" si="0"/>
        <v>0.3964615384615382</v>
      </c>
      <c r="Z27" s="382">
        <f>SUM(V27:X30)</f>
        <v>6.0195384615384553</v>
      </c>
      <c r="AA27" s="920">
        <f t="shared" si="1"/>
        <v>0.85799999999999943</v>
      </c>
      <c r="AB27" s="382">
        <f>SUM(AA27:AA30)</f>
        <v>19.557999999999982</v>
      </c>
      <c r="AC27" s="994">
        <f t="shared" ca="1" si="2"/>
        <v>4.3869516310461203E-2</v>
      </c>
      <c r="AD27" s="589"/>
      <c r="AE27" s="1075"/>
      <c r="AF27" s="587">
        <f>AF19+4</f>
        <v>4</v>
      </c>
      <c r="AG27" s="995">
        <f ca="1">SUM(AC27:AC30)-1</f>
        <v>0</v>
      </c>
      <c r="AH27" s="380">
        <f>$AH$16/K27</f>
        <v>5</v>
      </c>
      <c r="AI27" s="380">
        <f>$AH$16/AH27</f>
        <v>1</v>
      </c>
      <c r="AJ27" s="150">
        <f>$H27*(1-(1+$L$15)^-(AH27*AI27))/((1+$L$15)^AI27-1)*(1+((1+$L$15)^AI27-1))</f>
        <v>213.68747188877799</v>
      </c>
      <c r="AK27" s="1165">
        <f>SUM(AJ27:AJ30)</f>
        <v>6268.1658420708209</v>
      </c>
    </row>
    <row r="28" spans="1:37" s="9" customFormat="1" ht="19" customHeight="1">
      <c r="B28" s="986"/>
      <c r="C28" s="2126" t="s">
        <v>1140</v>
      </c>
      <c r="D28" s="3930"/>
      <c r="E28" s="148" t="s">
        <v>308</v>
      </c>
      <c r="F28" s="1174">
        <f>$D$186</f>
        <v>1</v>
      </c>
      <c r="G28" s="3169">
        <f>$D$185</f>
        <v>0.20512820512820515</v>
      </c>
      <c r="H28" s="988">
        <f>H200</f>
        <v>1307.6923076923076</v>
      </c>
      <c r="I28" s="996" t="s">
        <v>797</v>
      </c>
      <c r="J28" s="376" t="str">
        <f>IF(K28=1,"Annual","Done every "&amp;K28&amp;" years")</f>
        <v>Annual</v>
      </c>
      <c r="K28" s="272">
        <f>J200</f>
        <v>1</v>
      </c>
      <c r="L28" s="379">
        <f t="shared" si="3"/>
        <v>80</v>
      </c>
      <c r="M28" s="272">
        <f t="shared" si="3"/>
        <v>1</v>
      </c>
      <c r="N28" s="150">
        <f>$H28*(1-(1+$L$15)^-(L28*M28))/((1+$L$15)^M28-1)*(1+((1+$L$15)^M28-1))</f>
        <v>32524.932911695545</v>
      </c>
      <c r="O28" s="915">
        <f>N28/(1+$L$15)*($L$15)/(1-(1+$L$15)^-$L$16)</f>
        <v>1307.6923076923063</v>
      </c>
      <c r="P28" s="382"/>
      <c r="Q28" s="3019">
        <f>1*(1-(1+$L$15)^-(L28*M28))/((1+$L$15)^M28-1)*(1+((1+$L$15)^M28-1))</f>
        <v>24.872007520708362</v>
      </c>
      <c r="R28" s="3019">
        <f>Q28/(1+$L$15)*($L$15)/(1-(1+$L$15)^-$L$16)</f>
        <v>0.99999999999999911</v>
      </c>
      <c r="S28" s="3019">
        <f>F28*R28</f>
        <v>0.99999999999999911</v>
      </c>
      <c r="T28" s="1076" t="s">
        <v>809</v>
      </c>
      <c r="U28" s="588">
        <f>O28/$U$16</f>
        <v>13.076923076923062</v>
      </c>
      <c r="V28" s="993" t="str">
        <f>IF($T28="L",SUM($U28:U28)*V$16,"")</f>
        <v/>
      </c>
      <c r="W28" s="993">
        <f>IF($U28="","",IF(OR($T28="L",$T28="T",$T28="C"),SUM($U28:V28)*W$16,""))</f>
        <v>1.3076923076923064</v>
      </c>
      <c r="X28" s="993">
        <f>IF($U28="","",SUM($U28:W28)*X$16)</f>
        <v>4.3153846153846107</v>
      </c>
      <c r="Y28" s="250">
        <f t="shared" si="0"/>
        <v>5.6230769230769173</v>
      </c>
      <c r="Z28" s="382"/>
      <c r="AA28" s="920">
        <f t="shared" si="1"/>
        <v>18.699999999999982</v>
      </c>
      <c r="AB28" s="382"/>
      <c r="AC28" s="918">
        <f t="shared" ca="1" si="2"/>
        <v>0.95613048368953879</v>
      </c>
      <c r="AD28" s="589"/>
      <c r="AE28" s="1075"/>
      <c r="AF28" s="587">
        <f>AF27</f>
        <v>4</v>
      </c>
      <c r="AG28" s="587"/>
      <c r="AH28" s="380">
        <f>$AH$16/K28</f>
        <v>5</v>
      </c>
      <c r="AI28" s="380">
        <f>$AH$16/AH28</f>
        <v>1</v>
      </c>
      <c r="AJ28" s="150">
        <f>$H28*(1-(1+$L$15)^-(AH28*AI28))/((1+$L$15)^AI28-1)*(1+((1+$L$15)^AI28-1))</f>
        <v>6054.4783701820425</v>
      </c>
      <c r="AK28" s="715"/>
    </row>
    <row r="29" spans="1:37" s="9" customFormat="1" ht="19" customHeight="1">
      <c r="B29" s="986"/>
      <c r="C29" s="1818"/>
      <c r="D29" s="3930"/>
      <c r="E29" s="148" t="s">
        <v>4</v>
      </c>
      <c r="F29" s="1174"/>
      <c r="G29" s="3169">
        <f>$D$194</f>
        <v>0</v>
      </c>
      <c r="H29" s="988">
        <f>H201</f>
        <v>0</v>
      </c>
      <c r="I29" s="996" t="s">
        <v>70</v>
      </c>
      <c r="J29" s="376" t="str">
        <f>IF(K29=1,"Annual","Done every "&amp;K29&amp;" years")</f>
        <v>Annual</v>
      </c>
      <c r="K29" s="272">
        <f>J201</f>
        <v>1</v>
      </c>
      <c r="L29" s="379">
        <f t="shared" si="3"/>
        <v>80</v>
      </c>
      <c r="M29" s="272">
        <f t="shared" si="3"/>
        <v>1</v>
      </c>
      <c r="N29" s="150">
        <f>$H29*(1-(1+$L$15)^-(L29*M29))/((1+$L$15)^M29-1)*(1+((1+$L$15)^M29-1))</f>
        <v>0</v>
      </c>
      <c r="O29" s="915">
        <f>N29/(1+$L$15)*($L$15)/(1-(1+$L$15)^-$L$16)</f>
        <v>0</v>
      </c>
      <c r="P29" s="998"/>
      <c r="Q29" s="3019"/>
      <c r="R29" s="3019"/>
      <c r="S29" s="3019"/>
      <c r="T29" s="1076" t="s">
        <v>810</v>
      </c>
      <c r="U29" s="588">
        <f>O29/$U$16</f>
        <v>0</v>
      </c>
      <c r="V29" s="993" t="str">
        <f>IF($T29="L",SUM($U29:U29)*V$16,"")</f>
        <v/>
      </c>
      <c r="W29" s="993">
        <f>IF($U29="","",IF(OR($T29="L",$T29="T",$T29="C"),SUM($U29:V29)*W$16,""))</f>
        <v>0</v>
      </c>
      <c r="X29" s="993">
        <f>IF($U29="","",SUM($U29:W29)*X$16)</f>
        <v>0</v>
      </c>
      <c r="Y29" s="250">
        <f t="shared" si="0"/>
        <v>0</v>
      </c>
      <c r="Z29" s="998"/>
      <c r="AA29" s="999">
        <f t="shared" si="1"/>
        <v>0</v>
      </c>
      <c r="AB29" s="998"/>
      <c r="AC29" s="918">
        <f t="shared" ca="1" si="2"/>
        <v>0</v>
      </c>
      <c r="AD29" s="997"/>
      <c r="AE29" s="1075"/>
      <c r="AF29" s="587">
        <f>AF28</f>
        <v>4</v>
      </c>
      <c r="AG29" s="587"/>
      <c r="AH29" s="380">
        <f>$AH$16/K29</f>
        <v>5</v>
      </c>
      <c r="AI29" s="380">
        <f>$AH$16/AH29</f>
        <v>1</v>
      </c>
      <c r="AJ29" s="150">
        <f>$H29*(1-(1+$L$15)^-(AH29*AI29))/((1+$L$15)^AI29-1)*(1+((1+$L$15)^AI29-1))</f>
        <v>0</v>
      </c>
      <c r="AK29" s="1214"/>
    </row>
    <row r="30" spans="1:37" s="9" customFormat="1" ht="19" customHeight="1">
      <c r="B30" s="986"/>
      <c r="C30" s="1818"/>
      <c r="D30" s="3930"/>
      <c r="E30" s="1163"/>
      <c r="F30" s="1175"/>
      <c r="G30" s="3170"/>
      <c r="H30" s="1165"/>
      <c r="I30" s="1164"/>
      <c r="J30" s="1166"/>
      <c r="K30" s="1167"/>
      <c r="L30" s="1168"/>
      <c r="M30" s="1167"/>
      <c r="N30" s="1165"/>
      <c r="O30" s="1169"/>
      <c r="P30" s="998"/>
      <c r="Q30" s="3019"/>
      <c r="R30" s="3019"/>
      <c r="S30" s="3019"/>
      <c r="T30" s="1076" t="s">
        <v>811</v>
      </c>
      <c r="U30" s="588"/>
      <c r="V30" s="993" t="str">
        <f>IF($T30="L",SUM($U30:U30)*V$16,"")</f>
        <v/>
      </c>
      <c r="W30" s="993" t="str">
        <f>IF($U30="","",IF(OR($T30="L",$T30="T",$T30="C"),SUM($U30:V30)*W$16,""))</f>
        <v/>
      </c>
      <c r="X30" s="993" t="str">
        <f>IF($U30="","",SUM($U30:W30)*X$16)</f>
        <v/>
      </c>
      <c r="Y30" s="250"/>
      <c r="Z30" s="998"/>
      <c r="AA30" s="999"/>
      <c r="AB30" s="998"/>
      <c r="AC30" s="918"/>
      <c r="AD30" s="997"/>
      <c r="AE30" s="1075"/>
      <c r="AF30" s="587">
        <f>AF29</f>
        <v>4</v>
      </c>
      <c r="AG30" s="587"/>
      <c r="AH30" s="380"/>
      <c r="AI30" s="380"/>
      <c r="AJ30" s="150"/>
      <c r="AK30" s="1214"/>
    </row>
    <row r="31" spans="1:37" ht="18" customHeight="1">
      <c r="A31" s="390"/>
      <c r="B31" s="710">
        <f>B27+0.1</f>
        <v>2.1</v>
      </c>
      <c r="C31" s="1807" t="s">
        <v>1005</v>
      </c>
      <c r="D31" s="3850" t="s">
        <v>1454</v>
      </c>
      <c r="E31" s="373" t="s">
        <v>3</v>
      </c>
      <c r="F31" s="1176"/>
      <c r="G31" s="3171">
        <f>$D$268</f>
        <v>6.2541106128550075</v>
      </c>
      <c r="H31" s="370">
        <f>H313</f>
        <v>1407.1748878923768</v>
      </c>
      <c r="I31" s="613" t="s">
        <v>475</v>
      </c>
      <c r="J31" s="375" t="str">
        <f>IF(K31=1,"Annual","Done every "&amp;K31&amp;" years")</f>
        <v>Annual</v>
      </c>
      <c r="K31" s="371">
        <f>L313</f>
        <v>1</v>
      </c>
      <c r="L31" s="386">
        <f t="shared" ref="L31:M33" si="4">$L$16/K31</f>
        <v>80</v>
      </c>
      <c r="M31" s="371">
        <f t="shared" si="4"/>
        <v>1</v>
      </c>
      <c r="N31" s="370">
        <f>$H31*(1-(1+$L$15)^-(L31*M31))/((1+$L$15)^M31-1)*(1+((1+$L$15)^M31-1))</f>
        <v>34999.264394611135</v>
      </c>
      <c r="O31" s="640">
        <f>N31/(1+$L$15)*($L$15)/(1-(1+$L$15)^-$L$16)</f>
        <v>1407.1748878923752</v>
      </c>
      <c r="P31" s="980">
        <f>SUM(O31:O34)</f>
        <v>3558.3856502242124</v>
      </c>
      <c r="Q31" s="3020"/>
      <c r="R31" s="3020"/>
      <c r="S31" s="3020"/>
      <c r="T31" s="1034" t="s">
        <v>808</v>
      </c>
      <c r="U31" s="642">
        <f t="shared" ref="U31:U37" si="5">O31/$U$16</f>
        <v>14.071748878923751</v>
      </c>
      <c r="V31" s="644">
        <f>IF($T31="L",SUM($U31:U31)*V$16,"")</f>
        <v>4.2215246636771253</v>
      </c>
      <c r="W31" s="644">
        <f>IF($U31="","",IF(OR($T31="L",$T31="T",$T31="C"),SUM($U31:V31)*W$16,""))</f>
        <v>1.8293273542600876</v>
      </c>
      <c r="X31" s="644">
        <f>IF($U31="","",SUM($U31:W31)*X$16)</f>
        <v>6.0367802690582888</v>
      </c>
      <c r="Y31" s="388">
        <f>IF($U31="","",SUM(V31:X31))</f>
        <v>12.087632286995502</v>
      </c>
      <c r="Z31" s="392">
        <f>SUM(V31:X34)</f>
        <v>21.337838565022402</v>
      </c>
      <c r="AA31" s="734">
        <f>IF($U31="","",SUM(U31,Y31))</f>
        <v>26.159381165919253</v>
      </c>
      <c r="AB31" s="392">
        <f>SUM(AA31:AA34)</f>
        <v>56.921695067264523</v>
      </c>
      <c r="AC31" s="888">
        <f ca="1">IF(AA31="","",AA31/OFFSET($AB$23,AF31,0))</f>
        <v>0.45956785255615878</v>
      </c>
      <c r="AD31" s="641"/>
      <c r="AE31" s="1066"/>
      <c r="AF31" s="587">
        <f>AF27+4</f>
        <v>8</v>
      </c>
      <c r="AG31" s="816">
        <f ca="1">SUM(AC31:AC34)-1</f>
        <v>0</v>
      </c>
      <c r="AH31" s="387">
        <f>$AH$16/K31</f>
        <v>5</v>
      </c>
      <c r="AI31" s="387">
        <f>$AH$16/AH31</f>
        <v>1</v>
      </c>
      <c r="AJ31" s="370">
        <f>$H31*(1-(1+$L$15)^-(AH31*AI31))/((1+$L$15)^AI31-1)*(1+((1+$L$15)^AI31-1))</f>
        <v>6515.0722931470918</v>
      </c>
      <c r="AK31" s="980">
        <f>SUM(AJ31:AJ34)</f>
        <v>16474.95272803722</v>
      </c>
    </row>
    <row r="32" spans="1:37" ht="19" customHeight="1">
      <c r="A32" s="390"/>
      <c r="B32" s="710"/>
      <c r="C32" s="1808" t="s">
        <v>749</v>
      </c>
      <c r="D32" s="3851"/>
      <c r="E32" s="373" t="s">
        <v>308</v>
      </c>
      <c r="F32" s="1176">
        <f>$D$300</f>
        <v>1</v>
      </c>
      <c r="G32" s="3171">
        <f>$D$299</f>
        <v>3.1270553064275037</v>
      </c>
      <c r="H32" s="882">
        <f>H314</f>
        <v>891.21076233183862</v>
      </c>
      <c r="I32" s="613" t="s">
        <v>797</v>
      </c>
      <c r="J32" s="375" t="str">
        <f>IF(K32=1,"Annual","Done every "&amp;K32&amp;" years")</f>
        <v>Annual</v>
      </c>
      <c r="K32" s="371">
        <f>L314</f>
        <v>1</v>
      </c>
      <c r="L32" s="386">
        <f t="shared" si="4"/>
        <v>80</v>
      </c>
      <c r="M32" s="371">
        <f t="shared" si="4"/>
        <v>1</v>
      </c>
      <c r="N32" s="370">
        <f>$H32*(1-(1+$L$15)^-(L32*M32))/((1+$L$15)^M32-1)*(1+((1+$L$15)^M32-1))</f>
        <v>22166.200783253724</v>
      </c>
      <c r="O32" s="640">
        <f>N32/(1+$L$15)*($L$15)/(1-(1+$L$15)^-$L$16)</f>
        <v>891.21076233183794</v>
      </c>
      <c r="P32" s="981"/>
      <c r="Q32" s="2955">
        <f>1*(1-(1+$L$15)^-(L32*M32))/((1+$L$15)^M32-1)*(1+((1+$L$15)^M32-1))</f>
        <v>24.872007520708362</v>
      </c>
      <c r="R32" s="2955">
        <f>Q32/(1+$L$15)*($L$15)/(1-(1+$L$15)^-$L$16)</f>
        <v>0.99999999999999911</v>
      </c>
      <c r="S32" s="2955">
        <f>F32*R32</f>
        <v>0.99999999999999911</v>
      </c>
      <c r="T32" s="1034" t="s">
        <v>809</v>
      </c>
      <c r="U32" s="639">
        <f t="shared" si="5"/>
        <v>8.9121076233183789</v>
      </c>
      <c r="V32" s="644" t="str">
        <f>IF($T32="L",SUM($U32:U32)*V$16,"")</f>
        <v/>
      </c>
      <c r="W32" s="644">
        <f>IF($U32="","",IF(OR($T32="L",$T32="T",$T32="C"),SUM($U32:V32)*W$16,""))</f>
        <v>0.89121076233183794</v>
      </c>
      <c r="X32" s="644">
        <f>IF($U32="","",SUM($U32:W32)*X$16)</f>
        <v>2.9409955156950649</v>
      </c>
      <c r="Y32" s="394">
        <f>IF($U32="","",SUM(V32:X32))</f>
        <v>3.8322062780269031</v>
      </c>
      <c r="Z32" s="392"/>
      <c r="AA32" s="734">
        <f>IF($U32="","",SUM(U32,Y32))</f>
        <v>12.744313901345283</v>
      </c>
      <c r="AB32" s="392"/>
      <c r="AC32" s="729">
        <f ca="1">IF(AA32="","",AA32/OFFSET($AB$23,AF32,0))</f>
        <v>0.2238920307324877</v>
      </c>
      <c r="AD32" s="641"/>
      <c r="AE32" s="1066"/>
      <c r="AF32" s="587">
        <f>AF31</f>
        <v>8</v>
      </c>
      <c r="AG32" s="587"/>
      <c r="AH32" s="387">
        <f>$AH$16/K32</f>
        <v>5</v>
      </c>
      <c r="AI32" s="387">
        <f>$AH$16/AH32</f>
        <v>1</v>
      </c>
      <c r="AJ32" s="370">
        <f>$H32*(1-(1+$L$15)^-(AH32*AI32))/((1+$L$15)^AI32-1)*(1+((1+$L$15)^AI32-1))</f>
        <v>4126.212452326492</v>
      </c>
      <c r="AK32" s="981"/>
    </row>
    <row r="33" spans="1:37" ht="19" customHeight="1">
      <c r="A33" s="390"/>
      <c r="B33" s="710"/>
      <c r="C33" s="1808"/>
      <c r="D33" s="3851"/>
      <c r="E33" s="373" t="s">
        <v>4</v>
      </c>
      <c r="F33" s="1176"/>
      <c r="G33" s="3171">
        <f>$D$309</f>
        <v>6</v>
      </c>
      <c r="H33" s="882">
        <f>H315</f>
        <v>1260</v>
      </c>
      <c r="I33" s="613" t="s">
        <v>70</v>
      </c>
      <c r="J33" s="375" t="str">
        <f>IF(K33=1,"Annual","Done every "&amp;K33&amp;" years")</f>
        <v>Annual</v>
      </c>
      <c r="K33" s="371">
        <f>L315</f>
        <v>1</v>
      </c>
      <c r="L33" s="386">
        <f t="shared" si="4"/>
        <v>80</v>
      </c>
      <c r="M33" s="371">
        <f t="shared" si="4"/>
        <v>1</v>
      </c>
      <c r="N33" s="370">
        <f>$H33*(1-(1+$L$15)^-(L33*M33))/((1+$L$15)^M33-1)*(1+((1+$L$15)^M33-1))</f>
        <v>31338.729476092536</v>
      </c>
      <c r="O33" s="640">
        <f>N33/(1+$L$15)*($L$15)/(1-(1+$L$15)^-$L$16)</f>
        <v>1259.9999999999991</v>
      </c>
      <c r="P33" s="982"/>
      <c r="Q33" s="2955"/>
      <c r="R33" s="2955"/>
      <c r="S33" s="2955"/>
      <c r="T33" s="1034" t="s">
        <v>810</v>
      </c>
      <c r="U33" s="639">
        <f t="shared" si="5"/>
        <v>12.599999999999991</v>
      </c>
      <c r="V33" s="644" t="str">
        <f>IF($T33="L",SUM($U33:U33)*V$16,"")</f>
        <v/>
      </c>
      <c r="W33" s="644">
        <f>IF($U33="","",IF(OR($T33="L",$T33="T",$T33="C"),SUM($U33:V33)*W$16,""))</f>
        <v>1.2599999999999991</v>
      </c>
      <c r="X33" s="644">
        <f>IF($U33="","",SUM($U33:W33)*X$16)</f>
        <v>4.1579999999999968</v>
      </c>
      <c r="Y33" s="394">
        <f>IF($U33="","",SUM(V33:X33))</f>
        <v>5.4179999999999957</v>
      </c>
      <c r="Z33" s="393"/>
      <c r="AA33" s="735">
        <f>IF($U33="","",SUM(U33,Y33))</f>
        <v>18.017999999999986</v>
      </c>
      <c r="AB33" s="393"/>
      <c r="AC33" s="729">
        <f ca="1">IF(AA33="","",AA33/OFFSET($AB$23,AF33,0))</f>
        <v>0.31654011671135351</v>
      </c>
      <c r="AD33" s="643"/>
      <c r="AE33" s="1066"/>
      <c r="AF33" s="587">
        <f>AF32</f>
        <v>8</v>
      </c>
      <c r="AG33" s="587"/>
      <c r="AH33" s="387">
        <f>$AH$16/K33</f>
        <v>5</v>
      </c>
      <c r="AI33" s="387">
        <f>$AH$16/AH33</f>
        <v>1</v>
      </c>
      <c r="AJ33" s="370">
        <f>$H33*(1-(1+$L$15)^-(AH33*AI33))/((1+$L$15)^AI33-1)*(1+((1+$L$15)^AI33-1))</f>
        <v>5833.6679825636384</v>
      </c>
      <c r="AK33" s="982"/>
    </row>
    <row r="34" spans="1:37" ht="19" customHeight="1">
      <c r="A34" s="390"/>
      <c r="B34" s="710"/>
      <c r="C34" s="1808"/>
      <c r="D34" s="3851"/>
      <c r="E34" s="373" t="s">
        <v>21</v>
      </c>
      <c r="F34" s="1176"/>
      <c r="G34" s="3171"/>
      <c r="H34" s="370"/>
      <c r="I34" s="1086"/>
      <c r="J34" s="375"/>
      <c r="K34" s="371"/>
      <c r="L34" s="386"/>
      <c r="M34" s="371"/>
      <c r="N34" s="370"/>
      <c r="O34" s="640"/>
      <c r="P34" s="982"/>
      <c r="Q34" s="2955"/>
      <c r="R34" s="2955"/>
      <c r="S34" s="2955"/>
      <c r="T34" s="1034" t="s">
        <v>811</v>
      </c>
      <c r="U34" s="639">
        <f t="shared" si="5"/>
        <v>0</v>
      </c>
      <c r="V34" s="644" t="str">
        <f>IF($T34="L",SUM($U34:U34)*V$16,"")</f>
        <v/>
      </c>
      <c r="W34" s="644" t="str">
        <f>IF($U34="","",IF(OR($T34="L",$T34="T",$T34="C"),SUM($U34:V34)*W$16,""))</f>
        <v/>
      </c>
      <c r="X34" s="644">
        <f>IF($U34="","",SUM($U34:W34)*X$16)</f>
        <v>0</v>
      </c>
      <c r="Y34" s="394"/>
      <c r="Z34" s="393"/>
      <c r="AA34" s="735"/>
      <c r="AB34" s="393"/>
      <c r="AC34" s="729"/>
      <c r="AD34" s="643"/>
      <c r="AE34" s="1066"/>
      <c r="AF34" s="587">
        <f>AF33</f>
        <v>8</v>
      </c>
      <c r="AG34" s="587"/>
      <c r="AH34" s="387"/>
      <c r="AI34" s="387"/>
      <c r="AJ34" s="370"/>
      <c r="AK34" s="982"/>
    </row>
    <row r="35" spans="1:37" ht="18" customHeight="1">
      <c r="A35" s="676"/>
      <c r="B35" s="711">
        <f>B31+0.1</f>
        <v>2.2000000000000002</v>
      </c>
      <c r="C35" s="1813" t="s">
        <v>202</v>
      </c>
      <c r="D35" s="3852" t="str">
        <f>D31</f>
        <v xml:space="preserve">This involves surveying a representative area (30% of management area) for general observations of fuel load, dryness, fire breaks etc. </v>
      </c>
      <c r="E35" s="685" t="s">
        <v>3</v>
      </c>
      <c r="F35" s="1177"/>
      <c r="G35" s="3172">
        <f>$E$268</f>
        <v>7.449925261584454</v>
      </c>
      <c r="H35" s="665">
        <f>I313</f>
        <v>1676.2331838565024</v>
      </c>
      <c r="I35" s="818" t="str">
        <f>I31</f>
        <v xml:space="preserve">Labour to get tracking done, cameras, sandpads and collars. </v>
      </c>
      <c r="J35" s="666" t="str">
        <f>IF(K35=1,"Annual","Done every "&amp;K35&amp;" years")</f>
        <v>Annual</v>
      </c>
      <c r="K35" s="667">
        <f>L313</f>
        <v>1</v>
      </c>
      <c r="L35" s="671">
        <f t="shared" ref="L35:M37" si="6">$L$16/K35</f>
        <v>80</v>
      </c>
      <c r="M35" s="880">
        <f t="shared" si="6"/>
        <v>1</v>
      </c>
      <c r="N35" s="883">
        <f>$H35*(1-(1+$L$15)^-(L35*M35))/((1+$L$15)^M35-1)*(1+((1+$L$15)^M35-1))</f>
        <v>41691.284355339849</v>
      </c>
      <c r="O35" s="673">
        <f>N35/(1+$L$15)*($L$15)/(1-(1+$L$15)^-$L$16)</f>
        <v>1676.233183856501</v>
      </c>
      <c r="P35" s="983">
        <f>SUM(O35:O38)</f>
        <v>3997.847533632284</v>
      </c>
      <c r="Q35" s="3021"/>
      <c r="R35" s="3021"/>
      <c r="S35" s="3021"/>
      <c r="T35" s="1035" t="s">
        <v>808</v>
      </c>
      <c r="U35" s="675">
        <f t="shared" si="5"/>
        <v>16.762331838565011</v>
      </c>
      <c r="V35" s="675">
        <f>IF($T35="L",SUM($U35:U35)*V$16,"")</f>
        <v>5.0286995515695034</v>
      </c>
      <c r="W35" s="675">
        <f>IF($U35="","",IF(OR($T35="L",$T35="T",$T35="C"),SUM($U35:V35)*W$16,""))</f>
        <v>2.1791031390134514</v>
      </c>
      <c r="X35" s="675">
        <f>IF($U35="","",SUM($U35:W35)*X$16)</f>
        <v>7.1910403587443898</v>
      </c>
      <c r="Y35" s="670">
        <f>IF($U35="","",SUM(V35:X35))</f>
        <v>14.398843049327345</v>
      </c>
      <c r="Z35" s="716">
        <f>SUM(V35:X38)</f>
        <v>24.381784753363213</v>
      </c>
      <c r="AA35" s="736">
        <f>IF($U35="","",SUM(U35,Y35))</f>
        <v>31.161174887892358</v>
      </c>
      <c r="AB35" s="716">
        <f>SUM(AA35:AA38)</f>
        <v>64.360260089686051</v>
      </c>
      <c r="AC35" s="730">
        <f ca="1">IF(AA35="","",AA35/OFFSET($AB$23,AF35,0))</f>
        <v>0.48416794532012841</v>
      </c>
      <c r="AD35" s="674"/>
      <c r="AE35" s="1067"/>
      <c r="AF35" s="587">
        <f>AF31+4</f>
        <v>12</v>
      </c>
      <c r="AG35" s="816">
        <f ca="1">SUM(AC35:AC38)-1</f>
        <v>0</v>
      </c>
      <c r="AH35" s="669">
        <f>$AH$16/K35</f>
        <v>5</v>
      </c>
      <c r="AI35" s="669">
        <f>$AH$16/AH35</f>
        <v>1</v>
      </c>
      <c r="AJ35" s="665">
        <f>$H35*(1-(1+$L$15)^-(AH35*AI35))/((1+$L$15)^AI35-1)*(1+((1+$L$15)^AI35-1))</f>
        <v>7760.7840126780848</v>
      </c>
      <c r="AK35" s="983">
        <f>SUM(AJ35:AJ38)</f>
        <v>18509.615203271176</v>
      </c>
    </row>
    <row r="36" spans="1:37" ht="18" customHeight="1">
      <c r="A36" s="676"/>
      <c r="B36" s="712"/>
      <c r="C36" s="1814" t="s">
        <v>779</v>
      </c>
      <c r="D36" s="3853"/>
      <c r="E36" s="685" t="s">
        <v>308</v>
      </c>
      <c r="F36" s="1177">
        <f>$E$300</f>
        <v>1</v>
      </c>
      <c r="G36" s="3172">
        <f>$E$299</f>
        <v>3.724962630792227</v>
      </c>
      <c r="H36" s="665">
        <f>I314</f>
        <v>1061.6143497757848</v>
      </c>
      <c r="I36" s="818" t="str">
        <f>I32</f>
        <v>Transport at site</v>
      </c>
      <c r="J36" s="666" t="str">
        <f>IF(K36=1,"Annual","Done every "&amp;K36&amp;" years")</f>
        <v>Annual</v>
      </c>
      <c r="K36" s="667">
        <f>L314</f>
        <v>1</v>
      </c>
      <c r="L36" s="668">
        <f t="shared" si="6"/>
        <v>80</v>
      </c>
      <c r="M36" s="667">
        <f t="shared" si="6"/>
        <v>1</v>
      </c>
      <c r="N36" s="665">
        <f>$H36*(1-(1+$L$15)^-(L36*M36))/((1+$L$15)^M36-1)*(1+((1+$L$15)^M36-1))</f>
        <v>26404.480091715235</v>
      </c>
      <c r="O36" s="680">
        <f>N36/(1+$L$15)*($L$15)/(1-(1+$L$15)^-$L$16)</f>
        <v>1061.6143497757839</v>
      </c>
      <c r="P36" s="984"/>
      <c r="Q36" s="3022">
        <f>1*(1-(1+$L$15)^-(L36*M36))/((1+$L$15)^M36-1)*(1+((1+$L$15)^M36-1))</f>
        <v>24.872007520708362</v>
      </c>
      <c r="R36" s="3022">
        <f>Q36/(1+$L$15)*($L$15)/(1-(1+$L$15)^-$L$16)</f>
        <v>0.99999999999999911</v>
      </c>
      <c r="S36" s="3022">
        <f>F36*R36</f>
        <v>0.99999999999999911</v>
      </c>
      <c r="T36" s="1036" t="s">
        <v>809</v>
      </c>
      <c r="U36" s="675">
        <f t="shared" si="5"/>
        <v>10.616143497757839</v>
      </c>
      <c r="V36" s="682" t="str">
        <f>IF($T36="L",SUM($U36:U36)*V$16,"")</f>
        <v/>
      </c>
      <c r="W36" s="682">
        <f>IF($U36="","",IF(OR($T36="L",$T36="T",$T36="C"),SUM($U36:V36)*W$16,""))</f>
        <v>1.0616143497757839</v>
      </c>
      <c r="X36" s="682">
        <f>IF($U36="","",SUM($U36:W36)*X$16)</f>
        <v>3.5033273542600871</v>
      </c>
      <c r="Y36" s="679">
        <f>IF($U36="","",SUM(V36:X36))</f>
        <v>4.5649417040358706</v>
      </c>
      <c r="Z36" s="720"/>
      <c r="AA36" s="737">
        <f>IF($U36="","",SUM(U36,Y36))</f>
        <v>15.18108520179371</v>
      </c>
      <c r="AB36" s="720"/>
      <c r="AC36" s="730">
        <f ca="1">IF(AA36="","",AA36/OFFSET($AB$23,AF36,0))</f>
        <v>0.2358766913098061</v>
      </c>
      <c r="AD36" s="681"/>
      <c r="AE36" s="1067"/>
      <c r="AF36" s="587">
        <f>AF35</f>
        <v>12</v>
      </c>
      <c r="AG36" s="587"/>
      <c r="AH36" s="669">
        <f>$AH$16/K36</f>
        <v>5</v>
      </c>
      <c r="AI36" s="669">
        <f>$AH$16/AH36</f>
        <v>1</v>
      </c>
      <c r="AJ36" s="665">
        <f>$H36*(1-(1+$L$15)^-(AH36*AI36))/((1+$L$15)^AI36-1)*(1+((1+$L$15)^AI36-1))</f>
        <v>4915.163208029453</v>
      </c>
      <c r="AK36" s="984"/>
    </row>
    <row r="37" spans="1:37" ht="18" customHeight="1">
      <c r="A37" s="676"/>
      <c r="B37" s="712"/>
      <c r="C37" s="1814"/>
      <c r="D37" s="3853"/>
      <c r="E37" s="685" t="s">
        <v>4</v>
      </c>
      <c r="F37" s="1177"/>
      <c r="G37" s="3172">
        <f>$E$309</f>
        <v>6</v>
      </c>
      <c r="H37" s="665">
        <f>I315</f>
        <v>1260</v>
      </c>
      <c r="I37" s="818" t="str">
        <f>I33</f>
        <v>Accomodation</v>
      </c>
      <c r="J37" s="666" t="str">
        <f>IF(K37=1,"Annual","Done every "&amp;K37&amp;" years")</f>
        <v>Annual</v>
      </c>
      <c r="K37" s="667">
        <f>L315</f>
        <v>1</v>
      </c>
      <c r="L37" s="668">
        <f t="shared" si="6"/>
        <v>80</v>
      </c>
      <c r="M37" s="667">
        <f t="shared" si="6"/>
        <v>1</v>
      </c>
      <c r="N37" s="665">
        <f>$H37*(1-(1+$L$15)^-(L37*M37))/((1+$L$15)^M37-1)*(1+((1+$L$15)^M37-1))</f>
        <v>31338.729476092536</v>
      </c>
      <c r="O37" s="680">
        <f>N37/(1+$L$15)*($L$15)/(1-(1+$L$15)^-$L$16)</f>
        <v>1259.9999999999991</v>
      </c>
      <c r="P37" s="985"/>
      <c r="Q37" s="3022"/>
      <c r="R37" s="3022"/>
      <c r="S37" s="3022"/>
      <c r="T37" s="1036" t="s">
        <v>810</v>
      </c>
      <c r="U37" s="675">
        <f t="shared" si="5"/>
        <v>12.599999999999991</v>
      </c>
      <c r="V37" s="684" t="str">
        <f>IF($T37="L",SUM($U37:U37)*V$16,"")</f>
        <v/>
      </c>
      <c r="W37" s="684">
        <f>IF($U37="","",IF(OR($T37="L",$T37="T",$T37="C"),SUM($U37:V37)*W$16,""))</f>
        <v>1.2599999999999991</v>
      </c>
      <c r="X37" s="684">
        <f>IF($U37="","",SUM($U37:W37)*X$16)</f>
        <v>4.1579999999999968</v>
      </c>
      <c r="Y37" s="1024">
        <f>IF($U37="","",SUM(V37:X37))</f>
        <v>5.4179999999999957</v>
      </c>
      <c r="Z37" s="721"/>
      <c r="AA37" s="738">
        <f>IF($U37="","",SUM(U37,Y37))</f>
        <v>18.017999999999986</v>
      </c>
      <c r="AB37" s="721"/>
      <c r="AC37" s="730">
        <f ca="1">IF(AA37="","",AA37/OFFSET($AB$23,AF37,0))</f>
        <v>0.27995536337006555</v>
      </c>
      <c r="AD37" s="683"/>
      <c r="AE37" s="1067"/>
      <c r="AF37" s="587">
        <f>AF36</f>
        <v>12</v>
      </c>
      <c r="AG37" s="587"/>
      <c r="AH37" s="669">
        <f>$AH$16/K37</f>
        <v>5</v>
      </c>
      <c r="AI37" s="669">
        <f>$AH$16/AH37</f>
        <v>1</v>
      </c>
      <c r="AJ37" s="665">
        <f>$H37*(1-(1+$L$15)^-(AH37*AI37))/((1+$L$15)^AI37-1)*(1+((1+$L$15)^AI37-1))</f>
        <v>5833.6679825636384</v>
      </c>
      <c r="AK37" s="985"/>
    </row>
    <row r="38" spans="1:37" ht="18" customHeight="1">
      <c r="A38" s="676"/>
      <c r="B38" s="712"/>
      <c r="C38" s="1814"/>
      <c r="D38" s="3854"/>
      <c r="E38" s="1082" t="s">
        <v>21</v>
      </c>
      <c r="F38" s="1177"/>
      <c r="G38" s="3172"/>
      <c r="H38" s="665"/>
      <c r="I38" s="818"/>
      <c r="J38" s="666"/>
      <c r="K38" s="667"/>
      <c r="L38" s="668"/>
      <c r="M38" s="667"/>
      <c r="N38" s="665"/>
      <c r="O38" s="680"/>
      <c r="P38" s="985"/>
      <c r="Q38" s="3022"/>
      <c r="R38" s="3022"/>
      <c r="S38" s="3022"/>
      <c r="T38" s="1036" t="s">
        <v>811</v>
      </c>
      <c r="U38" s="675"/>
      <c r="V38" s="684" t="str">
        <f>IF($T38="L",SUM($U38:U38)*V$16,"")</f>
        <v/>
      </c>
      <c r="W38" s="684" t="str">
        <f>IF($U38="","",IF(OR($T38="L",$T38="T",$T38="C"),SUM($U38:V38)*W$16,""))</f>
        <v/>
      </c>
      <c r="X38" s="684" t="str">
        <f>IF($U38="","",SUM($U38:W38)*X$16)</f>
        <v/>
      </c>
      <c r="Y38" s="1024"/>
      <c r="Z38" s="721"/>
      <c r="AA38" s="738"/>
      <c r="AB38" s="721"/>
      <c r="AC38" s="730"/>
      <c r="AD38" s="683"/>
      <c r="AE38" s="1067"/>
      <c r="AF38" s="587">
        <f>AF37</f>
        <v>12</v>
      </c>
      <c r="AG38" s="587"/>
      <c r="AH38" s="669"/>
      <c r="AI38" s="669"/>
      <c r="AJ38" s="665"/>
      <c r="AK38" s="985"/>
    </row>
    <row r="39" spans="1:37" ht="18" customHeight="1">
      <c r="A39" s="656"/>
      <c r="B39" s="713">
        <f>B35+0.1</f>
        <v>2.3000000000000003</v>
      </c>
      <c r="C39" s="1815" t="s">
        <v>202</v>
      </c>
      <c r="D39" s="3863" t="str">
        <f>D35</f>
        <v xml:space="preserve">This involves surveying a representative area (30% of management area) for general observations of fuel load, dryness, fire breaks etc. </v>
      </c>
      <c r="E39" s="686" t="s">
        <v>3</v>
      </c>
      <c r="F39" s="1178"/>
      <c r="G39" s="3173">
        <f>$F$268</f>
        <v>9.8415545590433489</v>
      </c>
      <c r="H39" s="645">
        <f>J313</f>
        <v>2214.3497757847535</v>
      </c>
      <c r="I39" s="820" t="s">
        <v>475</v>
      </c>
      <c r="J39" s="646" t="str">
        <f>IF(K39=1,"Annual","Done every "&amp;K39&amp;" years")</f>
        <v>Annual</v>
      </c>
      <c r="K39" s="647">
        <f>L313</f>
        <v>1</v>
      </c>
      <c r="L39" s="651">
        <f t="shared" ref="L39:M41" si="7">$L$16/K39</f>
        <v>80</v>
      </c>
      <c r="M39" s="881">
        <f t="shared" si="7"/>
        <v>1</v>
      </c>
      <c r="N39" s="884">
        <f>$H39*(1-(1+$L$15)^-(L39*M39))/((1+$L$15)^M39-1)*(1+((1+$L$15)^M39-1))</f>
        <v>55075.324276797262</v>
      </c>
      <c r="O39" s="653">
        <f>N39/(1+$L$15)*($L$15)/(1-(1+$L$15)^-$L$16)</f>
        <v>2214.3497757847517</v>
      </c>
      <c r="P39" s="931">
        <f>SUM(O39:O42)</f>
        <v>5296.7713004484267</v>
      </c>
      <c r="Q39" s="3023"/>
      <c r="R39" s="3023"/>
      <c r="S39" s="3023"/>
      <c r="T39" s="1037" t="s">
        <v>808</v>
      </c>
      <c r="U39" s="655">
        <f>O39/$U$16</f>
        <v>22.143497757847516</v>
      </c>
      <c r="V39" s="655">
        <f>IF($T39="L",SUM($U39:U39)*V$16,"")</f>
        <v>6.6430493273542544</v>
      </c>
      <c r="W39" s="655">
        <f>IF($U39="","",IF(OR($T39="L",$T39="T",$T39="C"),SUM($U39:V39)*W$16,""))</f>
        <v>2.8786547085201772</v>
      </c>
      <c r="X39" s="655">
        <f>IF($U39="","",SUM($U39:W39)*X$16)</f>
        <v>9.4995605381165849</v>
      </c>
      <c r="Y39" s="650">
        <f>IF($U39="","",SUM(V39:X39))</f>
        <v>19.021264573991019</v>
      </c>
      <c r="Z39" s="717">
        <f>SUM(V39:X42)</f>
        <v>32.275677130044819</v>
      </c>
      <c r="AA39" s="739">
        <f>IF($U39="","",SUM(U39,Y39))</f>
        <v>41.164762331838531</v>
      </c>
      <c r="AB39" s="717">
        <f>SUM(AA39:AA42)</f>
        <v>85.243390134529079</v>
      </c>
      <c r="AC39" s="731">
        <f ca="1">IF(AA39="","",AA39/OFFSET($AB$23,AF39,0))</f>
        <v>0.48290855474979688</v>
      </c>
      <c r="AD39" s="654"/>
      <c r="AE39" s="1068"/>
      <c r="AF39" s="587">
        <f>AF35+4</f>
        <v>16</v>
      </c>
      <c r="AG39" s="816">
        <f ca="1">SUM(AC39:AC42)-1</f>
        <v>0</v>
      </c>
      <c r="AH39" s="649">
        <f>$AH$16/K39</f>
        <v>5</v>
      </c>
      <c r="AI39" s="649">
        <f>$AH$16/AH39</f>
        <v>1</v>
      </c>
      <c r="AJ39" s="645">
        <f>$H39*(1-(1+$L$15)^-(AH39*AI39))/((1+$L$15)^AI39-1)*(1+((1+$L$15)^AI39-1))</f>
        <v>10252.207451740071</v>
      </c>
      <c r="AK39" s="931">
        <f>SUM(AJ39:AJ42)</f>
        <v>24523.496147926966</v>
      </c>
    </row>
    <row r="40" spans="1:37" ht="19" customHeight="1">
      <c r="A40" s="656"/>
      <c r="B40" s="714"/>
      <c r="C40" s="1816" t="s">
        <v>789</v>
      </c>
      <c r="D40" s="3864"/>
      <c r="E40" s="686" t="s">
        <v>308</v>
      </c>
      <c r="F40" s="1178">
        <f>$F$300</f>
        <v>1</v>
      </c>
      <c r="G40" s="3173">
        <f>$F$299</f>
        <v>4.9207772795216744</v>
      </c>
      <c r="H40" s="645">
        <f>J314</f>
        <v>1402.4215246636772</v>
      </c>
      <c r="I40" s="820" t="s">
        <v>797</v>
      </c>
      <c r="J40" s="646" t="str">
        <f>IF(K40=1,"Annual","Done every "&amp;K40&amp;" years")</f>
        <v>Annual</v>
      </c>
      <c r="K40" s="647">
        <f>L314</f>
        <v>1</v>
      </c>
      <c r="L40" s="648">
        <f t="shared" si="7"/>
        <v>80</v>
      </c>
      <c r="M40" s="647">
        <f t="shared" si="7"/>
        <v>1</v>
      </c>
      <c r="N40" s="645">
        <f>$H40*(1-(1+$L$15)^-(L40*M40))/((1+$L$15)^M40-1)*(1+((1+$L$15)^M40-1))</f>
        <v>34881.038708638262</v>
      </c>
      <c r="O40" s="660">
        <f>N40/(1+$L$15)*($L$15)/(1-(1+$L$15)^-$L$16)</f>
        <v>1402.4215246636759</v>
      </c>
      <c r="P40" s="932"/>
      <c r="Q40" s="3024">
        <f>1*(1-(1+$L$15)^-(L40*M40))/((1+$L$15)^M40-1)*(1+((1+$L$15)^M40-1))</f>
        <v>24.872007520708362</v>
      </c>
      <c r="R40" s="3024">
        <f>Q40/(1+$L$15)*($L$15)/(1-(1+$L$15)^-$L$16)</f>
        <v>0.99999999999999911</v>
      </c>
      <c r="S40" s="3024">
        <f>F40*R40</f>
        <v>0.99999999999999911</v>
      </c>
      <c r="T40" s="1038" t="s">
        <v>809</v>
      </c>
      <c r="U40" s="655">
        <f>O40/$U$16</f>
        <v>14.024215246636759</v>
      </c>
      <c r="V40" s="662" t="str">
        <f>IF($T40="L",SUM($U40:U40)*V$16,"")</f>
        <v/>
      </c>
      <c r="W40" s="662">
        <f>IF($U40="","",IF(OR($T40="L",$T40="T",$T40="C"),SUM($U40:V40)*W$16,""))</f>
        <v>1.402421524663676</v>
      </c>
      <c r="X40" s="662">
        <f>IF($U40="","",SUM($U40:W40)*X$16)</f>
        <v>4.6279910313901302</v>
      </c>
      <c r="Y40" s="659">
        <f>IF($U40="","",SUM(V40:X40))</f>
        <v>6.0304125560538058</v>
      </c>
      <c r="Z40" s="722"/>
      <c r="AA40" s="740">
        <f>IF($U40="","",SUM(U40,Y40))</f>
        <v>20.054627802690565</v>
      </c>
      <c r="AB40" s="722"/>
      <c r="AC40" s="731">
        <f ca="1">IF(AA40="","",AA40/OFFSET($AB$23,AF40,0))</f>
        <v>0.23526314205759333</v>
      </c>
      <c r="AD40" s="661"/>
      <c r="AE40" s="1068"/>
      <c r="AF40" s="587">
        <f>AF39</f>
        <v>16</v>
      </c>
      <c r="AG40" s="587"/>
      <c r="AH40" s="649">
        <f>$AH$16/K40</f>
        <v>5</v>
      </c>
      <c r="AI40" s="649">
        <f>$AH$16/AH40</f>
        <v>1</v>
      </c>
      <c r="AJ40" s="645">
        <f>$H40*(1-(1+$L$15)^-(AH40*AI40))/((1+$L$15)^AI40-1)*(1+((1+$L$15)^AI40-1))</f>
        <v>6493.0647194353778</v>
      </c>
      <c r="AK40" s="932"/>
    </row>
    <row r="41" spans="1:37" ht="19" customHeight="1">
      <c r="A41" s="656"/>
      <c r="B41" s="714"/>
      <c r="C41" s="1816"/>
      <c r="D41" s="3864"/>
      <c r="E41" s="686" t="s">
        <v>4</v>
      </c>
      <c r="F41" s="1178"/>
      <c r="G41" s="3173">
        <f>$F$309</f>
        <v>8</v>
      </c>
      <c r="H41" s="645">
        <f>J315</f>
        <v>1680</v>
      </c>
      <c r="I41" s="820" t="s">
        <v>70</v>
      </c>
      <c r="J41" s="646" t="str">
        <f>IF(K41=1,"Annual","Done every "&amp;K41&amp;" years")</f>
        <v>Annual</v>
      </c>
      <c r="K41" s="647">
        <f>L315</f>
        <v>1</v>
      </c>
      <c r="L41" s="648">
        <f t="shared" si="7"/>
        <v>80</v>
      </c>
      <c r="M41" s="647">
        <f t="shared" si="7"/>
        <v>1</v>
      </c>
      <c r="N41" s="645">
        <f>$H41*(1-(1+$L$15)^-(L41*M41))/((1+$L$15)^M41-1)*(1+((1+$L$15)^M41-1))</f>
        <v>41784.972634790051</v>
      </c>
      <c r="O41" s="660">
        <f>N41/(1+$L$15)*($L$15)/(1-(1+$L$15)^-$L$16)</f>
        <v>1679.9999999999986</v>
      </c>
      <c r="P41" s="933"/>
      <c r="Q41" s="3024"/>
      <c r="R41" s="3024"/>
      <c r="S41" s="3024"/>
      <c r="T41" s="1038" t="s">
        <v>810</v>
      </c>
      <c r="U41" s="655">
        <f>O41/$U$16</f>
        <v>16.799999999999986</v>
      </c>
      <c r="V41" s="664" t="str">
        <f>IF($T41="L",SUM($U41:U41)*V$16,"")</f>
        <v/>
      </c>
      <c r="W41" s="664">
        <f>IF($U41="","",IF(OR($T41="L",$T41="T",$T41="C"),SUM($U41:V41)*W$16,""))</f>
        <v>1.6799999999999988</v>
      </c>
      <c r="X41" s="664">
        <f>IF($U41="","",SUM($U41:W41)*X$16)</f>
        <v>5.543999999999996</v>
      </c>
      <c r="Y41" s="1025">
        <f>IF($U41="","",SUM(V41:X41))</f>
        <v>7.2239999999999949</v>
      </c>
      <c r="Z41" s="723"/>
      <c r="AA41" s="741">
        <f>IF($U41="","",SUM(U41,Y41))</f>
        <v>24.02399999999998</v>
      </c>
      <c r="AB41" s="723"/>
      <c r="AC41" s="731">
        <f ca="1">IF(AA41="","",AA41/OFFSET($AB$23,AF41,0))</f>
        <v>0.28182830319260976</v>
      </c>
      <c r="AD41" s="663"/>
      <c r="AE41" s="1068"/>
      <c r="AF41" s="587">
        <f>AF40</f>
        <v>16</v>
      </c>
      <c r="AG41" s="587"/>
      <c r="AH41" s="649">
        <f>$AH$16/K41</f>
        <v>5</v>
      </c>
      <c r="AI41" s="649">
        <f>$AH$16/AH41</f>
        <v>1</v>
      </c>
      <c r="AJ41" s="645">
        <f>$H41*(1-(1+$L$15)^-(AH41*AI41))/((1+$L$15)^AI41-1)*(1+((1+$L$15)^AI41-1))</f>
        <v>7778.2239767515175</v>
      </c>
      <c r="AK41" s="933"/>
    </row>
    <row r="42" spans="1:37" ht="19" customHeight="1">
      <c r="A42" s="656"/>
      <c r="B42" s="714"/>
      <c r="C42" s="1817"/>
      <c r="D42" s="3865"/>
      <c r="E42" s="686" t="s">
        <v>21</v>
      </c>
      <c r="F42" s="1178"/>
      <c r="G42" s="3173"/>
      <c r="H42" s="645"/>
      <c r="I42" s="1087"/>
      <c r="J42" s="646"/>
      <c r="K42" s="647"/>
      <c r="L42" s="648"/>
      <c r="M42" s="647"/>
      <c r="N42" s="645"/>
      <c r="O42" s="660"/>
      <c r="P42" s="934"/>
      <c r="Q42" s="3025"/>
      <c r="R42" s="3025"/>
      <c r="S42" s="3025"/>
      <c r="T42" s="1038"/>
      <c r="U42" s="655"/>
      <c r="V42" s="664" t="str">
        <f>IF($T42="L",SUM($U42:U42)*V$16,"")</f>
        <v/>
      </c>
      <c r="W42" s="664" t="str">
        <f>IF($U42="","",IF(OR($T42="L",$T42="T",$T42="C"),SUM($U42:V42)*W$16,""))</f>
        <v/>
      </c>
      <c r="X42" s="664" t="str">
        <f>IF($U42="","",SUM($U42:W42)*X$16)</f>
        <v/>
      </c>
      <c r="Y42" s="1025"/>
      <c r="Z42" s="723"/>
      <c r="AA42" s="741"/>
      <c r="AB42" s="723"/>
      <c r="AC42" s="731"/>
      <c r="AD42" s="663"/>
      <c r="AE42" s="1068"/>
      <c r="AF42" s="587">
        <f>AF41</f>
        <v>16</v>
      </c>
      <c r="AG42" s="587"/>
      <c r="AH42" s="649"/>
      <c r="AI42" s="649"/>
      <c r="AJ42" s="645"/>
      <c r="AK42" s="933"/>
    </row>
    <row r="43" spans="1:37" s="1997" customFormat="1" ht="19" customHeight="1">
      <c r="B43" s="2303">
        <v>3</v>
      </c>
      <c r="C43" s="3906" t="s">
        <v>316</v>
      </c>
      <c r="D43" s="3909" t="s">
        <v>2568</v>
      </c>
      <c r="E43" s="2000" t="s">
        <v>3</v>
      </c>
      <c r="F43" s="2001"/>
      <c r="G43" s="3555">
        <f>$D$429</f>
        <v>115.96718014849344</v>
      </c>
      <c r="H43" s="2002">
        <f>G467</f>
        <v>26092.615533411023</v>
      </c>
      <c r="I43" s="2002" t="str">
        <f>H467</f>
        <v>Cost for labour</v>
      </c>
      <c r="J43" s="2304" t="str">
        <f>IF(K43=1,"Annual","Done every "&amp;K43&amp;" years")</f>
        <v>Annual</v>
      </c>
      <c r="K43" s="2036">
        <f>I467</f>
        <v>1</v>
      </c>
      <c r="L43" s="2006">
        <f t="shared" ref="L43:M57" si="8">$L$16/K43</f>
        <v>80</v>
      </c>
      <c r="M43" s="2005">
        <f t="shared" si="8"/>
        <v>1</v>
      </c>
      <c r="N43" s="2002">
        <f t="shared" ref="N43:N57" si="9">$H43*(1-(1+$L$15)^-(L43*M43))/((1+$L$15)^M43-1)*(1+((1+$L$15)^M43-1))</f>
        <v>648975.72978195082</v>
      </c>
      <c r="O43" s="2007">
        <f t="shared" ref="O43:O57" si="10">N43/(1+$L$15)*($L$15)/(1-(1+$L$15)^-$L$16)</f>
        <v>26092.615533411001</v>
      </c>
      <c r="P43" s="2008">
        <f>SUM(O43:O46)</f>
        <v>96416.682397070821</v>
      </c>
      <c r="Q43" s="3063"/>
      <c r="R43" s="3063"/>
      <c r="S43" s="3063"/>
      <c r="T43" s="2009" t="s">
        <v>808</v>
      </c>
      <c r="U43" s="2305">
        <f t="shared" ref="U43:U57" si="11">O43/$U$16</f>
        <v>260.92615533411004</v>
      </c>
      <c r="V43" s="2010">
        <f>IF($T43="L",SUM($U43:U43)*V$16,"")</f>
        <v>78.277846600233005</v>
      </c>
      <c r="W43" s="2010">
        <f>IF($U43="","",IF(OR($T43="L",$T43="T",$T43="C"),SUM($U43:V43)*W$16,""))</f>
        <v>33.920400193434311</v>
      </c>
      <c r="X43" s="2010">
        <f>IF($U43="","",SUM($U43:W43)*X$16)</f>
        <v>111.93732063833322</v>
      </c>
      <c r="Y43" s="2011">
        <f t="shared" ref="Y43:Y53" si="12">IF($U43="","",SUM(V43:X43))</f>
        <v>224.13556743200053</v>
      </c>
      <c r="Z43" s="2008">
        <f>SUM(V43:X46)</f>
        <v>526.00352729553049</v>
      </c>
      <c r="AA43" s="2012">
        <f t="shared" ref="AA43:AA53" si="13">IF($U43="","",SUM(U43,Y43))</f>
        <v>485.06172276611056</v>
      </c>
      <c r="AB43" s="2008">
        <f>SUM(AA43:AA46)</f>
        <v>1490.1703512662389</v>
      </c>
      <c r="AC43" s="2013">
        <f t="shared" ref="AC43:AC53" ca="1" si="14">IF(AA43="","",AA43/OFFSET($AB$23,AF43,0))</f>
        <v>0.32550756519477136</v>
      </c>
      <c r="AD43" s="2306"/>
      <c r="AE43" s="2015"/>
      <c r="AF43" s="1483">
        <f>AF39+4</f>
        <v>20</v>
      </c>
      <c r="AG43" s="2016">
        <f ca="1">SUM(AC43:AC46)-1</f>
        <v>0</v>
      </c>
      <c r="AH43" s="2017">
        <f t="shared" ref="AH43:AH49" si="15">$AH$16/K43</f>
        <v>5</v>
      </c>
      <c r="AI43" s="2017">
        <f t="shared" ref="AI43:AI49" si="16">$AH$16/AH43</f>
        <v>1</v>
      </c>
      <c r="AJ43" s="2002">
        <f t="shared" ref="AJ43:AJ49" si="17">$H43*(1-(1+$L$15)^-(AH43*AI43))/((1+$L$15)^AI43-1)*(1+((1+$L$15)^AI43-1))</f>
        <v>120806.07604650994</v>
      </c>
      <c r="AK43" s="2018">
        <f>SUM(AJ43:AJ46)</f>
        <v>446399.13736888865</v>
      </c>
    </row>
    <row r="44" spans="1:37" s="1997" customFormat="1" ht="19" customHeight="1">
      <c r="B44" s="2307"/>
      <c r="C44" s="3907"/>
      <c r="D44" s="3910"/>
      <c r="E44" s="2000" t="s">
        <v>308</v>
      </c>
      <c r="F44" s="2001">
        <f>$D$452</f>
        <v>4</v>
      </c>
      <c r="G44" s="3555">
        <f>$D$453</f>
        <v>66.266960084853395</v>
      </c>
      <c r="H44" s="2002">
        <f t="shared" ref="H44:I46" si="18">G468</f>
        <v>18886.083624183218</v>
      </c>
      <c r="I44" s="2002" t="str">
        <f t="shared" si="18"/>
        <v>Cost for ute hire for the whole activity</v>
      </c>
      <c r="J44" s="2004" t="str">
        <f>IF(K44=1,"Annual","Done every "&amp;K44&amp;" years")</f>
        <v>Annual</v>
      </c>
      <c r="K44" s="2036">
        <f>I468</f>
        <v>1</v>
      </c>
      <c r="L44" s="2006">
        <f t="shared" si="8"/>
        <v>80</v>
      </c>
      <c r="M44" s="2005">
        <f t="shared" si="8"/>
        <v>1</v>
      </c>
      <c r="N44" s="2002">
        <f t="shared" si="9"/>
        <v>469734.81393741199</v>
      </c>
      <c r="O44" s="2007">
        <f t="shared" si="10"/>
        <v>18886.0836241832</v>
      </c>
      <c r="P44" s="2021"/>
      <c r="Q44" s="3064">
        <f>1*(1-(1+$L$15)^-(L44*M44))/((1+$L$15)^M44-1)*(1+((1+$L$15)^M44-1))</f>
        <v>24.872007520708362</v>
      </c>
      <c r="R44" s="3064">
        <f>Q44/(1+$L$15)*($L$15)/(1-(1+$L$15)^-$L$16)</f>
        <v>0.99999999999999911</v>
      </c>
      <c r="S44" s="3064">
        <f>F44*R44</f>
        <v>3.9999999999999964</v>
      </c>
      <c r="T44" s="2022" t="s">
        <v>809</v>
      </c>
      <c r="U44" s="2010">
        <f t="shared" si="11"/>
        <v>188.860836241832</v>
      </c>
      <c r="V44" s="2023" t="str">
        <f>IF($T44="L",SUM($U44:U44)*V$16,"")</f>
        <v/>
      </c>
      <c r="W44" s="2023">
        <f>IF($U44="","",IF(OR($T44="L",$T44="T",$T44="C"),SUM($U44:V44)*W$16,""))</f>
        <v>18.8860836241832</v>
      </c>
      <c r="X44" s="2023">
        <f>IF($U44="","",SUM($U44:W44)*X$16)</f>
        <v>62.32407595980456</v>
      </c>
      <c r="Y44" s="2024">
        <f t="shared" si="12"/>
        <v>81.21015958398776</v>
      </c>
      <c r="Z44" s="2021"/>
      <c r="AA44" s="2025">
        <f t="shared" si="13"/>
        <v>270.07099582581975</v>
      </c>
      <c r="AB44" s="2021"/>
      <c r="AC44" s="2013">
        <f t="shared" ca="1" si="14"/>
        <v>0.18123498135386534</v>
      </c>
      <c r="AD44" s="2371"/>
      <c r="AE44" s="2015"/>
      <c r="AF44" s="1483">
        <f>AF43</f>
        <v>20</v>
      </c>
      <c r="AG44" s="1483"/>
      <c r="AH44" s="2017">
        <f t="shared" si="15"/>
        <v>5</v>
      </c>
      <c r="AI44" s="2017">
        <f t="shared" si="16"/>
        <v>1</v>
      </c>
      <c r="AJ44" s="2002">
        <f t="shared" si="17"/>
        <v>87440.588376521497</v>
      </c>
      <c r="AK44" s="2027"/>
    </row>
    <row r="45" spans="1:37" s="1997" customFormat="1" ht="16" customHeight="1">
      <c r="B45" s="2307"/>
      <c r="C45" s="3907"/>
      <c r="D45" s="3910"/>
      <c r="E45" s="2000" t="s">
        <v>4</v>
      </c>
      <c r="F45" s="2001"/>
      <c r="G45" s="3555">
        <f>$D$460</f>
        <v>112</v>
      </c>
      <c r="H45" s="2002">
        <f t="shared" si="18"/>
        <v>51033.731200855735</v>
      </c>
      <c r="I45" s="2002" t="str">
        <f t="shared" si="18"/>
        <v>Accomodation, fuel, water truck, water</v>
      </c>
      <c r="J45" s="2004" t="str">
        <f>IF(K45=1,"Annual","Done every "&amp;K45&amp;" years")</f>
        <v>Annual</v>
      </c>
      <c r="K45" s="2036">
        <f>I469</f>
        <v>1</v>
      </c>
      <c r="L45" s="2006">
        <f t="shared" si="8"/>
        <v>80</v>
      </c>
      <c r="M45" s="2005">
        <f t="shared" si="8"/>
        <v>1</v>
      </c>
      <c r="N45" s="2002">
        <f t="shared" si="9"/>
        <v>1269311.346237493</v>
      </c>
      <c r="O45" s="2007">
        <f t="shared" si="10"/>
        <v>51033.731200855691</v>
      </c>
      <c r="P45" s="2021"/>
      <c r="Q45" s="3064"/>
      <c r="R45" s="3064"/>
      <c r="S45" s="3064"/>
      <c r="T45" s="2022" t="s">
        <v>810</v>
      </c>
      <c r="U45" s="2010">
        <f t="shared" si="11"/>
        <v>510.33731200855692</v>
      </c>
      <c r="V45" s="2023" t="str">
        <f>IF($T45="L",SUM($U45:U45)*V$16,"")</f>
        <v/>
      </c>
      <c r="W45" s="2023">
        <f>IF($U45="","",IF(OR($T45="L",$T45="T",$T45="C"),SUM($U45:V45)*W$16,""))</f>
        <v>51.033731200855698</v>
      </c>
      <c r="X45" s="2023">
        <f>IF($U45="","",SUM($U45:W45)*X$16)</f>
        <v>168.41131296282379</v>
      </c>
      <c r="Y45" s="2024">
        <f t="shared" si="12"/>
        <v>219.44504416367948</v>
      </c>
      <c r="Z45" s="2021"/>
      <c r="AA45" s="2025">
        <f t="shared" si="13"/>
        <v>729.7823561722364</v>
      </c>
      <c r="AB45" s="2021"/>
      <c r="AC45" s="2013">
        <f t="shared" ca="1" si="14"/>
        <v>0.4897308254402728</v>
      </c>
      <c r="AD45" s="2372"/>
      <c r="AE45" s="2015"/>
      <c r="AF45" s="1483">
        <f>AF44</f>
        <v>20</v>
      </c>
      <c r="AG45" s="1483"/>
      <c r="AH45" s="2017">
        <f t="shared" si="15"/>
        <v>5</v>
      </c>
      <c r="AI45" s="2017">
        <f t="shared" si="16"/>
        <v>1</v>
      </c>
      <c r="AJ45" s="2002">
        <f t="shared" si="17"/>
        <v>236280.82836285006</v>
      </c>
      <c r="AK45" s="2027"/>
    </row>
    <row r="46" spans="1:37" s="1997" customFormat="1" ht="19" customHeight="1">
      <c r="B46" s="2307"/>
      <c r="C46" s="3908"/>
      <c r="D46" s="3911"/>
      <c r="E46" s="2000" t="s">
        <v>21</v>
      </c>
      <c r="F46" s="2001"/>
      <c r="G46" s="3555"/>
      <c r="H46" s="2002">
        <f t="shared" si="18"/>
        <v>3410</v>
      </c>
      <c r="I46" s="2002" t="str">
        <f t="shared" si="18"/>
        <v>Equipment</v>
      </c>
      <c r="J46" s="2308"/>
      <c r="K46" s="2036">
        <f>I470</f>
        <v>10</v>
      </c>
      <c r="L46" s="2006">
        <f t="shared" si="8"/>
        <v>8</v>
      </c>
      <c r="M46" s="2005">
        <f t="shared" si="8"/>
        <v>10</v>
      </c>
      <c r="N46" s="2002">
        <f t="shared" si="9"/>
        <v>10054.559744841416</v>
      </c>
      <c r="O46" s="2007">
        <f t="shared" si="10"/>
        <v>404.25203862092792</v>
      </c>
      <c r="P46" s="2021"/>
      <c r="Q46" s="3064"/>
      <c r="R46" s="3064"/>
      <c r="S46" s="3064"/>
      <c r="T46" s="2040" t="s">
        <v>811</v>
      </c>
      <c r="U46" s="2010">
        <f t="shared" si="11"/>
        <v>4.0425203862092793</v>
      </c>
      <c r="V46" s="2023" t="str">
        <f>IF($T46="L",SUM($U46:U46)*V$16,"")</f>
        <v/>
      </c>
      <c r="W46" s="2023" t="str">
        <f>IF($U46="","",IF(OR($T46="L",$T46="T",$T46="C"),SUM($U46:V46)*W$16,""))</f>
        <v/>
      </c>
      <c r="X46" s="2023">
        <f>IF($U46="","",SUM($U46:W46)*X$16)</f>
        <v>1.2127561158627838</v>
      </c>
      <c r="Y46" s="2024">
        <f t="shared" si="12"/>
        <v>1.2127561158627838</v>
      </c>
      <c r="Z46" s="2021"/>
      <c r="AA46" s="2025">
        <f t="shared" si="13"/>
        <v>5.2552765020720633</v>
      </c>
      <c r="AB46" s="2021"/>
      <c r="AC46" s="2013">
        <f t="shared" ca="1" si="14"/>
        <v>3.5266280110904835E-3</v>
      </c>
      <c r="AD46" s="2306"/>
      <c r="AE46" s="2015"/>
      <c r="AF46" s="1483">
        <f>AF45</f>
        <v>20</v>
      </c>
      <c r="AG46" s="1483"/>
      <c r="AH46" s="2017">
        <f t="shared" si="15"/>
        <v>0.5</v>
      </c>
      <c r="AI46" s="2017">
        <f t="shared" si="16"/>
        <v>10</v>
      </c>
      <c r="AJ46" s="2002">
        <f t="shared" si="17"/>
        <v>1871.6445830071341</v>
      </c>
      <c r="AK46" s="2027"/>
    </row>
    <row r="47" spans="1:37" s="1414" customFormat="1" ht="19" customHeight="1">
      <c r="B47" s="1634">
        <f>B43+1</f>
        <v>4</v>
      </c>
      <c r="C47" s="3919" t="s">
        <v>392</v>
      </c>
      <c r="D47" s="3922" t="s">
        <v>1685</v>
      </c>
      <c r="E47" s="1635" t="s">
        <v>3</v>
      </c>
      <c r="F47" s="1636"/>
      <c r="G47" s="3556">
        <f>$D$508</f>
        <v>1.0256410256410256E-2</v>
      </c>
      <c r="H47" s="1637">
        <f t="shared" ref="H47:I50" si="19">G593</f>
        <v>227.30769230769232</v>
      </c>
      <c r="I47" s="1637" t="str">
        <f t="shared" si="19"/>
        <v>Cost for person hours</v>
      </c>
      <c r="J47" s="1638" t="str">
        <f t="shared" ref="J47:J57" si="20">IF(K47=1,"Annual","Done every "&amp;K47&amp;" years")</f>
        <v>Annual</v>
      </c>
      <c r="K47" s="1870">
        <f>I593</f>
        <v>1</v>
      </c>
      <c r="L47" s="177">
        <f t="shared" si="8"/>
        <v>80</v>
      </c>
      <c r="M47" s="178">
        <f t="shared" si="8"/>
        <v>1</v>
      </c>
      <c r="N47" s="1637">
        <f t="shared" si="9"/>
        <v>5653.5986325917856</v>
      </c>
      <c r="O47" s="1639">
        <f t="shared" si="10"/>
        <v>227.30769230769215</v>
      </c>
      <c r="P47" s="1640">
        <f>SUM(O47:O50)</f>
        <v>5280.4950969114507</v>
      </c>
      <c r="Q47" s="3030"/>
      <c r="R47" s="3030"/>
      <c r="S47" s="3030"/>
      <c r="T47" s="1641" t="s">
        <v>808</v>
      </c>
      <c r="U47" s="1642">
        <f t="shared" si="11"/>
        <v>2.2730769230769217</v>
      </c>
      <c r="V47" s="1643">
        <f>IF($T47="L",SUM($U47:U47)*V$16,"")</f>
        <v>0.68192307692307652</v>
      </c>
      <c r="W47" s="1643">
        <f>IF($U47="","",IF(OR($T47="L",$T47="T",$T47="C"),SUM($U47:V47)*W$16,""))</f>
        <v>0.29549999999999982</v>
      </c>
      <c r="X47" s="1643">
        <f>IF($U47="","",SUM($U47:W47)*X$16)</f>
        <v>0.9751499999999993</v>
      </c>
      <c r="Y47" s="1644">
        <f t="shared" si="12"/>
        <v>1.9525730769230756</v>
      </c>
      <c r="Z47" s="1640">
        <f>SUM(V47:X50)</f>
        <v>20.599005308465827</v>
      </c>
      <c r="AA47" s="1645">
        <f t="shared" si="13"/>
        <v>4.2256499999999972</v>
      </c>
      <c r="AB47" s="1640">
        <f>SUM(AA47:AA50)</f>
        <v>73.403956277580335</v>
      </c>
      <c r="AC47" s="2340">
        <f t="shared" ca="1" si="14"/>
        <v>5.7567060609383415E-2</v>
      </c>
      <c r="AD47" s="2341"/>
      <c r="AE47" s="2342"/>
      <c r="AF47" s="1647">
        <f>AF43+4</f>
        <v>24</v>
      </c>
      <c r="AG47" s="1648">
        <f ca="1">SUM(AC47:AC50)-1</f>
        <v>0</v>
      </c>
      <c r="AH47" s="1649">
        <f t="shared" si="15"/>
        <v>5</v>
      </c>
      <c r="AI47" s="1649">
        <f t="shared" si="16"/>
        <v>1</v>
      </c>
      <c r="AJ47" s="1637">
        <f t="shared" si="17"/>
        <v>1052.4107990522316</v>
      </c>
      <c r="AK47" s="1650">
        <f>SUM(AJ47:AJ50)</f>
        <v>13470.751447282541</v>
      </c>
    </row>
    <row r="48" spans="1:37" s="1414" customFormat="1" ht="19" customHeight="1">
      <c r="B48" s="1651"/>
      <c r="C48" s="3920"/>
      <c r="D48" s="3923"/>
      <c r="E48" s="1635" t="s">
        <v>308</v>
      </c>
      <c r="F48" s="1636">
        <f>$D$543</f>
        <v>1</v>
      </c>
      <c r="G48" s="3556">
        <f>$D$544</f>
        <v>1.0256410256410256E-2</v>
      </c>
      <c r="H48" s="1637">
        <f t="shared" si="19"/>
        <v>115.38461538461539</v>
      </c>
      <c r="I48" s="1637" t="str">
        <f t="shared" si="19"/>
        <v>Cost for aerial</v>
      </c>
      <c r="J48" s="1638" t="str">
        <f t="shared" si="20"/>
        <v>Annual</v>
      </c>
      <c r="K48" s="1870">
        <f>I594</f>
        <v>1</v>
      </c>
      <c r="L48" s="177">
        <f t="shared" si="8"/>
        <v>80</v>
      </c>
      <c r="M48" s="178">
        <f t="shared" si="8"/>
        <v>1</v>
      </c>
      <c r="N48" s="1637">
        <f t="shared" si="9"/>
        <v>2869.8470216201958</v>
      </c>
      <c r="O48" s="1639">
        <f t="shared" si="10"/>
        <v>115.3846153846153</v>
      </c>
      <c r="P48" s="1652"/>
      <c r="Q48" s="2982">
        <f>1*(1-(1+$L$15)^-(L48*M48))/((1+$L$15)^M48-1)*(1+((1+$L$15)^M48-1))</f>
        <v>24.872007520708362</v>
      </c>
      <c r="R48" s="2982">
        <f>Q48/(1+$L$15)*($L$15)/(1-(1+$L$15)^-$L$16)</f>
        <v>0.99999999999999911</v>
      </c>
      <c r="S48" s="2982">
        <f>F48*R48</f>
        <v>0.99999999999999911</v>
      </c>
      <c r="T48" s="1653" t="s">
        <v>809</v>
      </c>
      <c r="U48" s="1643">
        <f t="shared" si="11"/>
        <v>1.1538461538461531</v>
      </c>
      <c r="V48" s="205" t="str">
        <f>IF($T48="L",SUM($U48:U48)*V$16,"")</f>
        <v/>
      </c>
      <c r="W48" s="205">
        <f>IF($U48="","",IF(OR($T48="L",$T48="T",$T48="C"),SUM($U48:V48)*W$16,""))</f>
        <v>0.11538461538461531</v>
      </c>
      <c r="X48" s="205">
        <f>IF($U48="","",SUM($U48:W48)*X$16)</f>
        <v>0.38076923076923047</v>
      </c>
      <c r="Y48" s="180">
        <f t="shared" si="12"/>
        <v>0.49615384615384578</v>
      </c>
      <c r="Z48" s="1652"/>
      <c r="AA48" s="1654">
        <f t="shared" si="13"/>
        <v>1.6499999999999988</v>
      </c>
      <c r="AB48" s="1652"/>
      <c r="AC48" s="2340">
        <f t="shared" ca="1" si="14"/>
        <v>2.247835244411691E-2</v>
      </c>
      <c r="AD48" s="2343"/>
      <c r="AE48" s="2344"/>
      <c r="AF48" s="1647">
        <f>AF47</f>
        <v>24</v>
      </c>
      <c r="AG48" s="1647"/>
      <c r="AH48" s="1649">
        <f t="shared" si="15"/>
        <v>5</v>
      </c>
      <c r="AI48" s="1649">
        <f t="shared" si="16"/>
        <v>1</v>
      </c>
      <c r="AJ48" s="1637">
        <f t="shared" si="17"/>
        <v>534.21867972194491</v>
      </c>
      <c r="AK48" s="1656"/>
    </row>
    <row r="49" spans="1:37" s="1414" customFormat="1" ht="16" customHeight="1">
      <c r="B49" s="1651"/>
      <c r="C49" s="3920"/>
      <c r="D49" s="3923"/>
      <c r="E49" s="1635" t="s">
        <v>4</v>
      </c>
      <c r="F49" s="1636"/>
      <c r="G49" s="3556">
        <f>$D$553</f>
        <v>0</v>
      </c>
      <c r="H49" s="1637">
        <f t="shared" si="19"/>
        <v>2566.8230905626774</v>
      </c>
      <c r="I49" s="1637" t="str">
        <f t="shared" si="19"/>
        <v>Cost for incendiary capsules + Watertruck</v>
      </c>
      <c r="J49" s="1638" t="str">
        <f t="shared" si="20"/>
        <v>Annual</v>
      </c>
      <c r="K49" s="1870">
        <f>I595</f>
        <v>1</v>
      </c>
      <c r="L49" s="177">
        <f t="shared" si="8"/>
        <v>80</v>
      </c>
      <c r="M49" s="178">
        <f t="shared" si="8"/>
        <v>1</v>
      </c>
      <c r="N49" s="1637">
        <f t="shared" si="9"/>
        <v>63842.043212802782</v>
      </c>
      <c r="O49" s="1639">
        <f t="shared" si="10"/>
        <v>2566.8230905626747</v>
      </c>
      <c r="P49" s="1652"/>
      <c r="Q49" s="2982"/>
      <c r="R49" s="2982"/>
      <c r="S49" s="2982"/>
      <c r="T49" s="1653" t="s">
        <v>810</v>
      </c>
      <c r="U49" s="1643">
        <f t="shared" si="11"/>
        <v>25.668230905626746</v>
      </c>
      <c r="V49" s="205" t="str">
        <f>IF($T49="L",SUM($U49:U49)*V$16,"")</f>
        <v/>
      </c>
      <c r="W49" s="205">
        <f>IF($U49="","",IF(OR($T49="L",$T49="T",$T49="C"),SUM($U49:V49)*W$16,""))</f>
        <v>2.566823090562675</v>
      </c>
      <c r="X49" s="205">
        <f>IF($U49="","",SUM($U49:W49)*X$16)</f>
        <v>8.4705161988568261</v>
      </c>
      <c r="Y49" s="180">
        <f t="shared" si="12"/>
        <v>11.037339289419501</v>
      </c>
      <c r="Z49" s="1652"/>
      <c r="AA49" s="1654">
        <f t="shared" si="13"/>
        <v>36.705570195046249</v>
      </c>
      <c r="AB49" s="1652"/>
      <c r="AC49" s="2340">
        <f t="shared" ca="1" si="14"/>
        <v>0.50004893545849893</v>
      </c>
      <c r="AD49" s="2345"/>
      <c r="AE49" s="2344"/>
      <c r="AF49" s="1647">
        <f>AF48</f>
        <v>24</v>
      </c>
      <c r="AG49" s="1647"/>
      <c r="AH49" s="1649">
        <f t="shared" si="15"/>
        <v>5</v>
      </c>
      <c r="AI49" s="1649">
        <f t="shared" si="16"/>
        <v>1</v>
      </c>
      <c r="AJ49" s="1637">
        <f t="shared" si="17"/>
        <v>11884.121968508363</v>
      </c>
      <c r="AK49" s="1656"/>
    </row>
    <row r="50" spans="1:37" s="1414" customFormat="1" ht="19" customHeight="1">
      <c r="B50" s="1651"/>
      <c r="C50" s="3921"/>
      <c r="D50" s="3924"/>
      <c r="E50" s="1635" t="s">
        <v>21</v>
      </c>
      <c r="F50" s="1636"/>
      <c r="G50" s="3556"/>
      <c r="H50" s="1637">
        <f t="shared" si="19"/>
        <v>20000</v>
      </c>
      <c r="I50" s="1637" t="str">
        <f t="shared" si="19"/>
        <v>Cost for incendiary capsule dispenser</v>
      </c>
      <c r="J50" s="1638" t="str">
        <f t="shared" si="20"/>
        <v>Done every 10 years</v>
      </c>
      <c r="K50" s="178">
        <f>I596</f>
        <v>10</v>
      </c>
      <c r="L50" s="177">
        <f t="shared" si="8"/>
        <v>8</v>
      </c>
      <c r="M50" s="178">
        <f t="shared" si="8"/>
        <v>10</v>
      </c>
      <c r="N50" s="1637">
        <f t="shared" si="9"/>
        <v>58971.024896430594</v>
      </c>
      <c r="O50" s="1639">
        <f t="shared" si="10"/>
        <v>2370.9796986564688</v>
      </c>
      <c r="P50" s="1652"/>
      <c r="Q50" s="2982"/>
      <c r="R50" s="2982"/>
      <c r="S50" s="2982"/>
      <c r="T50" s="1657" t="s">
        <v>811</v>
      </c>
      <c r="U50" s="1643">
        <f t="shared" si="11"/>
        <v>23.709796986564687</v>
      </c>
      <c r="V50" s="205" t="str">
        <f>IF($T50="L",SUM($U50:U50)*V$16,"")</f>
        <v/>
      </c>
      <c r="W50" s="205" t="str">
        <f>IF($U50="","",IF(OR($T50="L",$T50="T",$T50="C"),SUM($U50:V50)*W$16,""))</f>
        <v/>
      </c>
      <c r="X50" s="205">
        <f>IF($U50="","",SUM($U50:W50)*X$16)</f>
        <v>7.1129390959694057</v>
      </c>
      <c r="Y50" s="180">
        <f t="shared" si="12"/>
        <v>7.1129390959694057</v>
      </c>
      <c r="Z50" s="1652"/>
      <c r="AA50" s="1654">
        <f t="shared" si="13"/>
        <v>30.822736082534092</v>
      </c>
      <c r="AB50" s="1652"/>
      <c r="AC50" s="2340">
        <f t="shared" ca="1" si="14"/>
        <v>0.41990565148800074</v>
      </c>
      <c r="AD50" s="2346"/>
      <c r="AE50" s="2347"/>
      <c r="AF50" s="1647">
        <f>AF49</f>
        <v>24</v>
      </c>
      <c r="AG50" s="1647"/>
      <c r="AH50" s="1649"/>
      <c r="AI50" s="1649"/>
      <c r="AJ50" s="1637"/>
      <c r="AK50" s="1656"/>
    </row>
    <row r="51" spans="1:37" s="1875" customFormat="1" ht="18" customHeight="1">
      <c r="B51" s="1897">
        <f>B47+0.1</f>
        <v>4.0999999999999996</v>
      </c>
      <c r="C51" s="3927" t="s">
        <v>1858</v>
      </c>
      <c r="D51" s="3925" t="s">
        <v>1684</v>
      </c>
      <c r="E51" s="1878" t="s">
        <v>3</v>
      </c>
      <c r="F51" s="1879"/>
      <c r="G51" s="3557">
        <f>$D$668</f>
        <v>82.012954658694568</v>
      </c>
      <c r="H51" s="1880">
        <f t="shared" ref="H51:I54" si="21">H743</f>
        <v>18452.914798206275</v>
      </c>
      <c r="I51" s="2335" t="str">
        <f t="shared" si="21"/>
        <v>Cost for labour</v>
      </c>
      <c r="J51" s="1882" t="str">
        <f t="shared" si="20"/>
        <v>Annual</v>
      </c>
      <c r="K51" s="1883">
        <f>J743</f>
        <v>1</v>
      </c>
      <c r="L51" s="1884">
        <f t="shared" si="8"/>
        <v>80</v>
      </c>
      <c r="M51" s="1883">
        <f t="shared" si="8"/>
        <v>1</v>
      </c>
      <c r="N51" s="1880">
        <f t="shared" si="9"/>
        <v>458961.03563997708</v>
      </c>
      <c r="O51" s="1885">
        <f t="shared" si="10"/>
        <v>18452.91479820626</v>
      </c>
      <c r="P51" s="1890">
        <f>SUM(O51:O54)</f>
        <v>76237.501102562674</v>
      </c>
      <c r="Q51" s="3097"/>
      <c r="R51" s="3097"/>
      <c r="S51" s="3097"/>
      <c r="T51" s="1900" t="s">
        <v>808</v>
      </c>
      <c r="U51" s="1901">
        <f t="shared" si="11"/>
        <v>184.5291479820626</v>
      </c>
      <c r="V51" s="1906">
        <f>IF($T51="L",SUM($U51:U51)*V$16,"")</f>
        <v>55.358744394618775</v>
      </c>
      <c r="W51" s="1906">
        <f>IF($U51="","",IF(OR($T51="L",$T51="T",$T51="C"),SUM($U51:V51)*W$16,""))</f>
        <v>23.98878923766814</v>
      </c>
      <c r="X51" s="1906">
        <f>IF($U51="","",SUM($U51:W51)*X$16)</f>
        <v>79.163004484304864</v>
      </c>
      <c r="Y51" s="2309">
        <f t="shared" si="12"/>
        <v>158.51053811659176</v>
      </c>
      <c r="Z51" s="1899">
        <f>SUM(V51:X54)</f>
        <v>406.78082916717966</v>
      </c>
      <c r="AA51" s="1902">
        <f t="shared" si="13"/>
        <v>343.03968609865433</v>
      </c>
      <c r="AB51" s="1899">
        <f>SUM(AA51:AA54)</f>
        <v>1167.1215396113589</v>
      </c>
      <c r="AC51" s="2336">
        <f t="shared" ca="1" si="14"/>
        <v>0.29391942009131583</v>
      </c>
      <c r="AD51" s="2337"/>
      <c r="AE51" s="1893"/>
      <c r="AF51" s="1894">
        <f>AF47+4</f>
        <v>28</v>
      </c>
      <c r="AG51" s="1895">
        <f ca="1">SUM(AC51:AC54)-1</f>
        <v>0</v>
      </c>
      <c r="AH51" s="1896">
        <f>$AH$16/K51</f>
        <v>5</v>
      </c>
      <c r="AI51" s="1896">
        <f>$AH$16/AH51</f>
        <v>1</v>
      </c>
      <c r="AJ51" s="1880">
        <f>$H51*(1-(1+$L$15)^-(AH51*AI51))/((1+$L$15)^AI51-1)*(1+((1+$L$15)^AI51-1))</f>
        <v>85435.062097833899</v>
      </c>
      <c r="AK51" s="1890">
        <f>SUM(AJ51:AJ54)</f>
        <v>352247.1346835132</v>
      </c>
    </row>
    <row r="52" spans="1:37" s="1875" customFormat="1" ht="19" customHeight="1">
      <c r="B52" s="1897"/>
      <c r="C52" s="3928"/>
      <c r="D52" s="3926"/>
      <c r="E52" s="1878" t="s">
        <v>308</v>
      </c>
      <c r="F52" s="1879">
        <f>$D$720</f>
        <v>3</v>
      </c>
      <c r="G52" s="3557">
        <f>$D$719</f>
        <v>49.207772795216741</v>
      </c>
      <c r="H52" s="2338">
        <f t="shared" si="21"/>
        <v>14024.215246636772</v>
      </c>
      <c r="I52" s="2335" t="str">
        <f t="shared" si="21"/>
        <v>Cost for ute hire for the whole activity</v>
      </c>
      <c r="J52" s="1882" t="str">
        <f t="shared" si="20"/>
        <v>Annual</v>
      </c>
      <c r="K52" s="1883">
        <f>J744</f>
        <v>1</v>
      </c>
      <c r="L52" s="1884">
        <f t="shared" si="8"/>
        <v>80</v>
      </c>
      <c r="M52" s="1883">
        <f t="shared" si="8"/>
        <v>1</v>
      </c>
      <c r="N52" s="1880">
        <f t="shared" si="9"/>
        <v>348810.38708638266</v>
      </c>
      <c r="O52" s="1885">
        <f t="shared" si="10"/>
        <v>14024.215246636759</v>
      </c>
      <c r="P52" s="1903"/>
      <c r="Q52" s="3098">
        <f>1*(1-(1+$L$15)^-(L52*M52))/((1+$L$15)^M52-1)*(1+((1+$L$15)^M52-1))</f>
        <v>24.872007520708362</v>
      </c>
      <c r="R52" s="3098">
        <f>Q52/(1+$L$15)*($L$15)/(1-(1+$L$15)^-$L$16)</f>
        <v>0.99999999999999911</v>
      </c>
      <c r="S52" s="3098">
        <f>F52*R52</f>
        <v>2.9999999999999973</v>
      </c>
      <c r="T52" s="1900" t="s">
        <v>809</v>
      </c>
      <c r="U52" s="1888">
        <f t="shared" si="11"/>
        <v>140.2421524663676</v>
      </c>
      <c r="V52" s="1906" t="str">
        <f>IF($T52="L",SUM($U52:U52)*V$16,"")</f>
        <v/>
      </c>
      <c r="W52" s="1906">
        <f>IF($U52="","",IF(OR($T52="L",$T52="T",$T52="C"),SUM($U52:V52)*W$16,""))</f>
        <v>14.024215246636761</v>
      </c>
      <c r="X52" s="1906">
        <f>IF($U52="","",SUM($U52:W52)*X$16)</f>
        <v>46.279910313901311</v>
      </c>
      <c r="Y52" s="2339">
        <f t="shared" si="12"/>
        <v>60.304125560538068</v>
      </c>
      <c r="Z52" s="1899"/>
      <c r="AA52" s="1902">
        <f t="shared" si="13"/>
        <v>200.54627802690567</v>
      </c>
      <c r="AB52" s="1899"/>
      <c r="AC52" s="1891">
        <f t="shared" ca="1" si="14"/>
        <v>0.17182981482261547</v>
      </c>
      <c r="AD52" s="2337"/>
      <c r="AE52" s="1893"/>
      <c r="AF52" s="1894">
        <f>AF51</f>
        <v>28</v>
      </c>
      <c r="AG52" s="1894"/>
      <c r="AH52" s="1896">
        <f>$AH$16/K52</f>
        <v>5</v>
      </c>
      <c r="AI52" s="1896">
        <f>$AH$16/AH52</f>
        <v>1</v>
      </c>
      <c r="AJ52" s="1880">
        <f>$H52*(1-(1+$L$15)^-(AH52*AI52))/((1+$L$15)^AI52-1)*(1+((1+$L$15)^AI52-1))</f>
        <v>64930.647194353776</v>
      </c>
      <c r="AK52" s="1903"/>
    </row>
    <row r="53" spans="1:37" s="1875" customFormat="1" ht="19" customHeight="1">
      <c r="B53" s="1897"/>
      <c r="C53" s="3928"/>
      <c r="D53" s="3926"/>
      <c r="E53" s="1878" t="s">
        <v>4</v>
      </c>
      <c r="F53" s="1879"/>
      <c r="G53" s="3557">
        <f>$D$729</f>
        <v>80</v>
      </c>
      <c r="H53" s="2338">
        <f t="shared" si="21"/>
        <v>43603.886397608367</v>
      </c>
      <c r="I53" s="2335" t="str">
        <f t="shared" si="21"/>
        <v>Consumables (Accomodation + driptorch petrol + Water truck + water)</v>
      </c>
      <c r="J53" s="1882" t="str">
        <f t="shared" si="20"/>
        <v>Annual</v>
      </c>
      <c r="K53" s="1883">
        <f>J745</f>
        <v>1</v>
      </c>
      <c r="L53" s="1884">
        <f t="shared" si="8"/>
        <v>80</v>
      </c>
      <c r="M53" s="1883">
        <f t="shared" si="8"/>
        <v>1</v>
      </c>
      <c r="N53" s="1880">
        <f t="shared" si="9"/>
        <v>1084516.1904134282</v>
      </c>
      <c r="O53" s="1885">
        <f t="shared" si="10"/>
        <v>43603.88639760833</v>
      </c>
      <c r="P53" s="1908"/>
      <c r="Q53" s="3098"/>
      <c r="R53" s="3098"/>
      <c r="S53" s="3098"/>
      <c r="T53" s="1900" t="s">
        <v>810</v>
      </c>
      <c r="U53" s="1888">
        <f t="shared" si="11"/>
        <v>436.03886397608329</v>
      </c>
      <c r="V53" s="1906" t="str">
        <f>IF($T53="L",SUM($U53:U53)*V$16,"")</f>
        <v/>
      </c>
      <c r="W53" s="1906">
        <f>IF($U53="","",IF(OR($T53="L",$T53="T",$T53="C"),SUM($U53:V53)*W$16,""))</f>
        <v>43.603886397608335</v>
      </c>
      <c r="X53" s="1906">
        <f>IF($U53="","",SUM($U53:W53)*X$16)</f>
        <v>143.89282511210749</v>
      </c>
      <c r="Y53" s="2339">
        <f t="shared" si="12"/>
        <v>187.49671150971582</v>
      </c>
      <c r="Z53" s="1905"/>
      <c r="AA53" s="1907">
        <f t="shared" si="13"/>
        <v>623.53557548579909</v>
      </c>
      <c r="AB53" s="1905"/>
      <c r="AC53" s="1891">
        <f t="shared" ca="1" si="14"/>
        <v>0.53425076508606884</v>
      </c>
      <c r="AD53" s="1909"/>
      <c r="AE53" s="1893"/>
      <c r="AF53" s="1894">
        <f>AF52</f>
        <v>28</v>
      </c>
      <c r="AG53" s="1894"/>
      <c r="AH53" s="1896">
        <f>$AH$16/K53</f>
        <v>5</v>
      </c>
      <c r="AI53" s="1896">
        <f>$AH$16/AH53</f>
        <v>1</v>
      </c>
      <c r="AJ53" s="1880">
        <f>$H53*(1-(1+$L$15)^-(AH53*AI53))/((1+$L$15)^AI53-1)*(1+((1+$L$15)^AI53-1))</f>
        <v>201881.42539132549</v>
      </c>
      <c r="AK53" s="1908"/>
    </row>
    <row r="54" spans="1:37" s="1875" customFormat="1" ht="19" customHeight="1">
      <c r="B54" s="1897"/>
      <c r="C54" s="1898"/>
      <c r="D54" s="3926"/>
      <c r="E54" s="1878" t="s">
        <v>21</v>
      </c>
      <c r="F54" s="1879"/>
      <c r="G54" s="3557"/>
      <c r="H54" s="2338">
        <f t="shared" si="21"/>
        <v>1320</v>
      </c>
      <c r="I54" s="2335" t="str">
        <f t="shared" si="21"/>
        <v>Driptorches</v>
      </c>
      <c r="J54" s="1882" t="str">
        <f t="shared" si="20"/>
        <v>Done every 10 years</v>
      </c>
      <c r="K54" s="1883">
        <f>J746</f>
        <v>10</v>
      </c>
      <c r="L54" s="1884">
        <f t="shared" si="8"/>
        <v>8</v>
      </c>
      <c r="M54" s="1883">
        <f t="shared" si="8"/>
        <v>10</v>
      </c>
      <c r="N54" s="1880">
        <f t="shared" si="9"/>
        <v>3892.0876431644192</v>
      </c>
      <c r="O54" s="1885">
        <f t="shared" si="10"/>
        <v>156.48466011132697</v>
      </c>
      <c r="P54" s="1908"/>
      <c r="Q54" s="3098"/>
      <c r="R54" s="3098"/>
      <c r="S54" s="3098"/>
      <c r="T54" s="1900" t="s">
        <v>811</v>
      </c>
      <c r="U54" s="1888">
        <f t="shared" si="11"/>
        <v>1.5648466011132698</v>
      </c>
      <c r="V54" s="1906" t="str">
        <f>IF($T54="L",SUM($U54:U54)*V$16,"")</f>
        <v/>
      </c>
      <c r="W54" s="1906" t="str">
        <f>IF($U54="","",IF(OR($T54="L",$T54="T",$T54="C"),SUM($U54:V54)*W$16,""))</f>
        <v/>
      </c>
      <c r="X54" s="1906">
        <f>IF($U54="","",SUM($U54:W54)*X$16)</f>
        <v>0.46945398033398089</v>
      </c>
      <c r="Y54" s="2339"/>
      <c r="Z54" s="1905"/>
      <c r="AA54" s="1907"/>
      <c r="AB54" s="1905"/>
      <c r="AC54" s="1891"/>
      <c r="AD54" s="1909"/>
      <c r="AE54" s="1893"/>
      <c r="AF54" s="1894">
        <f>AF53</f>
        <v>28</v>
      </c>
      <c r="AG54" s="1894"/>
      <c r="AH54" s="1896"/>
      <c r="AI54" s="1896"/>
      <c r="AJ54" s="1880"/>
      <c r="AK54" s="1908"/>
    </row>
    <row r="55" spans="1:37" ht="19" customHeight="1">
      <c r="B55" s="26">
        <v>7</v>
      </c>
      <c r="C55" s="3898" t="s">
        <v>1009</v>
      </c>
      <c r="D55" s="3901" t="s">
        <v>494</v>
      </c>
      <c r="E55" s="593" t="s">
        <v>3</v>
      </c>
      <c r="F55" s="1174"/>
      <c r="G55" s="3169">
        <f>G27</f>
        <v>0.20512820512820515</v>
      </c>
      <c r="H55" s="150">
        <f t="shared" ref="H55:I57" si="22">H769</f>
        <v>46.15384615384616</v>
      </c>
      <c r="I55" s="1085" t="str">
        <f t="shared" si="22"/>
        <v>Cost for labour</v>
      </c>
      <c r="J55" s="376" t="str">
        <f t="shared" si="20"/>
        <v>Annual</v>
      </c>
      <c r="K55" s="117">
        <f>J769</f>
        <v>1</v>
      </c>
      <c r="L55" s="379">
        <f t="shared" si="8"/>
        <v>80</v>
      </c>
      <c r="M55" s="272">
        <f t="shared" si="8"/>
        <v>1</v>
      </c>
      <c r="N55" s="150">
        <f t="shared" si="9"/>
        <v>1147.9388086480785</v>
      </c>
      <c r="O55" s="915">
        <f t="shared" si="10"/>
        <v>46.153846153846125</v>
      </c>
      <c r="P55" s="245">
        <f>SUM(O55:O58)</f>
        <v>1353.8461538461524</v>
      </c>
      <c r="Q55" s="3039"/>
      <c r="R55" s="3039"/>
      <c r="S55" s="3039"/>
      <c r="T55" s="1031" t="s">
        <v>808</v>
      </c>
      <c r="U55" s="916">
        <f t="shared" si="11"/>
        <v>0.46153846153846123</v>
      </c>
      <c r="V55" s="588">
        <f>IF($T55="L",SUM($U55:U55)*V$16,"")</f>
        <v>0.13846153846153836</v>
      </c>
      <c r="W55" s="588">
        <f>IF($U55="","",IF(OR($T55="L",$T55="T",$T55="C"),SUM($U55:V55)*W$16,""))</f>
        <v>5.999999999999997E-2</v>
      </c>
      <c r="X55" s="588">
        <f>IF($U55="","",SUM($U55:W55)*X$16)</f>
        <v>0.19799999999999987</v>
      </c>
      <c r="Y55" s="383">
        <f t="shared" ref="Y55:Y74" si="23">IF($U55="","",SUM(V55:X55))</f>
        <v>0.3964615384615382</v>
      </c>
      <c r="Z55" s="245">
        <f>SUM(V55:X58)</f>
        <v>6.0195384615384553</v>
      </c>
      <c r="AA55" s="917">
        <f t="shared" ref="AA55:AA74" si="24">IF($U55="","",SUM(U55,Y55))</f>
        <v>0.85799999999999943</v>
      </c>
      <c r="AB55" s="245">
        <f>SUM(AA55:AA58)</f>
        <v>19.557999999999982</v>
      </c>
      <c r="AC55" s="918">
        <f t="shared" ref="AC55:AC74" ca="1" si="25">IF(AA55="","",AA55/OFFSET($AB$23,AF55,0))</f>
        <v>4.3869516310461203E-2</v>
      </c>
      <c r="AD55" s="589"/>
      <c r="AE55" s="573"/>
      <c r="AF55" s="587">
        <f>AF51+4</f>
        <v>32</v>
      </c>
      <c r="AG55" s="816">
        <f ca="1">SUM(AC55:AC58)-1</f>
        <v>0</v>
      </c>
      <c r="AH55" s="13">
        <f>$AH$16/K55</f>
        <v>5</v>
      </c>
      <c r="AI55" s="13">
        <f>$AH$16/AH55</f>
        <v>1</v>
      </c>
      <c r="AJ55" s="188">
        <f>$H55*(1-(1+$L$15)^-(AH55*AI55))/((1+$L$15)^AI55-1)*(1+((1+$L$15)^AI55-1))</f>
        <v>213.68747188877799</v>
      </c>
      <c r="AK55" s="191">
        <f>SUM(AJ55:AJ58)</f>
        <v>6268.1658420708209</v>
      </c>
    </row>
    <row r="56" spans="1:37" ht="19" customHeight="1">
      <c r="B56" s="612"/>
      <c r="C56" s="3899"/>
      <c r="D56" s="3902"/>
      <c r="E56" s="593" t="s">
        <v>308</v>
      </c>
      <c r="F56" s="1174">
        <f>$F$28</f>
        <v>1</v>
      </c>
      <c r="G56" s="3169">
        <f>G28</f>
        <v>0.20512820512820515</v>
      </c>
      <c r="H56" s="150">
        <f t="shared" si="22"/>
        <v>1307.6923076923076</v>
      </c>
      <c r="I56" s="1085" t="str">
        <f t="shared" si="22"/>
        <v xml:space="preserve">Cost for transport </v>
      </c>
      <c r="J56" s="376" t="str">
        <f t="shared" si="20"/>
        <v>Annual</v>
      </c>
      <c r="K56" s="117">
        <f>J770</f>
        <v>1</v>
      </c>
      <c r="L56" s="379">
        <f t="shared" si="8"/>
        <v>80</v>
      </c>
      <c r="M56" s="272">
        <f t="shared" si="8"/>
        <v>1</v>
      </c>
      <c r="N56" s="150">
        <f t="shared" si="9"/>
        <v>32524.932911695545</v>
      </c>
      <c r="O56" s="915">
        <f t="shared" si="10"/>
        <v>1307.6923076923063</v>
      </c>
      <c r="P56" s="382"/>
      <c r="Q56" s="3019">
        <f>1*(1-(1+$L$15)^-(L56*M56))/((1+$L$15)^M56-1)*(1+((1+$L$15)^M56-1))</f>
        <v>24.872007520708362</v>
      </c>
      <c r="R56" s="3019">
        <f>Q56/(1+$L$15)*($L$15)/(1-(1+$L$15)^-$L$16)</f>
        <v>0.99999999999999911</v>
      </c>
      <c r="S56" s="3019">
        <f>F56*R56</f>
        <v>0.99999999999999911</v>
      </c>
      <c r="T56" s="1032" t="s">
        <v>809</v>
      </c>
      <c r="U56" s="588">
        <f t="shared" si="11"/>
        <v>13.076923076923062</v>
      </c>
      <c r="V56" s="919" t="str">
        <f>IF($T56="L",SUM($U56:U56)*V$16,"")</f>
        <v/>
      </c>
      <c r="W56" s="919">
        <f>IF($U56="","",IF(OR($T56="L",$T56="T",$T56="C"),SUM($U56:V56)*W$16,""))</f>
        <v>1.3076923076923064</v>
      </c>
      <c r="X56" s="919">
        <f>IF($U56="","",SUM($U56:W56)*X$16)</f>
        <v>4.3153846153846107</v>
      </c>
      <c r="Y56" s="384">
        <f t="shared" si="23"/>
        <v>5.6230769230769173</v>
      </c>
      <c r="Z56" s="382"/>
      <c r="AA56" s="920">
        <f t="shared" si="24"/>
        <v>18.699999999999982</v>
      </c>
      <c r="AB56" s="382"/>
      <c r="AC56" s="918">
        <f t="shared" ca="1" si="25"/>
        <v>0.95613048368953879</v>
      </c>
      <c r="AD56" s="590"/>
      <c r="AE56" s="573"/>
      <c r="AF56" s="587">
        <f>AF55</f>
        <v>32</v>
      </c>
      <c r="AG56" s="587"/>
      <c r="AH56" s="13">
        <f>$AH$16/K56</f>
        <v>5</v>
      </c>
      <c r="AI56" s="13">
        <f>$AH$16/AH56</f>
        <v>1</v>
      </c>
      <c r="AJ56" s="188">
        <f>$H56*(1-(1+$L$15)^-(AH56*AI56))/((1+$L$15)^AI56-1)*(1+((1+$L$15)^AI56-1))</f>
        <v>6054.4783701820425</v>
      </c>
      <c r="AK56" s="342"/>
    </row>
    <row r="57" spans="1:37" ht="16" customHeight="1">
      <c r="B57" s="612"/>
      <c r="C57" s="3899"/>
      <c r="D57" s="3902"/>
      <c r="E57" s="593" t="s">
        <v>4</v>
      </c>
      <c r="F57" s="1174"/>
      <c r="G57" s="3169">
        <f>G29</f>
        <v>0</v>
      </c>
      <c r="H57" s="150">
        <f t="shared" si="22"/>
        <v>0</v>
      </c>
      <c r="I57" s="1085" t="str">
        <f t="shared" si="22"/>
        <v>cost for accommodation and meals</v>
      </c>
      <c r="J57" s="376" t="str">
        <f t="shared" si="20"/>
        <v>Annual</v>
      </c>
      <c r="K57" s="117">
        <f>J771</f>
        <v>1</v>
      </c>
      <c r="L57" s="379">
        <f t="shared" si="8"/>
        <v>80</v>
      </c>
      <c r="M57" s="272">
        <f t="shared" si="8"/>
        <v>1</v>
      </c>
      <c r="N57" s="150">
        <f t="shared" si="9"/>
        <v>0</v>
      </c>
      <c r="O57" s="915">
        <f t="shared" si="10"/>
        <v>0</v>
      </c>
      <c r="P57" s="382"/>
      <c r="Q57" s="3019"/>
      <c r="R57" s="3019"/>
      <c r="S57" s="3019"/>
      <c r="T57" s="1032" t="s">
        <v>810</v>
      </c>
      <c r="U57" s="588">
        <f t="shared" si="11"/>
        <v>0</v>
      </c>
      <c r="V57" s="919" t="str">
        <f>IF($T57="L",SUM($U57:U57)*V$16,"")</f>
        <v/>
      </c>
      <c r="W57" s="919">
        <f>IF($U57="","",IF(OR($T57="L",$T57="T",$T57="C"),SUM($U57:V57)*W$16,""))</f>
        <v>0</v>
      </c>
      <c r="X57" s="919">
        <f>IF($U57="","",SUM($U57:W57)*X$16)</f>
        <v>0</v>
      </c>
      <c r="Y57" s="384">
        <f t="shared" si="23"/>
        <v>0</v>
      </c>
      <c r="Z57" s="382"/>
      <c r="AA57" s="920">
        <f t="shared" si="24"/>
        <v>0</v>
      </c>
      <c r="AB57" s="382"/>
      <c r="AC57" s="918">
        <f t="shared" ca="1" si="25"/>
        <v>0</v>
      </c>
      <c r="AD57" s="589"/>
      <c r="AE57" s="573"/>
      <c r="AF57" s="587">
        <f>AF56</f>
        <v>32</v>
      </c>
      <c r="AG57" s="587"/>
      <c r="AH57" s="13">
        <f>$AH$16/K57</f>
        <v>5</v>
      </c>
      <c r="AI57" s="13">
        <f>$AH$16/AH57</f>
        <v>1</v>
      </c>
      <c r="AJ57" s="188">
        <f>$H57*(1-(1+$L$15)^-(AH57*AI57))/((1+$L$15)^AI57-1)*(1+((1+$L$15)^AI57-1))</f>
        <v>0</v>
      </c>
      <c r="AK57" s="342"/>
    </row>
    <row r="58" spans="1:37" ht="19" customHeight="1">
      <c r="B58" s="612"/>
      <c r="C58" s="3900"/>
      <c r="D58" s="3903"/>
      <c r="E58" s="593" t="s">
        <v>21</v>
      </c>
      <c r="F58" s="1174"/>
      <c r="G58" s="3169"/>
      <c r="H58" s="150"/>
      <c r="I58" s="479"/>
      <c r="J58" s="376"/>
      <c r="K58" s="272"/>
      <c r="L58" s="379"/>
      <c r="M58" s="272"/>
      <c r="N58" s="150"/>
      <c r="O58" s="915"/>
      <c r="P58" s="382"/>
      <c r="Q58" s="3019"/>
      <c r="R58" s="3019"/>
      <c r="S58" s="3019"/>
      <c r="T58" s="1033" t="s">
        <v>811</v>
      </c>
      <c r="U58" s="588"/>
      <c r="V58" s="919" t="str">
        <f>IF($T58="L",SUM($U58:U58)*V$16,"")</f>
        <v/>
      </c>
      <c r="W58" s="919" t="str">
        <f>IF($U58="","",IF(OR($T58="L",$T58="T",$T58="C"),SUM($U58:V58)*W$16,""))</f>
        <v/>
      </c>
      <c r="X58" s="919" t="str">
        <f>IF($U58="","",SUM($U58:W58)*X$16)</f>
        <v/>
      </c>
      <c r="Y58" s="384" t="str">
        <f t="shared" si="23"/>
        <v/>
      </c>
      <c r="Z58" s="382"/>
      <c r="AA58" s="920" t="str">
        <f t="shared" si="24"/>
        <v/>
      </c>
      <c r="AB58" s="382"/>
      <c r="AC58" s="918" t="str">
        <f t="shared" ca="1" si="25"/>
        <v/>
      </c>
      <c r="AD58" s="589"/>
      <c r="AE58" s="573"/>
      <c r="AF58" s="587">
        <f>AF57</f>
        <v>32</v>
      </c>
      <c r="AG58" s="587"/>
      <c r="AH58" s="13"/>
      <c r="AI58" s="13"/>
      <c r="AJ58" s="188"/>
      <c r="AK58" s="342"/>
    </row>
    <row r="59" spans="1:37" ht="19" customHeight="1">
      <c r="A59" s="390"/>
      <c r="B59" s="1768">
        <f>B55+1.1</f>
        <v>8.1</v>
      </c>
      <c r="C59" s="3859" t="s">
        <v>1008</v>
      </c>
      <c r="D59" s="3850" t="s">
        <v>975</v>
      </c>
      <c r="E59" s="373" t="s">
        <v>3</v>
      </c>
      <c r="F59" s="1176"/>
      <c r="G59" s="3171">
        <f>$G$31</f>
        <v>6.2541106128550075</v>
      </c>
      <c r="H59" s="370">
        <f>H786</f>
        <v>1407.1748878923768</v>
      </c>
      <c r="I59" s="613" t="s">
        <v>474</v>
      </c>
      <c r="J59" s="375" t="str">
        <f>IF(K59=1,"Annual","Done every "&amp;K59&amp;" years")</f>
        <v>Annual</v>
      </c>
      <c r="K59" s="374">
        <f>L786</f>
        <v>1</v>
      </c>
      <c r="L59" s="386">
        <f t="shared" ref="L59:M61" si="26">$L$16/K59</f>
        <v>80</v>
      </c>
      <c r="M59" s="371">
        <f t="shared" si="26"/>
        <v>1</v>
      </c>
      <c r="N59" s="370">
        <f>$H59*(1-(1+$L$15)^-(L59*M59))/((1+$L$15)^M59-1)*(1+((1+$L$15)^M59-1))</f>
        <v>34999.264394611135</v>
      </c>
      <c r="O59" s="640">
        <f>N59/(1+$L$15)*($L$15)/(1-(1+$L$15)^-$L$16)</f>
        <v>1407.1748878923752</v>
      </c>
      <c r="P59" s="392">
        <f>SUM(O59:O62)</f>
        <v>3558.3856502242124</v>
      </c>
      <c r="Q59" s="2980"/>
      <c r="R59" s="2980"/>
      <c r="S59" s="2980"/>
      <c r="T59" s="1039" t="s">
        <v>808</v>
      </c>
      <c r="U59" s="639">
        <f>O59/$U$16</f>
        <v>14.071748878923751</v>
      </c>
      <c r="V59" s="639">
        <f>IF($T59="L",SUM($U59:U59)*V$16,"")</f>
        <v>4.2215246636771253</v>
      </c>
      <c r="W59" s="639">
        <f>IF($U59="","",IF(OR($T59="L",$T59="T",$T59="C"),SUM($U59:V59)*W$16,""))</f>
        <v>1.8293273542600876</v>
      </c>
      <c r="X59" s="639">
        <f>IF($U59="","",SUM($U59:W59)*X$16)</f>
        <v>6.0367802690582888</v>
      </c>
      <c r="Y59" s="388">
        <f t="shared" si="23"/>
        <v>12.087632286995502</v>
      </c>
      <c r="Z59" s="392">
        <f>SUM(V59:X62)</f>
        <v>21.337838565022402</v>
      </c>
      <c r="AA59" s="734">
        <f t="shared" si="24"/>
        <v>26.159381165919253</v>
      </c>
      <c r="AB59" s="391">
        <f>SUM(AA59:AA62)</f>
        <v>56.921695067264523</v>
      </c>
      <c r="AC59" s="936">
        <f t="shared" ca="1" si="25"/>
        <v>0.45956785255615878</v>
      </c>
      <c r="AD59" s="638"/>
      <c r="AE59" s="1069"/>
      <c r="AF59" s="587">
        <f>AF55+4</f>
        <v>36</v>
      </c>
      <c r="AG59" s="816">
        <f ca="1">SUM(AC59:AC62)-1</f>
        <v>0</v>
      </c>
      <c r="AH59" s="387">
        <f>$AH$16/K59</f>
        <v>5</v>
      </c>
      <c r="AI59" s="387">
        <f>$AH$16/AH59</f>
        <v>1</v>
      </c>
      <c r="AJ59" s="370">
        <f>$H59*(1-(1+$L$15)^-(AH59*AI59))/((1+$L$15)^AI59-1)*(1+((1+$L$15)^AI59-1))</f>
        <v>6515.0722931470918</v>
      </c>
      <c r="AK59" s="981">
        <f>SUM(AJ59:AJ62)</f>
        <v>16474.95272803722</v>
      </c>
    </row>
    <row r="60" spans="1:37" ht="19" customHeight="1">
      <c r="A60" s="390"/>
      <c r="B60" s="1765"/>
      <c r="C60" s="3860"/>
      <c r="D60" s="3851"/>
      <c r="E60" s="373" t="s">
        <v>308</v>
      </c>
      <c r="F60" s="1176">
        <f>$F$32</f>
        <v>1</v>
      </c>
      <c r="G60" s="3171">
        <f>G32</f>
        <v>3.1270553064275037</v>
      </c>
      <c r="H60" s="370">
        <f>H787</f>
        <v>891.21076233183862</v>
      </c>
      <c r="I60" s="613" t="s">
        <v>65</v>
      </c>
      <c r="J60" s="375" t="str">
        <f>IF(K60=1,"Annual","Done every "&amp;K60&amp;" years")</f>
        <v>Annual</v>
      </c>
      <c r="K60" s="374">
        <f>L787</f>
        <v>1</v>
      </c>
      <c r="L60" s="386">
        <f t="shared" si="26"/>
        <v>80</v>
      </c>
      <c r="M60" s="371">
        <f t="shared" si="26"/>
        <v>1</v>
      </c>
      <c r="N60" s="370">
        <f>$H60*(1-(1+$L$15)^-(L60*M60))/((1+$L$15)^M60-1)*(1+((1+$L$15)^M60-1))</f>
        <v>22166.200783253724</v>
      </c>
      <c r="O60" s="640">
        <f>N60/(1+$L$15)*($L$15)/(1-(1+$L$15)^-$L$16)</f>
        <v>891.21076233183794</v>
      </c>
      <c r="P60" s="392"/>
      <c r="Q60" s="2980">
        <f>1*(1-(1+$L$15)^-(L60*M60))/((1+$L$15)^M60-1)*(1+((1+$L$15)^M60-1))</f>
        <v>24.872007520708362</v>
      </c>
      <c r="R60" s="2980">
        <f>Q60/(1+$L$15)*($L$15)/(1-(1+$L$15)^-$L$16)</f>
        <v>0.99999999999999911</v>
      </c>
      <c r="S60" s="2980">
        <f>F60*R60</f>
        <v>0.99999999999999911</v>
      </c>
      <c r="T60" s="1034" t="s">
        <v>809</v>
      </c>
      <c r="U60" s="639">
        <f>O60/$U$16</f>
        <v>8.9121076233183789</v>
      </c>
      <c r="V60" s="642" t="str">
        <f>IF($T60="L",SUM($U60:U60)*V$16,"")</f>
        <v/>
      </c>
      <c r="W60" s="642">
        <f>IF($U60="","",IF(OR($T60="L",$T60="T",$T60="C"),SUM($U60:V60)*W$16,""))</f>
        <v>0.89121076233183794</v>
      </c>
      <c r="X60" s="642">
        <f>IF($U60="","",SUM($U60:W60)*X$16)</f>
        <v>2.9409955156950649</v>
      </c>
      <c r="Y60" s="388">
        <f t="shared" si="23"/>
        <v>3.8322062780269031</v>
      </c>
      <c r="Z60" s="392"/>
      <c r="AA60" s="734">
        <f t="shared" si="24"/>
        <v>12.744313901345283</v>
      </c>
      <c r="AB60" s="391"/>
      <c r="AC60" s="936">
        <f t="shared" ca="1" si="25"/>
        <v>0.2238920307324877</v>
      </c>
      <c r="AD60" s="641"/>
      <c r="AE60" s="1069"/>
      <c r="AF60" s="587">
        <f>AF59</f>
        <v>36</v>
      </c>
      <c r="AG60" s="587"/>
      <c r="AH60" s="387">
        <f>$AH$16/K60</f>
        <v>5</v>
      </c>
      <c r="AI60" s="387">
        <f>$AH$16/AH60</f>
        <v>1</v>
      </c>
      <c r="AJ60" s="370">
        <f>$H60*(1-(1+$L$15)^-(AH60*AI60))/((1+$L$15)^AI60-1)*(1+((1+$L$15)^AI60-1))</f>
        <v>4126.212452326492</v>
      </c>
      <c r="AK60" s="981"/>
    </row>
    <row r="61" spans="1:37" ht="19" customHeight="1">
      <c r="A61" s="390"/>
      <c r="B61" s="1765"/>
      <c r="C61" s="3860"/>
      <c r="D61" s="3851"/>
      <c r="E61" s="373" t="s">
        <v>4</v>
      </c>
      <c r="F61" s="1176"/>
      <c r="G61" s="3171">
        <f>G33</f>
        <v>6</v>
      </c>
      <c r="H61" s="370">
        <f>H788</f>
        <v>1260</v>
      </c>
      <c r="I61" s="613" t="s">
        <v>70</v>
      </c>
      <c r="J61" s="375" t="str">
        <f>IF(K61=1,"Annual","Done every "&amp;K61&amp;" years")</f>
        <v>Annual</v>
      </c>
      <c r="K61" s="374">
        <f>L788</f>
        <v>1</v>
      </c>
      <c r="L61" s="386">
        <f t="shared" si="26"/>
        <v>80</v>
      </c>
      <c r="M61" s="371">
        <f t="shared" si="26"/>
        <v>1</v>
      </c>
      <c r="N61" s="370">
        <f>$H61*(1-(1+$L$15)^-(L61*M61))/((1+$L$15)^M61-1)*(1+((1+$L$15)^M61-1))</f>
        <v>31338.729476092536</v>
      </c>
      <c r="O61" s="640">
        <f>N61/(1+$L$15)*($L$15)/(1-(1+$L$15)^-$L$16)</f>
        <v>1259.9999999999991</v>
      </c>
      <c r="P61" s="392"/>
      <c r="Q61" s="2980"/>
      <c r="R61" s="2980"/>
      <c r="S61" s="2980"/>
      <c r="T61" s="1034" t="s">
        <v>810</v>
      </c>
      <c r="U61" s="639">
        <f>O61/$U$16</f>
        <v>12.599999999999991</v>
      </c>
      <c r="V61" s="642" t="str">
        <f>IF($T61="L",SUM($U61:U61)*V$16,"")</f>
        <v/>
      </c>
      <c r="W61" s="642">
        <f>IF($U61="","",IF(OR($T61="L",$T61="T",$T61="C"),SUM($U61:V61)*W$16,""))</f>
        <v>1.2599999999999991</v>
      </c>
      <c r="X61" s="642">
        <f>IF($U61="","",SUM($U61:W61)*X$16)</f>
        <v>4.1579999999999968</v>
      </c>
      <c r="Y61" s="388">
        <f t="shared" si="23"/>
        <v>5.4179999999999957</v>
      </c>
      <c r="Z61" s="392"/>
      <c r="AA61" s="734">
        <f t="shared" si="24"/>
        <v>18.017999999999986</v>
      </c>
      <c r="AB61" s="391"/>
      <c r="AC61" s="936">
        <f t="shared" ca="1" si="25"/>
        <v>0.31654011671135351</v>
      </c>
      <c r="AD61" s="641"/>
      <c r="AE61" s="1069"/>
      <c r="AF61" s="587">
        <f>AF60</f>
        <v>36</v>
      </c>
      <c r="AG61" s="587"/>
      <c r="AH61" s="387">
        <f>$AH$16/K61</f>
        <v>5</v>
      </c>
      <c r="AI61" s="387">
        <f>$AH$16/AH61</f>
        <v>1</v>
      </c>
      <c r="AJ61" s="370">
        <f>$H61*(1-(1+$L$15)^-(AH61*AI61))/((1+$L$15)^AI61-1)*(1+((1+$L$15)^AI61-1))</f>
        <v>5833.6679825636384</v>
      </c>
      <c r="AK61" s="981"/>
    </row>
    <row r="62" spans="1:37" ht="19" customHeight="1">
      <c r="A62" s="390"/>
      <c r="B62" s="1772"/>
      <c r="C62" s="3861"/>
      <c r="D62" s="3862"/>
      <c r="E62" s="373" t="s">
        <v>21</v>
      </c>
      <c r="F62" s="1176"/>
      <c r="G62" s="3171"/>
      <c r="H62" s="370"/>
      <c r="I62" s="613"/>
      <c r="J62" s="375"/>
      <c r="K62" s="374"/>
      <c r="L62" s="386"/>
      <c r="M62" s="371"/>
      <c r="N62" s="370"/>
      <c r="O62" s="699"/>
      <c r="P62" s="396"/>
      <c r="Q62" s="3031"/>
      <c r="R62" s="3031"/>
      <c r="S62" s="3031"/>
      <c r="T62" s="1040" t="s">
        <v>811</v>
      </c>
      <c r="U62" s="700"/>
      <c r="V62" s="700" t="str">
        <f>IF($T62="L",SUM($U62:U62)*V$16,"")</f>
        <v/>
      </c>
      <c r="W62" s="700" t="str">
        <f>IF($U62="","",IF(OR($T62="L",$T62="T",$T62="C"),SUM($U62:V62)*W$16,""))</f>
        <v/>
      </c>
      <c r="X62" s="700" t="str">
        <f>IF($U62="","",SUM($U62:W62)*X$16)</f>
        <v/>
      </c>
      <c r="Y62" s="699" t="str">
        <f t="shared" si="23"/>
        <v/>
      </c>
      <c r="Z62" s="396"/>
      <c r="AA62" s="743" t="str">
        <f t="shared" si="24"/>
        <v/>
      </c>
      <c r="AB62" s="395"/>
      <c r="AC62" s="937" t="str">
        <f t="shared" ca="1" si="25"/>
        <v/>
      </c>
      <c r="AD62" s="822"/>
      <c r="AE62" s="1069"/>
      <c r="AF62" s="587">
        <f>AF61</f>
        <v>36</v>
      </c>
      <c r="AG62" s="587"/>
      <c r="AH62" s="387"/>
      <c r="AI62" s="387"/>
      <c r="AJ62" s="370"/>
      <c r="AK62" s="882"/>
    </row>
    <row r="63" spans="1:37" ht="19" customHeight="1">
      <c r="A63" s="676"/>
      <c r="B63" s="1766">
        <f>B59+0.1</f>
        <v>8.1999999999999993</v>
      </c>
      <c r="C63" s="3875" t="s">
        <v>203</v>
      </c>
      <c r="D63" s="3852" t="s">
        <v>473</v>
      </c>
      <c r="E63" s="685" t="s">
        <v>3</v>
      </c>
      <c r="F63" s="1177"/>
      <c r="G63" s="3172">
        <f>$G$35</f>
        <v>7.449925261584454</v>
      </c>
      <c r="H63" s="665">
        <f>I786</f>
        <v>1676.2331838565024</v>
      </c>
      <c r="I63" s="818" t="s">
        <v>474</v>
      </c>
      <c r="J63" s="666" t="str">
        <f>IF(K63=1,"Annual","Done every "&amp;K63&amp;" years")</f>
        <v>Annual</v>
      </c>
      <c r="K63" s="701">
        <f>K59</f>
        <v>1</v>
      </c>
      <c r="L63" s="668">
        <f t="shared" ref="L63:M65" si="27">$L$16/K63</f>
        <v>80</v>
      </c>
      <c r="M63" s="667">
        <f t="shared" si="27"/>
        <v>1</v>
      </c>
      <c r="N63" s="665">
        <f>$H63*(1-(1+$L$15)^-(L63*M63))/((1+$L$15)^M63-1)*(1+((1+$L$15)^M63-1))</f>
        <v>41691.284355339849</v>
      </c>
      <c r="O63" s="680">
        <f>N63/(1+$L$15)*($L$15)/(1-(1+$L$15)^-$L$16)</f>
        <v>1676.233183856501</v>
      </c>
      <c r="P63" s="720">
        <f>SUM(O63:O66)</f>
        <v>3997.847533632284</v>
      </c>
      <c r="Q63" s="3032"/>
      <c r="R63" s="3032"/>
      <c r="S63" s="3032"/>
      <c r="T63" s="1035" t="s">
        <v>808</v>
      </c>
      <c r="U63" s="675">
        <f>O63/$U$16</f>
        <v>16.762331838565011</v>
      </c>
      <c r="V63" s="675">
        <f>IF($T63="L",SUM($U63:U63)*V$16,"")</f>
        <v>5.0286995515695034</v>
      </c>
      <c r="W63" s="675">
        <f>IF($U63="","",IF(OR($T63="L",$T63="T",$T63="C"),SUM($U63:V63)*W$16,""))</f>
        <v>2.1791031390134514</v>
      </c>
      <c r="X63" s="675">
        <f>IF($U63="","",SUM($U63:W63)*X$16)</f>
        <v>7.1910403587443898</v>
      </c>
      <c r="Y63" s="679">
        <f t="shared" si="23"/>
        <v>14.398843049327345</v>
      </c>
      <c r="Z63" s="720">
        <f>SUM(V63:X66)</f>
        <v>24.381784753363213</v>
      </c>
      <c r="AA63" s="737">
        <f t="shared" si="24"/>
        <v>31.161174887892358</v>
      </c>
      <c r="AB63" s="678">
        <f>SUM(AA63:AA66)</f>
        <v>64.360260089686051</v>
      </c>
      <c r="AC63" s="935">
        <f t="shared" ca="1" si="25"/>
        <v>0.48416794532012841</v>
      </c>
      <c r="AD63" s="674"/>
      <c r="AE63" s="1070"/>
      <c r="AF63" s="587">
        <f>AF59+4</f>
        <v>40</v>
      </c>
      <c r="AG63" s="816">
        <f ca="1">SUM(AC63:AC66)-1</f>
        <v>0</v>
      </c>
      <c r="AH63" s="669">
        <f>$AH$16/K63</f>
        <v>5</v>
      </c>
      <c r="AI63" s="669">
        <f>$AH$16/AH63</f>
        <v>1</v>
      </c>
      <c r="AJ63" s="665">
        <f>$H63*(1-(1+$L$15)^-(AH63*AI63))/((1+$L$15)^AI63-1)*(1+((1+$L$15)^AI63-1))</f>
        <v>7760.7840126780848</v>
      </c>
      <c r="AK63" s="984">
        <f>SUM(AJ63:AJ66)</f>
        <v>18509.615203271176</v>
      </c>
    </row>
    <row r="64" spans="1:37" ht="19" customHeight="1">
      <c r="A64" s="676"/>
      <c r="B64" s="1769"/>
      <c r="C64" s="3876"/>
      <c r="D64" s="3853"/>
      <c r="E64" s="685" t="s">
        <v>308</v>
      </c>
      <c r="F64" s="1177">
        <f>$F$36</f>
        <v>1</v>
      </c>
      <c r="G64" s="3172">
        <f>G36</f>
        <v>3.724962630792227</v>
      </c>
      <c r="H64" s="665">
        <f>I787</f>
        <v>1061.6143497757848</v>
      </c>
      <c r="I64" s="818" t="s">
        <v>65</v>
      </c>
      <c r="J64" s="666" t="str">
        <f>IF(K64=1,"Annual","Done every "&amp;K64&amp;" years")</f>
        <v>Annual</v>
      </c>
      <c r="K64" s="701">
        <f>K60</f>
        <v>1</v>
      </c>
      <c r="L64" s="668">
        <f t="shared" si="27"/>
        <v>80</v>
      </c>
      <c r="M64" s="667">
        <f t="shared" si="27"/>
        <v>1</v>
      </c>
      <c r="N64" s="665">
        <f>$H64*(1-(1+$L$15)^-(L64*M64))/((1+$L$15)^M64-1)*(1+((1+$L$15)^M64-1))</f>
        <v>26404.480091715235</v>
      </c>
      <c r="O64" s="680">
        <f>N64/(1+$L$15)*($L$15)/(1-(1+$L$15)^-$L$16)</f>
        <v>1061.6143497757839</v>
      </c>
      <c r="P64" s="720"/>
      <c r="Q64" s="3032">
        <f>1*(1-(1+$L$15)^-(L64*M64))/((1+$L$15)^M64-1)*(1+((1+$L$15)^M64-1))</f>
        <v>24.872007520708362</v>
      </c>
      <c r="R64" s="3032">
        <f>Q64/(1+$L$15)*($L$15)/(1-(1+$L$15)^-$L$16)</f>
        <v>0.99999999999999911</v>
      </c>
      <c r="S64" s="3032">
        <f>F64*R64</f>
        <v>0.99999999999999911</v>
      </c>
      <c r="T64" s="1036" t="s">
        <v>809</v>
      </c>
      <c r="U64" s="675">
        <f>O64/$U$16</f>
        <v>10.616143497757839</v>
      </c>
      <c r="V64" s="682" t="str">
        <f>IF($T64="L",SUM($U64:U64)*V$16,"")</f>
        <v/>
      </c>
      <c r="W64" s="682">
        <f>IF($U64="","",IF(OR($T64="L",$T64="T",$T64="C"),SUM($U64:V64)*W$16,""))</f>
        <v>1.0616143497757839</v>
      </c>
      <c r="X64" s="682">
        <f>IF($U64="","",SUM($U64:W64)*X$16)</f>
        <v>3.5033273542600871</v>
      </c>
      <c r="Y64" s="679">
        <f t="shared" si="23"/>
        <v>4.5649417040358706</v>
      </c>
      <c r="Z64" s="720"/>
      <c r="AA64" s="737">
        <f t="shared" si="24"/>
        <v>15.18108520179371</v>
      </c>
      <c r="AB64" s="678"/>
      <c r="AC64" s="935">
        <f t="shared" ca="1" si="25"/>
        <v>0.2358766913098061</v>
      </c>
      <c r="AD64" s="681"/>
      <c r="AE64" s="1070"/>
      <c r="AF64" s="587">
        <f>AF63</f>
        <v>40</v>
      </c>
      <c r="AG64" s="587"/>
      <c r="AH64" s="669">
        <f>$AH$16/K64</f>
        <v>5</v>
      </c>
      <c r="AI64" s="669">
        <f>$AH$16/AH64</f>
        <v>1</v>
      </c>
      <c r="AJ64" s="665">
        <f>$H64*(1-(1+$L$15)^-(AH64*AI64))/((1+$L$15)^AI64-1)*(1+((1+$L$15)^AI64-1))</f>
        <v>4915.163208029453</v>
      </c>
      <c r="AK64" s="984"/>
    </row>
    <row r="65" spans="1:37" ht="19" customHeight="1">
      <c r="A65" s="676"/>
      <c r="B65" s="1769"/>
      <c r="C65" s="3876"/>
      <c r="D65" s="3853"/>
      <c r="E65" s="685" t="s">
        <v>4</v>
      </c>
      <c r="F65" s="1177"/>
      <c r="G65" s="3172">
        <f>G37</f>
        <v>6</v>
      </c>
      <c r="H65" s="665">
        <f>I788</f>
        <v>1260</v>
      </c>
      <c r="I65" s="818" t="s">
        <v>70</v>
      </c>
      <c r="J65" s="666" t="str">
        <f>IF(K65=1,"Annual","Done every "&amp;K65&amp;" years")</f>
        <v>Annual</v>
      </c>
      <c r="K65" s="701">
        <f>K61</f>
        <v>1</v>
      </c>
      <c r="L65" s="668">
        <f t="shared" si="27"/>
        <v>80</v>
      </c>
      <c r="M65" s="667">
        <f t="shared" si="27"/>
        <v>1</v>
      </c>
      <c r="N65" s="665">
        <f>$H65*(1-(1+$L$15)^-(L65*M65))/((1+$L$15)^M65-1)*(1+((1+$L$15)^M65-1))</f>
        <v>31338.729476092536</v>
      </c>
      <c r="O65" s="680">
        <f>N65/(1+$L$15)*($L$15)/(1-(1+$L$15)^-$L$16)</f>
        <v>1259.9999999999991</v>
      </c>
      <c r="P65" s="720"/>
      <c r="Q65" s="3032"/>
      <c r="R65" s="3032"/>
      <c r="S65" s="3032"/>
      <c r="T65" s="1036" t="s">
        <v>810</v>
      </c>
      <c r="U65" s="675">
        <f>O65/$U$16</f>
        <v>12.599999999999991</v>
      </c>
      <c r="V65" s="682" t="str">
        <f>IF($T65="L",SUM($U65:U65)*V$16,"")</f>
        <v/>
      </c>
      <c r="W65" s="682">
        <f>IF($U65="","",IF(OR($T65="L",$T65="T",$T65="C"),SUM($U65:V65)*W$16,""))</f>
        <v>1.2599999999999991</v>
      </c>
      <c r="X65" s="682">
        <f>IF($U65="","",SUM($U65:W65)*X$16)</f>
        <v>4.1579999999999968</v>
      </c>
      <c r="Y65" s="679">
        <f t="shared" si="23"/>
        <v>5.4179999999999957</v>
      </c>
      <c r="Z65" s="720"/>
      <c r="AA65" s="737">
        <f t="shared" si="24"/>
        <v>18.017999999999986</v>
      </c>
      <c r="AB65" s="678"/>
      <c r="AC65" s="935">
        <f t="shared" ca="1" si="25"/>
        <v>0.27995536337006555</v>
      </c>
      <c r="AD65" s="681"/>
      <c r="AE65" s="1070"/>
      <c r="AF65" s="587">
        <f>AF64</f>
        <v>40</v>
      </c>
      <c r="AG65" s="587"/>
      <c r="AH65" s="669">
        <f>$AH$16/K65</f>
        <v>5</v>
      </c>
      <c r="AI65" s="669">
        <f>$AH$16/AH65</f>
        <v>1</v>
      </c>
      <c r="AJ65" s="665">
        <f>$H65*(1-(1+$L$15)^-(AH65*AI65))/((1+$L$15)^AI65-1)*(1+((1+$L$15)^AI65-1))</f>
        <v>5833.6679825636384</v>
      </c>
      <c r="AK65" s="984"/>
    </row>
    <row r="66" spans="1:37" ht="19" customHeight="1">
      <c r="A66" s="676"/>
      <c r="B66" s="1773"/>
      <c r="C66" s="3877"/>
      <c r="D66" s="3854"/>
      <c r="E66" s="685" t="s">
        <v>21</v>
      </c>
      <c r="F66" s="1177"/>
      <c r="G66" s="3172"/>
      <c r="H66" s="665"/>
      <c r="I66" s="818"/>
      <c r="J66" s="666"/>
      <c r="K66" s="701"/>
      <c r="L66" s="668"/>
      <c r="M66" s="667"/>
      <c r="N66" s="665"/>
      <c r="O66" s="703"/>
      <c r="P66" s="718"/>
      <c r="Q66" s="3033"/>
      <c r="R66" s="3033"/>
      <c r="S66" s="3033"/>
      <c r="T66" s="1041" t="s">
        <v>811</v>
      </c>
      <c r="U66" s="704"/>
      <c r="V66" s="704" t="str">
        <f>IF($T66="L",SUM($U66:U66)*V$16,"")</f>
        <v/>
      </c>
      <c r="W66" s="704" t="str">
        <f>IF($U66="","",IF(OR($T66="L",$T66="T",$T66="C"),SUM($U66:V66)*W$16,""))</f>
        <v/>
      </c>
      <c r="X66" s="704" t="str">
        <f>IF($U66="","",SUM($U66:W66)*X$16)</f>
        <v/>
      </c>
      <c r="Y66" s="703" t="str">
        <f t="shared" si="23"/>
        <v/>
      </c>
      <c r="Z66" s="718"/>
      <c r="AA66" s="744" t="str">
        <f t="shared" si="24"/>
        <v/>
      </c>
      <c r="AB66" s="672"/>
      <c r="AC66" s="938" t="str">
        <f t="shared" ca="1" si="25"/>
        <v/>
      </c>
      <c r="AD66" s="823"/>
      <c r="AE66" s="1070"/>
      <c r="AF66" s="587">
        <f>AF65</f>
        <v>40</v>
      </c>
      <c r="AG66" s="587"/>
      <c r="AH66" s="669"/>
      <c r="AI66" s="669"/>
      <c r="AJ66" s="665"/>
      <c r="AK66" s="883"/>
    </row>
    <row r="67" spans="1:37" ht="19" customHeight="1">
      <c r="A67" s="656"/>
      <c r="B67" s="1767">
        <f>B63+0.1</f>
        <v>8.2999999999999989</v>
      </c>
      <c r="C67" s="3878" t="s">
        <v>203</v>
      </c>
      <c r="D67" s="3863" t="s">
        <v>473</v>
      </c>
      <c r="E67" s="686" t="s">
        <v>3</v>
      </c>
      <c r="F67" s="1178"/>
      <c r="G67" s="3173">
        <f>$G$39</f>
        <v>9.8415545590433489</v>
      </c>
      <c r="H67" s="645">
        <f>J786</f>
        <v>2214.3497757847535</v>
      </c>
      <c r="I67" s="820" t="s">
        <v>474</v>
      </c>
      <c r="J67" s="646" t="str">
        <f>IF(K67=1,"Annual","Done every "&amp;K67&amp;" years")</f>
        <v>Annual</v>
      </c>
      <c r="K67" s="705">
        <f>K63</f>
        <v>1</v>
      </c>
      <c r="L67" s="648">
        <f t="shared" ref="L67:M69" si="28">$L$16/K67</f>
        <v>80</v>
      </c>
      <c r="M67" s="647">
        <f t="shared" si="28"/>
        <v>1</v>
      </c>
      <c r="N67" s="645">
        <f>$H67*(1-(1+$L$15)^-(L67*M67))/((1+$L$15)^M67-1)*(1+((1+$L$15)^M67-1))</f>
        <v>55075.324276797262</v>
      </c>
      <c r="O67" s="660">
        <f>N67/(1+$L$15)*($L$15)/(1-(1+$L$15)^-$L$16)</f>
        <v>2214.3497757847517</v>
      </c>
      <c r="P67" s="722">
        <f>SUM(O67:O70)</f>
        <v>5296.7713004484267</v>
      </c>
      <c r="Q67" s="3034"/>
      <c r="R67" s="3034"/>
      <c r="S67" s="3034"/>
      <c r="T67" s="1037" t="s">
        <v>808</v>
      </c>
      <c r="U67" s="655">
        <f>O67/$U$16</f>
        <v>22.143497757847516</v>
      </c>
      <c r="V67" s="655">
        <f>IF($T67="L",SUM($U67:U67)*V$16,"")</f>
        <v>6.6430493273542544</v>
      </c>
      <c r="W67" s="655">
        <f>IF($U67="","",IF(OR($T67="L",$T67="T",$T67="C"),SUM($U67:V67)*W$16,""))</f>
        <v>2.8786547085201772</v>
      </c>
      <c r="X67" s="655">
        <f>IF($U67="","",SUM($U67:W67)*X$16)</f>
        <v>9.4995605381165849</v>
      </c>
      <c r="Y67" s="659">
        <f t="shared" si="23"/>
        <v>19.021264573991019</v>
      </c>
      <c r="Z67" s="722">
        <f>SUM(V67:X70)</f>
        <v>32.275677130044819</v>
      </c>
      <c r="AA67" s="740">
        <f t="shared" si="24"/>
        <v>41.164762331838531</v>
      </c>
      <c r="AB67" s="658">
        <f>SUM(AA67:AA70)</f>
        <v>85.243390134529079</v>
      </c>
      <c r="AC67" s="939">
        <f t="shared" ca="1" si="25"/>
        <v>0.48290855474979688</v>
      </c>
      <c r="AD67" s="654"/>
      <c r="AE67" s="1071"/>
      <c r="AF67" s="587">
        <f>AF63+4</f>
        <v>44</v>
      </c>
      <c r="AG67" s="816">
        <f ca="1">SUM(AC67:AC70)-1</f>
        <v>0</v>
      </c>
      <c r="AH67" s="649">
        <f>$AH$16/K67</f>
        <v>5</v>
      </c>
      <c r="AI67" s="649">
        <f>$AH$16/AH67</f>
        <v>1</v>
      </c>
      <c r="AJ67" s="645">
        <f>$H67*(1-(1+$L$15)^-(AH67*AI67))/((1+$L$15)^AI67-1)*(1+((1+$L$15)^AI67-1))</f>
        <v>10252.207451740071</v>
      </c>
      <c r="AK67" s="932">
        <f>SUM(AJ67:AJ70)</f>
        <v>24523.496147926966</v>
      </c>
    </row>
    <row r="68" spans="1:37" ht="19" customHeight="1">
      <c r="A68" s="656"/>
      <c r="B68" s="1770"/>
      <c r="C68" s="3879"/>
      <c r="D68" s="3864"/>
      <c r="E68" s="686" t="s">
        <v>308</v>
      </c>
      <c r="F68" s="1178">
        <f>$F$40</f>
        <v>1</v>
      </c>
      <c r="G68" s="3173">
        <f>G40</f>
        <v>4.9207772795216744</v>
      </c>
      <c r="H68" s="645">
        <f>J787</f>
        <v>1402.4215246636772</v>
      </c>
      <c r="I68" s="820" t="s">
        <v>65</v>
      </c>
      <c r="J68" s="646" t="str">
        <f>IF(K68=1,"Annual","Done every "&amp;K68&amp;" years")</f>
        <v>Annual</v>
      </c>
      <c r="K68" s="705">
        <f>K64</f>
        <v>1</v>
      </c>
      <c r="L68" s="648">
        <f t="shared" si="28"/>
        <v>80</v>
      </c>
      <c r="M68" s="647">
        <f t="shared" si="28"/>
        <v>1</v>
      </c>
      <c r="N68" s="645">
        <f>$H68*(1-(1+$L$15)^-(L68*M68))/((1+$L$15)^M68-1)*(1+((1+$L$15)^M68-1))</f>
        <v>34881.038708638262</v>
      </c>
      <c r="O68" s="660">
        <f>N68/(1+$L$15)*($L$15)/(1-(1+$L$15)^-$L$16)</f>
        <v>1402.4215246636759</v>
      </c>
      <c r="P68" s="722"/>
      <c r="Q68" s="3034">
        <f>1*(1-(1+$L$15)^-(L68*M68))/((1+$L$15)^M68-1)*(1+((1+$L$15)^M68-1))</f>
        <v>24.872007520708362</v>
      </c>
      <c r="R68" s="3034">
        <f>Q68/(1+$L$15)*($L$15)/(1-(1+$L$15)^-$L$16)</f>
        <v>0.99999999999999911</v>
      </c>
      <c r="S68" s="3034">
        <f>F68*R68</f>
        <v>0.99999999999999911</v>
      </c>
      <c r="T68" s="1038" t="s">
        <v>809</v>
      </c>
      <c r="U68" s="655">
        <f>O68/$U$16</f>
        <v>14.024215246636759</v>
      </c>
      <c r="V68" s="662" t="str">
        <f>IF($T68="L",SUM($U68:U68)*V$16,"")</f>
        <v/>
      </c>
      <c r="W68" s="662">
        <f>IF($U68="","",IF(OR($T68="L",$T68="T",$T68="C"),SUM($U68:V68)*W$16,""))</f>
        <v>1.402421524663676</v>
      </c>
      <c r="X68" s="662">
        <f>IF($U68="","",SUM($U68:W68)*X$16)</f>
        <v>4.6279910313901302</v>
      </c>
      <c r="Y68" s="659">
        <f t="shared" si="23"/>
        <v>6.0304125560538058</v>
      </c>
      <c r="Z68" s="722"/>
      <c r="AA68" s="740">
        <f t="shared" si="24"/>
        <v>20.054627802690565</v>
      </c>
      <c r="AB68" s="658"/>
      <c r="AC68" s="939">
        <f t="shared" ca="1" si="25"/>
        <v>0.23526314205759333</v>
      </c>
      <c r="AD68" s="661"/>
      <c r="AE68" s="1071"/>
      <c r="AF68" s="587">
        <f>AF67</f>
        <v>44</v>
      </c>
      <c r="AG68" s="587"/>
      <c r="AH68" s="649">
        <f>$AH$16/K68</f>
        <v>5</v>
      </c>
      <c r="AI68" s="649">
        <f>$AH$16/AH68</f>
        <v>1</v>
      </c>
      <c r="AJ68" s="645">
        <f>$H68*(1-(1+$L$15)^-(AH68*AI68))/((1+$L$15)^AI68-1)*(1+((1+$L$15)^AI68-1))</f>
        <v>6493.0647194353778</v>
      </c>
      <c r="AK68" s="932"/>
    </row>
    <row r="69" spans="1:37" ht="19" customHeight="1">
      <c r="A69" s="656"/>
      <c r="B69" s="1770"/>
      <c r="C69" s="3879"/>
      <c r="D69" s="3864"/>
      <c r="E69" s="686" t="s">
        <v>4</v>
      </c>
      <c r="F69" s="1178"/>
      <c r="G69" s="3173">
        <f>G41</f>
        <v>8</v>
      </c>
      <c r="H69" s="645">
        <f>J788</f>
        <v>1680</v>
      </c>
      <c r="I69" s="820" t="s">
        <v>70</v>
      </c>
      <c r="J69" s="646" t="str">
        <f>IF(K69=1,"Annual","Done every "&amp;K69&amp;" years")</f>
        <v>Annual</v>
      </c>
      <c r="K69" s="705">
        <f>K65</f>
        <v>1</v>
      </c>
      <c r="L69" s="648">
        <f t="shared" si="28"/>
        <v>80</v>
      </c>
      <c r="M69" s="647">
        <f t="shared" si="28"/>
        <v>1</v>
      </c>
      <c r="N69" s="645">
        <f>$H69*(1-(1+$L$15)^-(L69*M69))/((1+$L$15)^M69-1)*(1+((1+$L$15)^M69-1))</f>
        <v>41784.972634790051</v>
      </c>
      <c r="O69" s="660">
        <f>N69/(1+$L$15)*($L$15)/(1-(1+$L$15)^-$L$16)</f>
        <v>1679.9999999999986</v>
      </c>
      <c r="P69" s="722"/>
      <c r="Q69" s="3034"/>
      <c r="R69" s="3034"/>
      <c r="S69" s="3034"/>
      <c r="T69" s="1038" t="s">
        <v>810</v>
      </c>
      <c r="U69" s="655">
        <f>O69/$U$16</f>
        <v>16.799999999999986</v>
      </c>
      <c r="V69" s="662" t="str">
        <f>IF($T69="L",SUM($U69:U69)*V$16,"")</f>
        <v/>
      </c>
      <c r="W69" s="662">
        <f>IF($U69="","",IF(OR($T69="L",$T69="T",$T69="C"),SUM($U69:V69)*W$16,""))</f>
        <v>1.6799999999999988</v>
      </c>
      <c r="X69" s="662">
        <f>IF($U69="","",SUM($U69:W69)*X$16)</f>
        <v>5.543999999999996</v>
      </c>
      <c r="Y69" s="659">
        <f t="shared" si="23"/>
        <v>7.2239999999999949</v>
      </c>
      <c r="Z69" s="722"/>
      <c r="AA69" s="740">
        <f t="shared" si="24"/>
        <v>24.02399999999998</v>
      </c>
      <c r="AB69" s="658"/>
      <c r="AC69" s="939">
        <f t="shared" ca="1" si="25"/>
        <v>0.28182830319260976</v>
      </c>
      <c r="AD69" s="661"/>
      <c r="AE69" s="1071"/>
      <c r="AF69" s="587">
        <f>AF68</f>
        <v>44</v>
      </c>
      <c r="AG69" s="587"/>
      <c r="AH69" s="649">
        <f>$AH$16/K69</f>
        <v>5</v>
      </c>
      <c r="AI69" s="649">
        <f>$AH$16/AH69</f>
        <v>1</v>
      </c>
      <c r="AJ69" s="645">
        <f>$H69*(1-(1+$L$15)^-(AH69*AI69))/((1+$L$15)^AI69-1)*(1+((1+$L$15)^AI69-1))</f>
        <v>7778.2239767515175</v>
      </c>
      <c r="AK69" s="932"/>
    </row>
    <row r="70" spans="1:37" ht="19" customHeight="1">
      <c r="A70" s="656"/>
      <c r="B70" s="706"/>
      <c r="C70" s="3880"/>
      <c r="D70" s="3865"/>
      <c r="E70" s="686" t="s">
        <v>21</v>
      </c>
      <c r="F70" s="1178"/>
      <c r="G70" s="3173"/>
      <c r="H70" s="645"/>
      <c r="I70" s="820"/>
      <c r="J70" s="646"/>
      <c r="K70" s="705"/>
      <c r="L70" s="648"/>
      <c r="M70" s="647"/>
      <c r="N70" s="645"/>
      <c r="O70" s="707"/>
      <c r="P70" s="719"/>
      <c r="Q70" s="3035"/>
      <c r="R70" s="3035"/>
      <c r="S70" s="3035"/>
      <c r="T70" s="1042" t="s">
        <v>811</v>
      </c>
      <c r="U70" s="708"/>
      <c r="V70" s="708" t="str">
        <f>IF($T70="L",SUM($U70:U70)*V$16,"")</f>
        <v/>
      </c>
      <c r="W70" s="708" t="str">
        <f>IF($U70="","",IF(OR($T70="L",$T70="T",$T70="C"),SUM($U70:V70)*W$16,""))</f>
        <v/>
      </c>
      <c r="X70" s="708" t="str">
        <f>IF($U70="","",SUM($U70:W70)*X$16)</f>
        <v/>
      </c>
      <c r="Y70" s="707" t="str">
        <f t="shared" si="23"/>
        <v/>
      </c>
      <c r="Z70" s="719"/>
      <c r="AA70" s="745" t="str">
        <f t="shared" si="24"/>
        <v/>
      </c>
      <c r="AB70" s="652"/>
      <c r="AC70" s="940" t="str">
        <f t="shared" ca="1" si="25"/>
        <v/>
      </c>
      <c r="AD70" s="824"/>
      <c r="AE70" s="1071"/>
      <c r="AF70" s="587">
        <f>AF69</f>
        <v>44</v>
      </c>
      <c r="AG70" s="587"/>
      <c r="AH70" s="649"/>
      <c r="AI70" s="649"/>
      <c r="AJ70" s="645"/>
      <c r="AK70" s="884"/>
    </row>
    <row r="71" spans="1:37" ht="19" customHeight="1">
      <c r="B71" s="1771">
        <v>9</v>
      </c>
      <c r="C71" s="1809" t="s">
        <v>397</v>
      </c>
      <c r="D71" s="3847" t="s">
        <v>192</v>
      </c>
      <c r="E71" s="12" t="s">
        <v>3</v>
      </c>
      <c r="F71" s="1172" t="s">
        <v>1197</v>
      </c>
      <c r="G71" s="1172">
        <f>$E$816</f>
        <v>15</v>
      </c>
      <c r="H71" s="188">
        <f>F816</f>
        <v>5062.5</v>
      </c>
      <c r="I71" s="1088" t="str">
        <f>G816</f>
        <v>Cost for reporting, analysis and feedback</v>
      </c>
      <c r="J71" s="377" t="str">
        <f>IF(K71=1,"Annual","Done every "&amp;K71&amp;" years")</f>
        <v>Annual</v>
      </c>
      <c r="K71" s="586">
        <f>$D$804</f>
        <v>1</v>
      </c>
      <c r="L71" s="158">
        <f>$L$16/K71</f>
        <v>80</v>
      </c>
      <c r="M71" s="586">
        <f>$L$16/L71</f>
        <v>1</v>
      </c>
      <c r="N71" s="188">
        <f>$H71*(1-(1+$L$15)^-(L71*M71))/((1+$L$15)^M71-1)*(1+((1+$L$15)^M71-1))</f>
        <v>125914.53807358607</v>
      </c>
      <c r="O71" s="242">
        <f>N71/(1+$L$15)*($L$15)/(1-(1+$L$15)^-$L$16)</f>
        <v>5062.4999999999955</v>
      </c>
      <c r="P71" s="192">
        <f>SUM(O71:O74)</f>
        <v>5062.4999999999955</v>
      </c>
      <c r="Q71" s="3036"/>
      <c r="R71" s="3036"/>
      <c r="S71" s="3036"/>
      <c r="T71" s="1039" t="s">
        <v>808</v>
      </c>
      <c r="U71" s="583">
        <f>O71/$U$16</f>
        <v>50.624999999999957</v>
      </c>
      <c r="V71" s="583">
        <f>IF($T71="L",SUM($U71:U71)*V$16,"")</f>
        <v>15.187499999999986</v>
      </c>
      <c r="W71" s="1474"/>
      <c r="X71" s="583">
        <f>IF($U71="","",SUM($U71:W71)*X$16)</f>
        <v>19.743749999999981</v>
      </c>
      <c r="Y71" s="240">
        <f t="shared" si="23"/>
        <v>34.931249999999963</v>
      </c>
      <c r="Z71" s="192">
        <f>SUM(V71:X74)</f>
        <v>34.931249999999963</v>
      </c>
      <c r="AA71" s="742">
        <f t="shared" si="24"/>
        <v>85.55624999999992</v>
      </c>
      <c r="AB71" s="192">
        <f>SUM(AA71:AA74)</f>
        <v>85.55624999999992</v>
      </c>
      <c r="AC71" s="727">
        <f t="shared" ca="1" si="25"/>
        <v>1</v>
      </c>
      <c r="AD71" s="589"/>
      <c r="AE71" s="573"/>
      <c r="AF71" s="587">
        <f>AF67+4</f>
        <v>48</v>
      </c>
      <c r="AG71" s="816">
        <f ca="1">SUM(AC71:AC74)-1</f>
        <v>0</v>
      </c>
      <c r="AH71" s="13">
        <f>$AH$16/K71</f>
        <v>5</v>
      </c>
      <c r="AI71" s="13">
        <f>$AH$16/AH71</f>
        <v>1</v>
      </c>
      <c r="AJ71" s="188">
        <f>$H71*(1-(1+$L$15)^-(AH71*AI71))/((1+$L$15)^AI71-1)*(1+((1+$L$15)^AI71-1))</f>
        <v>23438.844572800335</v>
      </c>
      <c r="AK71" s="191">
        <f>SUM(AJ71:AJ74)</f>
        <v>23438.844572800335</v>
      </c>
    </row>
    <row r="72" spans="1:37" ht="19" customHeight="1">
      <c r="B72" s="261"/>
      <c r="C72" s="1810"/>
      <c r="D72" s="3848"/>
      <c r="E72" s="12" t="s">
        <v>308</v>
      </c>
      <c r="F72" s="1172"/>
      <c r="G72" s="1172"/>
      <c r="H72" s="188"/>
      <c r="I72" s="921"/>
      <c r="J72" s="377"/>
      <c r="K72" s="586"/>
      <c r="L72" s="158"/>
      <c r="M72" s="586"/>
      <c r="N72" s="188"/>
      <c r="O72" s="242"/>
      <c r="P72" s="194"/>
      <c r="Q72" s="3037">
        <v>0</v>
      </c>
      <c r="R72" s="3037">
        <v>0</v>
      </c>
      <c r="S72" s="3037">
        <v>0</v>
      </c>
      <c r="T72" s="1034" t="s">
        <v>809</v>
      </c>
      <c r="U72" s="585"/>
      <c r="V72" s="585" t="str">
        <f>IF($T72="L",SUM($U72:U72)*V$16,"")</f>
        <v/>
      </c>
      <c r="W72" s="1475"/>
      <c r="X72" s="585" t="str">
        <f>IF($U72="","",SUM($U72:W72)*X$16)</f>
        <v/>
      </c>
      <c r="Y72" s="242" t="str">
        <f t="shared" si="23"/>
        <v/>
      </c>
      <c r="Z72" s="194"/>
      <c r="AA72" s="733" t="str">
        <f t="shared" si="24"/>
        <v/>
      </c>
      <c r="AB72" s="194"/>
      <c r="AC72" s="728" t="str">
        <f t="shared" ca="1" si="25"/>
        <v/>
      </c>
      <c r="AD72" s="589"/>
      <c r="AE72" s="1072"/>
      <c r="AF72" s="587">
        <f>AF71</f>
        <v>48</v>
      </c>
      <c r="AG72" s="587"/>
      <c r="AH72" s="13"/>
      <c r="AI72" s="13"/>
      <c r="AJ72" s="209"/>
      <c r="AK72" s="342"/>
    </row>
    <row r="73" spans="1:37" ht="19" customHeight="1">
      <c r="B73" s="261"/>
      <c r="C73" s="1810"/>
      <c r="D73" s="3848"/>
      <c r="E73" s="12" t="s">
        <v>4</v>
      </c>
      <c r="F73" s="1172"/>
      <c r="G73" s="1172"/>
      <c r="H73" s="188"/>
      <c r="I73" s="921"/>
      <c r="J73" s="377"/>
      <c r="K73" s="586"/>
      <c r="L73" s="158"/>
      <c r="M73" s="586"/>
      <c r="N73" s="188"/>
      <c r="O73" s="241"/>
      <c r="P73" s="210"/>
      <c r="Q73" s="3037"/>
      <c r="R73" s="3037"/>
      <c r="S73" s="3037"/>
      <c r="T73" s="1034" t="s">
        <v>810</v>
      </c>
      <c r="U73" s="584"/>
      <c r="V73" s="584" t="str">
        <f>IF($T73="L",SUM($U73:U73)*V$16,"")</f>
        <v/>
      </c>
      <c r="W73" s="1475"/>
      <c r="X73" s="584" t="str">
        <f>IF($U73="","",SUM($U73:W73)*X$16)</f>
        <v/>
      </c>
      <c r="Y73" s="241" t="str">
        <f t="shared" si="23"/>
        <v/>
      </c>
      <c r="Z73" s="210"/>
      <c r="AA73" s="746" t="str">
        <f t="shared" si="24"/>
        <v/>
      </c>
      <c r="AB73" s="210"/>
      <c r="AC73" s="732" t="str">
        <f t="shared" ca="1" si="25"/>
        <v/>
      </c>
      <c r="AD73" s="815"/>
      <c r="AE73" s="1072"/>
      <c r="AF73" s="587">
        <f>AF72</f>
        <v>48</v>
      </c>
      <c r="AG73" s="587"/>
      <c r="AH73" s="13"/>
      <c r="AI73" s="13"/>
      <c r="AJ73" s="188"/>
      <c r="AK73" s="477"/>
    </row>
    <row r="74" spans="1:37" ht="19" customHeight="1" thickBot="1">
      <c r="B74" s="261"/>
      <c r="C74" s="1811"/>
      <c r="D74" s="3849"/>
      <c r="E74" s="12" t="s">
        <v>21</v>
      </c>
      <c r="F74" s="1172"/>
      <c r="G74" s="1172"/>
      <c r="H74" s="188"/>
      <c r="I74" s="921"/>
      <c r="J74" s="377"/>
      <c r="K74" s="11"/>
      <c r="L74" s="1046"/>
      <c r="M74" s="1047"/>
      <c r="N74" s="1048"/>
      <c r="O74" s="726"/>
      <c r="P74" s="725"/>
      <c r="Q74" s="3038"/>
      <c r="R74" s="3038"/>
      <c r="S74" s="3038"/>
      <c r="T74" s="1040" t="s">
        <v>811</v>
      </c>
      <c r="U74" s="724"/>
      <c r="V74" s="724" t="str">
        <f>IF($T74="L",SUM($U74:U74)*V$16,"")</f>
        <v/>
      </c>
      <c r="W74" s="1478"/>
      <c r="X74" s="724" t="str">
        <f>IF($U74="","",SUM($U74:W74)*X$16)</f>
        <v/>
      </c>
      <c r="Y74" s="726" t="str">
        <f t="shared" si="23"/>
        <v/>
      </c>
      <c r="Z74" s="725"/>
      <c r="AA74" s="747" t="str">
        <f t="shared" si="24"/>
        <v/>
      </c>
      <c r="AB74" s="725"/>
      <c r="AC74" s="767" t="str">
        <f t="shared" ca="1" si="25"/>
        <v/>
      </c>
      <c r="AD74" s="1073"/>
      <c r="AE74" s="1074"/>
      <c r="AF74" s="587">
        <f>AF73</f>
        <v>48</v>
      </c>
      <c r="AG74" s="587"/>
      <c r="AH74" s="13"/>
      <c r="AI74" s="13"/>
      <c r="AJ74" s="188"/>
      <c r="AK74" s="478"/>
    </row>
    <row r="75" spans="1:37">
      <c r="C75" s="24"/>
      <c r="D75" s="238"/>
      <c r="E75"/>
      <c r="F75" s="359"/>
      <c r="H75" s="6"/>
      <c r="I75" s="359"/>
      <c r="U75" s="5"/>
    </row>
    <row r="76" spans="1:37">
      <c r="C76" s="24"/>
      <c r="D76" s="238"/>
      <c r="E76"/>
      <c r="F76" s="359"/>
      <c r="H76" s="6"/>
      <c r="I76" s="359"/>
      <c r="U76" s="5"/>
    </row>
    <row r="77" spans="1:37">
      <c r="C77" s="24"/>
      <c r="D77" s="238"/>
      <c r="E77"/>
      <c r="F77" s="359"/>
      <c r="H77" s="6"/>
      <c r="I77" s="359"/>
      <c r="U77" s="5"/>
    </row>
    <row r="78" spans="1:37">
      <c r="C78" s="24"/>
      <c r="D78" s="238"/>
      <c r="E78"/>
      <c r="F78" s="359"/>
      <c r="H78" s="6"/>
      <c r="I78" s="359"/>
      <c r="U78" s="5"/>
    </row>
    <row r="79" spans="1:37">
      <c r="C79" s="24"/>
      <c r="D79" s="238"/>
      <c r="E79"/>
      <c r="F79" s="359"/>
      <c r="H79" s="6"/>
      <c r="I79" s="359"/>
      <c r="U79" s="5"/>
    </row>
    <row r="80" spans="1:37">
      <c r="C80" s="24"/>
      <c r="D80" s="238" t="s">
        <v>299</v>
      </c>
      <c r="E80"/>
      <c r="F80" s="359"/>
      <c r="G80" s="3553">
        <f t="shared" ref="G80:G82" si="29">E786</f>
        <v>6.2541106128550075</v>
      </c>
      <c r="H80" s="6"/>
      <c r="I80" s="359"/>
      <c r="U80" s="5"/>
    </row>
    <row r="81" spans="3:21">
      <c r="C81" s="24"/>
      <c r="D81" s="238"/>
      <c r="E81"/>
      <c r="F81" s="359"/>
      <c r="G81" s="3553">
        <f t="shared" si="29"/>
        <v>3.1270553064275037</v>
      </c>
      <c r="H81" s="6"/>
      <c r="I81" s="359"/>
      <c r="U81" s="5"/>
    </row>
    <row r="82" spans="3:21">
      <c r="C82" s="24"/>
      <c r="D82" s="238"/>
      <c r="E82"/>
      <c r="F82" s="359"/>
      <c r="G82" s="3553">
        <f t="shared" si="29"/>
        <v>6</v>
      </c>
      <c r="H82" s="6"/>
      <c r="I82" s="359"/>
      <c r="U82" s="5"/>
    </row>
    <row r="83" spans="3:21">
      <c r="C83" s="24"/>
      <c r="D83" s="238"/>
      <c r="E83"/>
      <c r="F83" s="359"/>
      <c r="H83" s="6"/>
      <c r="I83" s="359"/>
      <c r="U83" s="5"/>
    </row>
    <row r="84" spans="3:21">
      <c r="C84" s="24"/>
      <c r="D84" s="238"/>
      <c r="E84"/>
      <c r="F84" s="359"/>
      <c r="H84" s="6"/>
      <c r="I84" s="359"/>
      <c r="U84" s="5"/>
    </row>
    <row r="85" spans="3:21">
      <c r="C85" s="24"/>
      <c r="D85" s="238"/>
      <c r="E85"/>
      <c r="F85" s="359"/>
      <c r="H85" s="6"/>
      <c r="I85" s="359"/>
      <c r="U85" s="5"/>
    </row>
    <row r="86" spans="3:21">
      <c r="C86" s="24"/>
      <c r="D86" s="238"/>
      <c r="E86"/>
      <c r="F86" s="359"/>
      <c r="H86" s="6"/>
      <c r="I86" s="359"/>
      <c r="U86" s="5"/>
    </row>
    <row r="87" spans="3:21" s="7" customFormat="1">
      <c r="D87" s="35"/>
      <c r="E87" s="36"/>
    </row>
    <row r="88" spans="3:21" s="9" customFormat="1">
      <c r="D88" s="105"/>
      <c r="E88" s="34"/>
    </row>
    <row r="89" spans="3:21" s="9" customFormat="1">
      <c r="C89" s="120" t="s">
        <v>57</v>
      </c>
      <c r="D89" s="34" t="s">
        <v>1054</v>
      </c>
      <c r="E89" s="34"/>
    </row>
    <row r="90" spans="3:21" s="9" customFormat="1">
      <c r="D90" s="159" t="s">
        <v>1461</v>
      </c>
      <c r="E90" s="970"/>
    </row>
    <row r="91" spans="3:21" s="9" customFormat="1">
      <c r="D91" s="332" t="s">
        <v>91</v>
      </c>
      <c r="E91" s="43"/>
      <c r="F91" s="105"/>
    </row>
    <row r="92" spans="3:21" s="9" customFormat="1">
      <c r="D92" s="135">
        <f>'Overall Assumptions'!$C$6</f>
        <v>100</v>
      </c>
      <c r="E92" s="246" t="s">
        <v>967</v>
      </c>
      <c r="I92" s="9" t="s">
        <v>1467</v>
      </c>
    </row>
    <row r="93" spans="3:21" s="9" customFormat="1">
      <c r="D93" s="332">
        <f>'Overall Assumptions'!$C$125</f>
        <v>3</v>
      </c>
      <c r="E93" s="131" t="str">
        <f>'Overall Assumptions'!$D$115</f>
        <v>weeks</v>
      </c>
      <c r="I93" s="2112" t="s">
        <v>1455</v>
      </c>
    </row>
    <row r="94" spans="3:21" s="9" customFormat="1">
      <c r="C94" s="105"/>
      <c r="D94" s="332">
        <f>D93*5</f>
        <v>15</v>
      </c>
      <c r="E94" s="43" t="str">
        <f>'Overall Assumptions'!$D$116</f>
        <v>days</v>
      </c>
      <c r="I94" s="2113" t="s">
        <v>1456</v>
      </c>
    </row>
    <row r="95" spans="3:21" s="9" customFormat="1">
      <c r="C95" s="105"/>
      <c r="D95" s="332"/>
      <c r="E95" s="43"/>
      <c r="I95" s="2113" t="s">
        <v>1457</v>
      </c>
    </row>
    <row r="96" spans="3:21" s="9" customFormat="1">
      <c r="C96" s="105"/>
      <c r="D96" s="268">
        <v>1</v>
      </c>
      <c r="E96" s="43" t="s">
        <v>245</v>
      </c>
      <c r="I96" s="2113" t="s">
        <v>1458</v>
      </c>
    </row>
    <row r="97" spans="3:9" s="9" customFormat="1">
      <c r="C97" s="105"/>
      <c r="D97" s="332"/>
      <c r="E97" s="43"/>
      <c r="I97" s="2113" t="s">
        <v>1459</v>
      </c>
    </row>
    <row r="98" spans="3:9" s="9" customFormat="1">
      <c r="C98" s="105"/>
      <c r="D98" s="332"/>
      <c r="E98" s="43"/>
      <c r="I98" s="2113" t="s">
        <v>1460</v>
      </c>
    </row>
    <row r="99" spans="3:9" s="9" customFormat="1">
      <c r="C99" s="105"/>
      <c r="D99" s="332" t="str">
        <f>'Overall Assumptions'!$D$76</f>
        <v>Daily rate (AUD) for labour assuming 7.5 hours/day</v>
      </c>
      <c r="E99" s="246"/>
    </row>
    <row r="100" spans="3:9" s="9" customFormat="1">
      <c r="D100" s="614">
        <f>'Overall Assumptions'!$C$68</f>
        <v>225</v>
      </c>
      <c r="E100" s="246" t="str">
        <f>'Overall Assumptions'!$B$67</f>
        <v>Labour 1- APS Low (Entry lvl)</v>
      </c>
    </row>
    <row r="101" spans="3:9" s="9" customFormat="1">
      <c r="D101" s="399">
        <f>'Overall Assumptions'!$C$72</f>
        <v>337.5</v>
      </c>
      <c r="E101" s="530" t="str">
        <f>'Overall Assumptions'!$B$71</f>
        <v>Labour 2 - APS High (Experienced)</v>
      </c>
    </row>
    <row r="102" spans="3:9" s="9" customFormat="1">
      <c r="D102" s="112">
        <f>'Overall Assumptions'!$C$76</f>
        <v>487.5</v>
      </c>
      <c r="E102" s="45" t="str">
        <f>'Overall Assumptions'!$B$75</f>
        <v>Labour 3 - EL (Management)</v>
      </c>
    </row>
    <row r="103" spans="3:9" s="9" customFormat="1">
      <c r="D103" s="33"/>
      <c r="E103" s="34"/>
    </row>
    <row r="104" spans="3:9" s="9" customFormat="1">
      <c r="D104" s="33"/>
      <c r="E104" s="34"/>
    </row>
    <row r="105" spans="3:9" s="9" customFormat="1">
      <c r="C105" t="s">
        <v>593</v>
      </c>
      <c r="D105" s="65">
        <v>15</v>
      </c>
      <c r="E105" s="76" t="s">
        <v>1462</v>
      </c>
      <c r="F105"/>
      <c r="G105"/>
      <c r="H105"/>
    </row>
    <row r="106" spans="3:9" s="9" customFormat="1">
      <c r="C106"/>
      <c r="D106" s="64">
        <f>D105*D101</f>
        <v>5062.5</v>
      </c>
      <c r="E106" s="47" t="s">
        <v>1463</v>
      </c>
      <c r="F106"/>
      <c r="G106"/>
      <c r="H106"/>
    </row>
    <row r="107" spans="3:9" s="9" customFormat="1">
      <c r="C107"/>
      <c r="D107" s="65"/>
      <c r="E107" s="66"/>
      <c r="F107"/>
      <c r="G107"/>
      <c r="H107"/>
    </row>
    <row r="108" spans="3:9" s="9" customFormat="1">
      <c r="D108" s="175"/>
      <c r="E108" s="164" t="s">
        <v>155</v>
      </c>
      <c r="F108" s="255" t="s">
        <v>166</v>
      </c>
      <c r="G108" s="1090" t="s">
        <v>69</v>
      </c>
      <c r="H108" s="108"/>
    </row>
    <row r="109" spans="3:9" s="9" customFormat="1">
      <c r="D109" s="405" t="s">
        <v>3</v>
      </c>
      <c r="E109" s="509">
        <f>SUM(D94,D105)</f>
        <v>30</v>
      </c>
      <c r="F109" s="321">
        <f>E109*D101</f>
        <v>10125</v>
      </c>
      <c r="G109" s="1091" t="s">
        <v>162</v>
      </c>
      <c r="H109" s="323"/>
    </row>
    <row r="110" spans="3:9" s="9" customFormat="1">
      <c r="D110" s="105"/>
      <c r="E110" s="34"/>
    </row>
    <row r="111" spans="3:9" s="7" customFormat="1">
      <c r="D111" s="977"/>
      <c r="E111" s="35"/>
      <c r="G111" s="1089"/>
    </row>
    <row r="112" spans="3:9" s="9" customFormat="1">
      <c r="C112" s="120" t="s">
        <v>984</v>
      </c>
      <c r="D112" s="34" t="s">
        <v>163</v>
      </c>
      <c r="E112" s="34"/>
      <c r="G112" s="572"/>
    </row>
    <row r="113" spans="3:9" s="9" customFormat="1">
      <c r="D113" s="9" t="s">
        <v>168</v>
      </c>
      <c r="E113" s="34"/>
      <c r="G113" s="572"/>
    </row>
    <row r="114" spans="3:9" s="9" customFormat="1">
      <c r="D114" s="106" t="s">
        <v>269</v>
      </c>
      <c r="G114" s="572"/>
    </row>
    <row r="115" spans="3:9" s="9" customFormat="1">
      <c r="D115" s="107" t="s">
        <v>91</v>
      </c>
      <c r="E115" s="108"/>
      <c r="G115" s="572"/>
    </row>
    <row r="116" spans="3:9" s="9" customFormat="1">
      <c r="D116" s="199">
        <f>'Overall Assumptions'!$C$6</f>
        <v>100</v>
      </c>
      <c r="E116" s="161" t="s">
        <v>451</v>
      </c>
      <c r="G116" s="572"/>
    </row>
    <row r="117" spans="3:9" s="9" customFormat="1">
      <c r="D117" s="348">
        <f>'Overall Assumptions'!$C$121</f>
        <v>1</v>
      </c>
      <c r="E117" s="269" t="s">
        <v>134</v>
      </c>
      <c r="G117" s="572"/>
    </row>
    <row r="118" spans="3:9" s="9" customFormat="1">
      <c r="D118" s="972">
        <f>D116*D117</f>
        <v>100</v>
      </c>
      <c r="E118" s="109" t="s">
        <v>971</v>
      </c>
      <c r="G118" s="572"/>
    </row>
    <row r="119" spans="3:9" s="9" customFormat="1">
      <c r="D119" s="413">
        <v>1</v>
      </c>
      <c r="E119" s="270" t="s">
        <v>246</v>
      </c>
      <c r="G119" s="572"/>
    </row>
    <row r="120" spans="3:9" s="9" customFormat="1">
      <c r="D120" s="116"/>
      <c r="E120" s="116"/>
      <c r="G120" s="572"/>
    </row>
    <row r="121" spans="3:9" s="9" customFormat="1">
      <c r="E121" s="106"/>
      <c r="F121" s="119"/>
      <c r="G121" s="1092"/>
    </row>
    <row r="122" spans="3:9">
      <c r="C122" t="s">
        <v>266</v>
      </c>
      <c r="D122" s="16"/>
    </row>
    <row r="123" spans="3:9">
      <c r="C123" t="s">
        <v>1284</v>
      </c>
    </row>
    <row r="124" spans="3:9" ht="28">
      <c r="D124" s="345" t="s">
        <v>101</v>
      </c>
      <c r="E124" s="147"/>
      <c r="F124" s="122"/>
      <c r="G124" s="1093"/>
      <c r="H124" s="119"/>
      <c r="I124" s="119"/>
    </row>
    <row r="125" spans="3:9">
      <c r="D125" s="346">
        <v>1</v>
      </c>
      <c r="E125" s="147" t="s">
        <v>263</v>
      </c>
      <c r="F125" s="122"/>
      <c r="G125" s="1093"/>
      <c r="H125" s="119"/>
      <c r="I125" s="119"/>
    </row>
    <row r="126" spans="3:9" ht="35">
      <c r="D126" s="17"/>
    </row>
    <row r="127" spans="3:9">
      <c r="D127" s="25"/>
    </row>
    <row r="128" spans="3:9">
      <c r="D128" s="85" t="s">
        <v>91</v>
      </c>
      <c r="E128" s="164"/>
      <c r="F128" s="161"/>
    </row>
    <row r="129" spans="4:6">
      <c r="D129" s="84">
        <f>'Overall Assumptions'!$C$68</f>
        <v>225</v>
      </c>
      <c r="E129" s="284" t="s">
        <v>102</v>
      </c>
      <c r="F129" s="967"/>
    </row>
    <row r="130" spans="4:6">
      <c r="D130" s="84">
        <f>'Overall Assumptions'!$C$81</f>
        <v>210</v>
      </c>
      <c r="E130" s="76" t="s">
        <v>87</v>
      </c>
      <c r="F130" s="246"/>
    </row>
    <row r="131" spans="4:6">
      <c r="D131" s="84">
        <f>'Overall Assumptions'!$C$131</f>
        <v>1</v>
      </c>
      <c r="E131" s="963" t="s">
        <v>84</v>
      </c>
      <c r="F131" s="246"/>
    </row>
    <row r="132" spans="4:6">
      <c r="D132" s="84">
        <f>'Overall Assumptions'!$C$6</f>
        <v>100</v>
      </c>
      <c r="E132" s="963" t="str">
        <f>'Overall Assumptions'!$D$6</f>
        <v>Standardised action area - Planar spatial polygon area of action area (km2)</v>
      </c>
      <c r="F132" s="246"/>
    </row>
    <row r="133" spans="4:6">
      <c r="D133" s="411">
        <f>D132*D117</f>
        <v>100</v>
      </c>
      <c r="E133" s="964" t="s">
        <v>270</v>
      </c>
      <c r="F133" s="246"/>
    </row>
    <row r="134" spans="4:6">
      <c r="D134" s="412">
        <f>'Overall Assumptions'!$C$133</f>
        <v>0.5</v>
      </c>
      <c r="E134" s="965" t="s">
        <v>105</v>
      </c>
      <c r="F134" s="246"/>
    </row>
    <row r="135" spans="4:6">
      <c r="D135" s="84">
        <f>'Overall Assumptions'!C11</f>
        <v>0</v>
      </c>
      <c r="E135" s="283" t="str">
        <f>'Overall Assumptions'!D11</f>
        <v>Distance from mgmt area to closest air base (km) [These steps calculated with GIS layer]</v>
      </c>
      <c r="F135" s="246"/>
    </row>
    <row r="136" spans="4:6">
      <c r="D136" s="84">
        <f>'Overall Assumptions'!$C$97</f>
        <v>250</v>
      </c>
      <c r="E136" s="963" t="s">
        <v>103</v>
      </c>
      <c r="F136" s="246"/>
    </row>
    <row r="137" spans="4:6">
      <c r="D137" s="54">
        <f>'Overall Assumptions'!$C$98</f>
        <v>130</v>
      </c>
      <c r="E137" s="966" t="s">
        <v>104</v>
      </c>
      <c r="F137" s="246"/>
    </row>
    <row r="138" spans="4:6">
      <c r="D138" s="54">
        <f>'Overall Assumptions'!$C$99</f>
        <v>400</v>
      </c>
      <c r="E138" s="76" t="s">
        <v>47</v>
      </c>
      <c r="F138" s="246"/>
    </row>
    <row r="139" spans="4:6">
      <c r="D139" s="968">
        <f>'Overall Assumptions'!$C$100</f>
        <v>50</v>
      </c>
      <c r="E139" s="969" t="s">
        <v>107</v>
      </c>
      <c r="F139" s="162"/>
    </row>
    <row r="140" spans="4:6" ht="18">
      <c r="D140" s="18" t="s">
        <v>108</v>
      </c>
    </row>
    <row r="141" spans="4:6">
      <c r="D141" s="25">
        <f>2*D135/D136/7.5</f>
        <v>0</v>
      </c>
      <c r="E141" s="16" t="s">
        <v>112</v>
      </c>
    </row>
    <row r="142" spans="4:6">
      <c r="D142" s="23" t="s">
        <v>109</v>
      </c>
    </row>
    <row r="143" spans="4:6">
      <c r="D143" s="77">
        <f>D133/D134/D137/7.5</f>
        <v>0.20512820512820515</v>
      </c>
      <c r="E143" s="16" t="s">
        <v>113</v>
      </c>
    </row>
    <row r="144" spans="4:6">
      <c r="D144" s="23" t="s">
        <v>110</v>
      </c>
    </row>
    <row r="145" spans="3:8">
      <c r="D145" s="46">
        <f>FLOOR(D133/D134/D138,1)</f>
        <v>0</v>
      </c>
      <c r="E145" s="16" t="s">
        <v>111</v>
      </c>
      <c r="F145" s="70"/>
      <c r="G145" s="99"/>
      <c r="H145" s="16"/>
    </row>
    <row r="146" spans="3:8">
      <c r="D146" s="25" t="str">
        <f>IF(F145&gt;D138,"YES","NO")</f>
        <v>NO</v>
      </c>
      <c r="E146" s="16" t="s">
        <v>48</v>
      </c>
    </row>
    <row r="147" spans="3:8">
      <c r="D147" s="46">
        <f>2*D139/D136*D145/7.5</f>
        <v>0</v>
      </c>
      <c r="E147" s="16" t="s">
        <v>114</v>
      </c>
    </row>
    <row r="149" spans="3:8">
      <c r="D149" s="25">
        <f>SUM(D141,D143,D147)</f>
        <v>0.20512820512820515</v>
      </c>
      <c r="E149" s="16" t="s">
        <v>115</v>
      </c>
    </row>
    <row r="150" spans="3:8">
      <c r="D150" s="77">
        <f>D131*D149</f>
        <v>0.20512820512820515</v>
      </c>
      <c r="E150" s="16" t="s">
        <v>88</v>
      </c>
    </row>
    <row r="152" spans="3:8">
      <c r="D152" s="62">
        <f>D129*D131*D141</f>
        <v>0</v>
      </c>
      <c r="E152" s="16" t="s">
        <v>36</v>
      </c>
    </row>
    <row r="153" spans="3:8">
      <c r="D153" s="62">
        <f>D129*D131*D143</f>
        <v>46.15384615384616</v>
      </c>
      <c r="E153" s="16" t="s">
        <v>39</v>
      </c>
    </row>
    <row r="154" spans="3:8">
      <c r="D154" s="62">
        <f>D129*D131*D147</f>
        <v>0</v>
      </c>
      <c r="E154" s="16" t="s">
        <v>118</v>
      </c>
    </row>
    <row r="156" spans="3:8">
      <c r="D156" s="72">
        <f>SUM(D152:D154)</f>
        <v>46.15384615384616</v>
      </c>
      <c r="E156" s="47" t="s">
        <v>486</v>
      </c>
    </row>
    <row r="157" spans="3:8">
      <c r="D157" s="104"/>
      <c r="E157" s="66"/>
    </row>
    <row r="158" spans="3:8">
      <c r="C158" t="s">
        <v>55</v>
      </c>
      <c r="D158" s="6" t="s">
        <v>119</v>
      </c>
    </row>
    <row r="159" spans="3:8">
      <c r="D159" s="25"/>
    </row>
    <row r="160" spans="3:8">
      <c r="D160" s="25"/>
    </row>
    <row r="161" spans="4:6">
      <c r="D161" s="25"/>
    </row>
    <row r="163" spans="4:6">
      <c r="D163" s="85" t="s">
        <v>91</v>
      </c>
      <c r="E163" s="41"/>
    </row>
    <row r="164" spans="4:6">
      <c r="D164" s="86">
        <f>'Overall Assumptions'!$C$96</f>
        <v>850</v>
      </c>
      <c r="E164" s="80" t="s">
        <v>120</v>
      </c>
    </row>
    <row r="165" spans="4:6">
      <c r="D165" s="56"/>
      <c r="E165" s="45"/>
    </row>
    <row r="166" spans="4:6">
      <c r="D166" s="23" t="s">
        <v>121</v>
      </c>
      <c r="E166" s="87"/>
      <c r="F166" s="21"/>
    </row>
    <row r="167" spans="4:6">
      <c r="D167" s="23" t="s">
        <v>123</v>
      </c>
      <c r="E167" s="87"/>
      <c r="F167" s="21"/>
    </row>
    <row r="168" spans="4:6">
      <c r="D168" s="22">
        <f>2*D135/D136</f>
        <v>0</v>
      </c>
      <c r="E168" s="21" t="s">
        <v>968</v>
      </c>
      <c r="F168" s="21"/>
    </row>
    <row r="169" spans="4:6">
      <c r="D169" s="23" t="s">
        <v>122</v>
      </c>
      <c r="E169" s="21"/>
      <c r="F169" s="21"/>
    </row>
    <row r="170" spans="4:6">
      <c r="D170" s="23" t="s">
        <v>124</v>
      </c>
      <c r="E170" s="21"/>
      <c r="F170" s="21"/>
    </row>
    <row r="171" spans="4:6">
      <c r="D171" s="22">
        <f>D143</f>
        <v>0.20512820512820515</v>
      </c>
      <c r="E171" s="21" t="s">
        <v>969</v>
      </c>
      <c r="F171" s="21"/>
    </row>
    <row r="172" spans="4:6">
      <c r="D172" s="23" t="s">
        <v>125</v>
      </c>
      <c r="E172" s="21"/>
      <c r="F172" s="21"/>
    </row>
    <row r="173" spans="4:6">
      <c r="D173" s="23" t="s">
        <v>126</v>
      </c>
      <c r="E173" s="21"/>
      <c r="F173" s="21"/>
    </row>
    <row r="174" spans="4:6">
      <c r="D174" s="22">
        <f t="shared" ref="D174:E176" si="30">D145</f>
        <v>0</v>
      </c>
      <c r="E174" s="971" t="str">
        <f t="shared" si="30"/>
        <v>Number of times required to do refuelling</v>
      </c>
      <c r="F174" s="21"/>
    </row>
    <row r="175" spans="4:6">
      <c r="D175" s="22" t="str">
        <f t="shared" si="30"/>
        <v>NO</v>
      </c>
      <c r="E175" s="971" t="str">
        <f t="shared" si="30"/>
        <v>Need to refuel?</v>
      </c>
      <c r="F175" s="21"/>
    </row>
    <row r="176" spans="4:6">
      <c r="D176" s="22">
        <f t="shared" si="30"/>
        <v>0</v>
      </c>
      <c r="E176" s="971" t="str">
        <f t="shared" si="30"/>
        <v>Days required to do refuelling</v>
      </c>
      <c r="F176" s="21"/>
    </row>
    <row r="177" spans="3:10">
      <c r="F177" s="21"/>
      <c r="J177" s="21"/>
    </row>
    <row r="178" spans="3:10">
      <c r="D178" s="20">
        <f>SUM(D168,D171,D176)</f>
        <v>0.20512820512820515</v>
      </c>
      <c r="E178" s="21" t="s">
        <v>177</v>
      </c>
      <c r="F178" s="21"/>
    </row>
    <row r="179" spans="3:10">
      <c r="D179" s="20">
        <f>D178*7.5</f>
        <v>1.5384615384615385</v>
      </c>
      <c r="E179" s="16" t="s">
        <v>970</v>
      </c>
      <c r="F179" s="21"/>
    </row>
    <row r="180" spans="3:10">
      <c r="C180" s="90"/>
      <c r="D180" s="89">
        <f>D164*D168*7.5</f>
        <v>0</v>
      </c>
      <c r="E180" s="21" t="s">
        <v>36</v>
      </c>
      <c r="F180" s="21"/>
    </row>
    <row r="181" spans="3:10">
      <c r="D181" s="73">
        <f>D171*D164*7.5</f>
        <v>1307.6923076923076</v>
      </c>
      <c r="E181" s="16" t="s">
        <v>56</v>
      </c>
    </row>
    <row r="182" spans="3:10">
      <c r="D182" s="73">
        <f>D176*D164*7.5</f>
        <v>0</v>
      </c>
      <c r="E182" s="21" t="s">
        <v>127</v>
      </c>
    </row>
    <row r="183" spans="3:10">
      <c r="D183" s="74">
        <f>SUM(D180:D182)</f>
        <v>1307.6923076923076</v>
      </c>
      <c r="E183" s="47" t="s">
        <v>487</v>
      </c>
    </row>
    <row r="184" spans="3:10">
      <c r="D184" s="91"/>
      <c r="E184" s="66"/>
    </row>
    <row r="185" spans="3:10">
      <c r="D185" s="46">
        <f>D178</f>
        <v>0.20512820512820515</v>
      </c>
      <c r="E185" s="359" t="s">
        <v>795</v>
      </c>
      <c r="F185" s="46"/>
    </row>
    <row r="186" spans="3:10">
      <c r="D186" s="75">
        <f>ROUNDUP((D178/21),0)</f>
        <v>1</v>
      </c>
      <c r="E186" s="99" t="s">
        <v>739</v>
      </c>
      <c r="F186" s="75"/>
    </row>
    <row r="187" spans="3:10">
      <c r="D187" s="104"/>
      <c r="E187" s="66"/>
    </row>
    <row r="188" spans="3:10">
      <c r="C188" t="s">
        <v>70</v>
      </c>
      <c r="D188" s="23" t="s">
        <v>161</v>
      </c>
    </row>
    <row r="192" spans="3:10">
      <c r="D192" s="46">
        <f>SUM(D141,D143,D147)</f>
        <v>0.20512820512820515</v>
      </c>
      <c r="E192" s="16" t="s">
        <v>115</v>
      </c>
    </row>
    <row r="193" spans="3:10">
      <c r="D193" s="23" t="str">
        <f>IF(D149&gt;1,"YES","NO")</f>
        <v>NO</v>
      </c>
      <c r="E193" s="16" t="s">
        <v>72</v>
      </c>
    </row>
    <row r="194" spans="3:10">
      <c r="D194" s="23">
        <f>FLOOR(D149,1)</f>
        <v>0</v>
      </c>
      <c r="E194" s="16" t="s">
        <v>116</v>
      </c>
    </row>
    <row r="195" spans="3:10">
      <c r="D195" s="104"/>
      <c r="E195" s="66"/>
    </row>
    <row r="196" spans="3:10">
      <c r="D196" s="64">
        <f>D130*D131*D194</f>
        <v>0</v>
      </c>
      <c r="E196" s="39" t="s">
        <v>117</v>
      </c>
      <c r="F196" s="255"/>
      <c r="G196" s="1090"/>
      <c r="H196" s="255"/>
      <c r="I196" s="161"/>
    </row>
    <row r="197" spans="3:10">
      <c r="D197" s="400"/>
      <c r="E197" s="164"/>
      <c r="F197" s="255"/>
      <c r="G197" s="1090"/>
      <c r="H197" s="255"/>
      <c r="I197" s="161"/>
    </row>
    <row r="198" spans="3:10">
      <c r="D198" s="143" t="s">
        <v>172</v>
      </c>
      <c r="E198" s="144" t="s">
        <v>155</v>
      </c>
      <c r="F198" s="144" t="s">
        <v>173</v>
      </c>
      <c r="G198" s="1094" t="s">
        <v>174</v>
      </c>
      <c r="H198" s="144" t="s">
        <v>166</v>
      </c>
      <c r="I198" s="145" t="s">
        <v>69</v>
      </c>
    </row>
    <row r="199" spans="3:10">
      <c r="D199" s="135" t="s">
        <v>3</v>
      </c>
      <c r="E199" s="136">
        <f>D150</f>
        <v>0.20512820512820515</v>
      </c>
      <c r="F199" s="141">
        <f>D133</f>
        <v>100</v>
      </c>
      <c r="G199" s="1093"/>
      <c r="H199" s="119">
        <f>D156</f>
        <v>46.15384615384616</v>
      </c>
      <c r="I199" s="358" t="str">
        <f>E156</f>
        <v>Cost for labour</v>
      </c>
      <c r="J199" s="558">
        <f>$D$119</f>
        <v>1</v>
      </c>
    </row>
    <row r="200" spans="3:10">
      <c r="D200" s="135" t="s">
        <v>132</v>
      </c>
      <c r="E200" s="136">
        <f>D179</f>
        <v>1.5384615384615385</v>
      </c>
      <c r="F200" s="141">
        <f>D135*2</f>
        <v>0</v>
      </c>
      <c r="G200" s="1095"/>
      <c r="H200" s="119">
        <f>D183</f>
        <v>1307.6923076923076</v>
      </c>
      <c r="I200" s="358" t="str">
        <f>E183</f>
        <v xml:space="preserve">Cost for transport </v>
      </c>
      <c r="J200" s="558">
        <f>$D$119</f>
        <v>1</v>
      </c>
    </row>
    <row r="201" spans="3:10">
      <c r="D201" s="135" t="s">
        <v>169</v>
      </c>
      <c r="E201" s="136">
        <f>D194</f>
        <v>0</v>
      </c>
      <c r="F201" s="141"/>
      <c r="G201" s="1095"/>
      <c r="H201" s="119">
        <f>D196</f>
        <v>0</v>
      </c>
      <c r="I201" s="358" t="str">
        <f>E196</f>
        <v>cost for accommodation and meals</v>
      </c>
      <c r="J201" s="558">
        <f>$D$119</f>
        <v>1</v>
      </c>
    </row>
    <row r="202" spans="3:10">
      <c r="D202" s="135"/>
      <c r="E202" s="136"/>
      <c r="F202" s="141"/>
      <c r="G202" s="1093"/>
      <c r="H202" s="119"/>
      <c r="I202" s="358"/>
    </row>
    <row r="203" spans="3:10">
      <c r="D203" s="135"/>
      <c r="E203" s="136"/>
      <c r="F203" s="141"/>
      <c r="G203" s="1093"/>
      <c r="H203" s="119"/>
      <c r="I203" s="358"/>
    </row>
    <row r="204" spans="3:10">
      <c r="D204" s="137"/>
      <c r="E204" s="138"/>
      <c r="F204" s="142"/>
      <c r="G204" s="1096"/>
      <c r="H204" s="139">
        <f>SUM(H199:H203)</f>
        <v>1353.8461538461538</v>
      </c>
      <c r="I204" s="140" t="s">
        <v>165</v>
      </c>
    </row>
    <row r="205" spans="3:10">
      <c r="D205" s="122"/>
      <c r="E205" s="147"/>
      <c r="F205" s="122"/>
      <c r="G205" s="1093"/>
      <c r="H205" s="119"/>
      <c r="I205" s="119"/>
    </row>
    <row r="207" spans="3:10" s="7" customFormat="1">
      <c r="D207" s="35"/>
      <c r="E207" s="36"/>
      <c r="G207" s="1089"/>
    </row>
    <row r="208" spans="3:10">
      <c r="C208" s="8" t="s">
        <v>1001</v>
      </c>
      <c r="D208" s="16" t="s">
        <v>163</v>
      </c>
    </row>
    <row r="209" spans="4:5">
      <c r="D209" t="s">
        <v>168</v>
      </c>
    </row>
    <row r="210" spans="4:5">
      <c r="D210" t="s">
        <v>401</v>
      </c>
      <c r="E210"/>
    </row>
    <row r="211" spans="4:5">
      <c r="D211"/>
      <c r="E211"/>
    </row>
    <row r="212" spans="4:5">
      <c r="D212" s="455" t="s">
        <v>986</v>
      </c>
      <c r="E212"/>
    </row>
    <row r="213" spans="4:5" ht="17">
      <c r="D213" s="456" t="s">
        <v>874</v>
      </c>
      <c r="E213"/>
    </row>
    <row r="214" spans="4:5">
      <c r="D214" s="455"/>
      <c r="E214"/>
    </row>
    <row r="215" spans="4:5">
      <c r="D215"/>
      <c r="E215"/>
    </row>
    <row r="216" spans="4:5">
      <c r="D216" s="592" t="s">
        <v>179</v>
      </c>
      <c r="E216" s="274"/>
    </row>
    <row r="217" spans="4:5">
      <c r="D217" s="974">
        <f>'Overall Assumptions'!$C$6</f>
        <v>100</v>
      </c>
      <c r="E217" s="246" t="s">
        <v>451</v>
      </c>
    </row>
    <row r="218" spans="4:5">
      <c r="D218" s="408">
        <f>'Overall Assumptions'!$C$120</f>
        <v>0.3</v>
      </c>
      <c r="E218" s="483" t="str">
        <f>'Overall Assumptions'!$D$120</f>
        <v>Percentage of field that needs to be surveyed (ground)</v>
      </c>
    </row>
    <row r="219" spans="4:5">
      <c r="D219" s="332">
        <f>D217*D218</f>
        <v>30</v>
      </c>
      <c r="E219" s="483" t="s">
        <v>450</v>
      </c>
    </row>
    <row r="220" spans="4:5">
      <c r="D220" s="447">
        <v>1</v>
      </c>
      <c r="E220" s="483" t="s">
        <v>246</v>
      </c>
    </row>
    <row r="221" spans="4:5">
      <c r="D221" s="482">
        <f>'Overall Assumptions'!$C$132</f>
        <v>0.5</v>
      </c>
      <c r="E221" s="43" t="s">
        <v>79</v>
      </c>
    </row>
    <row r="222" spans="4:5">
      <c r="D222" s="54">
        <f>D219/D221</f>
        <v>60</v>
      </c>
      <c r="E222" s="483" t="s">
        <v>972</v>
      </c>
    </row>
    <row r="223" spans="4:5">
      <c r="D223" s="42">
        <f>'Overall Assumptions'!$C$53</f>
        <v>4.46</v>
      </c>
      <c r="E223" s="631" t="s">
        <v>780</v>
      </c>
    </row>
    <row r="224" spans="4:5">
      <c r="D224" s="42">
        <f>'Overall Assumptions'!$C$54</f>
        <v>3.3449999999999998</v>
      </c>
      <c r="E224" s="631" t="s">
        <v>781</v>
      </c>
    </row>
    <row r="225" spans="3:12">
      <c r="D225" s="125">
        <f>'Overall Assumptions'!$C$55</f>
        <v>2.23</v>
      </c>
      <c r="E225" s="635" t="s">
        <v>782</v>
      </c>
    </row>
    <row r="227" spans="3:12">
      <c r="D227" s="25"/>
    </row>
    <row r="228" spans="3:12">
      <c r="D228" s="151" t="s">
        <v>179</v>
      </c>
      <c r="E228" s="164"/>
      <c r="F228" s="255"/>
      <c r="G228" s="1090"/>
      <c r="H228" s="161"/>
    </row>
    <row r="229" spans="3:12">
      <c r="D229" s="444">
        <f>10/60</f>
        <v>0.16666666666666666</v>
      </c>
      <c r="E229" s="443" t="s">
        <v>447</v>
      </c>
      <c r="F229" s="465"/>
      <c r="G229" s="1097"/>
      <c r="H229" s="466"/>
    </row>
    <row r="230" spans="3:12">
      <c r="D230" s="332">
        <f>D219/D221</f>
        <v>60</v>
      </c>
      <c r="E230" s="16" t="s">
        <v>253</v>
      </c>
      <c r="H230" s="246"/>
    </row>
    <row r="231" spans="3:12">
      <c r="D231" s="154">
        <f>D229*D230</f>
        <v>10</v>
      </c>
      <c r="E231" s="333" t="s">
        <v>985</v>
      </c>
      <c r="F231" s="439"/>
      <c r="G231" s="1098"/>
      <c r="H231" s="162"/>
    </row>
    <row r="232" spans="3:12">
      <c r="D232" s="152"/>
      <c r="H232" s="246"/>
    </row>
    <row r="233" spans="3:12">
      <c r="D233"/>
      <c r="E233"/>
    </row>
    <row r="234" spans="3:12">
      <c r="D234"/>
      <c r="E234"/>
    </row>
    <row r="235" spans="3:12">
      <c r="D235"/>
      <c r="K235" s="1812"/>
      <c r="L235" s="1812"/>
    </row>
    <row r="236" spans="3:12">
      <c r="D236" s="825"/>
      <c r="E236" s="825"/>
    </row>
    <row r="237" spans="3:12">
      <c r="D237"/>
      <c r="E237"/>
      <c r="F237" s="432"/>
      <c r="G237" s="1099"/>
    </row>
    <row r="238" spans="3:12" ht="19">
      <c r="C238" t="s">
        <v>50</v>
      </c>
      <c r="D238" s="37" t="s">
        <v>81</v>
      </c>
      <c r="E238" s="24"/>
      <c r="F238" s="1"/>
      <c r="G238" s="1100"/>
      <c r="H238" s="3"/>
      <c r="I238" s="3"/>
      <c r="J238" s="3"/>
    </row>
    <row r="239" spans="3:12">
      <c r="F239" s="1"/>
      <c r="G239" s="1100"/>
      <c r="H239" s="3"/>
      <c r="I239" s="3"/>
      <c r="J239" s="3"/>
    </row>
    <row r="240" spans="3:12">
      <c r="D240" s="160" t="s">
        <v>408</v>
      </c>
    </row>
    <row r="242" spans="4:10">
      <c r="D242" s="50"/>
    </row>
    <row r="243" spans="4:10">
      <c r="D243" s="51" t="s">
        <v>82</v>
      </c>
      <c r="E243" s="273"/>
      <c r="F243" s="274"/>
    </row>
    <row r="244" spans="4:10" ht="19">
      <c r="D244" s="54">
        <f>'Overall Assumptions'!$C$68</f>
        <v>225</v>
      </c>
      <c r="E244" s="1215" t="s">
        <v>99</v>
      </c>
      <c r="F244" s="246"/>
    </row>
    <row r="245" spans="4:10">
      <c r="D245" s="54">
        <f>'Overall Assumptions'!$C$130</f>
        <v>2</v>
      </c>
      <c r="E245" s="76" t="s">
        <v>84</v>
      </c>
      <c r="F245" s="246"/>
    </row>
    <row r="246" spans="4:10">
      <c r="D246" s="152"/>
      <c r="E246" s="76"/>
      <c r="F246" s="246"/>
    </row>
    <row r="247" spans="4:10">
      <c r="D247" s="42">
        <f>'Overall Assumptions'!$C$53</f>
        <v>4.46</v>
      </c>
      <c r="E247" s="629" t="s">
        <v>780</v>
      </c>
      <c r="F247" s="246"/>
    </row>
    <row r="248" spans="4:10">
      <c r="D248" s="42">
        <f>'Overall Assumptions'!$C$54</f>
        <v>3.3449999999999998</v>
      </c>
      <c r="E248" s="629" t="s">
        <v>781</v>
      </c>
      <c r="F248" s="246"/>
    </row>
    <row r="249" spans="4:10">
      <c r="D249" s="42">
        <f>'Overall Assumptions'!$C$55</f>
        <v>2.23</v>
      </c>
      <c r="E249" s="629" t="s">
        <v>782</v>
      </c>
      <c r="F249" s="246"/>
    </row>
    <row r="250" spans="4:10">
      <c r="D250" s="616"/>
      <c r="E250" s="833"/>
      <c r="F250" s="246"/>
    </row>
    <row r="251" spans="4:10">
      <c r="D251" s="467">
        <f>D222</f>
        <v>60</v>
      </c>
      <c r="E251" s="1216" t="str">
        <f>E222</f>
        <v>Effective distance to be walked along</v>
      </c>
      <c r="F251" s="246"/>
    </row>
    <row r="252" spans="4:10">
      <c r="D252" s="467"/>
      <c r="E252" s="76"/>
      <c r="F252" s="246"/>
    </row>
    <row r="253" spans="4:10">
      <c r="D253" s="468">
        <f>D231/7.5</f>
        <v>1.3333333333333333</v>
      </c>
      <c r="E253" s="76" t="s">
        <v>464</v>
      </c>
      <c r="F253" s="246"/>
    </row>
    <row r="254" spans="4:10">
      <c r="D254" s="54">
        <f>'Overall Assumptions'!$C$10</f>
        <v>0</v>
      </c>
      <c r="E254" s="76" t="s">
        <v>85</v>
      </c>
      <c r="F254" s="246"/>
    </row>
    <row r="255" spans="4:10">
      <c r="D255" s="54">
        <f>'Overall Assumptions'!$C$90</f>
        <v>80</v>
      </c>
      <c r="E255" s="76" t="s">
        <v>86</v>
      </c>
      <c r="F255" s="246"/>
    </row>
    <row r="256" spans="4:10">
      <c r="D256" s="56">
        <f>'Overall Assumptions'!$C$81</f>
        <v>210</v>
      </c>
      <c r="E256" s="333" t="s">
        <v>87</v>
      </c>
      <c r="F256" s="162"/>
      <c r="J256" s="578"/>
    </row>
    <row r="257" spans="3:11">
      <c r="D257" s="57"/>
    </row>
    <row r="258" spans="3:11">
      <c r="C258" s="21"/>
      <c r="J258" s="90"/>
    </row>
    <row r="259" spans="3:11">
      <c r="C259" s="21"/>
      <c r="D259" s="59" t="s">
        <v>735</v>
      </c>
      <c r="E259" s="2" t="s">
        <v>218</v>
      </c>
      <c r="F259" s="2" t="s">
        <v>733</v>
      </c>
      <c r="G259" s="359" t="s">
        <v>796</v>
      </c>
    </row>
    <row r="260" spans="3:11">
      <c r="C260" s="21"/>
      <c r="D260" s="46">
        <f>D247</f>
        <v>4.46</v>
      </c>
      <c r="E260" s="46">
        <f>D248</f>
        <v>3.3449999999999998</v>
      </c>
      <c r="F260" s="1219">
        <f>D249</f>
        <v>2.23</v>
      </c>
      <c r="G260" s="359" t="s">
        <v>254</v>
      </c>
      <c r="J260" s="90"/>
    </row>
    <row r="261" spans="3:11">
      <c r="C261" s="21"/>
      <c r="D261" s="77">
        <f>2*D254/D255/7.5</f>
        <v>0</v>
      </c>
      <c r="E261" s="77">
        <f>D261</f>
        <v>0</v>
      </c>
      <c r="F261" s="77">
        <f>E261</f>
        <v>0</v>
      </c>
      <c r="G261" s="59" t="s">
        <v>95</v>
      </c>
      <c r="J261" s="90"/>
    </row>
    <row r="262" spans="3:11">
      <c r="C262" s="21"/>
      <c r="D262" s="77"/>
      <c r="G262" s="16" t="s">
        <v>778</v>
      </c>
      <c r="J262" s="90"/>
    </row>
    <row r="263" spans="3:11">
      <c r="C263" s="21"/>
      <c r="J263" s="90"/>
    </row>
    <row r="264" spans="3:11" ht="18" customHeight="1">
      <c r="C264" s="21"/>
      <c r="D264" s="77">
        <f>$D251/D260/7.5</f>
        <v>1.7937219730941705</v>
      </c>
      <c r="E264" s="77">
        <f>$D251/E260/7.5</f>
        <v>2.391629297458894</v>
      </c>
      <c r="F264" s="77">
        <f>$D251/F260/7.5</f>
        <v>3.5874439461883409</v>
      </c>
      <c r="G264" s="693" t="s">
        <v>96</v>
      </c>
    </row>
    <row r="265" spans="3:11" ht="18" customHeight="1">
      <c r="C265" s="21"/>
      <c r="D265" s="77">
        <f>$D253</f>
        <v>1.3333333333333333</v>
      </c>
      <c r="E265" s="77">
        <f>$D253</f>
        <v>1.3333333333333333</v>
      </c>
      <c r="F265" s="77">
        <f>$D253</f>
        <v>1.3333333333333333</v>
      </c>
      <c r="G265" s="693" t="s">
        <v>786</v>
      </c>
    </row>
    <row r="266" spans="3:11" ht="18" customHeight="1">
      <c r="C266" s="21"/>
      <c r="D266" s="77">
        <f>SUM(D264:D265)</f>
        <v>3.1270553064275037</v>
      </c>
      <c r="E266" s="77">
        <f>SUM(E264:E265)</f>
        <v>3.724962630792227</v>
      </c>
      <c r="F266" s="77">
        <f>SUM(F264:F265)</f>
        <v>4.9207772795216744</v>
      </c>
      <c r="G266" s="693" t="s">
        <v>171</v>
      </c>
    </row>
    <row r="267" spans="3:11" ht="18" customHeight="1">
      <c r="C267" s="21"/>
      <c r="D267" s="16"/>
      <c r="E267"/>
    </row>
    <row r="268" spans="3:11" ht="18" customHeight="1">
      <c r="C268" s="21"/>
      <c r="D268" s="77">
        <f>D266*$D245</f>
        <v>6.2541106128550075</v>
      </c>
      <c r="E268" s="77">
        <f>E266*$D245</f>
        <v>7.449925261584454</v>
      </c>
      <c r="F268" s="77">
        <f>F266*$D245</f>
        <v>9.8415545590433489</v>
      </c>
      <c r="G268" s="99" t="s">
        <v>787</v>
      </c>
    </row>
    <row r="269" spans="3:11">
      <c r="C269" s="21"/>
      <c r="D269" s="16"/>
      <c r="E269"/>
      <c r="G269" s="99"/>
    </row>
    <row r="270" spans="3:11">
      <c r="C270" s="21"/>
      <c r="D270" s="63">
        <f>$D244*$D245*D264</f>
        <v>807.17488789237666</v>
      </c>
      <c r="E270" s="63">
        <f>$D244*$D245*E264</f>
        <v>1076.2331838565024</v>
      </c>
      <c r="F270" s="63">
        <f>$D244*$D245*F264</f>
        <v>1614.3497757847533</v>
      </c>
      <c r="G270" s="99" t="s">
        <v>37</v>
      </c>
      <c r="J270" s="90"/>
    </row>
    <row r="271" spans="3:11">
      <c r="C271" s="21"/>
      <c r="D271" s="63">
        <f>$D244*$D245*D265</f>
        <v>600</v>
      </c>
      <c r="E271" s="63">
        <f>$D244*$D245*E265</f>
        <v>600</v>
      </c>
      <c r="F271" s="63">
        <f>$D244*$D245*F265</f>
        <v>600</v>
      </c>
      <c r="G271" s="99" t="s">
        <v>412</v>
      </c>
      <c r="J271" s="259"/>
      <c r="K271" s="16"/>
    </row>
    <row r="272" spans="3:11">
      <c r="C272" s="21"/>
      <c r="D272" s="64">
        <f>SUM(D270:D271)</f>
        <v>1407.1748878923768</v>
      </c>
      <c r="E272" s="905">
        <f>SUM(E270:E271)</f>
        <v>1676.2331838565024</v>
      </c>
      <c r="F272" s="905">
        <f>SUM(F270:F271)</f>
        <v>2214.3497757847535</v>
      </c>
      <c r="G272" s="1101" t="s">
        <v>486</v>
      </c>
      <c r="J272" s="259"/>
      <c r="K272" s="16"/>
    </row>
    <row r="273" spans="3:11">
      <c r="F273" s="16"/>
      <c r="G273" s="99"/>
    </row>
    <row r="274" spans="3:11">
      <c r="D274" s="46"/>
      <c r="E274" s="46"/>
      <c r="F274" s="46"/>
      <c r="J274" s="65"/>
      <c r="K274" s="24"/>
    </row>
    <row r="275" spans="3:11">
      <c r="D275" s="75"/>
      <c r="E275" s="75"/>
      <c r="F275" s="75"/>
      <c r="G275" s="99"/>
      <c r="J275" s="65"/>
      <c r="K275" s="24"/>
    </row>
    <row r="276" spans="3:11">
      <c r="D276" s="75"/>
      <c r="E276" s="75"/>
      <c r="F276" s="75"/>
      <c r="G276" s="99"/>
      <c r="J276" s="65"/>
      <c r="K276" s="24"/>
    </row>
    <row r="277" spans="3:11" ht="19">
      <c r="C277" t="s">
        <v>64</v>
      </c>
      <c r="D277" s="37" t="s">
        <v>89</v>
      </c>
    </row>
    <row r="278" spans="3:11">
      <c r="C278" t="s">
        <v>54</v>
      </c>
    </row>
    <row r="280" spans="3:11">
      <c r="D280" s="16"/>
    </row>
    <row r="281" spans="3:11">
      <c r="D281" s="67" t="s">
        <v>91</v>
      </c>
      <c r="E281" s="41"/>
    </row>
    <row r="282" spans="3:11">
      <c r="D282" s="52">
        <f>'Overall Assumptions'!$C$93</f>
        <v>285</v>
      </c>
      <c r="E282" s="41" t="s">
        <v>93</v>
      </c>
    </row>
    <row r="283" spans="3:11">
      <c r="D283" s="54">
        <f>'Overall Assumptions'!$C$10</f>
        <v>0</v>
      </c>
      <c r="E283" s="43" t="s">
        <v>85</v>
      </c>
    </row>
    <row r="284" spans="3:11">
      <c r="D284" s="54"/>
      <c r="E284" s="43"/>
    </row>
    <row r="285" spans="3:11">
      <c r="D285" s="616"/>
      <c r="E285" s="43"/>
    </row>
    <row r="286" spans="3:11">
      <c r="D286" s="56"/>
      <c r="E286" s="45"/>
      <c r="J286" s="578"/>
    </row>
    <row r="287" spans="3:11">
      <c r="D287" s="75"/>
    </row>
    <row r="288" spans="3:11">
      <c r="D288" s="46">
        <f>D261</f>
        <v>0</v>
      </c>
      <c r="E288" s="46">
        <f>D288</f>
        <v>0</v>
      </c>
      <c r="F288" s="46">
        <f>E288</f>
        <v>0</v>
      </c>
      <c r="G288" s="693"/>
      <c r="J288" s="532"/>
      <c r="K288" s="59"/>
    </row>
    <row r="289" spans="3:11">
      <c r="D289" s="46">
        <f t="shared" ref="D289:F290" si="31">D264</f>
        <v>1.7937219730941705</v>
      </c>
      <c r="E289" s="46">
        <f t="shared" si="31"/>
        <v>2.391629297458894</v>
      </c>
      <c r="F289" s="46">
        <f t="shared" si="31"/>
        <v>3.5874439461883409</v>
      </c>
      <c r="G289" s="693" t="s">
        <v>98</v>
      </c>
      <c r="K289" s="59"/>
    </row>
    <row r="290" spans="3:11">
      <c r="D290" s="46">
        <f t="shared" si="31"/>
        <v>1.3333333333333333</v>
      </c>
      <c r="E290" s="46">
        <f t="shared" si="31"/>
        <v>1.3333333333333333</v>
      </c>
      <c r="F290" s="46">
        <f t="shared" si="31"/>
        <v>1.3333333333333333</v>
      </c>
      <c r="G290" s="693" t="str">
        <f>G265</f>
        <v>3rd term is the days required to do all activities (for one person)</v>
      </c>
      <c r="K290" s="59"/>
    </row>
    <row r="291" spans="3:11">
      <c r="D291" s="46"/>
      <c r="E291" s="46"/>
      <c r="F291" s="46"/>
      <c r="G291" s="693"/>
      <c r="K291" s="59"/>
    </row>
    <row r="292" spans="3:11">
      <c r="D292" s="46">
        <f>SUM(D288:D290)</f>
        <v>3.1270553064275037</v>
      </c>
      <c r="E292" s="46">
        <f>SUM(E288:E290)</f>
        <v>3.724962630792227</v>
      </c>
      <c r="F292" s="46">
        <f>SUM(F288:F290)</f>
        <v>4.9207772795216744</v>
      </c>
      <c r="G292" s="693" t="s">
        <v>135</v>
      </c>
      <c r="J292" s="90"/>
    </row>
    <row r="293" spans="3:11">
      <c r="D293" s="46"/>
      <c r="E293" s="59"/>
      <c r="J293" s="90"/>
    </row>
    <row r="294" spans="3:11">
      <c r="D294" s="63"/>
      <c r="E294" s="63"/>
      <c r="F294" s="63"/>
      <c r="G294" s="99"/>
      <c r="J294" s="259"/>
      <c r="K294" s="16"/>
    </row>
    <row r="295" spans="3:11">
      <c r="D295" s="63">
        <f>$D282*D289</f>
        <v>511.21076233183857</v>
      </c>
      <c r="E295" s="63">
        <f>$D282*E289</f>
        <v>681.61434977578483</v>
      </c>
      <c r="F295" s="63">
        <f>$D282*F289</f>
        <v>1022.4215246636771</v>
      </c>
      <c r="G295" s="99" t="s">
        <v>52</v>
      </c>
      <c r="J295" s="259"/>
      <c r="K295" s="16"/>
    </row>
    <row r="296" spans="3:11">
      <c r="D296" s="63">
        <f>$D282*D290</f>
        <v>380</v>
      </c>
      <c r="E296" s="63">
        <f>$D282*E290</f>
        <v>380</v>
      </c>
      <c r="F296" s="63">
        <f>$D282*F290</f>
        <v>380</v>
      </c>
      <c r="G296" s="99" t="s">
        <v>52</v>
      </c>
      <c r="J296" s="259"/>
      <c r="K296" s="16"/>
    </row>
    <row r="297" spans="3:11">
      <c r="D297" s="68">
        <f>SUM(D294:D296)</f>
        <v>891.21076233183862</v>
      </c>
      <c r="E297" s="906">
        <f>SUM(E294:E296)</f>
        <v>1061.6143497757848</v>
      </c>
      <c r="F297" s="906">
        <f>SUM(F294:F296)</f>
        <v>1402.4215246636772</v>
      </c>
      <c r="G297" s="1101" t="s">
        <v>53</v>
      </c>
      <c r="J297" s="65"/>
      <c r="K297" s="24"/>
    </row>
    <row r="298" spans="3:11">
      <c r="D298" s="432"/>
      <c r="J298" s="65"/>
      <c r="K298" s="24"/>
    </row>
    <row r="299" spans="3:11">
      <c r="D299" s="46">
        <f>D292</f>
        <v>3.1270553064275037</v>
      </c>
      <c r="E299" s="46">
        <f>E292</f>
        <v>3.724962630792227</v>
      </c>
      <c r="F299" s="46">
        <f>F292</f>
        <v>4.9207772795216744</v>
      </c>
      <c r="G299" s="359" t="s">
        <v>795</v>
      </c>
      <c r="J299" s="65"/>
      <c r="K299" s="24"/>
    </row>
    <row r="300" spans="3:11">
      <c r="D300" s="75">
        <f>ROUNDUP((D292/21),0)</f>
        <v>1</v>
      </c>
      <c r="E300" s="75">
        <f>ROUNDUP((E292/21),0)</f>
        <v>1</v>
      </c>
      <c r="F300" s="75">
        <f>ROUNDUP((F292/21),0)</f>
        <v>1</v>
      </c>
      <c r="G300" s="99" t="s">
        <v>739</v>
      </c>
      <c r="J300" s="65"/>
      <c r="K300" s="24"/>
    </row>
    <row r="301" spans="3:11">
      <c r="D301" s="432"/>
      <c r="J301" s="65"/>
      <c r="K301" s="24"/>
    </row>
    <row r="302" spans="3:11">
      <c r="D302" s="65"/>
      <c r="E302" s="24"/>
      <c r="J302" s="65"/>
      <c r="K302" s="24"/>
    </row>
    <row r="303" spans="3:11">
      <c r="C303" t="s">
        <v>70</v>
      </c>
      <c r="D303" s="58"/>
      <c r="E303" s="59" t="s">
        <v>156</v>
      </c>
      <c r="J303" s="65"/>
      <c r="K303" s="24"/>
    </row>
    <row r="304" spans="3:11">
      <c r="D304" s="160" t="s">
        <v>238</v>
      </c>
      <c r="E304" s="59"/>
      <c r="J304" s="65"/>
      <c r="K304" s="24"/>
    </row>
    <row r="305" spans="4:12">
      <c r="D305" s="58"/>
      <c r="E305" s="59"/>
      <c r="J305" s="65"/>
      <c r="K305" s="24"/>
    </row>
    <row r="306" spans="4:12">
      <c r="D306" s="25">
        <f>D266</f>
        <v>3.1270553064275037</v>
      </c>
      <c r="E306" s="25">
        <f>E266</f>
        <v>3.724962630792227</v>
      </c>
      <c r="F306" s="25">
        <f>F266</f>
        <v>4.9207772795216744</v>
      </c>
      <c r="G306" s="99" t="s">
        <v>157</v>
      </c>
      <c r="J306" s="65"/>
      <c r="K306" s="24"/>
    </row>
    <row r="307" spans="4:12">
      <c r="D307" s="61">
        <f>FLOOR(D306,1)</f>
        <v>3</v>
      </c>
      <c r="E307" s="61">
        <f>FLOOR(E306,1)</f>
        <v>3</v>
      </c>
      <c r="F307" s="61">
        <f>FLOOR(F306,1)</f>
        <v>4</v>
      </c>
      <c r="G307" s="99" t="s">
        <v>73</v>
      </c>
      <c r="J307" s="65"/>
      <c r="K307" s="24"/>
    </row>
    <row r="308" spans="4:12">
      <c r="D308" s="65"/>
      <c r="G308" s="1102"/>
      <c r="J308" s="65"/>
      <c r="K308" s="24"/>
    </row>
    <row r="309" spans="4:12">
      <c r="D309" s="146">
        <f>D307*$D245</f>
        <v>6</v>
      </c>
      <c r="E309" s="146">
        <f>E307*$D245</f>
        <v>6</v>
      </c>
      <c r="F309" s="146">
        <f>F307*$D245</f>
        <v>8</v>
      </c>
      <c r="G309" s="1102" t="s">
        <v>88</v>
      </c>
      <c r="J309" s="65"/>
      <c r="K309" s="24"/>
    </row>
    <row r="310" spans="4:12">
      <c r="D310" s="102">
        <f>D309*$D256</f>
        <v>1260</v>
      </c>
      <c r="E310" s="907">
        <f>E309*$D256</f>
        <v>1260</v>
      </c>
      <c r="F310" s="907">
        <f>F309*$D256</f>
        <v>1680</v>
      </c>
      <c r="G310" s="1101" t="s">
        <v>74</v>
      </c>
      <c r="J310" s="259"/>
      <c r="K310" s="16"/>
    </row>
    <row r="311" spans="4:12">
      <c r="D311" s="825"/>
      <c r="E311" s="825"/>
      <c r="H311" s="1" t="s">
        <v>788</v>
      </c>
      <c r="I311" s="1" t="s">
        <v>779</v>
      </c>
      <c r="J311" s="1" t="s">
        <v>789</v>
      </c>
    </row>
    <row r="312" spans="4:12">
      <c r="D312" s="617" t="s">
        <v>172</v>
      </c>
      <c r="E312" s="618" t="s">
        <v>155</v>
      </c>
      <c r="F312" s="618" t="s">
        <v>173</v>
      </c>
      <c r="G312" s="1103" t="s">
        <v>174</v>
      </c>
      <c r="H312" s="618" t="s">
        <v>166</v>
      </c>
      <c r="I312" s="618" t="s">
        <v>166</v>
      </c>
      <c r="J312" s="618" t="s">
        <v>166</v>
      </c>
      <c r="K312" s="619" t="s">
        <v>69</v>
      </c>
    </row>
    <row r="313" spans="4:12">
      <c r="D313" s="404" t="s">
        <v>3</v>
      </c>
      <c r="E313" s="90">
        <f>D268</f>
        <v>6.2541106128550075</v>
      </c>
      <c r="F313" s="531">
        <f>D219</f>
        <v>30</v>
      </c>
      <c r="H313" s="432">
        <f>D272</f>
        <v>1407.1748878923768</v>
      </c>
      <c r="I313" s="432">
        <f>E272</f>
        <v>1676.2331838565024</v>
      </c>
      <c r="J313" s="432">
        <f>F272</f>
        <v>2214.3497757847535</v>
      </c>
      <c r="K313" s="830" t="str">
        <f>G272</f>
        <v>Cost for labour</v>
      </c>
      <c r="L313" s="558">
        <f>D220</f>
        <v>1</v>
      </c>
    </row>
    <row r="314" spans="4:12">
      <c r="D314" s="404" t="s">
        <v>490</v>
      </c>
      <c r="E314" s="90">
        <f>D292</f>
        <v>3.1270553064275037</v>
      </c>
      <c r="F314" s="531">
        <f>F315</f>
        <v>30</v>
      </c>
      <c r="G314" s="1104">
        <f>D283</f>
        <v>0</v>
      </c>
      <c r="H314" s="432">
        <f>D297</f>
        <v>891.21076233183862</v>
      </c>
      <c r="I314" s="432">
        <f>E297</f>
        <v>1061.6143497757848</v>
      </c>
      <c r="J314" s="432">
        <f>F297</f>
        <v>1402.4215246636772</v>
      </c>
      <c r="K314" s="830" t="str">
        <f>G297</f>
        <v>Cost for ute hire for the whole activity</v>
      </c>
      <c r="L314" s="558">
        <f>L313</f>
        <v>1</v>
      </c>
    </row>
    <row r="315" spans="4:12">
      <c r="D315" s="404" t="s">
        <v>169</v>
      </c>
      <c r="E315" s="90">
        <f>D309</f>
        <v>6</v>
      </c>
      <c r="F315" s="531">
        <f>F313</f>
        <v>30</v>
      </c>
      <c r="H315" s="432">
        <f>D310</f>
        <v>1260</v>
      </c>
      <c r="I315" s="432">
        <f>E310</f>
        <v>1260</v>
      </c>
      <c r="J315" s="432">
        <f>F310</f>
        <v>1680</v>
      </c>
      <c r="K315" s="830" t="str">
        <f>G310</f>
        <v>Accomodation + Food Cost</v>
      </c>
      <c r="L315" s="558">
        <f>L314</f>
        <v>1</v>
      </c>
    </row>
    <row r="316" spans="4:12">
      <c r="D316" s="404"/>
      <c r="E316" s="90"/>
      <c r="F316" s="531"/>
      <c r="H316" s="432"/>
      <c r="I316" s="259"/>
      <c r="J316" s="259"/>
      <c r="K316" s="830"/>
      <c r="L316" s="558"/>
    </row>
    <row r="317" spans="4:12">
      <c r="D317" s="404"/>
      <c r="E317" s="90"/>
      <c r="F317" s="531"/>
      <c r="H317" s="432"/>
      <c r="I317" s="259"/>
      <c r="J317" s="259"/>
      <c r="K317" s="830"/>
    </row>
    <row r="318" spans="4:12">
      <c r="D318" s="405"/>
      <c r="E318" s="439"/>
      <c r="F318" s="439"/>
      <c r="G318" s="1098"/>
      <c r="H318" s="622">
        <f>SUM(H313:H317)</f>
        <v>3558.3856502242152</v>
      </c>
      <c r="I318" s="622">
        <f>SUM(I313:I317)</f>
        <v>3997.8475336322872</v>
      </c>
      <c r="J318" s="622">
        <f>SUM(J313:J317)</f>
        <v>5296.7713004484303</v>
      </c>
      <c r="K318" s="623" t="s">
        <v>165</v>
      </c>
    </row>
    <row r="319" spans="4:12">
      <c r="D319"/>
      <c r="E319"/>
      <c r="F319" s="432"/>
      <c r="G319" s="1099"/>
    </row>
    <row r="320" spans="4:12">
      <c r="D320" s="25"/>
    </row>
    <row r="321" spans="3:10" s="9" customFormat="1">
      <c r="D321" s="116"/>
      <c r="E321" s="116"/>
      <c r="G321" s="572"/>
    </row>
    <row r="322" spans="3:10" s="182" customFormat="1">
      <c r="D322" s="2128"/>
      <c r="E322" s="2128"/>
      <c r="G322" s="1131"/>
    </row>
    <row r="323" spans="3:10" s="9" customFormat="1">
      <c r="C323" s="9" t="s">
        <v>1591</v>
      </c>
      <c r="E323" s="34"/>
      <c r="F323" s="34"/>
      <c r="G323" s="572"/>
    </row>
    <row r="324" spans="3:10" s="79" customFormat="1">
      <c r="C324" s="79" t="s">
        <v>1590</v>
      </c>
      <c r="D324" s="354">
        <v>100</v>
      </c>
      <c r="E324" s="76" t="s">
        <v>1473</v>
      </c>
      <c r="G324" s="1119"/>
    </row>
    <row r="325" spans="3:10" s="79" customFormat="1">
      <c r="D325" s="75"/>
      <c r="E325" s="76"/>
      <c r="G325" s="1119"/>
    </row>
    <row r="326" spans="3:10" s="79" customFormat="1">
      <c r="D326" s="2134">
        <v>1</v>
      </c>
      <c r="E326" s="76" t="s">
        <v>1485</v>
      </c>
      <c r="G326" s="1119"/>
    </row>
    <row r="327" spans="3:10" s="79" customFormat="1">
      <c r="D327" s="2133">
        <f>D326*D324</f>
        <v>100</v>
      </c>
      <c r="E327" s="79" t="s">
        <v>1482</v>
      </c>
      <c r="G327" s="1119"/>
    </row>
    <row r="328" spans="3:10" s="79" customFormat="1">
      <c r="D328" s="2275">
        <v>1</v>
      </c>
      <c r="E328" s="76" t="s">
        <v>263</v>
      </c>
      <c r="G328" s="1119"/>
    </row>
    <row r="329" spans="3:10" s="79" customFormat="1">
      <c r="D329" s="279"/>
      <c r="E329" s="76" t="s">
        <v>1476</v>
      </c>
      <c r="G329" s="1119"/>
    </row>
    <row r="330" spans="3:10" s="79" customFormat="1">
      <c r="D330" s="2129" t="s">
        <v>1468</v>
      </c>
      <c r="E330" s="76"/>
      <c r="G330" s="1119"/>
    </row>
    <row r="331" spans="3:10" s="79" customFormat="1">
      <c r="D331" s="2129" t="s">
        <v>1470</v>
      </c>
      <c r="E331" s="76"/>
      <c r="G331" s="1119"/>
    </row>
    <row r="332" spans="3:10" s="79" customFormat="1">
      <c r="D332" s="2129" t="s">
        <v>1471</v>
      </c>
      <c r="E332" s="76"/>
      <c r="G332" s="1119"/>
    </row>
    <row r="333" spans="3:10" s="79" customFormat="1">
      <c r="D333" s="2129" t="s">
        <v>1472</v>
      </c>
      <c r="E333" s="76"/>
      <c r="G333" s="1119"/>
    </row>
    <row r="334" spans="3:10" s="79" customFormat="1">
      <c r="D334" s="279"/>
      <c r="E334" s="76"/>
      <c r="G334" s="1119"/>
    </row>
    <row r="335" spans="3:10" s="79" customFormat="1">
      <c r="D335" s="2131" t="s">
        <v>1478</v>
      </c>
      <c r="E335" s="2130" t="s">
        <v>1469</v>
      </c>
      <c r="F335" s="79" t="s">
        <v>1481</v>
      </c>
      <c r="G335" s="79" t="s">
        <v>1475</v>
      </c>
      <c r="H335" s="2130" t="s">
        <v>1474</v>
      </c>
      <c r="I335" s="79" t="s">
        <v>1483</v>
      </c>
      <c r="J335" s="122" t="s">
        <v>1484</v>
      </c>
    </row>
    <row r="336" spans="3:10" s="79" customFormat="1">
      <c r="D336" s="2131" t="s">
        <v>1477</v>
      </c>
      <c r="E336" s="122">
        <v>1</v>
      </c>
      <c r="F336" s="2333">
        <f>SQRT(E336)*4</f>
        <v>4</v>
      </c>
      <c r="G336" s="127">
        <v>0.35</v>
      </c>
      <c r="H336" s="336">
        <f>$D$327*G336</f>
        <v>35</v>
      </c>
      <c r="I336" s="2135">
        <f>H336/E336</f>
        <v>35</v>
      </c>
      <c r="J336" s="2136">
        <f>I336*F336</f>
        <v>140</v>
      </c>
    </row>
    <row r="337" spans="3:14" s="79" customFormat="1">
      <c r="D337" s="2132" t="s">
        <v>1479</v>
      </c>
      <c r="E337" s="122">
        <v>6</v>
      </c>
      <c r="F337" s="2333">
        <f>SQRT(E337)*4</f>
        <v>9.7979589711327115</v>
      </c>
      <c r="G337" s="127">
        <v>0.35</v>
      </c>
      <c r="H337" s="336">
        <f>$D$327*G337</f>
        <v>35</v>
      </c>
      <c r="I337" s="1289">
        <f>H337/E337</f>
        <v>5.833333333333333</v>
      </c>
      <c r="J337" s="2136">
        <f>I337*F337</f>
        <v>57.154760664940817</v>
      </c>
    </row>
    <row r="338" spans="3:14" s="79" customFormat="1">
      <c r="D338" s="2132" t="s">
        <v>1480</v>
      </c>
      <c r="E338" s="122">
        <v>35</v>
      </c>
      <c r="F338" s="2333">
        <f>SQRT(E338)*4</f>
        <v>23.664319132398465</v>
      </c>
      <c r="G338" s="127">
        <v>0.3</v>
      </c>
      <c r="H338" s="336">
        <f>$D$327*G338</f>
        <v>30</v>
      </c>
      <c r="I338" s="1289">
        <f>H338/E338</f>
        <v>0.8571428571428571</v>
      </c>
      <c r="J338" s="2136">
        <f>I338*F338</f>
        <v>20.283702113484399</v>
      </c>
      <c r="K338" s="66"/>
    </row>
    <row r="339" spans="3:14" s="79" customFormat="1">
      <c r="D339" s="2132"/>
      <c r="E339" s="122"/>
      <c r="F339" s="621"/>
      <c r="G339" s="127"/>
      <c r="H339" s="336"/>
      <c r="I339" s="1289"/>
      <c r="J339" s="2136"/>
      <c r="K339" s="66"/>
    </row>
    <row r="340" spans="3:14" s="79" customFormat="1">
      <c r="D340" s="2132"/>
      <c r="E340" s="122"/>
      <c r="F340" s="2334"/>
      <c r="G340" s="127"/>
      <c r="H340" s="336"/>
      <c r="I340" s="1289"/>
      <c r="J340" s="2136">
        <f>SUM(J336:J338)</f>
        <v>217.43846277842522</v>
      </c>
      <c r="K340" s="76" t="s">
        <v>1486</v>
      </c>
    </row>
    <row r="341" spans="3:14" s="79" customFormat="1">
      <c r="D341" s="79" t="s">
        <v>1569</v>
      </c>
      <c r="G341" s="1119"/>
      <c r="J341" s="65"/>
      <c r="K341" s="66"/>
    </row>
    <row r="342" spans="3:14" s="79" customFormat="1">
      <c r="C342" s="79" t="s">
        <v>1558</v>
      </c>
      <c r="D342" s="1740">
        <v>4</v>
      </c>
      <c r="E342" s="76" t="s">
        <v>1491</v>
      </c>
      <c r="F342" s="2138"/>
      <c r="G342" s="2138" t="s">
        <v>1494</v>
      </c>
      <c r="J342" s="65"/>
      <c r="K342" s="66"/>
    </row>
    <row r="343" spans="3:14" s="79" customFormat="1">
      <c r="D343" s="2139">
        <v>330</v>
      </c>
      <c r="E343" s="76" t="s">
        <v>1492</v>
      </c>
      <c r="F343" s="517" t="s">
        <v>1493</v>
      </c>
      <c r="G343" s="1119"/>
      <c r="J343" s="65"/>
      <c r="K343" s="66"/>
    </row>
    <row r="344" spans="3:14" s="79" customFormat="1">
      <c r="D344" s="1740">
        <v>1</v>
      </c>
      <c r="E344" s="79" t="s">
        <v>1575</v>
      </c>
      <c r="F344" s="79" t="s">
        <v>1554</v>
      </c>
      <c r="G344" s="1119"/>
      <c r="I344" s="79" t="s">
        <v>1555</v>
      </c>
      <c r="J344" s="65"/>
      <c r="K344" s="66"/>
    </row>
    <row r="345" spans="3:14" s="79" customFormat="1">
      <c r="D345" s="2139">
        <v>1.25</v>
      </c>
      <c r="E345" s="124" t="s">
        <v>435</v>
      </c>
      <c r="F345" s="2274">
        <v>1.4</v>
      </c>
      <c r="G345" s="2273">
        <v>0.25</v>
      </c>
      <c r="H345" s="66" t="s">
        <v>1556</v>
      </c>
    </row>
    <row r="346" spans="3:14" s="79" customFormat="1">
      <c r="D346" s="978"/>
      <c r="F346" s="2274">
        <v>1.2</v>
      </c>
      <c r="G346" s="2273">
        <v>0.75</v>
      </c>
      <c r="H346" s="66" t="s">
        <v>1557</v>
      </c>
    </row>
    <row r="347" spans="3:14" s="79" customFormat="1">
      <c r="D347" s="978"/>
      <c r="E347" s="66"/>
      <c r="F347" s="65">
        <f>F345*G345+F346*G346</f>
        <v>1.25</v>
      </c>
      <c r="G347" s="2273"/>
      <c r="H347" s="66"/>
    </row>
    <row r="348" spans="3:14" s="79" customFormat="1">
      <c r="D348" s="978"/>
      <c r="E348" s="66"/>
      <c r="F348" s="65"/>
      <c r="G348" s="2273"/>
      <c r="H348" s="66"/>
    </row>
    <row r="349" spans="3:14" s="79" customFormat="1">
      <c r="C349" s="79" t="s">
        <v>2578</v>
      </c>
      <c r="D349" s="978" t="s">
        <v>1570</v>
      </c>
      <c r="E349" s="66"/>
      <c r="F349" s="2138"/>
      <c r="G349" s="1119"/>
      <c r="M349" s="2273"/>
      <c r="N349" s="66"/>
    </row>
    <row r="350" spans="3:14" s="79" customFormat="1">
      <c r="D350" s="1740">
        <v>1</v>
      </c>
      <c r="E350" s="66" t="s">
        <v>1571</v>
      </c>
      <c r="F350" s="2138"/>
      <c r="G350" s="1119"/>
      <c r="M350" s="2273"/>
      <c r="N350" s="66"/>
    </row>
    <row r="351" spans="3:14" s="79" customFormat="1">
      <c r="D351" s="538">
        <v>200</v>
      </c>
      <c r="E351" s="79" t="s">
        <v>1563</v>
      </c>
      <c r="F351" s="79">
        <f>178*1.1</f>
        <v>195.8</v>
      </c>
      <c r="G351" s="66" t="s">
        <v>1559</v>
      </c>
      <c r="N351" s="66"/>
    </row>
    <row r="352" spans="3:14" s="79" customFormat="1">
      <c r="D352" s="346">
        <v>2</v>
      </c>
      <c r="E352" s="79" t="s">
        <v>1565</v>
      </c>
      <c r="G352" s="79" t="s">
        <v>1560</v>
      </c>
      <c r="J352" s="65"/>
      <c r="K352" s="66"/>
    </row>
    <row r="353" spans="3:11" s="79" customFormat="1">
      <c r="D353" s="538">
        <v>300</v>
      </c>
      <c r="E353" s="79" t="s">
        <v>1678</v>
      </c>
      <c r="G353" s="79" t="s">
        <v>1561</v>
      </c>
      <c r="J353" s="65"/>
      <c r="K353" s="66"/>
    </row>
    <row r="354" spans="3:11" s="79" customFormat="1">
      <c r="D354" s="2143" t="s">
        <v>1577</v>
      </c>
      <c r="E354" s="2277" t="s">
        <v>1566</v>
      </c>
      <c r="G354" s="473" t="s">
        <v>1562</v>
      </c>
      <c r="J354" s="65"/>
      <c r="K354" s="66"/>
    </row>
    <row r="355" spans="3:11" s="122" customFormat="1">
      <c r="D355" s="2132"/>
      <c r="F355" s="620"/>
      <c r="G355" s="542"/>
      <c r="H355" s="141"/>
      <c r="I355" s="2322"/>
      <c r="J355" s="620"/>
      <c r="K355" s="2164"/>
    </row>
    <row r="356" spans="3:11" s="122" customFormat="1">
      <c r="D356" s="2132"/>
      <c r="F356" s="620"/>
      <c r="G356" s="542"/>
      <c r="H356" s="141"/>
      <c r="I356" s="2322"/>
      <c r="J356" s="620"/>
      <c r="K356" s="2164"/>
    </row>
    <row r="357" spans="3:11" s="122" customFormat="1">
      <c r="D357" s="2132"/>
      <c r="F357" s="620"/>
      <c r="G357" s="542"/>
      <c r="H357" s="141"/>
      <c r="I357" s="2322"/>
    </row>
    <row r="358" spans="3:11" s="182" customFormat="1">
      <c r="D358" s="2128"/>
      <c r="E358" s="2128"/>
      <c r="G358" s="1131"/>
    </row>
    <row r="359" spans="3:11" s="9" customFormat="1">
      <c r="C359" s="121" t="s">
        <v>2569</v>
      </c>
      <c r="E359" s="34"/>
      <c r="G359" s="572"/>
    </row>
    <row r="360" spans="3:11" s="79" customFormat="1">
      <c r="D360" s="34" t="s">
        <v>2570</v>
      </c>
      <c r="E360" s="76"/>
      <c r="G360" s="1119"/>
      <c r="J360" s="122"/>
    </row>
    <row r="361" spans="3:11" s="79" customFormat="1">
      <c r="D361" s="279"/>
      <c r="E361" s="76"/>
      <c r="G361" s="1119"/>
      <c r="J361" s="122"/>
    </row>
    <row r="362" spans="3:11" s="79" customFormat="1">
      <c r="D362" s="2132"/>
      <c r="E362" s="122"/>
      <c r="F362" s="621"/>
      <c r="G362" s="127"/>
      <c r="H362" s="336"/>
      <c r="I362" s="128"/>
      <c r="J362" s="620"/>
      <c r="K362" s="76"/>
    </row>
    <row r="363" spans="3:11" s="79" customFormat="1">
      <c r="D363" s="2132"/>
      <c r="E363" s="122"/>
      <c r="F363" s="621"/>
      <c r="G363" s="127"/>
      <c r="H363" s="336"/>
      <c r="I363" s="128"/>
      <c r="J363" s="620"/>
      <c r="K363" s="76"/>
    </row>
    <row r="364" spans="3:11" s="79" customFormat="1">
      <c r="D364" s="2132"/>
      <c r="E364" s="122"/>
      <c r="F364" s="621"/>
      <c r="G364" s="127"/>
      <c r="H364" s="336"/>
      <c r="I364" s="128"/>
      <c r="J364" s="620"/>
      <c r="K364" s="76"/>
    </row>
    <row r="365" spans="3:11" s="79" customFormat="1">
      <c r="G365" s="1119"/>
      <c r="J365" s="290"/>
      <c r="K365" s="66"/>
    </row>
    <row r="366" spans="3:11" s="79" customFormat="1">
      <c r="C366" s="79" t="s">
        <v>2585</v>
      </c>
      <c r="D366" s="2135">
        <f>J340</f>
        <v>217.43846277842522</v>
      </c>
      <c r="E366" s="79" t="s">
        <v>2580</v>
      </c>
      <c r="F366" s="621"/>
      <c r="G366" s="127"/>
      <c r="H366" s="336"/>
      <c r="I366" s="128"/>
      <c r="J366" s="621"/>
      <c r="K366" s="66"/>
    </row>
    <row r="367" spans="3:11" s="79" customFormat="1">
      <c r="D367" s="489" t="s">
        <v>1487</v>
      </c>
      <c r="E367" s="66"/>
      <c r="F367" s="621"/>
      <c r="G367" s="127"/>
      <c r="H367" s="336"/>
      <c r="I367" s="128"/>
      <c r="J367" s="621"/>
      <c r="K367" s="66"/>
    </row>
    <row r="368" spans="3:11" s="79" customFormat="1">
      <c r="D368" s="3632">
        <v>1.75</v>
      </c>
      <c r="E368" s="66" t="s">
        <v>2581</v>
      </c>
      <c r="F368" s="621"/>
      <c r="G368" s="127"/>
      <c r="H368" s="336"/>
      <c r="I368" s="128"/>
      <c r="J368" s="621"/>
      <c r="K368" s="66"/>
    </row>
    <row r="369" spans="3:11" s="79" customFormat="1">
      <c r="D369" s="2137">
        <f>1/1.75</f>
        <v>0.5714285714285714</v>
      </c>
      <c r="E369" s="76" t="s">
        <v>2582</v>
      </c>
      <c r="F369" s="621"/>
      <c r="G369" s="127"/>
      <c r="H369" s="336"/>
      <c r="I369" s="128"/>
      <c r="J369" s="621"/>
      <c r="K369" s="66"/>
    </row>
    <row r="370" spans="3:11" s="79" customFormat="1">
      <c r="D370" s="75">
        <f>D366*D369</f>
        <v>124.25055015910011</v>
      </c>
      <c r="E370" s="76" t="s">
        <v>2583</v>
      </c>
      <c r="G370" s="1119"/>
    </row>
    <row r="371" spans="3:11" s="79" customFormat="1">
      <c r="D371" s="2276">
        <f>D370/7.5</f>
        <v>16.566740021213349</v>
      </c>
      <c r="E371" s="124" t="s">
        <v>2584</v>
      </c>
      <c r="G371" s="1119"/>
    </row>
    <row r="372" spans="3:11" s="79" customFormat="1">
      <c r="D372" s="2132"/>
      <c r="E372" s="122"/>
      <c r="F372" s="621"/>
      <c r="G372" s="127"/>
      <c r="H372" s="336"/>
      <c r="I372" s="128"/>
    </row>
    <row r="373" spans="3:11" s="79" customFormat="1">
      <c r="C373" s="79" t="s">
        <v>307</v>
      </c>
      <c r="D373" s="357" t="s">
        <v>1568</v>
      </c>
      <c r="E373" s="66"/>
      <c r="G373" s="1119"/>
      <c r="J373" s="65"/>
      <c r="K373" s="66"/>
    </row>
    <row r="374" spans="3:11" s="79" customFormat="1">
      <c r="E374" s="357" t="s">
        <v>1488</v>
      </c>
      <c r="G374" s="1119"/>
      <c r="J374" s="65"/>
      <c r="K374" s="66"/>
    </row>
    <row r="375" spans="3:11" s="79" customFormat="1">
      <c r="D375" s="346">
        <v>2</v>
      </c>
      <c r="E375" s="357" t="s">
        <v>1567</v>
      </c>
      <c r="G375" s="1119"/>
      <c r="J375" s="65"/>
      <c r="K375" s="66"/>
    </row>
    <row r="376" spans="3:11" s="79" customFormat="1">
      <c r="D376" s="2139">
        <v>1690</v>
      </c>
      <c r="E376" s="76" t="s">
        <v>1489</v>
      </c>
      <c r="F376" s="2138" t="s">
        <v>1490</v>
      </c>
      <c r="G376" s="1119"/>
      <c r="J376" s="65"/>
      <c r="K376" s="66"/>
    </row>
    <row r="377" spans="3:11" s="79" customFormat="1">
      <c r="D377" s="2139">
        <v>400</v>
      </c>
      <c r="E377" s="76" t="s">
        <v>1495</v>
      </c>
      <c r="F377" s="517" t="s">
        <v>1496</v>
      </c>
      <c r="G377" s="1119"/>
      <c r="J377" s="65"/>
      <c r="K377" s="66"/>
    </row>
    <row r="378" spans="3:11" s="79" customFormat="1">
      <c r="D378" s="1740">
        <v>1</v>
      </c>
      <c r="E378" s="79" t="s">
        <v>1575</v>
      </c>
      <c r="F378" s="517"/>
      <c r="G378" s="1119"/>
      <c r="J378" s="65"/>
      <c r="K378" s="66"/>
    </row>
    <row r="379" spans="3:11" s="79" customFormat="1">
      <c r="G379" s="1119"/>
      <c r="J379" s="65"/>
      <c r="K379" s="66"/>
    </row>
    <row r="380" spans="3:11" s="79" customFormat="1">
      <c r="D380" s="79" t="s">
        <v>1569</v>
      </c>
      <c r="G380" s="1119"/>
      <c r="J380" s="65"/>
      <c r="K380" s="66"/>
    </row>
    <row r="381" spans="3:11" s="79" customFormat="1">
      <c r="C381" s="79" t="s">
        <v>1558</v>
      </c>
      <c r="D381" s="1740">
        <f>$D$342</f>
        <v>4</v>
      </c>
      <c r="E381" s="76" t="s">
        <v>1491</v>
      </c>
      <c r="F381" s="2138"/>
      <c r="G381" s="2138" t="s">
        <v>1494</v>
      </c>
      <c r="J381" s="65"/>
      <c r="K381" s="66"/>
    </row>
    <row r="382" spans="3:11" s="79" customFormat="1">
      <c r="D382" s="2139">
        <f>$D$343</f>
        <v>330</v>
      </c>
      <c r="E382" s="76" t="s">
        <v>1492</v>
      </c>
      <c r="F382" s="517" t="s">
        <v>1493</v>
      </c>
      <c r="G382" s="1119"/>
      <c r="J382" s="65"/>
      <c r="K382" s="66"/>
    </row>
    <row r="383" spans="3:11" s="79" customFormat="1">
      <c r="D383" s="1740">
        <f>$D$344</f>
        <v>1</v>
      </c>
      <c r="E383" s="79" t="s">
        <v>1575</v>
      </c>
      <c r="F383" s="79" t="s">
        <v>1554</v>
      </c>
      <c r="G383" s="1119"/>
      <c r="I383" s="79" t="s">
        <v>1555</v>
      </c>
      <c r="J383" s="65"/>
      <c r="K383" s="66"/>
    </row>
    <row r="384" spans="3:11" s="79" customFormat="1">
      <c r="D384" s="2139">
        <f>$D$345</f>
        <v>1.25</v>
      </c>
      <c r="E384" s="124" t="s">
        <v>435</v>
      </c>
      <c r="F384" s="2274">
        <v>1.4</v>
      </c>
      <c r="G384" s="2273">
        <v>0.25</v>
      </c>
      <c r="H384" s="66" t="s">
        <v>1556</v>
      </c>
    </row>
    <row r="385" spans="3:14" s="79" customFormat="1">
      <c r="D385" s="978"/>
      <c r="F385" s="2274">
        <v>1.2</v>
      </c>
      <c r="G385" s="2273">
        <v>0.75</v>
      </c>
      <c r="H385" s="66" t="s">
        <v>1557</v>
      </c>
    </row>
    <row r="386" spans="3:14" s="79" customFormat="1">
      <c r="D386" s="978"/>
      <c r="E386" s="66"/>
      <c r="F386" s="65">
        <f>F384*G384+F385*G385</f>
        <v>1.25</v>
      </c>
      <c r="G386" s="2273"/>
      <c r="H386" s="66"/>
    </row>
    <row r="387" spans="3:14" s="79" customFormat="1">
      <c r="D387" s="978"/>
      <c r="E387" s="66"/>
      <c r="F387" s="65"/>
      <c r="G387" s="2273"/>
      <c r="H387" s="66"/>
    </row>
    <row r="388" spans="3:14" s="79" customFormat="1">
      <c r="C388" s="79" t="s">
        <v>2579</v>
      </c>
      <c r="D388" s="978" t="s">
        <v>1570</v>
      </c>
      <c r="E388" s="66"/>
      <c r="F388" s="2138"/>
      <c r="G388" s="1119"/>
      <c r="M388" s="2273"/>
      <c r="N388" s="66"/>
    </row>
    <row r="389" spans="3:14" s="79" customFormat="1">
      <c r="D389" s="1740">
        <f>$D$350</f>
        <v>1</v>
      </c>
      <c r="E389" s="66" t="s">
        <v>1571</v>
      </c>
      <c r="F389" s="2138"/>
      <c r="G389" s="1119"/>
      <c r="M389" s="2273"/>
      <c r="N389" s="66"/>
    </row>
    <row r="390" spans="3:14" s="79" customFormat="1">
      <c r="D390" s="538">
        <f>$D$351</f>
        <v>200</v>
      </c>
      <c r="E390" s="79" t="s">
        <v>1563</v>
      </c>
      <c r="F390" s="79">
        <f>178*1.1</f>
        <v>195.8</v>
      </c>
      <c r="G390" s="66" t="s">
        <v>1559</v>
      </c>
      <c r="N390" s="66"/>
    </row>
    <row r="391" spans="3:14" s="79" customFormat="1">
      <c r="D391" s="2135">
        <f>$D$352</f>
        <v>2</v>
      </c>
      <c r="E391" s="79" t="s">
        <v>1565</v>
      </c>
      <c r="G391" s="79" t="s">
        <v>1560</v>
      </c>
      <c r="J391" s="65"/>
      <c r="K391" s="66"/>
    </row>
    <row r="392" spans="3:14" s="79" customFormat="1">
      <c r="D392" s="2135">
        <f>$D$353</f>
        <v>300</v>
      </c>
      <c r="E392" s="79" t="s">
        <v>1564</v>
      </c>
      <c r="G392" s="79" t="s">
        <v>1561</v>
      </c>
      <c r="J392" s="65"/>
      <c r="K392" s="66"/>
    </row>
    <row r="393" spans="3:14" s="79" customFormat="1">
      <c r="D393" s="2143" t="s">
        <v>1577</v>
      </c>
      <c r="E393" s="2277" t="s">
        <v>1566</v>
      </c>
      <c r="G393" s="473" t="s">
        <v>1562</v>
      </c>
      <c r="J393" s="65"/>
      <c r="K393" s="66"/>
    </row>
    <row r="394" spans="3:14" s="79" customFormat="1">
      <c r="G394" s="473"/>
      <c r="J394" s="65"/>
      <c r="K394" s="66"/>
    </row>
    <row r="395" spans="3:14" s="79" customFormat="1">
      <c r="D395" s="122"/>
      <c r="E395" s="122"/>
      <c r="G395" s="473"/>
      <c r="J395" s="65"/>
      <c r="K395" s="66"/>
    </row>
    <row r="396" spans="3:14" s="79" customFormat="1">
      <c r="C396" s="79" t="s">
        <v>4</v>
      </c>
      <c r="D396" s="129">
        <f>D366*D378*D384</f>
        <v>271.79807847303152</v>
      </c>
      <c r="E396" s="122" t="s">
        <v>1576</v>
      </c>
      <c r="G396" s="1120"/>
      <c r="H396" s="324"/>
      <c r="I396" s="325"/>
    </row>
    <row r="397" spans="3:14" s="79" customFormat="1">
      <c r="D397" s="2274">
        <f>D366*D383*D384*D381</f>
        <v>1087.1923138921261</v>
      </c>
      <c r="E397" s="122" t="s">
        <v>1572</v>
      </c>
      <c r="G397" s="1120"/>
      <c r="H397" s="324"/>
      <c r="I397" s="325"/>
    </row>
    <row r="398" spans="3:14" s="79" customFormat="1">
      <c r="D398" s="2274">
        <f>D390*D370</f>
        <v>24850.110031820022</v>
      </c>
      <c r="E398" s="122" t="s">
        <v>1585</v>
      </c>
      <c r="G398" s="1120"/>
      <c r="H398" s="324"/>
      <c r="I398" s="325"/>
    </row>
    <row r="399" spans="3:14" s="79" customFormat="1">
      <c r="D399" s="2274">
        <f>D366/100*D392*D391</f>
        <v>1304.6307766705513</v>
      </c>
      <c r="E399" s="122" t="s">
        <v>1574</v>
      </c>
      <c r="G399" s="1120"/>
      <c r="H399" s="324"/>
      <c r="I399" s="325"/>
    </row>
    <row r="400" spans="3:14" s="79" customFormat="1">
      <c r="D400" s="1606">
        <f>SUM(D396:D399)</f>
        <v>27513.731200855731</v>
      </c>
      <c r="E400" s="118" t="s">
        <v>625</v>
      </c>
      <c r="G400" s="1120"/>
      <c r="H400" s="324"/>
      <c r="I400" s="325"/>
    </row>
    <row r="401" spans="3:12" s="79" customFormat="1">
      <c r="D401" s="129"/>
      <c r="E401" s="122"/>
      <c r="G401" s="1120"/>
      <c r="H401" s="324"/>
      <c r="I401" s="325"/>
    </row>
    <row r="402" spans="3:12" s="79" customFormat="1">
      <c r="G402" s="1120"/>
      <c r="H402" s="324"/>
      <c r="I402" s="325"/>
    </row>
    <row r="403" spans="3:12" s="79" customFormat="1">
      <c r="C403" s="79" t="s">
        <v>21</v>
      </c>
      <c r="D403" s="129">
        <f>D376</f>
        <v>1690</v>
      </c>
      <c r="E403" s="129" t="str">
        <f>E376</f>
        <v>5m harrow to scrape vegetation</v>
      </c>
      <c r="G403" s="1120"/>
      <c r="H403" s="324"/>
      <c r="I403" s="325"/>
    </row>
    <row r="404" spans="3:12" s="79" customFormat="1">
      <c r="D404" s="129">
        <f>D377</f>
        <v>400</v>
      </c>
      <c r="E404" s="129" t="str">
        <f>E377</f>
        <v>Mounted flame thrower for 4wd</v>
      </c>
      <c r="G404" s="1120"/>
      <c r="H404" s="324"/>
      <c r="I404" s="325"/>
    </row>
    <row r="405" spans="3:12" s="79" customFormat="1">
      <c r="D405" s="129">
        <f>D382*D381</f>
        <v>1320</v>
      </c>
      <c r="E405" s="129" t="str">
        <f>E382</f>
        <v>drip torch cost</v>
      </c>
      <c r="G405" s="1120"/>
      <c r="H405" s="324"/>
      <c r="I405" s="325"/>
    </row>
    <row r="406" spans="3:12" s="79" customFormat="1">
      <c r="D406" s="129"/>
      <c r="E406" s="129"/>
      <c r="G406" s="1120"/>
      <c r="H406" s="324"/>
      <c r="I406" s="325"/>
    </row>
    <row r="407" spans="3:12" s="79" customFormat="1">
      <c r="D407" s="1606">
        <f>SUM(D403:D405)</f>
        <v>3410</v>
      </c>
      <c r="E407" s="2279" t="s">
        <v>43</v>
      </c>
      <c r="F407" s="2280">
        <v>10</v>
      </c>
      <c r="G407" s="1120" t="s">
        <v>1586</v>
      </c>
      <c r="H407" s="324"/>
      <c r="I407" s="325"/>
    </row>
    <row r="408" spans="3:12" s="79" customFormat="1">
      <c r="C408" s="9"/>
      <c r="D408" s="290"/>
      <c r="E408" s="124"/>
      <c r="F408" s="147"/>
      <c r="G408" s="1121"/>
      <c r="H408" s="288"/>
      <c r="I408" s="288"/>
      <c r="J408" s="289"/>
      <c r="K408" s="216"/>
    </row>
    <row r="409" spans="3:12" s="79" customFormat="1" ht="19">
      <c r="C409" t="s">
        <v>50</v>
      </c>
      <c r="D409" s="37" t="s">
        <v>81</v>
      </c>
      <c r="E409" s="24"/>
      <c r="F409" s="1"/>
      <c r="G409" s="1100"/>
      <c r="H409" s="286"/>
      <c r="I409" s="286"/>
      <c r="J409" s="289"/>
      <c r="K409" s="216"/>
    </row>
    <row r="410" spans="3:12" s="79" customFormat="1">
      <c r="C410"/>
      <c r="D410" s="24" t="s">
        <v>250</v>
      </c>
      <c r="E410" s="16"/>
      <c r="F410" s="1"/>
      <c r="G410" s="1100"/>
      <c r="J410" s="248"/>
      <c r="K410" s="248"/>
      <c r="L410" s="122"/>
    </row>
    <row r="411" spans="3:12" s="79" customFormat="1">
      <c r="C411"/>
      <c r="D411" s="160" t="s">
        <v>294</v>
      </c>
      <c r="E411" s="16"/>
      <c r="F411"/>
      <c r="G411" s="359"/>
      <c r="J411" s="248"/>
      <c r="K411" s="288"/>
      <c r="L411" s="122"/>
    </row>
    <row r="412" spans="3:12" s="79" customFormat="1">
      <c r="C412"/>
      <c r="D412" s="50"/>
      <c r="E412" s="16"/>
      <c r="F412"/>
      <c r="G412" s="359"/>
      <c r="J412" s="286"/>
      <c r="K412" s="286"/>
      <c r="L412" s="122"/>
    </row>
    <row r="413" spans="3:12" s="79" customFormat="1">
      <c r="C413"/>
      <c r="D413" s="51" t="s">
        <v>82</v>
      </c>
      <c r="E413" s="39"/>
      <c r="F413"/>
      <c r="G413" s="359"/>
      <c r="H413" s="212"/>
      <c r="I413" s="212"/>
      <c r="J413" s="216"/>
      <c r="K413" s="216"/>
    </row>
    <row r="414" spans="3:12" s="79" customFormat="1" ht="19">
      <c r="C414"/>
      <c r="D414" s="52">
        <f>'Overall Assumptions'!$C$68</f>
        <v>225</v>
      </c>
      <c r="E414" s="53" t="s">
        <v>99</v>
      </c>
      <c r="F414"/>
      <c r="G414" s="359"/>
      <c r="J414" s="65"/>
      <c r="K414" s="66"/>
    </row>
    <row r="415" spans="3:12" s="79" customFormat="1" ht="19">
      <c r="C415"/>
      <c r="D415" s="54"/>
      <c r="E415" s="355"/>
      <c r="F415"/>
      <c r="G415" s="572"/>
      <c r="H415" s="122"/>
      <c r="I415" s="65"/>
      <c r="K415" s="66"/>
    </row>
    <row r="416" spans="3:12" s="79" customFormat="1" ht="19">
      <c r="C416"/>
      <c r="D416" s="54"/>
      <c r="E416" s="355"/>
      <c r="F416"/>
      <c r="G416" s="572"/>
      <c r="H416" s="122"/>
      <c r="I416" s="357"/>
      <c r="K416" s="66"/>
    </row>
    <row r="417" spans="3:11" s="79" customFormat="1">
      <c r="C417"/>
      <c r="D417" s="354">
        <f>SUM(D375,D381,D389)</f>
        <v>7</v>
      </c>
      <c r="E417" s="43" t="s">
        <v>84</v>
      </c>
      <c r="F417"/>
      <c r="G417" s="572"/>
      <c r="H417" s="122"/>
      <c r="J417" s="65"/>
      <c r="K417" s="66"/>
    </row>
    <row r="418" spans="3:11" s="79" customFormat="1">
      <c r="C418"/>
      <c r="D418" s="295">
        <f>D371</f>
        <v>16.566740021213349</v>
      </c>
      <c r="E418" s="43" t="s">
        <v>292</v>
      </c>
      <c r="F418"/>
      <c r="G418" s="572"/>
      <c r="H418" s="122"/>
      <c r="J418" s="65"/>
      <c r="K418" s="66"/>
    </row>
    <row r="419" spans="3:11" s="79" customFormat="1">
      <c r="C419"/>
      <c r="D419" s="54">
        <f>'Overall Assumptions'!$C$10</f>
        <v>0</v>
      </c>
      <c r="E419" s="43" t="s">
        <v>85</v>
      </c>
      <c r="F419"/>
      <c r="G419" s="572"/>
      <c r="H419" s="122"/>
      <c r="I419" s="122"/>
      <c r="J419" s="65"/>
      <c r="K419" s="66"/>
    </row>
    <row r="420" spans="3:11" s="79" customFormat="1">
      <c r="C420"/>
      <c r="D420" s="54">
        <f>'Overall Assumptions'!$C$90</f>
        <v>80</v>
      </c>
      <c r="E420" s="43" t="s">
        <v>86</v>
      </c>
      <c r="F420"/>
      <c r="G420" s="572"/>
      <c r="H420" s="122"/>
      <c r="J420" s="65"/>
      <c r="K420" s="66"/>
    </row>
    <row r="421" spans="3:11" s="79" customFormat="1">
      <c r="C421"/>
      <c r="D421" s="56">
        <f>'Overall Assumptions'!$C$81</f>
        <v>210</v>
      </c>
      <c r="E421" s="45" t="s">
        <v>87</v>
      </c>
      <c r="F421"/>
      <c r="G421" s="572"/>
      <c r="H421" s="122"/>
      <c r="J421" s="65"/>
      <c r="K421" s="66"/>
    </row>
    <row r="422" spans="3:11" s="79" customFormat="1">
      <c r="C422"/>
      <c r="D422" s="57"/>
      <c r="E422" s="16"/>
      <c r="F422"/>
      <c r="G422" s="359"/>
      <c r="J422" s="65"/>
      <c r="K422" s="66"/>
    </row>
    <row r="423" spans="3:11" s="79" customFormat="1">
      <c r="C423" s="21"/>
      <c r="D423" s="296">
        <f>2*D419/D420/7.5</f>
        <v>0</v>
      </c>
      <c r="E423" s="59" t="s">
        <v>95</v>
      </c>
      <c r="F423"/>
      <c r="G423" s="359"/>
      <c r="J423" s="129"/>
      <c r="K423" s="76"/>
    </row>
    <row r="424" spans="3:11" s="79" customFormat="1">
      <c r="C424" s="21"/>
      <c r="D424" s="296"/>
      <c r="E424" s="60" t="s">
        <v>100</v>
      </c>
      <c r="F424"/>
      <c r="G424" s="359"/>
      <c r="J424" s="65"/>
      <c r="K424" s="66"/>
    </row>
    <row r="425" spans="3:11" s="79" customFormat="1">
      <c r="C425" s="21"/>
      <c r="D425" s="296">
        <f>D418</f>
        <v>16.566740021213349</v>
      </c>
      <c r="E425" s="124" t="s">
        <v>295</v>
      </c>
      <c r="F425"/>
      <c r="G425" s="359"/>
    </row>
    <row r="426" spans="3:11" s="79" customFormat="1">
      <c r="C426" s="21"/>
      <c r="D426" s="297"/>
      <c r="E426" s="59"/>
      <c r="G426" s="1119"/>
    </row>
    <row r="427" spans="3:11" s="79" customFormat="1" ht="28">
      <c r="C427" s="21"/>
      <c r="D427" s="296">
        <f>D423+D425+D426</f>
        <v>16.566740021213349</v>
      </c>
      <c r="E427" s="16" t="s">
        <v>157</v>
      </c>
      <c r="F427" s="19"/>
      <c r="G427" s="359"/>
    </row>
    <row r="428" spans="3:11" s="122" customFormat="1">
      <c r="C428" s="9"/>
      <c r="D428" s="105"/>
      <c r="E428" s="34" t="s">
        <v>88</v>
      </c>
      <c r="F428" s="9"/>
      <c r="G428" s="572"/>
    </row>
    <row r="429" spans="3:11" s="79" customFormat="1">
      <c r="C429"/>
      <c r="D429" s="77">
        <f>D427*D417</f>
        <v>115.96718014849344</v>
      </c>
      <c r="E429" s="16" t="s">
        <v>133</v>
      </c>
      <c r="F429"/>
      <c r="G429" s="359"/>
    </row>
    <row r="430" spans="3:11" s="79" customFormat="1">
      <c r="C430"/>
      <c r="D430" s="77"/>
      <c r="E430" s="16"/>
      <c r="F430"/>
      <c r="G430" s="359"/>
    </row>
    <row r="431" spans="3:11" s="79" customFormat="1">
      <c r="C431" s="21"/>
      <c r="D431" s="64">
        <f>D429*D414</f>
        <v>26092.615533411023</v>
      </c>
      <c r="E431" s="39" t="s">
        <v>486</v>
      </c>
      <c r="F431"/>
      <c r="G431" s="359"/>
      <c r="H431" s="276"/>
      <c r="I431" s="276"/>
    </row>
    <row r="432" spans="3:11" s="79" customFormat="1">
      <c r="C432" s="21"/>
      <c r="G432" s="1119"/>
      <c r="H432" s="119"/>
      <c r="I432" s="119"/>
    </row>
    <row r="433" spans="3:9" s="79" customFormat="1">
      <c r="C433" s="21"/>
      <c r="G433" s="1119"/>
      <c r="H433" s="119"/>
      <c r="I433" s="119"/>
    </row>
    <row r="434" spans="3:9" s="79" customFormat="1" ht="19">
      <c r="C434" s="2" t="s">
        <v>132</v>
      </c>
      <c r="D434" s="37" t="s">
        <v>89</v>
      </c>
      <c r="E434" s="16"/>
      <c r="F434"/>
      <c r="G434" s="359"/>
      <c r="H434"/>
      <c r="I434"/>
    </row>
    <row r="435" spans="3:9" s="79" customFormat="1">
      <c r="C435" t="s">
        <v>54</v>
      </c>
      <c r="D435" s="160" t="s">
        <v>296</v>
      </c>
      <c r="E435" s="16"/>
      <c r="F435"/>
      <c r="G435" s="359"/>
      <c r="H435"/>
      <c r="I435"/>
    </row>
    <row r="436" spans="3:9" s="79" customFormat="1">
      <c r="C436"/>
      <c r="D436" s="160"/>
      <c r="E436" s="16"/>
      <c r="F436"/>
      <c r="G436" s="359"/>
      <c r="H436"/>
      <c r="I436"/>
    </row>
    <row r="437" spans="3:9" s="79" customFormat="1">
      <c r="C437"/>
      <c r="D437" s="16"/>
      <c r="E437" s="16"/>
      <c r="F437"/>
      <c r="G437" s="359"/>
      <c r="H437"/>
      <c r="I437"/>
    </row>
    <row r="438" spans="3:9" s="79" customFormat="1">
      <c r="C438"/>
      <c r="D438" s="67" t="s">
        <v>91</v>
      </c>
      <c r="E438" s="41"/>
      <c r="F438"/>
      <c r="G438" s="359"/>
      <c r="H438"/>
      <c r="I438"/>
    </row>
    <row r="439" spans="3:9" s="79" customFormat="1">
      <c r="C439"/>
      <c r="D439" s="52">
        <f>'Overall Assumptions'!$C$93</f>
        <v>285</v>
      </c>
      <c r="E439" s="41" t="s">
        <v>93</v>
      </c>
      <c r="F439"/>
      <c r="G439" s="359"/>
      <c r="H439"/>
      <c r="I439"/>
    </row>
    <row r="440" spans="3:9" s="79" customFormat="1">
      <c r="C440"/>
      <c r="D440" s="54">
        <v>1</v>
      </c>
      <c r="E440" s="43" t="s">
        <v>1578</v>
      </c>
      <c r="F440"/>
      <c r="G440" s="359"/>
      <c r="H440"/>
      <c r="I440"/>
    </row>
    <row r="441" spans="3:9" s="79" customFormat="1">
      <c r="C441"/>
      <c r="D441" s="54">
        <f>ROUNDUP((D417-D440*2)/2,0)</f>
        <v>3</v>
      </c>
      <c r="E441" s="43" t="s">
        <v>1580</v>
      </c>
      <c r="F441"/>
      <c r="G441" s="359"/>
      <c r="H441"/>
      <c r="I441"/>
    </row>
    <row r="442" spans="3:9" s="79" customFormat="1">
      <c r="C442"/>
      <c r="D442" s="56">
        <f>SUM(D440:D441)</f>
        <v>4</v>
      </c>
      <c r="E442" s="45" t="s">
        <v>1579</v>
      </c>
      <c r="F442"/>
      <c r="G442" s="359"/>
      <c r="H442"/>
      <c r="I442"/>
    </row>
    <row r="443" spans="3:9" s="79" customFormat="1">
      <c r="C443"/>
      <c r="D443" s="75"/>
      <c r="E443" s="76"/>
      <c r="F443"/>
      <c r="G443" s="359"/>
      <c r="H443"/>
      <c r="I443"/>
    </row>
    <row r="444" spans="3:9" s="79" customFormat="1">
      <c r="C444"/>
      <c r="D444" s="46">
        <f>D423*D440</f>
        <v>0</v>
      </c>
      <c r="E444" s="59" t="s">
        <v>97</v>
      </c>
      <c r="F444"/>
      <c r="G444" s="359"/>
      <c r="H444"/>
      <c r="I444"/>
    </row>
    <row r="445" spans="3:9" s="79" customFormat="1">
      <c r="C445"/>
      <c r="D445" s="46">
        <f>D425</f>
        <v>16.566740021213349</v>
      </c>
      <c r="E445" s="59" t="s">
        <v>98</v>
      </c>
      <c r="F445"/>
      <c r="G445" s="359"/>
      <c r="H445"/>
      <c r="I445"/>
    </row>
    <row r="446" spans="3:9" s="79" customFormat="1">
      <c r="C446"/>
      <c r="D446" s="46"/>
      <c r="E446" s="59"/>
      <c r="F446"/>
      <c r="G446" s="359"/>
      <c r="H446"/>
      <c r="I446"/>
    </row>
    <row r="447" spans="3:9" s="79" customFormat="1">
      <c r="C447"/>
      <c r="D447" s="46">
        <f>SUM(D444:D446)</f>
        <v>16.566740021213349</v>
      </c>
      <c r="E447" s="59" t="s">
        <v>1582</v>
      </c>
      <c r="F447"/>
      <c r="G447" s="359"/>
      <c r="H447"/>
      <c r="I447"/>
    </row>
    <row r="448" spans="3:9" s="79" customFormat="1">
      <c r="C448"/>
      <c r="D448" s="2278">
        <f>D447*D442</f>
        <v>66.266960084853395</v>
      </c>
      <c r="E448" s="59" t="s">
        <v>1581</v>
      </c>
      <c r="F448"/>
      <c r="G448" s="359"/>
      <c r="H448"/>
      <c r="I448"/>
    </row>
    <row r="449" spans="3:13" s="79" customFormat="1">
      <c r="C449"/>
      <c r="D449" s="63"/>
      <c r="E449" s="16"/>
      <c r="F449"/>
      <c r="G449" s="359"/>
      <c r="H449"/>
      <c r="I449"/>
    </row>
    <row r="450" spans="3:13" s="79" customFormat="1">
      <c r="C450"/>
      <c r="D450" s="68">
        <f>D448*D439</f>
        <v>18886.083624183218</v>
      </c>
      <c r="E450" s="47" t="s">
        <v>53</v>
      </c>
      <c r="F450"/>
      <c r="G450" s="359"/>
      <c r="H450"/>
      <c r="I450"/>
    </row>
    <row r="451" spans="3:13" s="79" customFormat="1">
      <c r="G451" s="1119"/>
    </row>
    <row r="452" spans="3:13" s="79" customFormat="1">
      <c r="D452" s="90">
        <f>ROUNDUP(D447/21,0)*D442</f>
        <v>4</v>
      </c>
      <c r="E452" s="359" t="s">
        <v>1583</v>
      </c>
      <c r="F452"/>
    </row>
    <row r="453" spans="3:13" s="79" customFormat="1">
      <c r="D453" s="532">
        <f>D448</f>
        <v>66.266960084853395</v>
      </c>
      <c r="E453" s="359" t="s">
        <v>1584</v>
      </c>
      <c r="F453" s="532"/>
    </row>
    <row r="454" spans="3:13" s="79" customFormat="1">
      <c r="G454" s="1119"/>
    </row>
    <row r="455" spans="3:13" s="79" customFormat="1">
      <c r="C455" s="225" t="s">
        <v>70</v>
      </c>
      <c r="D455" s="230"/>
      <c r="E455" s="224" t="s">
        <v>156</v>
      </c>
      <c r="F455" s="212"/>
      <c r="G455" s="1108"/>
      <c r="H455" s="212"/>
      <c r="I455" s="119"/>
    </row>
    <row r="456" spans="3:13" s="79" customFormat="1">
      <c r="C456" s="212"/>
      <c r="D456" s="230"/>
      <c r="E456" s="224"/>
      <c r="F456" s="212"/>
      <c r="G456" s="1108"/>
      <c r="H456" s="212"/>
      <c r="I456" s="119"/>
    </row>
    <row r="457" spans="3:13" s="79" customFormat="1">
      <c r="C457" s="212"/>
      <c r="D457" s="230"/>
      <c r="E457" s="224"/>
      <c r="F457" s="212"/>
      <c r="G457" s="1108"/>
      <c r="H457" s="212"/>
      <c r="I457" s="119"/>
    </row>
    <row r="458" spans="3:13" s="79" customFormat="1">
      <c r="C458" s="212"/>
      <c r="D458" s="222">
        <f>D427</f>
        <v>16.566740021213349</v>
      </c>
      <c r="E458" s="213" t="s">
        <v>157</v>
      </c>
      <c r="F458" s="212"/>
      <c r="G458" s="1108"/>
      <c r="H458" s="212"/>
      <c r="I458" s="119"/>
    </row>
    <row r="459" spans="3:13" s="79" customFormat="1">
      <c r="C459" s="212"/>
      <c r="D459" s="229">
        <f>FLOOR(D458,1)</f>
        <v>16</v>
      </c>
      <c r="E459" s="213" t="s">
        <v>73</v>
      </c>
      <c r="F459" s="212"/>
      <c r="G459" s="1108"/>
      <c r="H459" s="212"/>
      <c r="I459" s="119"/>
    </row>
    <row r="460" spans="3:13" s="79" customFormat="1">
      <c r="C460" s="212"/>
      <c r="D460" s="228">
        <f>D459*D417</f>
        <v>112</v>
      </c>
      <c r="E460" s="214" t="s">
        <v>175</v>
      </c>
      <c r="F460" s="212"/>
      <c r="G460" s="1108"/>
      <c r="H460" s="212"/>
      <c r="I460" s="119"/>
    </row>
    <row r="461" spans="3:13" s="79" customFormat="1">
      <c r="C461" s="212"/>
      <c r="D461" s="227"/>
      <c r="E461" s="214" t="s">
        <v>88</v>
      </c>
      <c r="F461" s="212"/>
      <c r="G461" s="1108"/>
      <c r="H461" s="212"/>
    </row>
    <row r="462" spans="3:13" s="79" customFormat="1">
      <c r="C462" s="212"/>
      <c r="D462" s="226">
        <f>D460*D421</f>
        <v>23520</v>
      </c>
      <c r="E462" s="221" t="s">
        <v>74</v>
      </c>
      <c r="F462" s="212"/>
      <c r="G462" s="1108"/>
      <c r="H462" s="212"/>
      <c r="J462" s="276"/>
      <c r="K462" s="276"/>
      <c r="L462" s="276"/>
      <c r="M462" s="276"/>
    </row>
    <row r="463" spans="3:13" s="79" customFormat="1">
      <c r="D463" s="282"/>
      <c r="E463" s="76"/>
      <c r="G463" s="1119"/>
      <c r="J463" s="122"/>
      <c r="K463" s="136"/>
      <c r="L463" s="119"/>
      <c r="M463" s="119"/>
    </row>
    <row r="464" spans="3:13" s="79" customFormat="1">
      <c r="D464" s="283"/>
      <c r="E464" s="284"/>
      <c r="F464" s="78"/>
      <c r="G464" s="1119"/>
      <c r="J464" s="122"/>
      <c r="K464" s="136"/>
      <c r="L464" s="119"/>
      <c r="M464" s="119"/>
    </row>
    <row r="465" spans="3:13" s="79" customFormat="1">
      <c r="D465" s="283"/>
      <c r="E465" s="76"/>
      <c r="G465" s="1119"/>
      <c r="J465" s="122"/>
      <c r="K465" s="136"/>
      <c r="L465" s="119"/>
      <c r="M465" s="119"/>
    </row>
    <row r="466" spans="3:13" s="79" customFormat="1">
      <c r="D466" s="143" t="s">
        <v>172</v>
      </c>
      <c r="E466" s="144" t="s">
        <v>155</v>
      </c>
      <c r="F466" s="144" t="s">
        <v>174</v>
      </c>
      <c r="G466" s="1094" t="s">
        <v>166</v>
      </c>
      <c r="H466" s="145" t="s">
        <v>69</v>
      </c>
      <c r="J466" s="122"/>
      <c r="K466" s="147"/>
      <c r="L466" s="119"/>
      <c r="M466" s="119"/>
    </row>
    <row r="467" spans="3:13" s="79" customFormat="1">
      <c r="D467" s="135" t="s">
        <v>3</v>
      </c>
      <c r="E467" s="136">
        <f>D447</f>
        <v>16.566740021213349</v>
      </c>
      <c r="F467" s="122"/>
      <c r="G467" s="1092">
        <f>D431</f>
        <v>26092.615533411023</v>
      </c>
      <c r="H467" s="119" t="str">
        <f>E431</f>
        <v>Cost for labour</v>
      </c>
      <c r="I467" s="79">
        <f>D328</f>
        <v>1</v>
      </c>
    </row>
    <row r="468" spans="3:13" s="79" customFormat="1">
      <c r="D468" s="135" t="s">
        <v>132</v>
      </c>
      <c r="E468" s="136">
        <f>D447</f>
        <v>16.566740021213349</v>
      </c>
      <c r="F468" s="141"/>
      <c r="G468" s="1092">
        <f>D450</f>
        <v>18886.083624183218</v>
      </c>
      <c r="H468" s="119" t="str">
        <f>E450</f>
        <v>Cost for ute hire for the whole activity</v>
      </c>
      <c r="I468" s="79">
        <f>I467</f>
        <v>1</v>
      </c>
    </row>
    <row r="469" spans="3:13" s="79" customFormat="1">
      <c r="D469" s="135" t="s">
        <v>1587</v>
      </c>
      <c r="E469" s="136"/>
      <c r="F469" s="141"/>
      <c r="G469" s="1092">
        <f>SUM(D462,D400)</f>
        <v>51033.731200855735</v>
      </c>
      <c r="H469" s="119" t="s">
        <v>1588</v>
      </c>
      <c r="I469" s="79">
        <f>I468</f>
        <v>1</v>
      </c>
    </row>
    <row r="470" spans="3:13" s="79" customFormat="1">
      <c r="D470" s="135" t="s">
        <v>21</v>
      </c>
      <c r="E470" s="136"/>
      <c r="F470" s="141"/>
      <c r="G470" s="1092">
        <f>D407</f>
        <v>3410</v>
      </c>
      <c r="H470" s="119" t="s">
        <v>21</v>
      </c>
      <c r="I470" s="79">
        <f>F407</f>
        <v>10</v>
      </c>
    </row>
    <row r="471" spans="3:13" s="79" customFormat="1">
      <c r="D471" s="137"/>
      <c r="E471" s="138"/>
      <c r="F471" s="142"/>
      <c r="G471" s="1116">
        <f>SUM(G467:G469)</f>
        <v>96012.430358449972</v>
      </c>
      <c r="H471" s="140" t="s">
        <v>165</v>
      </c>
    </row>
    <row r="472" spans="3:13" s="79" customFormat="1">
      <c r="D472" s="122"/>
      <c r="E472" s="147"/>
      <c r="F472" s="122"/>
      <c r="G472" s="1092">
        <f>G471/5</f>
        <v>19202.486071689993</v>
      </c>
      <c r="H472" s="119"/>
    </row>
    <row r="473" spans="3:13" s="79" customFormat="1">
      <c r="D473" s="122"/>
      <c r="E473" s="147"/>
      <c r="F473" s="122"/>
      <c r="G473" s="1092">
        <f>SUM(G467:G468)/5</f>
        <v>8995.7398315188475</v>
      </c>
      <c r="H473" s="119">
        <f>G471/217</f>
        <v>442.45359612188929</v>
      </c>
    </row>
    <row r="474" spans="3:13" s="351" customFormat="1">
      <c r="D474" s="352"/>
      <c r="E474" s="353"/>
      <c r="G474" s="1122"/>
    </row>
    <row r="475" spans="3:13" s="351" customFormat="1">
      <c r="D475" s="352"/>
      <c r="E475" s="353"/>
      <c r="G475" s="1122"/>
    </row>
    <row r="476" spans="3:13" s="122" customFormat="1">
      <c r="D476" s="2281"/>
      <c r="E476" s="124"/>
      <c r="G476" s="1093"/>
    </row>
    <row r="477" spans="3:13">
      <c r="C477" s="8" t="s">
        <v>1091</v>
      </c>
      <c r="D477" s="16" t="s">
        <v>1682</v>
      </c>
    </row>
    <row r="478" spans="3:13">
      <c r="C478" s="8"/>
      <c r="D478" s="16"/>
    </row>
    <row r="479" spans="3:13" s="79" customFormat="1">
      <c r="G479" s="473"/>
      <c r="J479" s="65"/>
      <c r="K479" s="66"/>
    </row>
    <row r="480" spans="3:13">
      <c r="C480" t="s">
        <v>1589</v>
      </c>
      <c r="H480" s="359"/>
      <c r="I480" s="2290" t="s">
        <v>1609</v>
      </c>
    </row>
    <row r="481" spans="4:9" ht="28">
      <c r="D481" s="345" t="s">
        <v>101</v>
      </c>
      <c r="E481" s="147"/>
      <c r="H481" s="359"/>
      <c r="I481" s="1295" t="s">
        <v>1608</v>
      </c>
    </row>
    <row r="482" spans="4:9">
      <c r="D482" s="346">
        <v>1</v>
      </c>
      <c r="E482" s="147" t="s">
        <v>263</v>
      </c>
      <c r="H482" s="359"/>
      <c r="I482" s="2138" t="s">
        <v>1599</v>
      </c>
    </row>
    <row r="483" spans="4:9" ht="35">
      <c r="D483" s="17"/>
    </row>
    <row r="484" spans="4:9">
      <c r="D484" s="25"/>
    </row>
    <row r="485" spans="4:9">
      <c r="D485" s="85" t="s">
        <v>91</v>
      </c>
      <c r="E485" s="41"/>
      <c r="F485" s="79"/>
    </row>
    <row r="486" spans="4:9">
      <c r="D486" s="86">
        <f>'Overall Assumptions'!$C$68</f>
        <v>225</v>
      </c>
      <c r="E486" s="80" t="s">
        <v>102</v>
      </c>
      <c r="F486" s="78"/>
    </row>
    <row r="487" spans="4:9">
      <c r="D487" s="84">
        <f>'Overall Assumptions'!$C$81</f>
        <v>210</v>
      </c>
      <c r="E487" s="43" t="s">
        <v>87</v>
      </c>
      <c r="F487" s="79"/>
    </row>
    <row r="488" spans="4:9">
      <c r="D488" s="84">
        <f>'Overall Assumptions'!$C$131</f>
        <v>1</v>
      </c>
      <c r="E488" s="81" t="s">
        <v>84</v>
      </c>
      <c r="F488" s="79"/>
    </row>
    <row r="489" spans="4:9">
      <c r="D489" s="84">
        <f>D327</f>
        <v>100</v>
      </c>
      <c r="E489" s="81" t="s">
        <v>80</v>
      </c>
      <c r="F489" s="79"/>
    </row>
    <row r="490" spans="4:9">
      <c r="D490" s="412">
        <v>10</v>
      </c>
      <c r="E490" s="82" t="s">
        <v>105</v>
      </c>
      <c r="F490" s="79"/>
    </row>
    <row r="491" spans="4:9">
      <c r="D491" s="84">
        <f>'Overall Assumptions'!$C$11</f>
        <v>0</v>
      </c>
      <c r="E491" s="82" t="s">
        <v>106</v>
      </c>
      <c r="F491" s="79"/>
    </row>
    <row r="492" spans="4:9">
      <c r="D492" s="84">
        <f>'Overall Assumptions'!$C$97</f>
        <v>250</v>
      </c>
      <c r="E492" s="81" t="s">
        <v>103</v>
      </c>
      <c r="F492" s="79"/>
    </row>
    <row r="493" spans="4:9">
      <c r="D493" s="84">
        <f>'Overall Assumptions'!$C$7</f>
        <v>50</v>
      </c>
      <c r="E493" s="81" t="s">
        <v>107</v>
      </c>
      <c r="F493" s="79"/>
    </row>
    <row r="494" spans="4:9">
      <c r="D494" s="54">
        <f>'Overall Assumptions'!$C$98</f>
        <v>130</v>
      </c>
      <c r="E494" s="82" t="s">
        <v>104</v>
      </c>
      <c r="F494" s="83"/>
    </row>
    <row r="495" spans="4:9">
      <c r="D495" s="56">
        <f>'Overall Assumptions'!$C$99</f>
        <v>400</v>
      </c>
      <c r="E495" s="45" t="s">
        <v>47</v>
      </c>
    </row>
    <row r="496" spans="4:9">
      <c r="D496" s="56">
        <f>D489/D490</f>
        <v>10</v>
      </c>
      <c r="E496" s="45" t="s">
        <v>981</v>
      </c>
    </row>
    <row r="497" spans="4:8" ht="18">
      <c r="D497" s="18" t="s">
        <v>108</v>
      </c>
    </row>
    <row r="498" spans="4:8">
      <c r="D498" s="25">
        <f>2*D491/D492/7.5</f>
        <v>0</v>
      </c>
      <c r="E498" s="16" t="s">
        <v>112</v>
      </c>
    </row>
    <row r="499" spans="4:8">
      <c r="D499" s="23" t="s">
        <v>109</v>
      </c>
    </row>
    <row r="500" spans="4:8">
      <c r="D500" s="77">
        <f>D489/D490/D494/7.5</f>
        <v>1.0256410256410256E-2</v>
      </c>
      <c r="E500" s="16" t="s">
        <v>113</v>
      </c>
    </row>
    <row r="501" spans="4:8">
      <c r="D501" s="23" t="s">
        <v>110</v>
      </c>
    </row>
    <row r="502" spans="4:8">
      <c r="D502" s="46">
        <f>FLOOR(D489/D490/D495,1)</f>
        <v>0</v>
      </c>
      <c r="E502" s="16" t="s">
        <v>111</v>
      </c>
      <c r="F502" s="70"/>
      <c r="G502" s="99"/>
      <c r="H502" s="16"/>
    </row>
    <row r="503" spans="4:8">
      <c r="D503" s="25" t="str">
        <f>IF(D496&gt;D495,"YES","NO")</f>
        <v>NO</v>
      </c>
      <c r="E503" s="16" t="s">
        <v>48</v>
      </c>
    </row>
    <row r="504" spans="4:8">
      <c r="D504" s="46">
        <f>2*D493/D492*D502/7.5</f>
        <v>0</v>
      </c>
      <c r="E504" s="16" t="s">
        <v>114</v>
      </c>
    </row>
    <row r="506" spans="4:8">
      <c r="D506" s="25">
        <f>SUM(D498,D500,D504)</f>
        <v>1.0256410256410256E-2</v>
      </c>
      <c r="E506" s="16" t="s">
        <v>115</v>
      </c>
    </row>
    <row r="507" spans="4:8">
      <c r="D507" s="23"/>
    </row>
    <row r="508" spans="4:8">
      <c r="D508" s="77">
        <f>D488*D506</f>
        <v>1.0256410256410256E-2</v>
      </c>
      <c r="E508" s="16" t="s">
        <v>88</v>
      </c>
    </row>
    <row r="509" spans="4:8">
      <c r="D509" s="62">
        <f>D486*D488*D498</f>
        <v>0</v>
      </c>
      <c r="E509" s="16" t="s">
        <v>36</v>
      </c>
    </row>
    <row r="510" spans="4:8">
      <c r="D510" s="62">
        <f>D486*D488*D500</f>
        <v>2.3076923076923075</v>
      </c>
      <c r="E510" s="16" t="s">
        <v>39</v>
      </c>
    </row>
    <row r="511" spans="4:8">
      <c r="D511" s="62">
        <f>D486*D488*D504</f>
        <v>0</v>
      </c>
      <c r="E511" s="16" t="s">
        <v>118</v>
      </c>
    </row>
    <row r="513" spans="3:6">
      <c r="D513" s="72">
        <f>SUM(D509:D511)</f>
        <v>2.3076923076923075</v>
      </c>
      <c r="E513" s="47" t="s">
        <v>329</v>
      </c>
    </row>
    <row r="514" spans="3:6">
      <c r="D514" s="104"/>
      <c r="E514" s="66"/>
    </row>
    <row r="515" spans="3:6">
      <c r="C515" t="s">
        <v>55</v>
      </c>
      <c r="D515" s="6" t="s">
        <v>119</v>
      </c>
    </row>
    <row r="516" spans="3:6">
      <c r="D516" s="25" t="s">
        <v>278</v>
      </c>
    </row>
    <row r="517" spans="3:6">
      <c r="D517" s="25"/>
    </row>
    <row r="518" spans="3:6">
      <c r="D518" s="25"/>
    </row>
    <row r="520" spans="3:6">
      <c r="D520" s="85" t="s">
        <v>91</v>
      </c>
      <c r="E520" s="41"/>
      <c r="F520" s="161"/>
    </row>
    <row r="521" spans="3:6">
      <c r="D521" s="428">
        <f>'Overall Assumptions'!$C$95</f>
        <v>1500</v>
      </c>
      <c r="E521" s="429" t="s">
        <v>279</v>
      </c>
      <c r="F521" s="162"/>
    </row>
    <row r="522" spans="3:6">
      <c r="D522" s="283"/>
      <c r="E522" s="284"/>
    </row>
    <row r="523" spans="3:6">
      <c r="D523" s="23" t="s">
        <v>121</v>
      </c>
      <c r="E523" s="87"/>
      <c r="F523" s="21"/>
    </row>
    <row r="524" spans="3:6">
      <c r="D524" s="23" t="s">
        <v>123</v>
      </c>
      <c r="E524" s="87"/>
      <c r="F524" s="21"/>
    </row>
    <row r="525" spans="3:6">
      <c r="D525" s="22">
        <f>D498</f>
        <v>0</v>
      </c>
      <c r="E525" s="21" t="s">
        <v>968</v>
      </c>
      <c r="F525" s="21"/>
    </row>
    <row r="526" spans="3:6">
      <c r="D526" s="23" t="s">
        <v>122</v>
      </c>
      <c r="E526" s="21"/>
      <c r="F526" s="21"/>
    </row>
    <row r="527" spans="3:6">
      <c r="D527" s="23" t="s">
        <v>124</v>
      </c>
      <c r="E527" s="21"/>
      <c r="F527" s="21"/>
    </row>
    <row r="528" spans="3:6">
      <c r="D528" s="22">
        <f>D500</f>
        <v>1.0256410256410256E-2</v>
      </c>
      <c r="E528" s="21" t="s">
        <v>969</v>
      </c>
      <c r="F528" s="21"/>
    </row>
    <row r="529" spans="3:14">
      <c r="D529" s="23" t="s">
        <v>125</v>
      </c>
      <c r="E529" s="21"/>
      <c r="F529" s="21"/>
    </row>
    <row r="530" spans="3:14">
      <c r="D530" s="23" t="s">
        <v>126</v>
      </c>
      <c r="E530" s="21"/>
      <c r="F530" s="21"/>
    </row>
    <row r="531" spans="3:14">
      <c r="D531" s="22">
        <f t="shared" ref="D531:E533" si="32">D502</f>
        <v>0</v>
      </c>
      <c r="E531" s="971" t="str">
        <f t="shared" si="32"/>
        <v>Number of times required to do refuelling</v>
      </c>
      <c r="F531" s="21"/>
      <c r="K531" s="9"/>
    </row>
    <row r="532" spans="3:14">
      <c r="D532" s="22" t="str">
        <f t="shared" si="32"/>
        <v>NO</v>
      </c>
      <c r="E532" s="971" t="str">
        <f t="shared" si="32"/>
        <v>Need to refuel?</v>
      </c>
      <c r="F532" s="21"/>
      <c r="L532" s="9"/>
    </row>
    <row r="533" spans="3:14">
      <c r="D533" s="22">
        <f t="shared" si="32"/>
        <v>0</v>
      </c>
      <c r="E533" s="971" t="str">
        <f t="shared" si="32"/>
        <v>Days required to do refuelling</v>
      </c>
      <c r="F533" s="21"/>
      <c r="K533" s="349"/>
    </row>
    <row r="534" spans="3:14">
      <c r="D534" s="22"/>
      <c r="E534" s="21"/>
      <c r="F534" s="21"/>
    </row>
    <row r="535" spans="3:14">
      <c r="D535" s="20">
        <f>SUM(D525,D528,D533)</f>
        <v>1.0256410256410256E-2</v>
      </c>
      <c r="E535" s="21" t="s">
        <v>177</v>
      </c>
      <c r="F535" s="21"/>
      <c r="J535" t="s">
        <v>2530</v>
      </c>
    </row>
    <row r="536" spans="3:14">
      <c r="D536" s="20">
        <f>D535*7.5</f>
        <v>7.6923076923076927E-2</v>
      </c>
      <c r="E536" s="21" t="s">
        <v>973</v>
      </c>
      <c r="F536" s="21"/>
      <c r="J536">
        <v>100</v>
      </c>
      <c r="K536" t="s">
        <v>2446</v>
      </c>
    </row>
    <row r="537" spans="3:14">
      <c r="F537" s="21"/>
      <c r="J537">
        <v>10</v>
      </c>
      <c r="K537" t="s">
        <v>2531</v>
      </c>
      <c r="N537" s="79"/>
    </row>
    <row r="538" spans="3:14">
      <c r="C538" s="90"/>
      <c r="D538" s="89">
        <f>D521*D525</f>
        <v>0</v>
      </c>
      <c r="E538" s="21" t="s">
        <v>36</v>
      </c>
      <c r="F538" s="21"/>
      <c r="J538">
        <f>J536/J537</f>
        <v>10</v>
      </c>
      <c r="K538" t="s">
        <v>2532</v>
      </c>
    </row>
    <row r="539" spans="3:14">
      <c r="D539" s="73">
        <f>D528*D521*7.5</f>
        <v>115.38461538461539</v>
      </c>
      <c r="E539" s="16" t="s">
        <v>56</v>
      </c>
      <c r="J539" t="s">
        <v>2537</v>
      </c>
      <c r="K539" s="66"/>
      <c r="L539" s="79"/>
      <c r="M539" s="79"/>
    </row>
    <row r="540" spans="3:14">
      <c r="D540" s="73">
        <f>D533*D521*7.5</f>
        <v>0</v>
      </c>
      <c r="E540" s="21" t="s">
        <v>127</v>
      </c>
      <c r="J540" t="s">
        <v>2541</v>
      </c>
    </row>
    <row r="541" spans="3:14">
      <c r="D541" s="74">
        <f>SUM(D538:D540)</f>
        <v>115.38461538461539</v>
      </c>
      <c r="E541" s="47" t="s">
        <v>330</v>
      </c>
      <c r="J541" t="s">
        <v>2539</v>
      </c>
    </row>
    <row r="542" spans="3:14">
      <c r="D542" s="91"/>
      <c r="E542" s="66"/>
      <c r="K542" t="s">
        <v>2534</v>
      </c>
    </row>
    <row r="543" spans="3:14">
      <c r="D543">
        <f>ROUNDUP(D535/21,0)</f>
        <v>1</v>
      </c>
      <c r="E543" s="359" t="s">
        <v>739</v>
      </c>
      <c r="K543" t="s">
        <v>2527</v>
      </c>
    </row>
    <row r="544" spans="3:14">
      <c r="D544" s="532">
        <f>D535</f>
        <v>1.0256410256410256E-2</v>
      </c>
      <c r="E544" s="359" t="s">
        <v>793</v>
      </c>
      <c r="F544" s="532"/>
      <c r="K544" t="s">
        <v>2528</v>
      </c>
    </row>
    <row r="545" spans="3:14">
      <c r="D545" s="532"/>
      <c r="E545" s="359"/>
      <c r="F545" s="532"/>
      <c r="K545" s="1">
        <v>100</v>
      </c>
      <c r="L545" s="1" t="s">
        <v>2536</v>
      </c>
    </row>
    <row r="546" spans="3:14" s="79" customFormat="1">
      <c r="D546" s="122"/>
      <c r="E546" s="122"/>
      <c r="G546" s="473"/>
      <c r="J546"/>
      <c r="K546">
        <f>K545*J536</f>
        <v>10000</v>
      </c>
      <c r="L546" t="s">
        <v>2538</v>
      </c>
      <c r="M546"/>
      <c r="N546"/>
    </row>
    <row r="547" spans="3:14">
      <c r="C547" t="s">
        <v>70</v>
      </c>
      <c r="D547" s="23" t="s">
        <v>161</v>
      </c>
      <c r="K547">
        <f>K546/J538</f>
        <v>1000</v>
      </c>
      <c r="L547" t="s">
        <v>1603</v>
      </c>
    </row>
    <row r="548" spans="3:14">
      <c r="M548" s="79"/>
    </row>
    <row r="549" spans="3:14">
      <c r="K549" t="s">
        <v>2535</v>
      </c>
    </row>
    <row r="550" spans="3:14">
      <c r="K550" t="s">
        <v>2527</v>
      </c>
    </row>
    <row r="551" spans="3:14">
      <c r="D551" s="46">
        <f>D506</f>
        <v>1.0256410256410256E-2</v>
      </c>
      <c r="E551" s="16" t="s">
        <v>115</v>
      </c>
      <c r="K551" t="s">
        <v>2529</v>
      </c>
      <c r="L551" s="79"/>
    </row>
    <row r="552" spans="3:14">
      <c r="D552" s="23" t="str">
        <f>IF(D506&gt;1,"YES","NO")</f>
        <v>NO</v>
      </c>
      <c r="E552" s="16" t="s">
        <v>72</v>
      </c>
      <c r="K552" s="1">
        <v>40</v>
      </c>
      <c r="L552" s="1" t="s">
        <v>2533</v>
      </c>
    </row>
    <row r="553" spans="3:14">
      <c r="D553" s="23">
        <f>FLOOR(D506,1)</f>
        <v>0</v>
      </c>
      <c r="E553" s="16" t="s">
        <v>116</v>
      </c>
      <c r="K553" s="2953">
        <f>K552*J536</f>
        <v>4000</v>
      </c>
      <c r="L553" s="2953" t="s">
        <v>2538</v>
      </c>
    </row>
    <row r="554" spans="3:14">
      <c r="D554" s="104"/>
      <c r="E554" s="66"/>
      <c r="K554" s="2953">
        <f>K553/J538</f>
        <v>400</v>
      </c>
      <c r="L554" s="2953" t="s">
        <v>1603</v>
      </c>
    </row>
    <row r="555" spans="3:14">
      <c r="D555" s="104"/>
      <c r="E555" s="66"/>
    </row>
    <row r="556" spans="3:14">
      <c r="D556" s="104"/>
      <c r="E556" s="66"/>
      <c r="J556" t="s">
        <v>2540</v>
      </c>
      <c r="K556" t="s">
        <v>2544</v>
      </c>
    </row>
    <row r="557" spans="3:14">
      <c r="D557" s="104"/>
      <c r="E557" s="66"/>
      <c r="K557" s="532">
        <v>130</v>
      </c>
      <c r="L557" t="s">
        <v>1601</v>
      </c>
    </row>
    <row r="558" spans="3:14">
      <c r="D558" s="104"/>
      <c r="E558" s="66"/>
      <c r="K558" s="532">
        <f>K557/60</f>
        <v>2.1666666666666665</v>
      </c>
      <c r="L558" t="s">
        <v>1602</v>
      </c>
    </row>
    <row r="559" spans="3:14">
      <c r="D559" s="64">
        <f>D487*D488*D553</f>
        <v>0</v>
      </c>
      <c r="E559" s="273" t="s">
        <v>117</v>
      </c>
      <c r="F559" s="401"/>
      <c r="G559" s="1118"/>
      <c r="K559" s="532">
        <f>K558/60</f>
        <v>3.6111111111111108E-2</v>
      </c>
      <c r="L559" t="s">
        <v>2542</v>
      </c>
    </row>
    <row r="560" spans="3:14">
      <c r="D560" s="532"/>
      <c r="E560" s="359"/>
      <c r="F560" s="532"/>
      <c r="K560" s="532">
        <f>1/K559</f>
        <v>27.692307692307693</v>
      </c>
      <c r="L560" t="s">
        <v>2543</v>
      </c>
    </row>
    <row r="561" spans="3:14">
      <c r="C561" s="8" t="s">
        <v>21</v>
      </c>
      <c r="D561" s="16"/>
      <c r="E561" s="16" t="s">
        <v>326</v>
      </c>
      <c r="F561" t="s">
        <v>1573</v>
      </c>
      <c r="K561">
        <v>28</v>
      </c>
      <c r="L561" t="s">
        <v>2545</v>
      </c>
    </row>
    <row r="562" spans="3:14">
      <c r="D562" s="102">
        <v>20000</v>
      </c>
      <c r="E562" s="273" t="s">
        <v>1607</v>
      </c>
      <c r="F562" s="2295">
        <v>10</v>
      </c>
    </row>
    <row r="563" spans="3:14">
      <c r="C563" s="8"/>
      <c r="D563" s="16"/>
    </row>
    <row r="564" spans="3:14">
      <c r="C564" s="8"/>
      <c r="D564" s="16"/>
    </row>
    <row r="565" spans="3:14">
      <c r="C565" s="8"/>
      <c r="D565" s="16"/>
      <c r="H565" s="1599" t="s">
        <v>1592</v>
      </c>
      <c r="I565" s="359"/>
    </row>
    <row r="566" spans="3:14">
      <c r="C566" s="8" t="s">
        <v>4</v>
      </c>
      <c r="D566" s="2292">
        <v>0.35</v>
      </c>
      <c r="E566" s="16" t="s">
        <v>1600</v>
      </c>
      <c r="H566" s="2290" t="s">
        <v>1610</v>
      </c>
      <c r="I566" s="359"/>
    </row>
    <row r="567" spans="3:14">
      <c r="C567" s="8"/>
      <c r="D567" s="624">
        <v>60</v>
      </c>
      <c r="E567" s="16" t="s">
        <v>1604</v>
      </c>
      <c r="H567" s="359"/>
      <c r="I567" s="1599" t="s">
        <v>1597</v>
      </c>
    </row>
    <row r="568" spans="3:14">
      <c r="C568" s="8"/>
      <c r="D568" s="61">
        <f>D494</f>
        <v>130</v>
      </c>
      <c r="E568" s="16" t="s">
        <v>1601</v>
      </c>
      <c r="H568" s="359"/>
      <c r="I568" s="2289" t="s">
        <v>1598</v>
      </c>
    </row>
    <row r="569" spans="3:14">
      <c r="C569" s="8"/>
      <c r="D569" s="77">
        <f>D568/60</f>
        <v>2.1666666666666665</v>
      </c>
      <c r="E569" s="16" t="s">
        <v>1602</v>
      </c>
      <c r="H569" s="359"/>
      <c r="I569" s="2288" t="s">
        <v>1611</v>
      </c>
    </row>
    <row r="570" spans="3:14">
      <c r="C570" s="8"/>
      <c r="D570" s="77">
        <f>D567/D569</f>
        <v>27.692307692307693</v>
      </c>
      <c r="E570" s="16" t="s">
        <v>1603</v>
      </c>
      <c r="H570" s="1599" t="s">
        <v>1593</v>
      </c>
      <c r="I570" s="2287"/>
    </row>
    <row r="571" spans="3:14">
      <c r="C571" s="8"/>
      <c r="D571" s="624">
        <v>50</v>
      </c>
      <c r="E571" s="16" t="s">
        <v>1606</v>
      </c>
      <c r="H571" s="359"/>
      <c r="I571" s="2138" t="s">
        <v>1594</v>
      </c>
    </row>
    <row r="572" spans="3:14">
      <c r="C572" s="8"/>
      <c r="D572" s="2293">
        <f>D566*D571</f>
        <v>17.5</v>
      </c>
      <c r="E572" s="76" t="s">
        <v>1605</v>
      </c>
      <c r="H572" s="359"/>
      <c r="I572" s="1599" t="s">
        <v>1595</v>
      </c>
    </row>
    <row r="573" spans="3:14">
      <c r="C573" s="8"/>
      <c r="D573" s="2291">
        <f>D572*D496</f>
        <v>175</v>
      </c>
      <c r="E573" s="970" t="s">
        <v>1612</v>
      </c>
      <c r="H573" s="359"/>
      <c r="I573" s="1599"/>
    </row>
    <row r="574" spans="3:14">
      <c r="C574" s="8"/>
      <c r="D574" s="16"/>
      <c r="H574" s="359"/>
      <c r="I574" s="1599" t="s">
        <v>1596</v>
      </c>
    </row>
    <row r="575" spans="3:14" s="79" customFormat="1">
      <c r="C575" s="10" t="s">
        <v>2578</v>
      </c>
      <c r="D575" s="978" t="s">
        <v>1570</v>
      </c>
      <c r="E575" s="66"/>
      <c r="F575" s="2138"/>
      <c r="G575" s="1119"/>
      <c r="M575" s="2273"/>
      <c r="N575" s="66"/>
    </row>
    <row r="576" spans="3:14" s="79" customFormat="1">
      <c r="D576" s="1740">
        <f>$D$350</f>
        <v>1</v>
      </c>
      <c r="E576" s="66" t="s">
        <v>1571</v>
      </c>
      <c r="F576" s="2138"/>
      <c r="G576" s="1119"/>
      <c r="M576" s="2273"/>
      <c r="N576" s="66"/>
    </row>
    <row r="577" spans="4:14" s="79" customFormat="1">
      <c r="D577" s="538">
        <f>$D$351</f>
        <v>200</v>
      </c>
      <c r="E577" s="79" t="s">
        <v>1563</v>
      </c>
      <c r="F577" s="79">
        <f>178*1.1</f>
        <v>195.8</v>
      </c>
      <c r="G577" s="66" t="s">
        <v>1559</v>
      </c>
      <c r="N577" s="66"/>
    </row>
    <row r="578" spans="4:14" s="79" customFormat="1">
      <c r="D578" s="2135">
        <f>$D$352</f>
        <v>2</v>
      </c>
      <c r="E578" s="79" t="s">
        <v>1565</v>
      </c>
      <c r="G578" s="79" t="s">
        <v>1560</v>
      </c>
      <c r="J578" s="65"/>
      <c r="K578" s="66"/>
    </row>
    <row r="579" spans="4:14" s="79" customFormat="1">
      <c r="D579" s="538">
        <f>$D$353</f>
        <v>300</v>
      </c>
      <c r="E579" s="79" t="s">
        <v>1678</v>
      </c>
      <c r="G579" s="79" t="s">
        <v>1561</v>
      </c>
      <c r="J579" s="65"/>
      <c r="K579" s="66"/>
    </row>
    <row r="580" spans="4:14" s="79" customFormat="1">
      <c r="D580" s="2143" t="s">
        <v>1577</v>
      </c>
      <c r="E580" s="2277" t="s">
        <v>1566</v>
      </c>
      <c r="G580" s="473" t="s">
        <v>1562</v>
      </c>
      <c r="J580" s="65"/>
      <c r="K580" s="66"/>
    </row>
    <row r="581" spans="4:14" s="79" customFormat="1">
      <c r="D581" s="2277"/>
      <c r="E581" s="2277"/>
      <c r="G581" s="473"/>
      <c r="J581" s="65"/>
      <c r="K581" s="66"/>
    </row>
    <row r="582" spans="4:14" s="79" customFormat="1">
      <c r="D582" s="2323">
        <f>$D$366</f>
        <v>217.43846277842522</v>
      </c>
      <c r="E582" s="2324" t="s">
        <v>1674</v>
      </c>
      <c r="G582" s="473"/>
      <c r="J582" s="65"/>
      <c r="K582" s="66"/>
    </row>
    <row r="583" spans="4:14" s="79" customFormat="1">
      <c r="D583" s="2325">
        <f>'Overall Assumptions'!$C$91</f>
        <v>40</v>
      </c>
      <c r="E583" s="2325" t="s">
        <v>1675</v>
      </c>
      <c r="G583" s="473"/>
      <c r="J583" s="65"/>
      <c r="K583" s="66"/>
    </row>
    <row r="584" spans="4:14" s="79" customFormat="1">
      <c r="D584" s="2326">
        <f>D582/D583</f>
        <v>5.4359615694606305</v>
      </c>
      <c r="E584" s="2325" t="s">
        <v>1676</v>
      </c>
      <c r="G584" s="473"/>
      <c r="J584" s="65"/>
      <c r="K584" s="66"/>
    </row>
    <row r="585" spans="4:14">
      <c r="F585" s="532"/>
    </row>
    <row r="586" spans="4:14">
      <c r="D586" s="2331">
        <f>D577*D584</f>
        <v>1087.1923138921261</v>
      </c>
      <c r="E586" s="2327" t="s">
        <v>1677</v>
      </c>
      <c r="F586" s="532"/>
    </row>
    <row r="587" spans="4:14">
      <c r="D587" s="2331">
        <f>D576*D486</f>
        <v>225</v>
      </c>
      <c r="E587" s="2327" t="s">
        <v>486</v>
      </c>
      <c r="F587" s="532"/>
    </row>
    <row r="588" spans="4:14">
      <c r="D588" s="2331">
        <f>D582/100*D578*D579</f>
        <v>1304.6307766705513</v>
      </c>
      <c r="E588" s="2327" t="s">
        <v>1679</v>
      </c>
      <c r="F588" s="532"/>
    </row>
    <row r="589" spans="4:14">
      <c r="D589" s="2332">
        <f>SUM(D586:D588)</f>
        <v>2616.8230905626774</v>
      </c>
      <c r="E589" s="2330" t="s">
        <v>1680</v>
      </c>
      <c r="F589" s="532"/>
    </row>
    <row r="590" spans="4:14">
      <c r="D590" s="2327"/>
      <c r="E590" s="2327"/>
      <c r="F590" s="532"/>
    </row>
    <row r="591" spans="4:14">
      <c r="D591" s="2328"/>
      <c r="E591" s="2329"/>
      <c r="F591" s="79"/>
      <c r="G591" s="1119"/>
      <c r="J591" s="79"/>
      <c r="K591" s="79"/>
      <c r="L591" s="79"/>
      <c r="M591" s="79"/>
    </row>
    <row r="592" spans="4:14">
      <c r="D592" s="143" t="s">
        <v>172</v>
      </c>
      <c r="E592" s="144" t="s">
        <v>155</v>
      </c>
      <c r="F592" s="144" t="s">
        <v>68</v>
      </c>
      <c r="G592" s="1094" t="s">
        <v>166</v>
      </c>
      <c r="H592" s="145" t="s">
        <v>69</v>
      </c>
      <c r="J592" s="276"/>
      <c r="K592" s="276"/>
      <c r="L592" s="276"/>
      <c r="M592" s="276"/>
    </row>
    <row r="593" spans="3:13">
      <c r="D593" s="135" t="s">
        <v>3</v>
      </c>
      <c r="E593" s="136"/>
      <c r="F593" s="141"/>
      <c r="G593" s="1092">
        <f>D513+D587</f>
        <v>227.30769230769232</v>
      </c>
      <c r="H593" s="358" t="str">
        <f>E513</f>
        <v>Cost for person hours</v>
      </c>
      <c r="I593">
        <f>D482</f>
        <v>1</v>
      </c>
      <c r="J593" s="122"/>
      <c r="K593" s="136"/>
      <c r="L593" s="119"/>
      <c r="M593" s="119"/>
    </row>
    <row r="594" spans="3:13">
      <c r="D594" s="135" t="s">
        <v>132</v>
      </c>
      <c r="E594" s="136"/>
      <c r="F594" s="141"/>
      <c r="G594" s="1092">
        <f>D541</f>
        <v>115.38461538461539</v>
      </c>
      <c r="H594" s="358" t="str">
        <f>E541</f>
        <v>Cost for aerial</v>
      </c>
      <c r="I594">
        <f>I593</f>
        <v>1</v>
      </c>
      <c r="J594" s="122"/>
      <c r="K594" s="136"/>
      <c r="L594" s="119"/>
      <c r="M594" s="119"/>
    </row>
    <row r="595" spans="3:13">
      <c r="D595" s="135" t="s">
        <v>1681</v>
      </c>
      <c r="E595" s="2294"/>
      <c r="F595" s="141"/>
      <c r="G595" s="2296">
        <f>SUM(D553,D573,D586,D588)</f>
        <v>2566.8230905626774</v>
      </c>
      <c r="H595" s="358" t="s">
        <v>1683</v>
      </c>
      <c r="I595">
        <f>I594</f>
        <v>1</v>
      </c>
      <c r="J595" s="122"/>
      <c r="K595" s="136"/>
      <c r="L595" s="119"/>
      <c r="M595" s="119"/>
    </row>
    <row r="596" spans="3:13">
      <c r="D596" s="135" t="s">
        <v>21</v>
      </c>
      <c r="E596" s="136"/>
      <c r="F596" s="141"/>
      <c r="G596" s="1092">
        <f>D562</f>
        <v>20000</v>
      </c>
      <c r="H596" s="358" t="s">
        <v>1613</v>
      </c>
      <c r="I596">
        <f>F562</f>
        <v>10</v>
      </c>
      <c r="J596" s="122"/>
      <c r="K596" s="136"/>
      <c r="L596" s="119"/>
      <c r="M596" s="119"/>
    </row>
    <row r="597" spans="3:13">
      <c r="D597" s="137"/>
      <c r="E597" s="138"/>
      <c r="F597" s="142"/>
      <c r="G597" s="1116">
        <f>SUM(G593:G596)</f>
        <v>22909.515398254985</v>
      </c>
      <c r="H597" s="140" t="s">
        <v>328</v>
      </c>
      <c r="J597" s="122"/>
      <c r="K597" s="147"/>
      <c r="L597" s="119"/>
      <c r="M597" s="119"/>
    </row>
    <row r="598" spans="3:13">
      <c r="D598" s="122"/>
      <c r="E598" s="147"/>
      <c r="F598" s="122"/>
      <c r="G598" s="1093"/>
      <c r="H598" s="119"/>
      <c r="I598" s="119"/>
      <c r="J598" s="79"/>
      <c r="K598" s="79"/>
      <c r="L598" s="79"/>
      <c r="M598" s="79"/>
    </row>
    <row r="600" spans="3:13">
      <c r="D600" s="25"/>
    </row>
    <row r="602" spans="3:13" s="7" customFormat="1">
      <c r="D602" s="134"/>
      <c r="E602" s="134"/>
      <c r="G602" s="1089"/>
    </row>
    <row r="603" spans="3:13">
      <c r="C603" s="121"/>
      <c r="D603" s="16"/>
    </row>
    <row r="604" spans="3:13">
      <c r="C604" s="121" t="s">
        <v>1670</v>
      </c>
      <c r="D604"/>
    </row>
    <row r="605" spans="3:13">
      <c r="D605"/>
      <c r="E605"/>
    </row>
    <row r="606" spans="3:13">
      <c r="D606"/>
      <c r="E606"/>
    </row>
    <row r="607" spans="3:13">
      <c r="D607"/>
      <c r="E607"/>
    </row>
    <row r="608" spans="3:13">
      <c r="D608" s="592" t="s">
        <v>179</v>
      </c>
      <c r="E608" s="274"/>
    </row>
    <row r="609" spans="3:11">
      <c r="D609" s="974">
        <f>'Overall Assumptions'!$C$6</f>
        <v>100</v>
      </c>
      <c r="E609" s="246" t="s">
        <v>451</v>
      </c>
    </row>
    <row r="610" spans="3:11">
      <c r="D610" s="447">
        <v>1</v>
      </c>
      <c r="E610" s="483" t="s">
        <v>1705</v>
      </c>
    </row>
    <row r="611" spans="3:11">
      <c r="D611" s="482">
        <f>'Overall Assumptions'!$C$132</f>
        <v>0.5</v>
      </c>
      <c r="E611" s="43" t="s">
        <v>79</v>
      </c>
    </row>
    <row r="612" spans="3:11">
      <c r="D612" s="54">
        <f>D609/D611</f>
        <v>200</v>
      </c>
      <c r="E612" s="483" t="s">
        <v>972</v>
      </c>
    </row>
    <row r="613" spans="3:11">
      <c r="D613" s="42">
        <f>'Overall Assumptions'!$C$55</f>
        <v>2.23</v>
      </c>
      <c r="E613" s="631" t="s">
        <v>1706</v>
      </c>
    </row>
    <row r="614" spans="3:11">
      <c r="D614" s="42"/>
      <c r="E614" s="631"/>
    </row>
    <row r="615" spans="3:11">
      <c r="D615" s="125"/>
      <c r="E615" s="635"/>
    </row>
    <row r="617" spans="3:11">
      <c r="D617" s="25"/>
    </row>
    <row r="618" spans="3:11">
      <c r="D618" s="151" t="s">
        <v>179</v>
      </c>
      <c r="E618" s="164"/>
      <c r="F618" s="255"/>
      <c r="G618" s="1090"/>
      <c r="H618" s="161"/>
    </row>
    <row r="619" spans="3:11">
      <c r="D619" s="444">
        <f>10/60</f>
        <v>0.16666666666666666</v>
      </c>
      <c r="E619" s="443" t="s">
        <v>1707</v>
      </c>
      <c r="F619" s="465"/>
      <c r="G619" s="1097"/>
      <c r="H619" s="466"/>
    </row>
    <row r="620" spans="3:11">
      <c r="D620" s="446">
        <f>D612</f>
        <v>200</v>
      </c>
      <c r="E620" s="16" t="s">
        <v>253</v>
      </c>
      <c r="H620" s="246"/>
    </row>
    <row r="621" spans="3:11">
      <c r="D621" s="697">
        <f>D619*D620</f>
        <v>33.333333333333329</v>
      </c>
      <c r="E621" s="333" t="s">
        <v>1663</v>
      </c>
      <c r="F621" s="439"/>
      <c r="G621" s="1098"/>
      <c r="H621" s="162"/>
    </row>
    <row r="622" spans="3:11">
      <c r="D622" s="152"/>
      <c r="H622" s="246"/>
    </row>
    <row r="623" spans="3:11" s="79" customFormat="1">
      <c r="D623" s="79" t="s">
        <v>1569</v>
      </c>
      <c r="G623" s="1119"/>
      <c r="J623" s="65"/>
      <c r="K623" s="66"/>
    </row>
    <row r="624" spans="3:11" s="79" customFormat="1">
      <c r="C624" s="79" t="s">
        <v>1558</v>
      </c>
      <c r="D624" s="1740">
        <f>$D$342</f>
        <v>4</v>
      </c>
      <c r="E624" s="76" t="s">
        <v>1491</v>
      </c>
      <c r="F624" s="2138"/>
      <c r="G624" s="2138" t="s">
        <v>1494</v>
      </c>
      <c r="J624" s="65"/>
      <c r="K624" s="66"/>
    </row>
    <row r="625" spans="3:14" s="79" customFormat="1">
      <c r="D625" s="2139">
        <f>$D$343</f>
        <v>330</v>
      </c>
      <c r="E625" s="76" t="s">
        <v>1492</v>
      </c>
      <c r="F625" s="517" t="s">
        <v>1493</v>
      </c>
      <c r="G625" s="1119"/>
      <c r="J625" s="65"/>
      <c r="K625" s="66"/>
    </row>
    <row r="626" spans="3:14" s="79" customFormat="1">
      <c r="D626" s="1740">
        <f>$D$344</f>
        <v>1</v>
      </c>
      <c r="E626" s="79" t="s">
        <v>1575</v>
      </c>
      <c r="F626" s="79" t="s">
        <v>1554</v>
      </c>
      <c r="G626" s="1119"/>
      <c r="I626" s="79" t="s">
        <v>1555</v>
      </c>
      <c r="J626" s="65"/>
      <c r="K626" s="66"/>
    </row>
    <row r="627" spans="3:14" s="79" customFormat="1">
      <c r="D627" s="2139">
        <f>$D$345</f>
        <v>1.25</v>
      </c>
      <c r="E627" s="124" t="s">
        <v>435</v>
      </c>
      <c r="F627" s="2274">
        <v>1.4</v>
      </c>
      <c r="G627" s="2273">
        <v>0.25</v>
      </c>
      <c r="H627" s="66" t="s">
        <v>1556</v>
      </c>
    </row>
    <row r="628" spans="3:14" s="79" customFormat="1">
      <c r="D628" s="978"/>
      <c r="F628" s="2274">
        <v>1.2</v>
      </c>
      <c r="G628" s="2273">
        <v>0.75</v>
      </c>
      <c r="H628" s="66" t="s">
        <v>1557</v>
      </c>
    </row>
    <row r="629" spans="3:14" s="79" customFormat="1">
      <c r="D629" s="978"/>
      <c r="E629" s="66"/>
      <c r="F629" s="65">
        <f>F627*G627+F628*G628</f>
        <v>1.25</v>
      </c>
      <c r="G629" s="2273"/>
      <c r="H629" s="66"/>
    </row>
    <row r="630" spans="3:14" s="79" customFormat="1">
      <c r="D630" s="978"/>
      <c r="E630" s="66"/>
      <c r="F630" s="65"/>
      <c r="G630" s="2273"/>
      <c r="H630" s="66"/>
    </row>
    <row r="631" spans="3:14" s="79" customFormat="1">
      <c r="C631" s="79" t="s">
        <v>2578</v>
      </c>
      <c r="D631" s="978" t="s">
        <v>1570</v>
      </c>
      <c r="E631" s="66"/>
      <c r="F631" s="2138"/>
      <c r="G631" s="1119"/>
      <c r="M631" s="2273"/>
      <c r="N631" s="66"/>
    </row>
    <row r="632" spans="3:14" s="79" customFormat="1">
      <c r="D632" s="1740">
        <f>$D$350</f>
        <v>1</v>
      </c>
      <c r="E632" s="66" t="s">
        <v>1571</v>
      </c>
      <c r="F632" s="2138"/>
      <c r="G632" s="1119"/>
      <c r="M632" s="2273"/>
      <c r="N632" s="66"/>
    </row>
    <row r="633" spans="3:14" s="79" customFormat="1">
      <c r="D633" s="538">
        <f>$D$351</f>
        <v>200</v>
      </c>
      <c r="E633" s="79" t="s">
        <v>1563</v>
      </c>
      <c r="F633" s="79">
        <f>178*1.1</f>
        <v>195.8</v>
      </c>
      <c r="G633" s="66" t="s">
        <v>1559</v>
      </c>
      <c r="N633" s="66"/>
    </row>
    <row r="634" spans="3:14" s="79" customFormat="1">
      <c r="D634" s="2135">
        <f>$D$352</f>
        <v>2</v>
      </c>
      <c r="E634" s="79" t="s">
        <v>1565</v>
      </c>
      <c r="G634" s="79" t="s">
        <v>1560</v>
      </c>
      <c r="J634" s="65"/>
      <c r="K634" s="66"/>
    </row>
    <row r="635" spans="3:14" s="79" customFormat="1">
      <c r="D635" s="2135">
        <f>$D$353</f>
        <v>300</v>
      </c>
      <c r="E635" s="79" t="s">
        <v>1564</v>
      </c>
      <c r="G635" s="79" t="s">
        <v>1561</v>
      </c>
      <c r="J635" s="65"/>
      <c r="K635" s="66"/>
    </row>
    <row r="636" spans="3:14" s="79" customFormat="1">
      <c r="D636" s="2143" t="s">
        <v>1577</v>
      </c>
      <c r="E636" s="2277" t="s">
        <v>1566</v>
      </c>
      <c r="G636" s="473" t="s">
        <v>1562</v>
      </c>
      <c r="J636" s="65"/>
      <c r="K636" s="66"/>
    </row>
    <row r="637" spans="3:14" s="79" customFormat="1">
      <c r="D637" s="2277"/>
      <c r="E637" s="2277"/>
      <c r="G637" s="473"/>
      <c r="J637" s="65"/>
      <c r="K637" s="66"/>
    </row>
    <row r="638" spans="3:14" ht="19">
      <c r="C638" t="s">
        <v>50</v>
      </c>
      <c r="D638" s="37" t="s">
        <v>81</v>
      </c>
      <c r="E638" s="24"/>
      <c r="F638" s="1"/>
      <c r="G638" s="1100"/>
      <c r="H638" s="3"/>
      <c r="I638" s="3"/>
      <c r="J638" s="3"/>
    </row>
    <row r="639" spans="3:14">
      <c r="F639" s="1"/>
      <c r="G639" s="1100"/>
      <c r="H639" s="3"/>
      <c r="I639" s="3"/>
      <c r="J639" s="3"/>
    </row>
    <row r="640" spans="3:14">
      <c r="D640" s="160" t="s">
        <v>408</v>
      </c>
    </row>
    <row r="642" spans="4:10">
      <c r="D642" s="50"/>
    </row>
    <row r="643" spans="4:10">
      <c r="D643" s="51" t="s">
        <v>82</v>
      </c>
      <c r="E643" s="273"/>
      <c r="F643" s="274"/>
    </row>
    <row r="644" spans="4:10" ht="19">
      <c r="D644" s="54">
        <f>'Overall Assumptions'!$C$68</f>
        <v>225</v>
      </c>
      <c r="E644" s="1215" t="s">
        <v>99</v>
      </c>
      <c r="F644" s="246"/>
    </row>
    <row r="645" spans="4:10">
      <c r="D645" s="54">
        <f>SUM(D624,D632)</f>
        <v>5</v>
      </c>
      <c r="E645" s="76" t="s">
        <v>84</v>
      </c>
      <c r="F645" s="246"/>
    </row>
    <row r="646" spans="4:10">
      <c r="D646" s="152"/>
      <c r="E646" s="76"/>
      <c r="F646" s="246"/>
    </row>
    <row r="647" spans="4:10">
      <c r="D647" s="42">
        <f>D613</f>
        <v>2.23</v>
      </c>
      <c r="E647" s="629" t="s">
        <v>780</v>
      </c>
      <c r="F647" s="246"/>
    </row>
    <row r="648" spans="4:10">
      <c r="D648" s="42"/>
      <c r="E648" s="629"/>
      <c r="F648" s="246"/>
    </row>
    <row r="649" spans="4:10">
      <c r="D649" s="42"/>
      <c r="E649" s="629"/>
      <c r="F649" s="246"/>
    </row>
    <row r="650" spans="4:10">
      <c r="D650" s="616"/>
      <c r="E650" s="833"/>
      <c r="F650" s="246"/>
    </row>
    <row r="651" spans="4:10">
      <c r="D651" s="467">
        <f>D612</f>
        <v>200</v>
      </c>
      <c r="E651" s="1216" t="str">
        <f>E612</f>
        <v>Effective distance to be walked along</v>
      </c>
      <c r="F651" s="246"/>
    </row>
    <row r="652" spans="4:10">
      <c r="D652" s="467"/>
      <c r="E652" s="76"/>
      <c r="F652" s="246"/>
    </row>
    <row r="653" spans="4:10">
      <c r="D653" s="468">
        <f>D621/7.5</f>
        <v>4.4444444444444438</v>
      </c>
      <c r="E653" s="76" t="s">
        <v>464</v>
      </c>
      <c r="F653" s="246"/>
    </row>
    <row r="654" spans="4:10">
      <c r="D654" s="54">
        <f>'Overall Assumptions'!$C$10</f>
        <v>0</v>
      </c>
      <c r="E654" s="76" t="s">
        <v>85</v>
      </c>
      <c r="F654" s="246"/>
    </row>
    <row r="655" spans="4:10">
      <c r="D655" s="54">
        <f>'Overall Assumptions'!$C$90</f>
        <v>80</v>
      </c>
      <c r="E655" s="76" t="s">
        <v>86</v>
      </c>
      <c r="F655" s="246"/>
    </row>
    <row r="656" spans="4:10">
      <c r="D656" s="56">
        <f>'Overall Assumptions'!$C$81</f>
        <v>210</v>
      </c>
      <c r="E656" s="333" t="s">
        <v>87</v>
      </c>
      <c r="F656" s="162"/>
      <c r="J656" s="578"/>
    </row>
    <row r="657" spans="3:10">
      <c r="D657" s="57"/>
    </row>
    <row r="658" spans="3:10">
      <c r="C658" s="21"/>
      <c r="J658" s="90"/>
    </row>
    <row r="659" spans="3:10">
      <c r="C659" s="21"/>
      <c r="D659" s="59" t="s">
        <v>733</v>
      </c>
      <c r="E659" s="359" t="s">
        <v>796</v>
      </c>
      <c r="G659"/>
    </row>
    <row r="660" spans="3:10">
      <c r="C660" s="21"/>
      <c r="D660" s="46">
        <f>D647</f>
        <v>2.23</v>
      </c>
      <c r="E660" s="359" t="s">
        <v>254</v>
      </c>
      <c r="G660"/>
      <c r="H660" s="90"/>
    </row>
    <row r="661" spans="3:10">
      <c r="C661" s="21"/>
      <c r="D661" s="77">
        <f>2*D654/D655/7.5</f>
        <v>0</v>
      </c>
      <c r="E661" s="59" t="s">
        <v>95</v>
      </c>
      <c r="G661"/>
      <c r="H661" s="90"/>
    </row>
    <row r="662" spans="3:10">
      <c r="C662" s="21"/>
      <c r="D662" s="77"/>
      <c r="E662" s="16" t="s">
        <v>778</v>
      </c>
      <c r="G662"/>
      <c r="H662" s="90"/>
    </row>
    <row r="663" spans="3:10">
      <c r="C663" s="21"/>
      <c r="E663" s="359"/>
      <c r="G663"/>
      <c r="H663" s="90"/>
    </row>
    <row r="664" spans="3:10" ht="18" customHeight="1">
      <c r="C664" s="21"/>
      <c r="D664" s="77">
        <f>$D651/D660/7.5</f>
        <v>11.958146487294469</v>
      </c>
      <c r="E664" s="693" t="s">
        <v>96</v>
      </c>
      <c r="G664"/>
    </row>
    <row r="665" spans="3:10" ht="18" customHeight="1">
      <c r="C665" s="21"/>
      <c r="D665" s="77">
        <f>$D653</f>
        <v>4.4444444444444438</v>
      </c>
      <c r="E665" s="693" t="s">
        <v>786</v>
      </c>
      <c r="G665"/>
    </row>
    <row r="666" spans="3:10" ht="18" customHeight="1">
      <c r="C666" s="21"/>
      <c r="D666" s="77">
        <f>SUM(D664:D665)</f>
        <v>16.402590931738914</v>
      </c>
      <c r="E666" s="693" t="s">
        <v>171</v>
      </c>
      <c r="G666"/>
    </row>
    <row r="667" spans="3:10" ht="18" customHeight="1">
      <c r="C667" s="21"/>
      <c r="D667" s="16"/>
      <c r="E667" s="359"/>
      <c r="G667"/>
    </row>
    <row r="668" spans="3:10" ht="18" customHeight="1">
      <c r="C668" s="21"/>
      <c r="D668" s="77">
        <f>D666*$D645</f>
        <v>82.012954658694568</v>
      </c>
      <c r="E668" s="99" t="s">
        <v>787</v>
      </c>
      <c r="G668"/>
    </row>
    <row r="669" spans="3:10">
      <c r="C669" s="21"/>
      <c r="D669" s="16"/>
      <c r="E669" s="99"/>
      <c r="G669"/>
    </row>
    <row r="670" spans="3:10">
      <c r="C670" s="21"/>
      <c r="D670" s="63">
        <f>$D644*$D645*D664</f>
        <v>13452.914798206277</v>
      </c>
      <c r="E670" s="99" t="s">
        <v>37</v>
      </c>
      <c r="G670"/>
      <c r="H670" s="90"/>
    </row>
    <row r="671" spans="3:10">
      <c r="C671" s="21"/>
      <c r="D671" s="63">
        <f>$D644*$D645*D665</f>
        <v>4999.9999999999991</v>
      </c>
      <c r="E671" s="99" t="s">
        <v>412</v>
      </c>
      <c r="G671"/>
      <c r="H671" s="259"/>
      <c r="I671" s="16"/>
    </row>
    <row r="672" spans="3:10">
      <c r="C672" s="21"/>
      <c r="D672" s="64">
        <f>SUM(D670:D671)</f>
        <v>18452.914798206275</v>
      </c>
      <c r="E672" s="1101" t="s">
        <v>486</v>
      </c>
      <c r="G672"/>
      <c r="H672" s="259"/>
      <c r="I672" s="16"/>
    </row>
    <row r="673" spans="3:9">
      <c r="E673" s="99"/>
      <c r="G673"/>
    </row>
    <row r="674" spans="3:9">
      <c r="D674" s="46"/>
      <c r="E674" s="359"/>
      <c r="G674"/>
      <c r="H674" s="65"/>
      <c r="I674" s="24"/>
    </row>
    <row r="675" spans="3:9" s="79" customFormat="1">
      <c r="E675" s="473"/>
      <c r="H675" s="65"/>
      <c r="I675" s="66"/>
    </row>
    <row r="676" spans="3:9" s="79" customFormat="1">
      <c r="C676" s="79" t="s">
        <v>1672</v>
      </c>
      <c r="E676" s="127"/>
      <c r="F676" s="336"/>
      <c r="G676" s="128"/>
      <c r="H676" s="621"/>
      <c r="I676" s="66"/>
    </row>
    <row r="677" spans="3:9" s="79" customFormat="1">
      <c r="D677" s="489"/>
      <c r="E677" s="127"/>
      <c r="F677" s="336"/>
      <c r="G677" s="128"/>
      <c r="H677" s="621"/>
      <c r="I677" s="66"/>
    </row>
    <row r="678" spans="3:9" s="79" customFormat="1">
      <c r="D678" s="489" t="s">
        <v>298</v>
      </c>
      <c r="E678" s="127" t="s">
        <v>1665</v>
      </c>
      <c r="F678" s="336"/>
      <c r="G678" s="128"/>
      <c r="H678" s="621"/>
      <c r="I678" s="66"/>
    </row>
    <row r="679" spans="3:9" s="79" customFormat="1">
      <c r="D679" s="2135">
        <f>D620</f>
        <v>200</v>
      </c>
      <c r="E679" s="79" t="s">
        <v>1662</v>
      </c>
      <c r="F679" s="336"/>
      <c r="G679" s="128"/>
      <c r="H679" s="621"/>
      <c r="I679" s="66"/>
    </row>
    <row r="680" spans="3:9" s="79" customFormat="1">
      <c r="D680" s="75">
        <f>D681*7.5</f>
        <v>123.01943198804184</v>
      </c>
      <c r="E680" s="76" t="s">
        <v>1664</v>
      </c>
    </row>
    <row r="681" spans="3:9" s="79" customFormat="1">
      <c r="D681" s="2276">
        <f>D666</f>
        <v>16.402590931738914</v>
      </c>
      <c r="E681" s="124" t="s">
        <v>1673</v>
      </c>
    </row>
    <row r="682" spans="3:9" s="79" customFormat="1">
      <c r="D682" s="122"/>
      <c r="E682" s="473"/>
      <c r="H682" s="65"/>
      <c r="I682" s="66"/>
    </row>
    <row r="683" spans="3:9" s="79" customFormat="1">
      <c r="C683" s="79" t="s">
        <v>4</v>
      </c>
      <c r="D683" s="129"/>
      <c r="E683" s="1120"/>
      <c r="F683" s="324"/>
      <c r="G683" s="325"/>
    </row>
    <row r="684" spans="3:9" s="79" customFormat="1">
      <c r="D684" s="2274">
        <f>D679*$D$626*$D$627*$D$624</f>
        <v>1000</v>
      </c>
      <c r="E684" s="122" t="s">
        <v>1572</v>
      </c>
      <c r="F684" s="324"/>
      <c r="G684" s="325"/>
    </row>
    <row r="685" spans="3:9" s="79" customFormat="1">
      <c r="D685" s="2274">
        <f>$D$633*D680</f>
        <v>24603.88639760837</v>
      </c>
      <c r="E685" s="122" t="s">
        <v>1585</v>
      </c>
      <c r="F685" s="324"/>
      <c r="G685" s="325"/>
    </row>
    <row r="686" spans="3:9" s="79" customFormat="1">
      <c r="D686" s="2274">
        <f>D679/100*$D$635*$D$634</f>
        <v>1200</v>
      </c>
      <c r="E686" s="122" t="s">
        <v>1574</v>
      </c>
      <c r="F686" s="324"/>
      <c r="G686" s="325"/>
    </row>
    <row r="687" spans="3:9" s="79" customFormat="1">
      <c r="D687" s="1606">
        <f>SUM(D683:D686)</f>
        <v>26803.88639760837</v>
      </c>
      <c r="E687" s="118" t="s">
        <v>625</v>
      </c>
      <c r="F687" s="324"/>
      <c r="G687" s="325"/>
    </row>
    <row r="688" spans="3:9" s="79" customFormat="1">
      <c r="D688" s="129"/>
      <c r="E688" s="122"/>
      <c r="G688" s="1120"/>
      <c r="H688" s="324"/>
      <c r="I688" s="325"/>
    </row>
    <row r="689" spans="3:11" s="79" customFormat="1">
      <c r="G689" s="1120"/>
      <c r="H689" s="324"/>
      <c r="I689" s="325"/>
    </row>
    <row r="690" spans="3:11" s="79" customFormat="1">
      <c r="C690" s="79" t="s">
        <v>21</v>
      </c>
      <c r="D690" s="129">
        <f>D625*D624</f>
        <v>1320</v>
      </c>
      <c r="E690" s="129" t="str">
        <f>E625</f>
        <v>drip torch cost</v>
      </c>
      <c r="G690" s="1120"/>
      <c r="H690" s="324"/>
      <c r="I690" s="325"/>
    </row>
    <row r="691" spans="3:11" s="79" customFormat="1">
      <c r="D691" s="129"/>
      <c r="E691" s="129"/>
      <c r="G691" s="1120"/>
      <c r="H691" s="324"/>
      <c r="I691" s="325"/>
    </row>
    <row r="692" spans="3:11" s="79" customFormat="1">
      <c r="D692" s="1606">
        <f>SUM(D690:D691)</f>
        <v>1320</v>
      </c>
      <c r="E692" s="2279" t="s">
        <v>43</v>
      </c>
      <c r="F692" s="2280">
        <v>10</v>
      </c>
      <c r="G692" s="1120" t="s">
        <v>1586</v>
      </c>
      <c r="H692" s="324"/>
      <c r="I692" s="325"/>
    </row>
    <row r="693" spans="3:11" s="79" customFormat="1">
      <c r="I693" s="325"/>
    </row>
    <row r="694" spans="3:11" s="79" customFormat="1">
      <c r="I694" s="325"/>
    </row>
    <row r="695" spans="3:11">
      <c r="D695" s="75"/>
      <c r="E695" s="75"/>
      <c r="F695" s="75"/>
      <c r="G695" s="99"/>
      <c r="J695" s="65"/>
      <c r="K695" s="24"/>
    </row>
    <row r="696" spans="3:11">
      <c r="D696" s="75"/>
      <c r="E696" s="75"/>
      <c r="F696" s="75"/>
      <c r="G696" s="99"/>
      <c r="J696" s="65"/>
      <c r="K696" s="24"/>
    </row>
    <row r="697" spans="3:11" ht="19">
      <c r="C697" t="s">
        <v>64</v>
      </c>
      <c r="D697" s="37" t="s">
        <v>89</v>
      </c>
    </row>
    <row r="698" spans="3:11">
      <c r="C698" t="s">
        <v>54</v>
      </c>
    </row>
    <row r="700" spans="3:11">
      <c r="D700" s="16"/>
    </row>
    <row r="701" spans="3:11">
      <c r="D701" s="67" t="s">
        <v>91</v>
      </c>
      <c r="E701" s="41"/>
    </row>
    <row r="702" spans="3:11">
      <c r="D702" s="52">
        <f>'Overall Assumptions'!$C$93</f>
        <v>285</v>
      </c>
      <c r="E702" s="41" t="s">
        <v>93</v>
      </c>
    </row>
    <row r="703" spans="3:11">
      <c r="D703" s="54">
        <f>'Overall Assumptions'!$C$10</f>
        <v>0</v>
      </c>
      <c r="E703" s="43" t="s">
        <v>85</v>
      </c>
    </row>
    <row r="704" spans="3:11">
      <c r="D704" s="54"/>
      <c r="E704" s="43"/>
    </row>
    <row r="705" spans="4:10">
      <c r="D705" s="616">
        <f>ROUNDUP(D645/2,0)</f>
        <v>3</v>
      </c>
      <c r="E705" s="43" t="s">
        <v>1666</v>
      </c>
    </row>
    <row r="706" spans="4:10">
      <c r="D706" s="56"/>
      <c r="E706" s="45"/>
      <c r="J706" s="578"/>
    </row>
    <row r="707" spans="4:10">
      <c r="D707" s="75"/>
    </row>
    <row r="708" spans="4:10">
      <c r="D708" s="46">
        <f>D661</f>
        <v>0</v>
      </c>
      <c r="E708" s="693"/>
      <c r="G708"/>
      <c r="H708" s="532"/>
      <c r="I708" s="59"/>
    </row>
    <row r="709" spans="4:10">
      <c r="D709" s="46">
        <f>D664</f>
        <v>11.958146487294469</v>
      </c>
      <c r="E709" s="693" t="s">
        <v>98</v>
      </c>
      <c r="G709"/>
      <c r="I709" s="59"/>
    </row>
    <row r="710" spans="4:10">
      <c r="D710" s="46">
        <f>D665</f>
        <v>4.4444444444444438</v>
      </c>
      <c r="E710" s="693" t="str">
        <f>E665</f>
        <v>3rd term is the days required to do all activities (for one person)</v>
      </c>
      <c r="G710"/>
      <c r="I710" s="59"/>
    </row>
    <row r="711" spans="4:10">
      <c r="D711" s="46"/>
      <c r="E711" s="693"/>
      <c r="G711"/>
      <c r="I711" s="59"/>
    </row>
    <row r="712" spans="4:10">
      <c r="D712" s="46">
        <f>SUM(D708:D710)</f>
        <v>16.402590931738914</v>
      </c>
      <c r="E712" s="693" t="s">
        <v>135</v>
      </c>
      <c r="G712"/>
      <c r="H712" s="90"/>
    </row>
    <row r="713" spans="4:10">
      <c r="D713" s="46"/>
      <c r="E713" s="359"/>
      <c r="G713"/>
      <c r="H713" s="90"/>
    </row>
    <row r="714" spans="4:10">
      <c r="D714" s="63"/>
      <c r="E714" s="99"/>
      <c r="G714"/>
      <c r="H714" s="259"/>
      <c r="I714" s="16"/>
    </row>
    <row r="715" spans="4:10">
      <c r="D715" s="63">
        <f>$D702*D709*$D$705</f>
        <v>10224.215246636772</v>
      </c>
      <c r="E715" s="99" t="s">
        <v>1671</v>
      </c>
      <c r="G715"/>
      <c r="H715" s="259"/>
      <c r="I715" s="16"/>
    </row>
    <row r="716" spans="4:10">
      <c r="D716" s="63">
        <f>$D702*D710*$D$705</f>
        <v>3799.9999999999995</v>
      </c>
      <c r="E716" s="99" t="s">
        <v>52</v>
      </c>
      <c r="G716"/>
      <c r="H716" s="259"/>
      <c r="I716" s="16"/>
    </row>
    <row r="717" spans="4:10">
      <c r="D717" s="68">
        <f>SUM(D714:D716)</f>
        <v>14024.215246636772</v>
      </c>
      <c r="E717" s="1101" t="s">
        <v>53</v>
      </c>
      <c r="G717"/>
      <c r="H717" s="65"/>
      <c r="I717" s="24"/>
    </row>
    <row r="718" spans="4:10">
      <c r="D718" s="432"/>
      <c r="E718" s="359"/>
      <c r="G718"/>
      <c r="H718" s="65"/>
      <c r="I718" s="24"/>
    </row>
    <row r="719" spans="4:10">
      <c r="D719" s="46">
        <f>D712*$D$705</f>
        <v>49.207772795216741</v>
      </c>
      <c r="E719" s="359" t="s">
        <v>795</v>
      </c>
      <c r="G719"/>
      <c r="H719" s="65"/>
      <c r="I719" s="24"/>
    </row>
    <row r="720" spans="4:10">
      <c r="D720" s="75">
        <f>ROUNDUP((D712/21),0)*$D$705</f>
        <v>3</v>
      </c>
      <c r="E720" s="99" t="s">
        <v>1667</v>
      </c>
      <c r="G720"/>
      <c r="H720" s="65"/>
      <c r="I720" s="24"/>
    </row>
    <row r="721" spans="3:11">
      <c r="D721" s="432"/>
      <c r="E721" s="359"/>
      <c r="G721"/>
      <c r="H721" s="65"/>
      <c r="I721" s="24"/>
    </row>
    <row r="722" spans="3:11">
      <c r="D722" s="65"/>
      <c r="E722" s="359"/>
      <c r="G722"/>
      <c r="H722" s="65"/>
      <c r="I722" s="24"/>
    </row>
    <row r="723" spans="3:11">
      <c r="C723" t="s">
        <v>70</v>
      </c>
      <c r="D723" s="58"/>
      <c r="E723" s="359"/>
      <c r="G723"/>
      <c r="H723" s="65"/>
      <c r="I723" s="24"/>
    </row>
    <row r="724" spans="3:11">
      <c r="D724" s="160" t="s">
        <v>238</v>
      </c>
      <c r="E724" s="359"/>
      <c r="G724"/>
      <c r="H724" s="65"/>
      <c r="I724" s="24"/>
    </row>
    <row r="725" spans="3:11">
      <c r="D725" s="58"/>
      <c r="E725" s="359"/>
      <c r="G725"/>
      <c r="H725" s="65"/>
      <c r="I725" s="24"/>
    </row>
    <row r="726" spans="3:11">
      <c r="D726" s="25">
        <f>D666</f>
        <v>16.402590931738914</v>
      </c>
      <c r="E726" s="99" t="s">
        <v>157</v>
      </c>
      <c r="G726"/>
      <c r="H726" s="65"/>
      <c r="I726" s="24"/>
    </row>
    <row r="727" spans="3:11">
      <c r="D727" s="61">
        <f>FLOOR(D726,1)</f>
        <v>16</v>
      </c>
      <c r="E727" s="99" t="s">
        <v>73</v>
      </c>
      <c r="G727"/>
      <c r="H727" s="65"/>
      <c r="I727" s="24"/>
    </row>
    <row r="728" spans="3:11">
      <c r="D728" s="65"/>
      <c r="E728" s="1102"/>
      <c r="G728"/>
      <c r="H728" s="65"/>
      <c r="I728" s="24"/>
    </row>
    <row r="729" spans="3:11">
      <c r="D729" s="146">
        <f>D727*$D645</f>
        <v>80</v>
      </c>
      <c r="E729" s="1102" t="s">
        <v>88</v>
      </c>
      <c r="G729"/>
      <c r="H729" s="65"/>
      <c r="I729" s="24"/>
    </row>
    <row r="730" spans="3:11">
      <c r="D730" s="102">
        <f>D729*$D656</f>
        <v>16800</v>
      </c>
      <c r="E730" s="1101" t="s">
        <v>74</v>
      </c>
      <c r="G730"/>
      <c r="H730" s="259"/>
      <c r="I730" s="16"/>
    </row>
    <row r="731" spans="3:11">
      <c r="D731" s="275"/>
      <c r="E731" s="275"/>
      <c r="F731" s="275"/>
      <c r="G731" s="1084"/>
      <c r="J731" s="259"/>
      <c r="K731" s="16"/>
    </row>
    <row r="732" spans="3:11">
      <c r="D732" s="275"/>
      <c r="E732" s="275"/>
      <c r="F732" s="275"/>
      <c r="G732" s="1084"/>
      <c r="J732" s="259"/>
      <c r="K732" s="16"/>
    </row>
    <row r="733" spans="3:11" s="79" customFormat="1">
      <c r="D733" s="34" t="s">
        <v>1661</v>
      </c>
      <c r="E733" s="76"/>
      <c r="G733" s="1119"/>
      <c r="J733" s="122"/>
    </row>
    <row r="734" spans="3:11" s="79" customFormat="1">
      <c r="D734" s="2132"/>
      <c r="E734" s="122"/>
      <c r="F734" s="621"/>
      <c r="G734" s="127"/>
      <c r="H734" s="336"/>
      <c r="I734" s="128"/>
      <c r="J734" s="620"/>
      <c r="K734" s="76"/>
    </row>
    <row r="735" spans="3:11" s="79" customFormat="1">
      <c r="D735" s="2132"/>
      <c r="E735" s="122"/>
      <c r="F735" s="621"/>
      <c r="G735" s="127"/>
      <c r="H735" s="336"/>
      <c r="I735" s="128"/>
      <c r="J735" s="620"/>
      <c r="K735" s="76"/>
    </row>
    <row r="736" spans="3:11">
      <c r="D736" s="275"/>
      <c r="E736" s="275"/>
      <c r="F736" s="275"/>
      <c r="G736" s="1084"/>
      <c r="J736" s="259"/>
      <c r="K736" s="16"/>
    </row>
    <row r="737" spans="4:11">
      <c r="D737" s="275"/>
      <c r="E737" s="275"/>
      <c r="F737" s="275"/>
      <c r="G737" s="1084"/>
      <c r="J737" s="259"/>
      <c r="K737" s="16"/>
    </row>
    <row r="738" spans="4:11">
      <c r="D738" s="275"/>
      <c r="E738" s="275"/>
      <c r="F738" s="275"/>
      <c r="G738" s="1084"/>
      <c r="J738" s="259"/>
      <c r="K738" s="16"/>
    </row>
    <row r="739" spans="4:11">
      <c r="D739" s="275"/>
      <c r="E739" s="275"/>
      <c r="F739" s="275"/>
      <c r="G739" s="1084"/>
      <c r="J739" s="259"/>
      <c r="K739" s="16"/>
    </row>
    <row r="740" spans="4:11">
      <c r="D740" s="275"/>
      <c r="E740" s="275"/>
      <c r="F740" s="275"/>
      <c r="G740" s="1084"/>
      <c r="J740" s="259"/>
      <c r="K740" s="16"/>
    </row>
    <row r="741" spans="4:11">
      <c r="D741" s="825"/>
      <c r="E741" s="825"/>
      <c r="H741" s="1"/>
    </row>
    <row r="742" spans="4:11">
      <c r="D742" s="617" t="s">
        <v>172</v>
      </c>
      <c r="E742" s="618" t="s">
        <v>155</v>
      </c>
      <c r="F742" s="618" t="s">
        <v>173</v>
      </c>
      <c r="G742" s="1103" t="s">
        <v>174</v>
      </c>
      <c r="H742" s="618" t="s">
        <v>166</v>
      </c>
      <c r="I742" s="619" t="s">
        <v>69</v>
      </c>
    </row>
    <row r="743" spans="4:11">
      <c r="D743" s="404" t="s">
        <v>3</v>
      </c>
      <c r="E743" s="90">
        <f>D668</f>
        <v>82.012954658694568</v>
      </c>
      <c r="F743" s="531"/>
      <c r="H743" s="432">
        <f>D672</f>
        <v>18452.914798206275</v>
      </c>
      <c r="I743" s="830" t="str">
        <f>E672</f>
        <v>Cost for labour</v>
      </c>
      <c r="J743" s="558">
        <f>D610</f>
        <v>1</v>
      </c>
    </row>
    <row r="744" spans="4:11">
      <c r="D744" s="404" t="s">
        <v>490</v>
      </c>
      <c r="E744" s="90">
        <f>D712</f>
        <v>16.402590931738914</v>
      </c>
      <c r="F744" s="531"/>
      <c r="G744" s="1104">
        <f>D703</f>
        <v>0</v>
      </c>
      <c r="H744" s="432">
        <f>D717</f>
        <v>14024.215246636772</v>
      </c>
      <c r="I744" s="830" t="str">
        <f>E717</f>
        <v>Cost for ute hire for the whole activity</v>
      </c>
      <c r="J744" s="558">
        <f>J743</f>
        <v>1</v>
      </c>
    </row>
    <row r="745" spans="4:11">
      <c r="D745" s="404" t="s">
        <v>1668</v>
      </c>
      <c r="E745" s="90">
        <f>D729</f>
        <v>80</v>
      </c>
      <c r="F745" s="531"/>
      <c r="H745" s="432">
        <f>SUM(D730,D687)</f>
        <v>43603.886397608367</v>
      </c>
      <c r="I745" s="830" t="str">
        <f>D745</f>
        <v>Consumables (Accomodation + driptorch petrol + Water truck + water)</v>
      </c>
      <c r="J745" s="558">
        <f>J744</f>
        <v>1</v>
      </c>
    </row>
    <row r="746" spans="4:11">
      <c r="D746" s="404" t="s">
        <v>21</v>
      </c>
      <c r="E746" s="90"/>
      <c r="F746" s="531"/>
      <c r="H746" s="432">
        <f>$D692</f>
        <v>1320</v>
      </c>
      <c r="I746" s="830" t="s">
        <v>1669</v>
      </c>
      <c r="J746" s="558">
        <f>F692</f>
        <v>10</v>
      </c>
    </row>
    <row r="747" spans="4:11">
      <c r="D747" s="404"/>
      <c r="E747" s="90"/>
      <c r="F747" s="531"/>
      <c r="H747" s="432"/>
      <c r="I747" s="830"/>
    </row>
    <row r="748" spans="4:11">
      <c r="D748" s="405"/>
      <c r="E748" s="439"/>
      <c r="F748" s="439"/>
      <c r="G748" s="1098"/>
      <c r="H748" s="622">
        <f>SUM(H743:H747)</f>
        <v>77401.016442451422</v>
      </c>
      <c r="I748" s="623" t="s">
        <v>165</v>
      </c>
    </row>
    <row r="749" spans="4:11">
      <c r="D749"/>
      <c r="E749"/>
      <c r="F749" s="432"/>
      <c r="G749" s="1099"/>
    </row>
    <row r="750" spans="4:11">
      <c r="D750" s="25"/>
    </row>
    <row r="751" spans="4:11" s="9" customFormat="1">
      <c r="D751" s="116"/>
      <c r="E751" s="116"/>
      <c r="G751" s="572"/>
    </row>
    <row r="753" spans="3:28" s="351" customFormat="1">
      <c r="D753" s="352"/>
      <c r="E753" s="353"/>
      <c r="G753" s="1122"/>
    </row>
    <row r="754" spans="3:28">
      <c r="D754" s="25"/>
    </row>
    <row r="756" spans="3:28">
      <c r="C756" s="1" t="s">
        <v>1000</v>
      </c>
      <c r="D756" s="25"/>
    </row>
    <row r="757" spans="3:28">
      <c r="D757" s="66" t="s">
        <v>1003</v>
      </c>
      <c r="E757" s="76"/>
      <c r="F757" s="79"/>
      <c r="G757" s="1119"/>
      <c r="H757" s="79"/>
      <c r="I757" s="79"/>
    </row>
    <row r="758" spans="3:28">
      <c r="D758" s="329"/>
      <c r="E758" s="76"/>
      <c r="F758" s="79"/>
      <c r="G758" s="1119"/>
      <c r="H758" s="79"/>
      <c r="I758" s="79"/>
    </row>
    <row r="759" spans="3:28">
      <c r="D759" s="117" t="s">
        <v>91</v>
      </c>
      <c r="E759" s="118"/>
      <c r="F759" s="9"/>
      <c r="G759" s="1119"/>
      <c r="H759" s="79"/>
      <c r="I759" s="79"/>
    </row>
    <row r="760" spans="3:28">
      <c r="D760" s="114">
        <f>D117</f>
        <v>1</v>
      </c>
      <c r="E760" s="115" t="s">
        <v>262</v>
      </c>
      <c r="F760" s="9"/>
      <c r="G760" s="1119"/>
      <c r="H760" s="79"/>
      <c r="I760" s="79"/>
    </row>
    <row r="761" spans="3:28">
      <c r="D761" s="472">
        <v>1</v>
      </c>
      <c r="E761" s="97" t="s">
        <v>260</v>
      </c>
      <c r="F761" s="9"/>
      <c r="G761" s="1119"/>
      <c r="H761" s="79"/>
      <c r="I761" s="79"/>
    </row>
    <row r="762" spans="3:28">
      <c r="E762" s="76"/>
      <c r="F762" s="79"/>
      <c r="G762" s="1119"/>
      <c r="H762" s="79"/>
      <c r="I762" s="79"/>
    </row>
    <row r="763" spans="3:28">
      <c r="E763" s="124"/>
      <c r="F763" s="79"/>
      <c r="G763" s="1119"/>
      <c r="H763" s="79"/>
      <c r="I763" s="79"/>
    </row>
    <row r="764" spans="3:28">
      <c r="E764" s="66"/>
      <c r="F764" s="79"/>
      <c r="G764" s="1119"/>
      <c r="H764" s="79"/>
      <c r="I764" s="79"/>
    </row>
    <row r="765" spans="3:28">
      <c r="D765" s="329"/>
      <c r="E765" s="66"/>
      <c r="F765" s="79"/>
      <c r="G765" s="1119"/>
      <c r="H765" s="79"/>
      <c r="I765" s="79"/>
    </row>
    <row r="766" spans="3:28">
      <c r="D766" s="66"/>
      <c r="E766" s="76"/>
      <c r="F766" s="79"/>
      <c r="G766" s="1119"/>
      <c r="H766" s="79"/>
      <c r="I766" s="79"/>
    </row>
    <row r="767" spans="3:28">
      <c r="D767" s="64"/>
      <c r="E767" s="39" t="str">
        <f>E196</f>
        <v>cost for accommodation and meals</v>
      </c>
      <c r="F767" s="255"/>
      <c r="G767" s="1090"/>
      <c r="H767" s="255"/>
      <c r="I767" s="161"/>
      <c r="K767" s="3918"/>
      <c r="L767" s="3918"/>
      <c r="M767" s="3918"/>
      <c r="N767" s="3918"/>
    </row>
    <row r="768" spans="3:28">
      <c r="D768" s="143" t="str">
        <f t="shared" ref="D768:I768" si="33">D198</f>
        <v>Component</v>
      </c>
      <c r="E768" s="144" t="str">
        <f t="shared" si="33"/>
        <v>Days</v>
      </c>
      <c r="F768" s="144" t="str">
        <f t="shared" si="33"/>
        <v>Area covered</v>
      </c>
      <c r="G768" s="1094" t="str">
        <f t="shared" si="33"/>
        <v>distance</v>
      </c>
      <c r="H768" s="144" t="str">
        <f t="shared" si="33"/>
        <v>Cost</v>
      </c>
      <c r="I768" s="145" t="str">
        <f t="shared" si="33"/>
        <v>Description</v>
      </c>
      <c r="K768" s="10"/>
      <c r="L768" s="10"/>
      <c r="M768" s="10"/>
      <c r="N768" s="10"/>
      <c r="AB768" s="10"/>
    </row>
    <row r="769" spans="3:10">
      <c r="D769" s="135" t="str">
        <f>D199</f>
        <v>Labour</v>
      </c>
      <c r="E769" s="136">
        <f>E199</f>
        <v>0.20512820512820515</v>
      </c>
      <c r="F769" s="141"/>
      <c r="G769" s="1093"/>
      <c r="H769" s="119">
        <f t="shared" ref="H769:I771" si="34">H199</f>
        <v>46.15384615384616</v>
      </c>
      <c r="I769" s="358" t="str">
        <f t="shared" si="34"/>
        <v>Cost for labour</v>
      </c>
      <c r="J769">
        <f>D761</f>
        <v>1</v>
      </c>
    </row>
    <row r="770" spans="3:10">
      <c r="D770" s="135" t="str">
        <f>D200</f>
        <v>Travel</v>
      </c>
      <c r="E770" s="136">
        <f>E200</f>
        <v>1.5384615384615385</v>
      </c>
      <c r="F770" s="141"/>
      <c r="G770" s="1095"/>
      <c r="H770" s="119">
        <f t="shared" si="34"/>
        <v>1307.6923076923076</v>
      </c>
      <c r="I770" s="358" t="str">
        <f t="shared" si="34"/>
        <v xml:space="preserve">Cost for transport </v>
      </c>
      <c r="J770">
        <f>J769</f>
        <v>1</v>
      </c>
    </row>
    <row r="771" spans="3:10">
      <c r="D771" s="135" t="str">
        <f>D201</f>
        <v>Consumables (Accomodation)</v>
      </c>
      <c r="E771" s="136"/>
      <c r="F771" s="141"/>
      <c r="G771" s="1095"/>
      <c r="H771" s="119">
        <f t="shared" si="34"/>
        <v>0</v>
      </c>
      <c r="I771" s="358" t="str">
        <f t="shared" si="34"/>
        <v>cost for accommodation and meals</v>
      </c>
      <c r="J771">
        <f>J770</f>
        <v>1</v>
      </c>
    </row>
    <row r="772" spans="3:10">
      <c r="D772" s="135"/>
      <c r="E772" s="136"/>
      <c r="F772" s="141"/>
      <c r="G772" s="1093"/>
      <c r="H772" s="119"/>
      <c r="I772" s="358"/>
    </row>
    <row r="773" spans="3:10">
      <c r="D773" s="135"/>
      <c r="E773" s="136"/>
      <c r="F773" s="141"/>
      <c r="G773" s="1093"/>
      <c r="H773" s="119"/>
      <c r="I773" s="358"/>
    </row>
    <row r="774" spans="3:10">
      <c r="D774" s="137"/>
      <c r="E774" s="138"/>
      <c r="F774" s="142"/>
      <c r="G774" s="1096"/>
      <c r="H774" s="139">
        <f>H204</f>
        <v>1353.8461538461538</v>
      </c>
      <c r="I774" s="140" t="str">
        <f>I204</f>
        <v>Total cost</v>
      </c>
    </row>
    <row r="776" spans="3:10" s="7" customFormat="1">
      <c r="D776" s="35"/>
      <c r="E776" s="36"/>
      <c r="G776" s="1089"/>
    </row>
    <row r="777" spans="3:10">
      <c r="C777" t="s">
        <v>1002</v>
      </c>
    </row>
    <row r="779" spans="3:10">
      <c r="D779" s="66" t="s">
        <v>1004</v>
      </c>
      <c r="E779" s="76"/>
      <c r="F779" s="79"/>
      <c r="G779" s="1119"/>
    </row>
    <row r="780" spans="3:10">
      <c r="D780" s="329"/>
      <c r="E780" s="76"/>
      <c r="F780" s="79"/>
      <c r="G780" s="1119"/>
    </row>
    <row r="781" spans="3:10">
      <c r="D781" s="117" t="s">
        <v>91</v>
      </c>
      <c r="E781" s="118"/>
      <c r="F781" s="9"/>
      <c r="G781" s="1119"/>
    </row>
    <row r="782" spans="3:10">
      <c r="D782" s="114">
        <v>0.3</v>
      </c>
      <c r="E782" s="115" t="s">
        <v>262</v>
      </c>
      <c r="F782" s="9"/>
      <c r="G782" s="1119"/>
    </row>
    <row r="783" spans="3:10">
      <c r="D783" s="472">
        <v>1</v>
      </c>
      <c r="E783" s="97" t="s">
        <v>260</v>
      </c>
      <c r="F783" s="9"/>
      <c r="G783" s="1119"/>
    </row>
    <row r="784" spans="3:10">
      <c r="D784" s="825"/>
      <c r="E784" s="825"/>
      <c r="H784" s="1" t="s">
        <v>788</v>
      </c>
      <c r="I784" s="1" t="s">
        <v>779</v>
      </c>
      <c r="J784" s="1" t="s">
        <v>789</v>
      </c>
    </row>
    <row r="785" spans="3:12">
      <c r="D785" s="617" t="str">
        <f t="shared" ref="D785:K788" si="35">D312</f>
        <v>Component</v>
      </c>
      <c r="E785" s="618" t="str">
        <f t="shared" si="35"/>
        <v>Days</v>
      </c>
      <c r="F785" s="618" t="str">
        <f t="shared" si="35"/>
        <v>Area covered</v>
      </c>
      <c r="G785" s="1103" t="str">
        <f t="shared" si="35"/>
        <v>distance</v>
      </c>
      <c r="H785" s="618" t="str">
        <f t="shared" si="35"/>
        <v>Cost</v>
      </c>
      <c r="I785" s="618" t="str">
        <f t="shared" si="35"/>
        <v>Cost</v>
      </c>
      <c r="J785" s="618" t="str">
        <f t="shared" si="35"/>
        <v>Cost</v>
      </c>
      <c r="K785" s="619" t="str">
        <f t="shared" si="35"/>
        <v>Description</v>
      </c>
    </row>
    <row r="786" spans="3:12">
      <c r="D786" s="404" t="str">
        <f t="shared" si="35"/>
        <v>Labour</v>
      </c>
      <c r="E786" s="90">
        <f t="shared" si="35"/>
        <v>6.2541106128550075</v>
      </c>
      <c r="F786" s="531">
        <f t="shared" si="35"/>
        <v>30</v>
      </c>
      <c r="G786" s="359">
        <f t="shared" si="35"/>
        <v>0</v>
      </c>
      <c r="H786" s="432">
        <f>H313</f>
        <v>1407.1748878923768</v>
      </c>
      <c r="I786" s="432">
        <f t="shared" si="35"/>
        <v>1676.2331838565024</v>
      </c>
      <c r="J786" s="432">
        <f t="shared" si="35"/>
        <v>2214.3497757847535</v>
      </c>
      <c r="K786" s="830" t="str">
        <f t="shared" si="35"/>
        <v>Cost for labour</v>
      </c>
      <c r="L786">
        <v>1</v>
      </c>
    </row>
    <row r="787" spans="3:12">
      <c r="D787" s="404" t="str">
        <f t="shared" si="35"/>
        <v>transport</v>
      </c>
      <c r="E787" s="90">
        <f t="shared" si="35"/>
        <v>3.1270553064275037</v>
      </c>
      <c r="F787" s="531">
        <f t="shared" si="35"/>
        <v>30</v>
      </c>
      <c r="G787" s="1104">
        <f t="shared" si="35"/>
        <v>0</v>
      </c>
      <c r="H787" s="432">
        <f t="shared" si="35"/>
        <v>891.21076233183862</v>
      </c>
      <c r="I787" s="432">
        <f t="shared" si="35"/>
        <v>1061.6143497757848</v>
      </c>
      <c r="J787" s="432">
        <f t="shared" si="35"/>
        <v>1402.4215246636772</v>
      </c>
      <c r="K787" s="830" t="str">
        <f t="shared" si="35"/>
        <v>Cost for ute hire for the whole activity</v>
      </c>
      <c r="L787">
        <v>1</v>
      </c>
    </row>
    <row r="788" spans="3:12">
      <c r="D788" s="404" t="str">
        <f t="shared" si="35"/>
        <v>Consumables (Accomodation)</v>
      </c>
      <c r="E788" s="90">
        <f t="shared" si="35"/>
        <v>6</v>
      </c>
      <c r="F788" s="531">
        <f t="shared" si="35"/>
        <v>30</v>
      </c>
      <c r="G788" s="359">
        <f t="shared" si="35"/>
        <v>0</v>
      </c>
      <c r="H788" s="432">
        <f t="shared" si="35"/>
        <v>1260</v>
      </c>
      <c r="I788" s="432">
        <f t="shared" si="35"/>
        <v>1260</v>
      </c>
      <c r="J788" s="432">
        <f t="shared" si="35"/>
        <v>1680</v>
      </c>
      <c r="K788" s="830" t="str">
        <f t="shared" si="35"/>
        <v>Accomodation + Food Cost</v>
      </c>
      <c r="L788">
        <v>1</v>
      </c>
    </row>
    <row r="789" spans="3:12">
      <c r="D789" s="404"/>
      <c r="E789" s="90"/>
      <c r="F789" s="531"/>
      <c r="H789" s="432"/>
      <c r="I789" s="259"/>
      <c r="J789" s="259"/>
      <c r="K789" s="830"/>
      <c r="L789" s="558"/>
    </row>
    <row r="790" spans="3:12">
      <c r="D790" s="404"/>
      <c r="E790" s="90"/>
      <c r="F790" s="531"/>
      <c r="H790" s="432"/>
      <c r="I790" s="259"/>
      <c r="J790" s="259"/>
      <c r="K790" s="830"/>
    </row>
    <row r="791" spans="3:12">
      <c r="D791" s="405"/>
      <c r="E791" s="439"/>
      <c r="F791" s="439"/>
      <c r="G791" s="1098"/>
      <c r="H791" s="622">
        <f>SUM(H786:H790)</f>
        <v>3558.3856502242152</v>
      </c>
      <c r="I791" s="622">
        <f>SUM(I786:I790)</f>
        <v>3997.8475336322872</v>
      </c>
      <c r="J791" s="622">
        <f>SUM(J786:J790)</f>
        <v>5296.7713004484303</v>
      </c>
      <c r="K791" s="623" t="s">
        <v>165</v>
      </c>
    </row>
    <row r="792" spans="3:12">
      <c r="D792"/>
      <c r="E792"/>
      <c r="F792" s="432"/>
      <c r="G792" s="1099"/>
    </row>
    <row r="793" spans="3:12">
      <c r="D793"/>
      <c r="E793"/>
      <c r="F793" s="432"/>
      <c r="G793" s="1099"/>
    </row>
    <row r="795" spans="3:12" s="7" customFormat="1">
      <c r="D795" s="35"/>
      <c r="E795" s="36"/>
      <c r="G795" s="1089"/>
    </row>
    <row r="796" spans="3:12" s="9" customFormat="1">
      <c r="D796" s="105"/>
      <c r="E796" s="34"/>
      <c r="G796" s="572"/>
    </row>
    <row r="797" spans="3:12" s="9" customFormat="1">
      <c r="C797" s="120" t="s">
        <v>247</v>
      </c>
      <c r="D797" s="105"/>
      <c r="E797" s="34"/>
      <c r="G797" s="572"/>
    </row>
    <row r="798" spans="3:12" s="9" customFormat="1">
      <c r="D798" s="34" t="s">
        <v>258</v>
      </c>
      <c r="E798" s="34"/>
      <c r="G798" s="572"/>
    </row>
    <row r="799" spans="3:12" s="9" customFormat="1">
      <c r="D799" s="38" t="s">
        <v>91</v>
      </c>
      <c r="E799" s="39"/>
      <c r="F799" s="105"/>
      <c r="G799" s="572"/>
    </row>
    <row r="800" spans="3:12" s="9" customFormat="1">
      <c r="D800" s="402"/>
      <c r="E800" s="161"/>
      <c r="G800" s="572"/>
    </row>
    <row r="801" spans="3:10" s="9" customFormat="1">
      <c r="D801" s="332">
        <f>'Overall Assumptions'!$C$125</f>
        <v>3</v>
      </c>
      <c r="E801" s="131" t="str">
        <f>'Overall Assumptions'!$D$115</f>
        <v>weeks</v>
      </c>
      <c r="G801" s="572"/>
    </row>
    <row r="802" spans="3:10" s="9" customFormat="1">
      <c r="C802" s="105"/>
      <c r="D802" s="332">
        <f>D801*5</f>
        <v>15</v>
      </c>
      <c r="E802" s="43" t="str">
        <f>'Overall Assumptions'!$D$116</f>
        <v>days</v>
      </c>
      <c r="G802" s="572"/>
    </row>
    <row r="803" spans="3:10" s="9" customFormat="1">
      <c r="C803" s="105"/>
      <c r="D803" s="332"/>
      <c r="E803" s="43"/>
      <c r="G803" s="572"/>
    </row>
    <row r="804" spans="3:10" s="9" customFormat="1">
      <c r="C804" s="105"/>
      <c r="D804" s="268">
        <v>1</v>
      </c>
      <c r="E804" s="43" t="s">
        <v>259</v>
      </c>
      <c r="G804" s="572"/>
    </row>
    <row r="805" spans="3:10" s="9" customFormat="1">
      <c r="C805" s="105"/>
      <c r="D805" s="332"/>
      <c r="E805" s="43"/>
      <c r="G805" s="572"/>
    </row>
    <row r="806" spans="3:10" s="9" customFormat="1">
      <c r="C806" s="105"/>
      <c r="D806" s="332"/>
      <c r="E806" s="246"/>
      <c r="G806" s="572"/>
    </row>
    <row r="807" spans="3:10" s="9" customFormat="1">
      <c r="D807" s="614">
        <f>'Overall Assumptions'!$C$68</f>
        <v>225</v>
      </c>
      <c r="E807" s="246" t="str">
        <f>'Overall Assumptions'!$B$67</f>
        <v>Labour 1- APS Low (Entry lvl)</v>
      </c>
      <c r="G807" s="572"/>
    </row>
    <row r="808" spans="3:10" s="9" customFormat="1">
      <c r="D808" s="399">
        <f>'Overall Assumptions'!$C$72</f>
        <v>337.5</v>
      </c>
      <c r="E808" s="530" t="str">
        <f>'Overall Assumptions'!$B$71</f>
        <v>Labour 2 - APS High (Experienced)</v>
      </c>
      <c r="G808" s="572"/>
    </row>
    <row r="809" spans="3:10" s="9" customFormat="1">
      <c r="D809" s="112">
        <f>'Overall Assumptions'!$C$76</f>
        <v>487.5</v>
      </c>
      <c r="E809" s="45" t="str">
        <f>'Overall Assumptions'!$B$75</f>
        <v>Labour 3 - EL (Management)</v>
      </c>
      <c r="G809" s="572"/>
    </row>
    <row r="810" spans="3:10" s="9" customFormat="1">
      <c r="D810" s="33"/>
      <c r="E810" s="34"/>
      <c r="G810" s="572"/>
    </row>
    <row r="811" spans="3:10">
      <c r="C811" s="9"/>
      <c r="D811" s="247"/>
      <c r="E811" s="33"/>
      <c r="F811" s="9"/>
      <c r="G811" s="572"/>
      <c r="H811" s="9"/>
      <c r="I811" s="9"/>
      <c r="J811" s="9"/>
    </row>
    <row r="812" spans="3:10">
      <c r="C812" s="9"/>
      <c r="D812" s="33"/>
      <c r="E812" s="34"/>
      <c r="F812" s="9"/>
      <c r="G812" s="572"/>
      <c r="H812" s="9"/>
      <c r="I812" s="9"/>
      <c r="J812" s="9"/>
    </row>
    <row r="813" spans="3:10">
      <c r="C813" s="9"/>
      <c r="D813" s="33"/>
      <c r="E813" s="34"/>
      <c r="F813" s="9"/>
      <c r="G813" s="572"/>
      <c r="H813" s="9"/>
      <c r="I813" s="9"/>
      <c r="J813" s="9"/>
    </row>
    <row r="814" spans="3:10">
      <c r="C814" s="9"/>
      <c r="D814" s="33"/>
      <c r="E814" s="34"/>
      <c r="F814" s="9"/>
      <c r="G814" s="572"/>
      <c r="H814" s="9"/>
      <c r="I814" s="9"/>
      <c r="J814" s="9"/>
    </row>
    <row r="815" spans="3:10">
      <c r="C815" s="9"/>
      <c r="D815" s="175"/>
      <c r="E815" s="164" t="s">
        <v>155</v>
      </c>
      <c r="F815" s="255" t="s">
        <v>166</v>
      </c>
      <c r="G815" s="1090" t="s">
        <v>69</v>
      </c>
      <c r="H815" s="161"/>
      <c r="I815" s="9"/>
      <c r="J815" s="9"/>
    </row>
    <row r="816" spans="3:10">
      <c r="C816" s="9"/>
      <c r="D816" s="405" t="s">
        <v>3</v>
      </c>
      <c r="E816" s="615">
        <f>D802</f>
        <v>15</v>
      </c>
      <c r="F816" s="321">
        <f>D802*D808</f>
        <v>5062.5</v>
      </c>
      <c r="G816" s="1091" t="s">
        <v>182</v>
      </c>
      <c r="H816" s="162"/>
      <c r="I816" s="9"/>
      <c r="J816" s="9"/>
    </row>
    <row r="817" spans="3:8">
      <c r="H817" s="9"/>
    </row>
    <row r="820" spans="3:8" s="182" customFormat="1">
      <c r="D820" s="183"/>
      <c r="E820" s="184"/>
      <c r="G820" s="1131"/>
    </row>
    <row r="821" spans="3:8">
      <c r="C821" s="1"/>
    </row>
    <row r="822" spans="3:8" s="2283" customFormat="1">
      <c r="D822" s="2284"/>
      <c r="E822" s="2285"/>
      <c r="G822" s="2286"/>
    </row>
    <row r="823" spans="3:8" s="122" customFormat="1">
      <c r="C823" s="122" t="s">
        <v>139</v>
      </c>
      <c r="D823" s="2281"/>
      <c r="E823" s="124"/>
      <c r="G823" s="1093"/>
    </row>
    <row r="824" spans="3:8" s="122" customFormat="1">
      <c r="C824" s="143" t="s">
        <v>1718</v>
      </c>
      <c r="D824" s="2376"/>
      <c r="E824" s="95"/>
      <c r="G824" s="1093"/>
    </row>
    <row r="825" spans="3:8" s="122" customFormat="1">
      <c r="C825" s="2377">
        <f>AB43*U16</f>
        <v>149017.03512662387</v>
      </c>
      <c r="D825" s="2373" t="s">
        <v>1714</v>
      </c>
      <c r="E825" s="96"/>
      <c r="G825" s="1093"/>
    </row>
    <row r="826" spans="3:8" s="122" customFormat="1">
      <c r="C826" s="1217">
        <f>D366</f>
        <v>217.43846277842522</v>
      </c>
      <c r="D826" s="2378" t="s">
        <v>1713</v>
      </c>
      <c r="E826" s="96"/>
      <c r="G826" s="1093"/>
    </row>
    <row r="827" spans="3:8" s="122" customFormat="1">
      <c r="C827" s="2374">
        <f>C825/C826</f>
        <v>685.32969384756757</v>
      </c>
      <c r="D827" s="2375" t="s">
        <v>1715</v>
      </c>
      <c r="E827" s="96"/>
      <c r="G827" s="1093"/>
    </row>
    <row r="828" spans="3:8" s="122" customFormat="1">
      <c r="C828" s="135"/>
      <c r="E828" s="96"/>
      <c r="G828" s="1093"/>
    </row>
    <row r="829" spans="3:8" s="122" customFormat="1">
      <c r="C829" s="2383">
        <v>980</v>
      </c>
      <c r="D829" s="2384" t="s">
        <v>1716</v>
      </c>
      <c r="E829" s="95"/>
      <c r="G829" s="1093"/>
    </row>
    <row r="830" spans="3:8" s="122" customFormat="1">
      <c r="C830" s="2379">
        <v>800</v>
      </c>
      <c r="D830" s="2380" t="s">
        <v>1717</v>
      </c>
      <c r="E830" s="109"/>
      <c r="G830" s="1093"/>
    </row>
    <row r="831" spans="3:8" s="122" customFormat="1">
      <c r="C831" s="135"/>
      <c r="E831" s="109"/>
      <c r="G831" s="1093"/>
    </row>
    <row r="832" spans="3:8" s="122" customFormat="1">
      <c r="C832" s="2385">
        <f>AVERAGE(C829:C830)</f>
        <v>890</v>
      </c>
      <c r="D832" s="2382" t="s">
        <v>1719</v>
      </c>
      <c r="E832" s="323"/>
      <c r="G832" s="1093"/>
    </row>
    <row r="833" spans="3:8" s="122" customFormat="1">
      <c r="C833" s="1299">
        <f>C832-C827</f>
        <v>204.67030615243243</v>
      </c>
      <c r="D833" s="2373" t="s">
        <v>1721</v>
      </c>
      <c r="E833" s="109"/>
      <c r="G833" s="1093"/>
    </row>
    <row r="834" spans="3:8" s="122" customFormat="1">
      <c r="C834" s="2381">
        <f>C833/C832</f>
        <v>0.22996663612632856</v>
      </c>
      <c r="D834" s="2382" t="s">
        <v>1720</v>
      </c>
      <c r="E834" s="323"/>
      <c r="G834" s="1093"/>
    </row>
    <row r="835" spans="3:8" s="122" customFormat="1">
      <c r="C835" s="609"/>
      <c r="D835" s="2373"/>
      <c r="G835" s="543"/>
    </row>
    <row r="836" spans="3:8" s="122" customFormat="1" ht="32" customHeight="1">
      <c r="D836" s="2392"/>
      <c r="E836" s="2391"/>
      <c r="F836" s="3728" t="s">
        <v>2616</v>
      </c>
      <c r="G836" s="3729" t="s">
        <v>2615</v>
      </c>
    </row>
    <row r="837" spans="3:8" s="122" customFormat="1">
      <c r="D837" s="137"/>
      <c r="E837" s="3723"/>
      <c r="F837" s="3730">
        <f>AB47</f>
        <v>73.403956277580335</v>
      </c>
      <c r="G837" s="3731">
        <f>AB51</f>
        <v>1167.1215396113589</v>
      </c>
    </row>
    <row r="838" spans="3:8" s="122" customFormat="1" ht="33" customHeight="1">
      <c r="D838" s="148" t="s">
        <v>2617</v>
      </c>
      <c r="E838" s="3716" t="s">
        <v>2608</v>
      </c>
      <c r="F838" s="3931" t="s">
        <v>2609</v>
      </c>
      <c r="G838" s="3932"/>
    </row>
    <row r="839" spans="3:8" s="122" customFormat="1" ht="31" customHeight="1">
      <c r="D839" s="3721" t="s">
        <v>1654</v>
      </c>
      <c r="E839" s="2386">
        <v>550</v>
      </c>
      <c r="F839" s="1165">
        <f>(E839-F$837)</f>
        <v>476.59604372241967</v>
      </c>
      <c r="G839" s="3724">
        <f t="shared" ref="G839:G847" si="36">(E839-G$837)</f>
        <v>-617.12153961135891</v>
      </c>
    </row>
    <row r="840" spans="3:8" s="122" customFormat="1" ht="31" customHeight="1">
      <c r="D840" s="3722" t="s">
        <v>1655</v>
      </c>
      <c r="E840" s="385">
        <v>300</v>
      </c>
      <c r="F840" s="2394">
        <f t="shared" ref="F840:F847" si="37">(E840-F$837)</f>
        <v>226.59604372241967</v>
      </c>
      <c r="G840" s="3725">
        <f t="shared" si="36"/>
        <v>-867.12153961135891</v>
      </c>
    </row>
    <row r="841" spans="3:8" s="122" customFormat="1">
      <c r="D841" s="2389" t="s">
        <v>1652</v>
      </c>
      <c r="E841" s="149">
        <v>9200</v>
      </c>
      <c r="F841" s="150">
        <f>(E841-F$837)</f>
        <v>9126.5960437224203</v>
      </c>
      <c r="G841" s="915">
        <f>(E841-G$837)</f>
        <v>8032.8784603886415</v>
      </c>
      <c r="H841" s="2302" t="s">
        <v>1647</v>
      </c>
    </row>
    <row r="842" spans="3:8" s="122" customFormat="1">
      <c r="D842" s="2390" t="s">
        <v>2610</v>
      </c>
      <c r="E842" s="381">
        <v>11500</v>
      </c>
      <c r="F842" s="715">
        <f>(E842-F$837)</f>
        <v>11426.59604372242</v>
      </c>
      <c r="G842" s="3726">
        <f t="shared" si="36"/>
        <v>10332.878460388642</v>
      </c>
      <c r="H842" s="2302" t="s">
        <v>1648</v>
      </c>
    </row>
    <row r="843" spans="3:8" s="122" customFormat="1">
      <c r="D843" s="2389" t="s">
        <v>1653</v>
      </c>
      <c r="E843" s="149">
        <v>75</v>
      </c>
      <c r="F843" s="2395">
        <f t="shared" si="37"/>
        <v>1.5960437224196653</v>
      </c>
      <c r="G843" s="3727">
        <f t="shared" si="36"/>
        <v>-1092.1215396113589</v>
      </c>
      <c r="H843" s="2302" t="s">
        <v>1649</v>
      </c>
    </row>
    <row r="844" spans="3:8" s="122" customFormat="1">
      <c r="D844" s="2390" t="s">
        <v>1722</v>
      </c>
      <c r="E844" s="381">
        <v>50</v>
      </c>
      <c r="F844" s="2396">
        <f t="shared" si="37"/>
        <v>-23.403956277580335</v>
      </c>
      <c r="G844" s="3726">
        <f t="shared" si="36"/>
        <v>-1117.1215396113589</v>
      </c>
      <c r="H844" s="2302" t="s">
        <v>1650</v>
      </c>
    </row>
    <row r="845" spans="3:8" s="122" customFormat="1">
      <c r="D845" s="2387" t="s">
        <v>1656</v>
      </c>
      <c r="E845" s="2386">
        <v>90000</v>
      </c>
      <c r="F845" s="2393">
        <f t="shared" si="37"/>
        <v>89926.596043722413</v>
      </c>
      <c r="G845" s="3724">
        <f t="shared" si="36"/>
        <v>88832.878460388645</v>
      </c>
      <c r="H845" s="2302" t="s">
        <v>1651</v>
      </c>
    </row>
    <row r="846" spans="3:8" s="122" customFormat="1">
      <c r="D846" s="2390" t="s">
        <v>1657</v>
      </c>
      <c r="E846" s="381">
        <v>26700</v>
      </c>
      <c r="F846" s="2396">
        <f t="shared" si="37"/>
        <v>26626.59604372242</v>
      </c>
      <c r="G846" s="3726">
        <f t="shared" si="36"/>
        <v>25532.878460388642</v>
      </c>
    </row>
    <row r="847" spans="3:8" s="122" customFormat="1">
      <c r="D847" s="2388" t="s">
        <v>1658</v>
      </c>
      <c r="E847" s="385">
        <v>75000</v>
      </c>
      <c r="F847" s="2394">
        <f t="shared" si="37"/>
        <v>74926.596043722413</v>
      </c>
      <c r="G847" s="3725">
        <f t="shared" si="36"/>
        <v>73832.878460388645</v>
      </c>
    </row>
    <row r="848" spans="3:8" s="122" customFormat="1">
      <c r="C848" s="250"/>
      <c r="D848" s="2282"/>
      <c r="E848" s="124"/>
      <c r="G848" s="1093"/>
    </row>
    <row r="849" spans="3:7" s="122" customFormat="1">
      <c r="D849" s="2282"/>
      <c r="E849" s="124"/>
      <c r="G849" s="1093"/>
    </row>
    <row r="850" spans="3:7" s="122" customFormat="1">
      <c r="D850" s="122" t="s">
        <v>702</v>
      </c>
      <c r="E850" s="124"/>
      <c r="G850" s="1093"/>
    </row>
    <row r="851" spans="3:7" s="122" customFormat="1">
      <c r="D851" s="2302" t="s">
        <v>1647</v>
      </c>
      <c r="E851" s="124"/>
      <c r="G851" s="1093"/>
    </row>
    <row r="852" spans="3:7" s="122" customFormat="1">
      <c r="D852" s="2302" t="s">
        <v>2611</v>
      </c>
      <c r="E852" s="124"/>
      <c r="G852" s="1093"/>
    </row>
    <row r="853" spans="3:7" s="122" customFormat="1">
      <c r="D853" s="2302" t="s">
        <v>2612</v>
      </c>
      <c r="E853" s="124"/>
      <c r="G853" s="1093"/>
    </row>
    <row r="854" spans="3:7" s="122" customFormat="1">
      <c r="D854" s="2302" t="s">
        <v>2613</v>
      </c>
      <c r="E854" s="124"/>
      <c r="G854" s="1093"/>
    </row>
    <row r="855" spans="3:7" s="122" customFormat="1">
      <c r="D855" s="2302" t="s">
        <v>2614</v>
      </c>
      <c r="E855" s="124"/>
      <c r="G855" s="1093"/>
    </row>
    <row r="856" spans="3:7" s="122" customFormat="1">
      <c r="C856" s="2302"/>
      <c r="D856" s="2282"/>
      <c r="E856" s="124"/>
      <c r="G856" s="1093"/>
    </row>
    <row r="857" spans="3:7" s="122" customFormat="1">
      <c r="D857" s="2282"/>
      <c r="E857" s="124"/>
      <c r="G857" s="1093"/>
    </row>
    <row r="858" spans="3:7" s="2310" customFormat="1">
      <c r="D858" s="2311"/>
      <c r="E858" s="2312"/>
      <c r="G858" s="2313"/>
    </row>
    <row r="859" spans="3:7" s="122" customFormat="1">
      <c r="D859" s="2281"/>
      <c r="E859" s="124"/>
      <c r="G859" s="1093"/>
    </row>
    <row r="860" spans="3:7" s="122" customFormat="1">
      <c r="D860" s="2281"/>
      <c r="E860" s="124"/>
      <c r="G860" s="1093"/>
    </row>
    <row r="861" spans="3:7" s="122" customFormat="1">
      <c r="D861" s="2281"/>
      <c r="E861" s="124"/>
      <c r="G861" s="1093"/>
    </row>
    <row r="862" spans="3:7" s="122" customFormat="1">
      <c r="D862" s="2281"/>
      <c r="E862" s="124"/>
      <c r="G862" s="1093"/>
    </row>
    <row r="863" spans="3:7" s="122" customFormat="1">
      <c r="D863" s="2281"/>
      <c r="E863" s="124"/>
      <c r="G863" s="1093"/>
    </row>
    <row r="864" spans="3:7">
      <c r="D864" s="16"/>
    </row>
    <row r="865" spans="3:10">
      <c r="C865" s="206"/>
      <c r="D865" s="208"/>
      <c r="E865" s="6"/>
    </row>
    <row r="866" spans="3:10">
      <c r="D866" s="207"/>
    </row>
    <row r="867" spans="3:10">
      <c r="D867" s="207"/>
      <c r="F867" s="2"/>
    </row>
    <row r="868" spans="3:10">
      <c r="D868" s="207"/>
      <c r="F868" s="2"/>
    </row>
    <row r="869" spans="3:10">
      <c r="D869" s="156"/>
      <c r="F869" s="2"/>
    </row>
    <row r="870" spans="3:10">
      <c r="C870" s="206"/>
      <c r="F870" s="2"/>
    </row>
    <row r="871" spans="3:10">
      <c r="C871" s="206"/>
      <c r="D871" s="207"/>
      <c r="F871" s="2"/>
    </row>
    <row r="872" spans="3:10">
      <c r="D872" s="207"/>
      <c r="G872" s="99"/>
    </row>
    <row r="873" spans="3:10">
      <c r="D873" s="16"/>
      <c r="G873" s="99"/>
      <c r="H873" s="16"/>
    </row>
    <row r="874" spans="3:10">
      <c r="D874" s="207"/>
      <c r="G874" s="1132"/>
    </row>
    <row r="875" spans="3:10">
      <c r="D875" s="207"/>
      <c r="G875" s="1133"/>
    </row>
    <row r="876" spans="3:10">
      <c r="G876" s="99"/>
    </row>
    <row r="877" spans="3:10">
      <c r="D877" s="57"/>
      <c r="G877" s="1102"/>
      <c r="H877" s="16"/>
    </row>
    <row r="878" spans="3:10">
      <c r="G878" s="1102"/>
      <c r="H878" s="16"/>
    </row>
    <row r="879" spans="3:10">
      <c r="D879" s="156"/>
      <c r="J879" s="16"/>
    </row>
    <row r="880" spans="3:10">
      <c r="D880" s="156"/>
      <c r="J880" s="16"/>
    </row>
    <row r="882" spans="2:42">
      <c r="D882" s="16"/>
    </row>
    <row r="883" spans="2:42">
      <c r="D883" s="16"/>
    </row>
    <row r="884" spans="2:42">
      <c r="D884" s="16"/>
    </row>
    <row r="885" spans="2:42">
      <c r="D885" s="16"/>
    </row>
    <row r="888" spans="2:42" s="24" customFormat="1">
      <c r="B888"/>
      <c r="C888" s="206"/>
      <c r="E888" s="16"/>
      <c r="F888"/>
      <c r="G888" s="359"/>
      <c r="H888"/>
      <c r="I888"/>
      <c r="J888"/>
      <c r="K888"/>
      <c r="L888"/>
      <c r="M888"/>
      <c r="N888"/>
      <c r="O888"/>
      <c r="P888"/>
      <c r="Q888" s="2791"/>
      <c r="R888" s="2791"/>
      <c r="S888" s="2791"/>
      <c r="T888"/>
      <c r="U888"/>
      <c r="V888"/>
      <c r="W888"/>
      <c r="X888"/>
      <c r="Y888"/>
      <c r="Z888"/>
      <c r="AA888"/>
      <c r="AB888"/>
      <c r="AC888"/>
      <c r="AD888"/>
      <c r="AE888"/>
      <c r="AF888"/>
      <c r="AG888"/>
      <c r="AH888"/>
      <c r="AI888"/>
      <c r="AJ888"/>
      <c r="AK888"/>
      <c r="AL888"/>
      <c r="AM888"/>
      <c r="AN888"/>
      <c r="AO888"/>
      <c r="AP888"/>
    </row>
    <row r="889" spans="2:42" s="24" customFormat="1">
      <c r="B889"/>
      <c r="C889" s="206"/>
      <c r="E889" s="16"/>
      <c r="F889"/>
      <c r="G889" s="359"/>
      <c r="H889"/>
      <c r="I889"/>
      <c r="J889"/>
      <c r="K889"/>
      <c r="L889"/>
      <c r="M889"/>
      <c r="N889"/>
      <c r="O889"/>
      <c r="P889"/>
      <c r="Q889" s="2791"/>
      <c r="R889" s="2791"/>
      <c r="S889" s="2791"/>
      <c r="T889"/>
      <c r="U889"/>
      <c r="V889"/>
      <c r="W889"/>
      <c r="X889"/>
      <c r="Y889"/>
      <c r="Z889"/>
      <c r="AA889"/>
      <c r="AB889"/>
      <c r="AC889"/>
      <c r="AD889"/>
      <c r="AE889"/>
      <c r="AF889"/>
      <c r="AG889"/>
      <c r="AH889"/>
      <c r="AI889"/>
      <c r="AJ889"/>
      <c r="AK889"/>
      <c r="AL889"/>
      <c r="AM889"/>
      <c r="AN889"/>
      <c r="AO889"/>
      <c r="AP889"/>
    </row>
    <row r="890" spans="2:42" s="24" customFormat="1">
      <c r="B890"/>
      <c r="C890" s="206"/>
      <c r="E890" s="16"/>
      <c r="F890"/>
      <c r="G890" s="359"/>
      <c r="H890"/>
      <c r="I890"/>
      <c r="J890"/>
      <c r="K890"/>
      <c r="L890"/>
      <c r="M890"/>
      <c r="N890"/>
      <c r="O890"/>
      <c r="P890"/>
      <c r="Q890" s="2791"/>
      <c r="R890" s="2791"/>
      <c r="S890" s="2791"/>
      <c r="T890"/>
      <c r="U890"/>
      <c r="V890"/>
      <c r="W890"/>
      <c r="X890"/>
      <c r="Y890"/>
      <c r="Z890"/>
      <c r="AA890"/>
      <c r="AB890"/>
      <c r="AC890"/>
      <c r="AD890"/>
      <c r="AE890"/>
      <c r="AF890"/>
      <c r="AG890"/>
      <c r="AH890"/>
      <c r="AI890"/>
      <c r="AJ890"/>
      <c r="AK890"/>
      <c r="AL890"/>
      <c r="AM890"/>
      <c r="AN890"/>
      <c r="AO890"/>
      <c r="AP890"/>
    </row>
    <row r="891" spans="2:42" s="24" customFormat="1">
      <c r="B891"/>
      <c r="C891" s="206"/>
      <c r="E891" s="16"/>
      <c r="F891"/>
      <c r="G891" s="359"/>
      <c r="H891"/>
      <c r="I891"/>
      <c r="J891"/>
      <c r="K891"/>
      <c r="L891"/>
      <c r="M891"/>
      <c r="N891"/>
      <c r="O891"/>
      <c r="P891"/>
      <c r="Q891" s="2791"/>
      <c r="R891" s="2791"/>
      <c r="S891" s="2791"/>
      <c r="T891"/>
      <c r="U891"/>
      <c r="V891"/>
      <c r="W891"/>
      <c r="X891"/>
      <c r="Y891"/>
      <c r="Z891"/>
      <c r="AA891"/>
      <c r="AB891"/>
      <c r="AC891"/>
      <c r="AD891"/>
      <c r="AE891"/>
      <c r="AF891"/>
      <c r="AG891"/>
      <c r="AH891"/>
      <c r="AI891"/>
      <c r="AJ891"/>
      <c r="AK891"/>
      <c r="AL891"/>
      <c r="AM891"/>
      <c r="AN891"/>
      <c r="AO891"/>
      <c r="AP891"/>
    </row>
    <row r="892" spans="2:42" s="24" customFormat="1">
      <c r="B892"/>
      <c r="C892" s="206"/>
      <c r="E892" s="16"/>
      <c r="F892"/>
      <c r="G892" s="359"/>
      <c r="H892"/>
      <c r="I892"/>
      <c r="J892"/>
      <c r="K892"/>
      <c r="L892"/>
      <c r="M892"/>
      <c r="N892"/>
      <c r="O892"/>
      <c r="P892"/>
      <c r="Q892" s="2791"/>
      <c r="R892" s="2791"/>
      <c r="S892" s="2791"/>
      <c r="T892"/>
      <c r="U892"/>
      <c r="V892"/>
      <c r="W892"/>
      <c r="X892"/>
      <c r="Y892"/>
      <c r="Z892"/>
      <c r="AA892"/>
      <c r="AB892"/>
      <c r="AC892"/>
      <c r="AD892"/>
      <c r="AE892"/>
      <c r="AF892"/>
      <c r="AG892"/>
      <c r="AH892"/>
      <c r="AI892"/>
      <c r="AJ892"/>
      <c r="AK892"/>
      <c r="AL892"/>
      <c r="AM892"/>
      <c r="AN892"/>
      <c r="AO892"/>
      <c r="AP892"/>
    </row>
    <row r="893" spans="2:42" s="24" customFormat="1">
      <c r="B893"/>
      <c r="C893" s="206"/>
      <c r="E893" s="16"/>
      <c r="F893"/>
      <c r="G893" s="359"/>
      <c r="H893"/>
      <c r="I893"/>
      <c r="J893"/>
      <c r="K893"/>
      <c r="L893"/>
      <c r="M893"/>
      <c r="N893"/>
      <c r="O893"/>
      <c r="P893"/>
      <c r="Q893" s="2791"/>
      <c r="R893" s="2791"/>
      <c r="S893" s="2791"/>
      <c r="T893"/>
      <c r="U893"/>
      <c r="V893"/>
      <c r="W893"/>
      <c r="X893"/>
      <c r="Y893"/>
      <c r="Z893"/>
      <c r="AA893"/>
      <c r="AB893"/>
      <c r="AC893"/>
      <c r="AD893"/>
      <c r="AE893"/>
      <c r="AF893"/>
      <c r="AG893"/>
      <c r="AH893"/>
      <c r="AI893"/>
      <c r="AJ893"/>
      <c r="AK893"/>
      <c r="AL893"/>
      <c r="AM893"/>
      <c r="AN893"/>
      <c r="AO893"/>
      <c r="AP893"/>
    </row>
    <row r="894" spans="2:42" s="24" customFormat="1">
      <c r="B894"/>
      <c r="C894" s="206"/>
      <c r="E894" s="16"/>
      <c r="F894"/>
      <c r="G894" s="359"/>
      <c r="H894"/>
      <c r="I894"/>
      <c r="J894"/>
      <c r="K894"/>
      <c r="L894"/>
      <c r="M894"/>
      <c r="N894"/>
      <c r="O894"/>
      <c r="P894"/>
      <c r="Q894" s="2791"/>
      <c r="R894" s="2791"/>
      <c r="S894" s="2791"/>
      <c r="T894"/>
      <c r="U894"/>
      <c r="V894"/>
      <c r="W894"/>
      <c r="X894"/>
      <c r="Y894"/>
      <c r="Z894"/>
      <c r="AA894"/>
      <c r="AB894"/>
      <c r="AC894"/>
      <c r="AD894"/>
      <c r="AE894"/>
      <c r="AF894"/>
      <c r="AG894"/>
      <c r="AH894"/>
      <c r="AI894"/>
      <c r="AJ894"/>
      <c r="AK894"/>
      <c r="AL894"/>
      <c r="AM894"/>
      <c r="AN894"/>
      <c r="AO894"/>
      <c r="AP894"/>
    </row>
  </sheetData>
  <mergeCells count="59">
    <mergeCell ref="F838:G838"/>
    <mergeCell ref="AD19:AE20"/>
    <mergeCell ref="U21:U22"/>
    <mergeCell ref="L19:P20"/>
    <mergeCell ref="U19:U20"/>
    <mergeCell ref="V19:Z20"/>
    <mergeCell ref="AA19:AB20"/>
    <mergeCell ref="AC19:AC22"/>
    <mergeCell ref="Y21:Y22"/>
    <mergeCell ref="Z21:Z22"/>
    <mergeCell ref="AA21:AA22"/>
    <mergeCell ref="Q17:S20"/>
    <mergeCell ref="Q21:Q22"/>
    <mergeCell ref="R21:R22"/>
    <mergeCell ref="S21:S22"/>
    <mergeCell ref="AH19:AK20"/>
    <mergeCell ref="C21:C22"/>
    <mergeCell ref="D21:D22"/>
    <mergeCell ref="E21:E22"/>
    <mergeCell ref="F21:G21"/>
    <mergeCell ref="H21:I21"/>
    <mergeCell ref="L21:M21"/>
    <mergeCell ref="N21:N22"/>
    <mergeCell ref="O21:O22"/>
    <mergeCell ref="P21:P22"/>
    <mergeCell ref="B17:K20"/>
    <mergeCell ref="L17:P18"/>
    <mergeCell ref="U17:AE18"/>
    <mergeCell ref="AB21:AB22"/>
    <mergeCell ref="AD21:AD22"/>
    <mergeCell ref="AE21:AE22"/>
    <mergeCell ref="C23:C26"/>
    <mergeCell ref="D23:D26"/>
    <mergeCell ref="V21:V22"/>
    <mergeCell ref="W21:W22"/>
    <mergeCell ref="X21:X22"/>
    <mergeCell ref="AJ21:AJ22"/>
    <mergeCell ref="AK21:AK22"/>
    <mergeCell ref="D27:D30"/>
    <mergeCell ref="D31:D34"/>
    <mergeCell ref="D35:D38"/>
    <mergeCell ref="D39:D42"/>
    <mergeCell ref="C43:C46"/>
    <mergeCell ref="D43:D46"/>
    <mergeCell ref="C63:C66"/>
    <mergeCell ref="D63:D66"/>
    <mergeCell ref="C47:C50"/>
    <mergeCell ref="D47:D50"/>
    <mergeCell ref="D51:D54"/>
    <mergeCell ref="C55:C58"/>
    <mergeCell ref="D55:D58"/>
    <mergeCell ref="C59:C62"/>
    <mergeCell ref="D59:D62"/>
    <mergeCell ref="C51:C53"/>
    <mergeCell ref="C67:C70"/>
    <mergeCell ref="D67:D70"/>
    <mergeCell ref="D71:D74"/>
    <mergeCell ref="K767:L767"/>
    <mergeCell ref="M767:N767"/>
  </mergeCells>
  <hyperlinks>
    <hyperlink ref="F376" r:id="rId1" xr:uid="{00000000-0004-0000-1000-000000000000}"/>
    <hyperlink ref="F382" r:id="rId2" xr:uid="{00000000-0004-0000-1000-000001000000}"/>
    <hyperlink ref="G381" r:id="rId3" xr:uid="{00000000-0004-0000-1000-000002000000}"/>
    <hyperlink ref="F377" r:id="rId4" xr:uid="{00000000-0004-0000-1000-000003000000}"/>
    <hyperlink ref="G393" r:id="rId5" xr:uid="{00000000-0004-0000-1000-000004000000}"/>
    <hyperlink ref="I482" r:id="rId6" xr:uid="{00000000-0004-0000-1000-000005000000}"/>
    <hyperlink ref="I481" r:id="rId7" xr:uid="{00000000-0004-0000-1000-000006000000}"/>
    <hyperlink ref="I571" r:id="rId8" display="http://www.bladeslapper.com/viewtopic.php?t=8515" xr:uid="{00000000-0004-0000-1000-000007000000}"/>
    <hyperlink ref="F625" r:id="rId9" xr:uid="{00000000-0004-0000-1000-000008000000}"/>
    <hyperlink ref="G624" r:id="rId10" xr:uid="{00000000-0004-0000-1000-000009000000}"/>
    <hyperlink ref="G636" r:id="rId11" xr:uid="{00000000-0004-0000-1000-00000A000000}"/>
    <hyperlink ref="F343" r:id="rId12" xr:uid="{00000000-0004-0000-1000-00000B000000}"/>
    <hyperlink ref="G342" r:id="rId13" xr:uid="{00000000-0004-0000-1000-00000C000000}"/>
    <hyperlink ref="G354" r:id="rId14" xr:uid="{00000000-0004-0000-1000-00000D000000}"/>
    <hyperlink ref="G580" r:id="rId15" xr:uid="{00000000-0004-0000-1000-00000E000000}"/>
  </hyperlinks>
  <pageMargins left="0.7" right="0.7" top="0.75" bottom="0.75" header="0.3" footer="0.3"/>
  <pageSetup paperSize="9" orientation="portrait" horizontalDpi="0" verticalDpi="0"/>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CI143"/>
  <sheetViews>
    <sheetView showGridLines="0" zoomScaleNormal="100" workbookViewId="0">
      <selection activeCell="H36" sqref="H36"/>
    </sheetView>
  </sheetViews>
  <sheetFormatPr baseColWidth="10" defaultColWidth="11" defaultRowHeight="16"/>
  <cols>
    <col min="1" max="1" width="4.6640625" customWidth="1"/>
    <col min="2" max="2" width="17.5" customWidth="1"/>
    <col min="3" max="3" width="45.1640625" customWidth="1"/>
    <col min="4" max="4" width="13.6640625" customWidth="1"/>
    <col min="5" max="5" width="13.33203125" customWidth="1"/>
    <col min="6" max="6" width="20.1640625" customWidth="1"/>
    <col min="7" max="8" width="15.6640625" customWidth="1"/>
    <col min="9" max="9" width="12" customWidth="1"/>
    <col min="10" max="12" width="17.1640625" customWidth="1"/>
    <col min="13" max="13" width="14.83203125" customWidth="1"/>
    <col min="14" max="14" width="32" customWidth="1"/>
    <col min="15" max="15" width="12.83203125" customWidth="1"/>
    <col min="16" max="16" width="14.33203125" customWidth="1"/>
    <col min="17" max="17" width="17.1640625" customWidth="1"/>
    <col min="18" max="18" width="24.33203125" customWidth="1"/>
    <col min="19" max="19" width="14.83203125" customWidth="1"/>
    <col min="20" max="20" width="14.33203125" customWidth="1"/>
    <col min="21" max="24" width="14" customWidth="1"/>
    <col min="25" max="26" width="12" customWidth="1"/>
    <col min="27" max="27" width="16.6640625" customWidth="1"/>
    <col min="28" max="28" width="18.83203125" customWidth="1"/>
    <col min="29" max="32" width="14.6640625" customWidth="1"/>
    <col min="33" max="40" width="14.6640625" style="2791" customWidth="1"/>
    <col min="41" max="48" width="14.6640625" customWidth="1"/>
    <col min="49" max="49" width="29.6640625" style="2791" customWidth="1"/>
    <col min="50" max="58" width="14.6640625" customWidth="1"/>
    <col min="59" max="59" width="14.6640625" style="2791" customWidth="1"/>
    <col min="60" max="60" width="14.6640625" customWidth="1"/>
    <col min="61" max="62" width="14.6640625" style="9" customWidth="1"/>
    <col min="63" max="63" width="42.6640625" customWidth="1"/>
    <col min="64" max="64" width="15.5" customWidth="1"/>
    <col min="65" max="76" width="11.83203125" customWidth="1"/>
    <col min="77" max="77" width="12.1640625" customWidth="1"/>
    <col min="78" max="80" width="13.5" customWidth="1"/>
    <col min="81" max="81" width="48.83203125" customWidth="1"/>
    <col min="82" max="82" width="13.5" customWidth="1"/>
  </cols>
  <sheetData>
    <row r="1" spans="2:62">
      <c r="B1" s="8" t="s">
        <v>1035</v>
      </c>
    </row>
    <row r="3" spans="2:62">
      <c r="B3" s="8" t="s">
        <v>1710</v>
      </c>
      <c r="H3" s="692"/>
      <c r="I3" s="692"/>
      <c r="J3" s="692"/>
      <c r="K3" s="692"/>
      <c r="L3" s="692"/>
      <c r="M3" s="692"/>
      <c r="N3" s="692"/>
      <c r="O3" s="692"/>
      <c r="P3" s="692"/>
      <c r="Q3" s="692"/>
      <c r="R3" s="692"/>
      <c r="S3" s="692"/>
      <c r="T3" s="692"/>
      <c r="U3" s="692"/>
      <c r="V3" s="692"/>
      <c r="W3" s="692"/>
      <c r="X3" s="692"/>
      <c r="Y3" s="692"/>
      <c r="Z3" s="692"/>
      <c r="AA3" s="692"/>
      <c r="AB3" s="692"/>
      <c r="AC3" s="692"/>
      <c r="AD3" s="692"/>
    </row>
    <row r="4" spans="2:62" ht="17" thickBot="1">
      <c r="B4" t="s">
        <v>839</v>
      </c>
      <c r="C4" t="s">
        <v>845</v>
      </c>
      <c r="D4" s="1"/>
      <c r="E4" s="1"/>
      <c r="F4" s="1"/>
      <c r="G4" s="1"/>
      <c r="H4" s="1"/>
      <c r="I4" s="1"/>
      <c r="J4" s="1"/>
      <c r="K4" s="1"/>
      <c r="L4" s="1"/>
      <c r="M4" s="1"/>
      <c r="N4" s="1"/>
      <c r="O4" s="1"/>
      <c r="P4" s="1"/>
      <c r="Q4" s="1"/>
      <c r="R4" s="1"/>
      <c r="S4" s="1"/>
      <c r="T4" s="1"/>
      <c r="U4" s="1"/>
      <c r="V4" s="1"/>
      <c r="W4" s="1"/>
      <c r="X4" s="1"/>
      <c r="Y4" s="1"/>
      <c r="Z4" s="1"/>
    </row>
    <row r="5" spans="2:62">
      <c r="C5" s="804" t="s">
        <v>838</v>
      </c>
      <c r="D5" s="805" t="s">
        <v>860</v>
      </c>
      <c r="E5" s="805"/>
      <c r="F5" s="805"/>
      <c r="G5" s="805"/>
      <c r="H5" s="805"/>
      <c r="I5" s="79"/>
      <c r="J5" s="79"/>
      <c r="K5" s="79"/>
      <c r="L5" s="79"/>
      <c r="M5" s="79"/>
      <c r="N5" s="79"/>
      <c r="O5" s="79"/>
      <c r="P5" s="79"/>
      <c r="Q5" s="79"/>
      <c r="R5" s="79"/>
      <c r="S5" s="79"/>
      <c r="T5" s="79"/>
      <c r="U5" s="79"/>
      <c r="V5" s="79"/>
      <c r="W5" s="79"/>
      <c r="X5" s="79"/>
      <c r="Y5" s="79"/>
      <c r="Z5" s="79"/>
    </row>
    <row r="6" spans="2:62">
      <c r="C6" s="807" t="s">
        <v>827</v>
      </c>
      <c r="D6" t="s">
        <v>2186</v>
      </c>
    </row>
    <row r="7" spans="2:62">
      <c r="C7" s="807" t="s">
        <v>827</v>
      </c>
      <c r="D7" t="s">
        <v>2187</v>
      </c>
    </row>
    <row r="8" spans="2:62">
      <c r="C8" s="807" t="s">
        <v>827</v>
      </c>
      <c r="D8" t="s">
        <v>2188</v>
      </c>
    </row>
    <row r="9" spans="2:62" s="2791" customFormat="1">
      <c r="C9" s="807"/>
      <c r="BI9" s="9"/>
      <c r="BJ9" s="9"/>
    </row>
    <row r="10" spans="2:62">
      <c r="C10" s="807" t="s">
        <v>827</v>
      </c>
      <c r="D10" t="s">
        <v>2391</v>
      </c>
    </row>
    <row r="11" spans="2:62">
      <c r="C11" s="807" t="s">
        <v>827</v>
      </c>
      <c r="D11" t="s">
        <v>2372</v>
      </c>
    </row>
    <row r="12" spans="2:62" s="2791" customFormat="1">
      <c r="BI12" s="9"/>
      <c r="BJ12" s="9"/>
    </row>
    <row r="13" spans="2:62" s="2791" customFormat="1">
      <c r="C13" s="807" t="s">
        <v>827</v>
      </c>
      <c r="D13" s="2791" t="s">
        <v>2392</v>
      </c>
      <c r="BI13" s="9"/>
      <c r="BJ13" s="9"/>
    </row>
    <row r="14" spans="2:62" s="2791" customFormat="1">
      <c r="C14" s="807" t="s">
        <v>827</v>
      </c>
      <c r="D14" s="2791" t="s">
        <v>2373</v>
      </c>
      <c r="BI14" s="9"/>
      <c r="BJ14" s="9"/>
    </row>
    <row r="15" spans="2:62" s="2791" customFormat="1">
      <c r="C15" s="807" t="s">
        <v>827</v>
      </c>
      <c r="D15" s="2791" t="s">
        <v>2374</v>
      </c>
      <c r="BI15" s="9"/>
      <c r="BJ15" s="9"/>
    </row>
    <row r="16" spans="2:62" s="2791" customFormat="1">
      <c r="C16" s="807"/>
      <c r="BI16" s="9"/>
      <c r="BJ16" s="9"/>
    </row>
    <row r="17" spans="2:86" s="2791" customFormat="1">
      <c r="C17" s="807" t="s">
        <v>827</v>
      </c>
      <c r="D17" s="2791" t="s">
        <v>2375</v>
      </c>
      <c r="BI17" s="9"/>
      <c r="BJ17" s="9"/>
    </row>
    <row r="18" spans="2:86" s="2791" customFormat="1">
      <c r="C18" s="807" t="s">
        <v>827</v>
      </c>
      <c r="D18" s="2791" t="s">
        <v>2376</v>
      </c>
      <c r="BI18" s="9"/>
      <c r="BJ18" s="9"/>
    </row>
    <row r="19" spans="2:86">
      <c r="C19" s="807"/>
    </row>
    <row r="20" spans="2:86" ht="17" thickBot="1">
      <c r="C20" s="808"/>
      <c r="D20" s="574"/>
      <c r="E20" s="574"/>
      <c r="F20" s="574"/>
      <c r="G20" s="574"/>
      <c r="H20" s="574"/>
      <c r="I20" s="79"/>
      <c r="J20" s="79"/>
      <c r="K20" s="79"/>
      <c r="L20" s="79"/>
      <c r="M20" s="79"/>
      <c r="N20" s="79"/>
      <c r="O20" s="79"/>
      <c r="P20" s="79"/>
      <c r="Q20" s="79"/>
      <c r="R20" s="79"/>
      <c r="S20" s="79"/>
      <c r="T20" s="79"/>
      <c r="U20" s="79"/>
      <c r="V20" s="79"/>
      <c r="W20" s="79"/>
      <c r="X20" s="79"/>
      <c r="Y20" s="79"/>
      <c r="Z20" s="79"/>
      <c r="CH20" s="587">
        <v>0</v>
      </c>
    </row>
    <row r="21" spans="2:86">
      <c r="C21" s="360" t="s">
        <v>851</v>
      </c>
      <c r="CH21" s="587"/>
    </row>
    <row r="22" spans="2:86">
      <c r="CH22" s="587"/>
    </row>
    <row r="23" spans="2:86">
      <c r="B23" t="s">
        <v>942</v>
      </c>
      <c r="C23" s="359" t="s">
        <v>848</v>
      </c>
      <c r="CH23" s="587"/>
    </row>
    <row r="24" spans="2:86">
      <c r="C24" s="1396"/>
    </row>
    <row r="25" spans="2:86">
      <c r="B25" s="8" t="s">
        <v>730</v>
      </c>
      <c r="C25" s="1394"/>
    </row>
    <row r="26" spans="2:86" ht="17">
      <c r="B26" s="3" t="s">
        <v>847</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row>
    <row r="27" spans="2:86" ht="17">
      <c r="B27" s="3"/>
      <c r="C27" t="s">
        <v>1698</v>
      </c>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row>
    <row r="28" spans="2:86" ht="17">
      <c r="C28" t="s">
        <v>1699</v>
      </c>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row>
    <row r="29" spans="2:86">
      <c r="C29" t="s">
        <v>1700</v>
      </c>
      <c r="H29" s="692"/>
      <c r="I29" s="692"/>
      <c r="J29" s="692"/>
      <c r="K29" s="692"/>
      <c r="L29" s="692"/>
      <c r="M29" s="692"/>
      <c r="N29" s="692"/>
      <c r="O29" s="692"/>
      <c r="P29" s="692"/>
      <c r="Q29" s="692"/>
      <c r="R29" s="692"/>
      <c r="S29" s="692"/>
      <c r="T29" s="692"/>
      <c r="U29" s="692"/>
      <c r="V29" s="692"/>
      <c r="W29" s="692"/>
      <c r="X29" s="692"/>
      <c r="Y29" s="692"/>
      <c r="Z29" s="692"/>
      <c r="AA29" s="692"/>
      <c r="AB29" s="692"/>
      <c r="AC29" s="692"/>
      <c r="AD29" s="692"/>
    </row>
    <row r="30" spans="2:86">
      <c r="C30" t="s">
        <v>843</v>
      </c>
      <c r="H30" s="692"/>
      <c r="I30" s="692"/>
      <c r="J30" s="692"/>
      <c r="K30" s="692"/>
      <c r="L30" s="692"/>
      <c r="M30" s="692"/>
      <c r="N30" s="692"/>
      <c r="O30" s="692"/>
      <c r="P30" s="692"/>
      <c r="Q30" s="692"/>
      <c r="R30" s="692"/>
      <c r="S30" s="692"/>
      <c r="T30" s="692"/>
      <c r="U30" s="692"/>
      <c r="V30" s="692"/>
      <c r="W30" s="692"/>
      <c r="X30" s="692"/>
      <c r="Y30" s="692"/>
      <c r="Z30" s="692"/>
      <c r="AA30" s="692"/>
      <c r="AB30" s="692"/>
      <c r="AC30" s="692"/>
      <c r="AD30" s="692"/>
    </row>
    <row r="31" spans="2:86" ht="17">
      <c r="C31" t="s">
        <v>867</v>
      </c>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row>
    <row r="32" spans="2:86" ht="17">
      <c r="C32" t="s">
        <v>805</v>
      </c>
      <c r="D32" s="31"/>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row>
    <row r="33" spans="2:86" ht="17">
      <c r="D33" s="31"/>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row>
    <row r="34" spans="2:86" ht="17">
      <c r="D34" s="31"/>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row>
    <row r="35" spans="2:86" ht="17">
      <c r="C35" s="1394"/>
      <c r="D35" s="31"/>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row>
    <row r="36" spans="2:86" ht="28">
      <c r="B36" s="3" t="s">
        <v>846</v>
      </c>
      <c r="C36" s="3481"/>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row>
    <row r="37" spans="2:86" ht="17">
      <c r="C37" s="1" t="s">
        <v>2172</v>
      </c>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row>
    <row r="38" spans="2:86" ht="17">
      <c r="C38" t="s">
        <v>2586</v>
      </c>
      <c r="D38" s="31"/>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row>
    <row r="39" spans="2:86">
      <c r="C39" s="693" t="s">
        <v>1703</v>
      </c>
      <c r="H39" s="692"/>
      <c r="I39" s="692"/>
      <c r="J39" s="692"/>
      <c r="K39" s="692"/>
      <c r="L39" s="692"/>
      <c r="M39" s="692"/>
      <c r="N39" s="692"/>
      <c r="O39" s="692"/>
      <c r="P39" s="692"/>
      <c r="Q39" s="692"/>
      <c r="R39" s="692"/>
      <c r="S39" s="692"/>
      <c r="T39" s="692"/>
      <c r="U39" s="692"/>
      <c r="V39" s="692"/>
      <c r="W39" s="692"/>
      <c r="X39" s="692"/>
      <c r="Y39" s="692"/>
      <c r="Z39" s="692"/>
      <c r="AA39" s="692"/>
      <c r="AB39" s="692"/>
      <c r="AC39" s="692"/>
      <c r="AD39" s="692"/>
    </row>
    <row r="40" spans="2:86" ht="17">
      <c r="C40" t="s">
        <v>835</v>
      </c>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row>
    <row r="41" spans="2:86">
      <c r="D41" t="s">
        <v>2587</v>
      </c>
      <c r="H41" s="692"/>
      <c r="I41" s="692"/>
      <c r="J41" s="692"/>
      <c r="K41" s="692"/>
      <c r="L41" s="692"/>
      <c r="M41" s="692"/>
      <c r="N41" s="692"/>
      <c r="O41" s="692"/>
      <c r="P41" s="692"/>
      <c r="Q41" s="692"/>
      <c r="R41" s="692"/>
      <c r="S41" s="692"/>
      <c r="T41" s="692"/>
      <c r="U41" s="692"/>
      <c r="V41" s="692"/>
      <c r="W41" s="692"/>
      <c r="X41" s="692"/>
      <c r="Y41" s="692"/>
      <c r="Z41" s="692"/>
      <c r="AA41" s="692"/>
      <c r="AB41" s="692"/>
      <c r="AC41" s="692"/>
      <c r="AD41" s="692"/>
    </row>
    <row r="42" spans="2:86">
      <c r="H42" s="692"/>
      <c r="I42" s="692"/>
      <c r="J42" s="692"/>
      <c r="K42" s="692"/>
      <c r="L42" s="692"/>
      <c r="M42" s="692"/>
      <c r="N42" s="692"/>
      <c r="O42" s="692"/>
      <c r="P42" s="692"/>
      <c r="Q42" s="692"/>
      <c r="R42" s="692"/>
      <c r="S42" s="692"/>
      <c r="T42" s="692"/>
      <c r="U42" s="692"/>
      <c r="V42" s="692"/>
      <c r="W42" s="692"/>
      <c r="X42" s="692"/>
      <c r="Y42" s="692"/>
      <c r="Z42" s="692"/>
      <c r="AA42" s="692"/>
      <c r="AB42" s="692"/>
      <c r="AC42" s="692"/>
      <c r="AD42" s="692"/>
    </row>
    <row r="43" spans="2:86">
      <c r="H43" s="692"/>
      <c r="I43" s="692"/>
      <c r="J43" s="692"/>
      <c r="K43" s="692"/>
      <c r="L43" s="692"/>
      <c r="M43" s="692"/>
      <c r="N43" s="692"/>
      <c r="O43" s="692"/>
      <c r="P43" s="692"/>
      <c r="Q43" s="692"/>
      <c r="R43" s="692"/>
      <c r="S43" s="692"/>
      <c r="T43" s="692"/>
      <c r="U43" s="692"/>
      <c r="V43" s="692"/>
      <c r="W43" s="692"/>
      <c r="X43" s="692"/>
      <c r="Y43" s="692"/>
      <c r="Z43" s="692"/>
      <c r="AA43" s="692"/>
      <c r="AB43" s="692"/>
      <c r="AC43" s="692"/>
      <c r="AD43" s="692"/>
    </row>
    <row r="44" spans="2:86">
      <c r="C44" t="s">
        <v>836</v>
      </c>
      <c r="H44" s="692"/>
      <c r="I44" s="692"/>
      <c r="J44" s="692"/>
      <c r="K44" s="692"/>
      <c r="L44" s="692"/>
      <c r="M44" s="692"/>
      <c r="N44" s="692"/>
      <c r="O44" s="692"/>
      <c r="P44" s="692"/>
      <c r="Q44" s="692"/>
      <c r="R44" s="692"/>
      <c r="S44" s="692"/>
      <c r="T44" s="692"/>
      <c r="U44" s="692"/>
      <c r="V44" s="692"/>
      <c r="W44" s="692"/>
      <c r="X44" s="692"/>
      <c r="Y44" s="692"/>
      <c r="Z44" s="692"/>
      <c r="AA44" s="692"/>
      <c r="AB44" s="2630" t="s">
        <v>2167</v>
      </c>
      <c r="AC44" s="2630"/>
      <c r="AD44" s="2630"/>
      <c r="AE44" s="2287"/>
      <c r="AF44" s="2287"/>
      <c r="AG44" s="2630" t="s">
        <v>2165</v>
      </c>
      <c r="AY44" s="2630" t="s">
        <v>2168</v>
      </c>
    </row>
    <row r="45" spans="2:86">
      <c r="D45" t="s">
        <v>2370</v>
      </c>
      <c r="H45" s="692"/>
      <c r="I45" s="692"/>
      <c r="J45" s="692"/>
      <c r="K45" s="692"/>
      <c r="L45" s="692"/>
      <c r="M45" s="692"/>
      <c r="N45" s="692"/>
      <c r="O45" s="692"/>
      <c r="P45" s="692"/>
      <c r="Q45" s="692"/>
      <c r="R45" s="692"/>
      <c r="S45" s="692"/>
      <c r="T45" s="692"/>
      <c r="U45" s="692"/>
      <c r="V45" s="692"/>
      <c r="W45" s="692"/>
      <c r="X45" s="692"/>
      <c r="Y45" s="692"/>
      <c r="Z45" s="692"/>
      <c r="AA45" s="692"/>
      <c r="AB45" s="692"/>
      <c r="AC45" s="692"/>
      <c r="AD45" s="692"/>
    </row>
    <row r="46" spans="2:86">
      <c r="H46" s="692"/>
      <c r="I46" s="692"/>
      <c r="J46" s="207"/>
      <c r="K46" s="16"/>
      <c r="L46" s="2"/>
      <c r="R46" s="692"/>
      <c r="S46" s="207"/>
      <c r="T46" s="16"/>
      <c r="U46" s="2"/>
      <c r="AA46" s="692"/>
      <c r="AB46" s="692"/>
      <c r="AC46" s="692"/>
      <c r="AD46" s="692"/>
    </row>
    <row r="47" spans="2:86">
      <c r="B47" s="1"/>
      <c r="C47" s="360"/>
      <c r="J47" s="207"/>
      <c r="K47" s="16"/>
      <c r="L47" s="2"/>
      <c r="S47" s="207"/>
      <c r="T47" s="16"/>
      <c r="U47" s="2"/>
      <c r="AB47" s="1" t="s">
        <v>1178</v>
      </c>
      <c r="AG47" s="1" t="s">
        <v>1178</v>
      </c>
      <c r="AO47" s="1" t="s">
        <v>1178</v>
      </c>
      <c r="AW47" s="2791" t="s">
        <v>1785</v>
      </c>
      <c r="AY47" s="1" t="s">
        <v>1178</v>
      </c>
      <c r="BG47" s="2791" t="s">
        <v>1785</v>
      </c>
      <c r="CH47" s="587"/>
    </row>
    <row r="48" spans="2:86">
      <c r="B48" s="8" t="s">
        <v>1036</v>
      </c>
      <c r="C48" s="100"/>
      <c r="F48" s="3938" t="s">
        <v>2166</v>
      </c>
      <c r="G48" s="3939"/>
      <c r="H48" s="3940"/>
      <c r="J48" s="3938" t="s">
        <v>1696</v>
      </c>
      <c r="K48" s="3939"/>
      <c r="L48" s="3939"/>
      <c r="M48" s="3939"/>
      <c r="N48" s="3939"/>
      <c r="O48" s="3939"/>
      <c r="P48" s="3939"/>
      <c r="Q48" s="3940"/>
      <c r="S48" s="3938" t="s">
        <v>1697</v>
      </c>
      <c r="T48" s="3939"/>
      <c r="U48" s="3939"/>
      <c r="V48" s="3939"/>
      <c r="W48" s="3939"/>
      <c r="X48" s="3939"/>
      <c r="Y48" s="3939"/>
      <c r="Z48" s="3940"/>
      <c r="AB48" s="1" t="s">
        <v>1140</v>
      </c>
      <c r="AC48" s="1" t="s">
        <v>1704</v>
      </c>
      <c r="AE48" s="1"/>
      <c r="AF48" s="1"/>
      <c r="AG48" s="1" t="s">
        <v>1140</v>
      </c>
      <c r="AH48" s="1"/>
      <c r="AI48" s="1"/>
      <c r="AJ48" s="1"/>
      <c r="AK48" s="1"/>
      <c r="AL48" s="1"/>
      <c r="AM48" s="1"/>
      <c r="AN48" s="1"/>
      <c r="AO48" s="1" t="s">
        <v>1704</v>
      </c>
      <c r="AP48" s="1"/>
      <c r="AQ48" s="1"/>
      <c r="AR48" s="1"/>
      <c r="AS48" s="1"/>
      <c r="AT48" s="1"/>
      <c r="AU48" s="1"/>
      <c r="AV48" s="1"/>
      <c r="AW48" s="1" t="s">
        <v>1704</v>
      </c>
      <c r="AX48" s="1"/>
      <c r="AY48" s="1" t="s">
        <v>1704</v>
      </c>
      <c r="AZ48" s="1"/>
      <c r="BA48" s="1"/>
      <c r="BB48" s="1"/>
      <c r="BC48" s="1"/>
      <c r="BD48" s="1"/>
      <c r="BE48" s="1"/>
      <c r="BF48" s="1"/>
      <c r="BG48" s="1" t="s">
        <v>1704</v>
      </c>
      <c r="BH48" s="1"/>
      <c r="BI48" s="256"/>
      <c r="BJ48" s="256"/>
      <c r="BK48" s="1" t="s">
        <v>820</v>
      </c>
      <c r="BM48" s="1" t="s">
        <v>820</v>
      </c>
      <c r="CH48" s="587"/>
    </row>
    <row r="49" spans="1:87">
      <c r="B49" t="s">
        <v>841</v>
      </c>
      <c r="J49" s="3889" t="s">
        <v>1701</v>
      </c>
      <c r="K49" s="3890"/>
      <c r="L49" s="3890"/>
      <c r="M49" s="3890"/>
      <c r="N49" s="3890"/>
      <c r="O49" s="3890"/>
      <c r="P49" s="3890"/>
      <c r="Q49" s="3891"/>
      <c r="R49" s="809"/>
      <c r="S49" s="3889" t="s">
        <v>1702</v>
      </c>
      <c r="T49" s="3890"/>
      <c r="U49" s="3890"/>
      <c r="V49" s="3890"/>
      <c r="W49" s="3890"/>
      <c r="X49" s="3890"/>
      <c r="Y49" s="3890"/>
      <c r="Z49" s="3891"/>
      <c r="AG49" s="2791" t="s">
        <v>2588</v>
      </c>
      <c r="BY49" t="s">
        <v>1053</v>
      </c>
      <c r="CH49" s="587"/>
    </row>
    <row r="50" spans="1:87">
      <c r="C50" t="s">
        <v>829</v>
      </c>
      <c r="AB50" s="259">
        <f>'Overall Assumptions'!$C$186</f>
        <v>1241</v>
      </c>
      <c r="AC50" s="259">
        <f>'Overall Assumptions'!$C$179</f>
        <v>208.4</v>
      </c>
      <c r="AF50" s="259"/>
      <c r="AG50" s="3696">
        <f>'Overall Assumptions'!$C$193</f>
        <v>2151</v>
      </c>
      <c r="AO50" s="259">
        <f>'Overall Assumptions'!$C$179</f>
        <v>208.4</v>
      </c>
      <c r="AW50" s="259">
        <f>'Overall Assumptions'!$C$200</f>
        <v>331</v>
      </c>
      <c r="AX50" s="129"/>
      <c r="AY50" s="259">
        <f>'Overall Assumptions'!$C$179</f>
        <v>208.4</v>
      </c>
      <c r="BG50" s="259">
        <f>'Overall Assumptions'!$C$200</f>
        <v>331</v>
      </c>
      <c r="BH50" s="259"/>
      <c r="BI50" s="416"/>
      <c r="BJ50" s="416"/>
      <c r="CH50" s="587"/>
    </row>
    <row r="51" spans="1:87">
      <c r="C51" s="360" t="s">
        <v>1052</v>
      </c>
      <c r="D51" s="1"/>
      <c r="E51" s="1"/>
      <c r="I51" s="79"/>
      <c r="J51" s="197"/>
      <c r="R51" s="79"/>
      <c r="S51" s="2953" t="s">
        <v>2564</v>
      </c>
      <c r="AF51" s="79"/>
      <c r="AO51" s="3678">
        <f>J52</f>
        <v>0.13267326732673268</v>
      </c>
      <c r="AP51" s="2953" t="s">
        <v>2564</v>
      </c>
      <c r="AX51" s="79"/>
      <c r="BH51" s="79"/>
      <c r="BI51" s="122"/>
      <c r="BJ51" s="122"/>
      <c r="CH51" s="587"/>
    </row>
    <row r="52" spans="1:87">
      <c r="C52" s="4" t="s">
        <v>730</v>
      </c>
      <c r="D52" s="593" t="s">
        <v>832</v>
      </c>
      <c r="F52" s="3741" t="s">
        <v>799</v>
      </c>
      <c r="G52" s="3742"/>
      <c r="H52" s="3742"/>
      <c r="I52" s="809"/>
      <c r="J52" s="3695">
        <f>H117</f>
        <v>0.13267326732673268</v>
      </c>
      <c r="K52" t="s">
        <v>2564</v>
      </c>
      <c r="S52" s="3678">
        <f>1</f>
        <v>1</v>
      </c>
      <c r="AA52" s="1270"/>
      <c r="AB52" s="2351" t="s">
        <v>870</v>
      </c>
      <c r="AC52" s="3741" t="s">
        <v>1105</v>
      </c>
      <c r="AD52" s="3742"/>
      <c r="AE52" s="3743"/>
      <c r="AF52" s="2421"/>
      <c r="AG52" s="3889" t="s">
        <v>2169</v>
      </c>
      <c r="AH52" s="3890"/>
      <c r="AI52" s="3890"/>
      <c r="AJ52" s="3890"/>
      <c r="AK52" s="3890"/>
      <c r="AL52" s="3890"/>
      <c r="AM52" s="3890"/>
      <c r="AN52" s="3891"/>
      <c r="AO52" s="3889" t="s">
        <v>2170</v>
      </c>
      <c r="AP52" s="3890"/>
      <c r="AQ52" s="3890"/>
      <c r="AR52" s="3890"/>
      <c r="AS52" s="3890"/>
      <c r="AT52" s="3890"/>
      <c r="AU52" s="3890"/>
      <c r="AV52" s="3891"/>
      <c r="AW52" s="3177" t="s">
        <v>2163</v>
      </c>
      <c r="AX52" s="2789"/>
      <c r="AY52" s="3889" t="s">
        <v>2171</v>
      </c>
      <c r="AZ52" s="3890"/>
      <c r="BA52" s="3890"/>
      <c r="BB52" s="3890"/>
      <c r="BC52" s="3890"/>
      <c r="BD52" s="3890"/>
      <c r="BE52" s="3890"/>
      <c r="BF52" s="3891"/>
      <c r="BG52" s="3177" t="s">
        <v>2164</v>
      </c>
      <c r="BH52" s="79"/>
      <c r="BI52" s="122"/>
      <c r="BJ52" s="122"/>
      <c r="BM52" s="3741"/>
      <c r="BN52" s="3742"/>
      <c r="BO52" s="3743"/>
      <c r="BP52" s="1389"/>
      <c r="BQ52" s="3889" t="s">
        <v>800</v>
      </c>
      <c r="BR52" s="3890"/>
      <c r="BS52" s="3890"/>
      <c r="BT52" s="3890"/>
      <c r="BU52" s="3890"/>
      <c r="BV52" s="3890"/>
      <c r="BW52" s="3890"/>
      <c r="BX52" s="3891"/>
      <c r="BY52">
        <v>0</v>
      </c>
      <c r="BZ52">
        <v>1</v>
      </c>
      <c r="CA52">
        <v>2</v>
      </c>
      <c r="CB52">
        <v>3</v>
      </c>
      <c r="CI52" s="587"/>
    </row>
    <row r="53" spans="1:87" ht="16" customHeight="1">
      <c r="C53" s="402" t="s">
        <v>819</v>
      </c>
      <c r="D53" s="3828" t="s">
        <v>801</v>
      </c>
      <c r="F53" s="3883" t="s">
        <v>850</v>
      </c>
      <c r="G53" s="3884"/>
      <c r="H53" s="3884"/>
      <c r="I53" s="2123"/>
      <c r="J53" s="3895" t="s">
        <v>1659</v>
      </c>
      <c r="K53" s="3896"/>
      <c r="L53" s="3896"/>
      <c r="M53" s="3896"/>
      <c r="N53" s="3896"/>
      <c r="O53" s="3896"/>
      <c r="P53" s="3896"/>
      <c r="Q53" s="3897"/>
      <c r="R53" s="2123"/>
      <c r="S53" s="3895" t="s">
        <v>1659</v>
      </c>
      <c r="T53" s="3896"/>
      <c r="U53" s="3896"/>
      <c r="V53" s="3896"/>
      <c r="W53" s="3896"/>
      <c r="X53" s="3896"/>
      <c r="Y53" s="3896"/>
      <c r="Z53" s="3897"/>
      <c r="AA53" s="1272"/>
      <c r="AB53" s="593"/>
      <c r="AC53" s="3741" t="s">
        <v>825</v>
      </c>
      <c r="AD53" s="3742"/>
      <c r="AE53" s="3743"/>
      <c r="AF53" s="2454"/>
      <c r="AG53" s="3895" t="str">
        <f>$J$53</f>
        <v xml:space="preserve">Extent of managed fire by Aboriginal peoples in the pre-European period (adapted from Enright and Thomas 2008) </v>
      </c>
      <c r="AH53" s="3896"/>
      <c r="AI53" s="3896"/>
      <c r="AJ53" s="3896"/>
      <c r="AK53" s="3896"/>
      <c r="AL53" s="3896"/>
      <c r="AM53" s="3896"/>
      <c r="AN53" s="3897"/>
      <c r="AO53" s="3895" t="str">
        <f>$J$53</f>
        <v xml:space="preserve">Extent of managed fire by Aboriginal peoples in the pre-European period (adapted from Enright and Thomas 2008) </v>
      </c>
      <c r="AP53" s="3896"/>
      <c r="AQ53" s="3896"/>
      <c r="AR53" s="3896"/>
      <c r="AS53" s="3896"/>
      <c r="AT53" s="3896"/>
      <c r="AU53" s="3896"/>
      <c r="AV53" s="3897"/>
      <c r="AW53" s="809"/>
      <c r="AX53" s="2454"/>
      <c r="AY53" s="3895" t="str">
        <f>S53</f>
        <v xml:space="preserve">Extent of managed fire by Aboriginal peoples in the pre-European period (adapted from Enright and Thomas 2008) </v>
      </c>
      <c r="AZ53" s="3896"/>
      <c r="BA53" s="3896"/>
      <c r="BB53" s="3896"/>
      <c r="BC53" s="3896"/>
      <c r="BD53" s="3896"/>
      <c r="BE53" s="3896"/>
      <c r="BF53" s="3897"/>
      <c r="BG53" s="809"/>
      <c r="BH53" s="1323"/>
      <c r="BI53" s="2368"/>
      <c r="BJ53" s="2368"/>
      <c r="BM53" s="3741"/>
      <c r="BN53" s="3742"/>
      <c r="BO53" s="3743"/>
      <c r="BP53" s="2123"/>
      <c r="BQ53" s="3895" t="s">
        <v>1659</v>
      </c>
      <c r="BR53" s="3896"/>
      <c r="BS53" s="3896"/>
      <c r="BT53" s="3896"/>
      <c r="BU53" s="3896"/>
      <c r="BV53" s="3896"/>
      <c r="BW53" s="3896"/>
      <c r="BX53" s="3897"/>
      <c r="BY53" s="402" t="s">
        <v>821</v>
      </c>
      <c r="BZ53" s="255"/>
      <c r="CA53" s="255"/>
      <c r="CB53" s="161"/>
      <c r="CC53" s="79"/>
      <c r="CI53" s="587"/>
    </row>
    <row r="54" spans="1:87" ht="16" customHeight="1">
      <c r="C54" s="404"/>
      <c r="D54" s="3829"/>
      <c r="F54" s="3889"/>
      <c r="G54" s="3890"/>
      <c r="H54" s="3890"/>
      <c r="I54" s="2124"/>
      <c r="J54" s="2314">
        <f t="shared" ref="J54:Q54" ca="1" si="0">OFFSET($P$96,J81,0)</f>
        <v>0</v>
      </c>
      <c r="K54" s="2315">
        <f t="shared" ca="1" si="0"/>
        <v>0</v>
      </c>
      <c r="L54" s="2315">
        <f t="shared" ca="1" si="0"/>
        <v>1.9047619047619049E-2</v>
      </c>
      <c r="M54" s="2315">
        <f t="shared" ca="1" si="0"/>
        <v>2.1052631578947368E-2</v>
      </c>
      <c r="N54" s="2315">
        <f t="shared" ca="1" si="0"/>
        <v>2.8571428571428571E-2</v>
      </c>
      <c r="O54" s="2315">
        <f t="shared" ca="1" si="0"/>
        <v>0.05</v>
      </c>
      <c r="P54" s="2315">
        <f t="shared" ca="1" si="0"/>
        <v>0.05</v>
      </c>
      <c r="Q54" s="753">
        <f t="shared" ca="1" si="0"/>
        <v>0.33333333333333331</v>
      </c>
      <c r="R54" s="2124"/>
      <c r="S54" s="2314">
        <f t="shared" ref="S54:Z54" ca="1" si="1">OFFSET($P$96,S81,0)</f>
        <v>0</v>
      </c>
      <c r="T54" s="2315">
        <f t="shared" ca="1" si="1"/>
        <v>0</v>
      </c>
      <c r="U54" s="2315">
        <f t="shared" ca="1" si="1"/>
        <v>1.9047619047619049E-2</v>
      </c>
      <c r="V54" s="2315">
        <f t="shared" ca="1" si="1"/>
        <v>2.1052631578947368E-2</v>
      </c>
      <c r="W54" s="2315">
        <f t="shared" ca="1" si="1"/>
        <v>2.8571428571428571E-2</v>
      </c>
      <c r="X54" s="2315">
        <f t="shared" ca="1" si="1"/>
        <v>0.05</v>
      </c>
      <c r="Y54" s="2315">
        <f t="shared" ca="1" si="1"/>
        <v>0.05</v>
      </c>
      <c r="Z54" s="753">
        <f t="shared" ca="1" si="1"/>
        <v>0.33333333333333331</v>
      </c>
      <c r="AA54" s="2125"/>
      <c r="AB54" s="593" t="s">
        <v>768</v>
      </c>
      <c r="AC54" s="3889"/>
      <c r="AD54" s="3890"/>
      <c r="AE54" s="3891"/>
      <c r="AF54" s="2420"/>
      <c r="AG54" s="2348">
        <f ca="1">J54</f>
        <v>0</v>
      </c>
      <c r="AH54" s="2349">
        <f ca="1">K54</f>
        <v>0</v>
      </c>
      <c r="AI54" s="2349">
        <f ca="1">L54</f>
        <v>1.9047619047619049E-2</v>
      </c>
      <c r="AJ54" s="2349">
        <f ca="1">M54</f>
        <v>2.1052631578947368E-2</v>
      </c>
      <c r="AK54" s="2349">
        <f ca="1">N54</f>
        <v>2.8571428571428571E-2</v>
      </c>
      <c r="AL54" s="2349">
        <f t="shared" ref="AL54:AN54" ca="1" si="2">O54</f>
        <v>0.05</v>
      </c>
      <c r="AM54" s="2349">
        <f t="shared" ca="1" si="2"/>
        <v>0.05</v>
      </c>
      <c r="AN54" s="2350">
        <f t="shared" ca="1" si="2"/>
        <v>0.33333333333333331</v>
      </c>
      <c r="AO54" s="2348">
        <f ca="1">J54</f>
        <v>0</v>
      </c>
      <c r="AP54" s="2349">
        <f ca="1">K54</f>
        <v>0</v>
      </c>
      <c r="AQ54" s="2349">
        <f ca="1">L54</f>
        <v>1.9047619047619049E-2</v>
      </c>
      <c r="AR54" s="2349">
        <f ca="1">M54</f>
        <v>2.1052631578947368E-2</v>
      </c>
      <c r="AS54" s="2349">
        <f ca="1">N54</f>
        <v>2.8571428571428571E-2</v>
      </c>
      <c r="AT54" s="2349">
        <f t="shared" ref="AT54:AV54" ca="1" si="3">O54</f>
        <v>0.05</v>
      </c>
      <c r="AU54" s="2349">
        <f t="shared" ca="1" si="3"/>
        <v>0.05</v>
      </c>
      <c r="AV54" s="2350">
        <f t="shared" ca="1" si="3"/>
        <v>0.33333333333333331</v>
      </c>
      <c r="AW54" s="2785"/>
      <c r="AX54" s="2787"/>
      <c r="AY54" s="2348">
        <f ca="1">S54</f>
        <v>0</v>
      </c>
      <c r="AZ54" s="2349">
        <f t="shared" ref="AZ54:BF54" ca="1" si="4">T54</f>
        <v>0</v>
      </c>
      <c r="BA54" s="2349">
        <f t="shared" ca="1" si="4"/>
        <v>1.9047619047619049E-2</v>
      </c>
      <c r="BB54" s="2349">
        <f t="shared" ca="1" si="4"/>
        <v>2.1052631578947368E-2</v>
      </c>
      <c r="BC54" s="2349">
        <f t="shared" ca="1" si="4"/>
        <v>2.8571428571428571E-2</v>
      </c>
      <c r="BD54" s="2349">
        <f t="shared" ca="1" si="4"/>
        <v>0.05</v>
      </c>
      <c r="BE54" s="2349">
        <f t="shared" ca="1" si="4"/>
        <v>0.05</v>
      </c>
      <c r="BF54" s="2350">
        <f t="shared" ca="1" si="4"/>
        <v>0.33333333333333331</v>
      </c>
      <c r="BG54" s="2785"/>
      <c r="BH54" s="1323"/>
      <c r="BI54" s="2368"/>
      <c r="BJ54" s="2368"/>
      <c r="BM54" s="3889" t="s">
        <v>804</v>
      </c>
      <c r="BN54" s="3890"/>
      <c r="BO54" s="3891"/>
      <c r="BP54" s="2124"/>
      <c r="BQ54" s="2314">
        <f t="shared" ref="BQ54:BX54" ca="1" si="5">AO54</f>
        <v>0</v>
      </c>
      <c r="BR54" s="2314">
        <f t="shared" ca="1" si="5"/>
        <v>0</v>
      </c>
      <c r="BS54" s="2314">
        <f t="shared" ca="1" si="5"/>
        <v>1.9047619047619049E-2</v>
      </c>
      <c r="BT54" s="2314">
        <f t="shared" ca="1" si="5"/>
        <v>2.1052631578947368E-2</v>
      </c>
      <c r="BU54" s="2314">
        <f t="shared" ca="1" si="5"/>
        <v>2.8571428571428571E-2</v>
      </c>
      <c r="BV54" s="2314">
        <f t="shared" ca="1" si="5"/>
        <v>0.05</v>
      </c>
      <c r="BW54" s="2314">
        <f t="shared" ca="1" si="5"/>
        <v>0.05</v>
      </c>
      <c r="BX54" s="2314">
        <f t="shared" ca="1" si="5"/>
        <v>0.33333333333333331</v>
      </c>
      <c r="BY54" s="480" t="s">
        <v>3</v>
      </c>
      <c r="BZ54" s="161" t="s">
        <v>132</v>
      </c>
      <c r="CA54" s="161" t="s">
        <v>4</v>
      </c>
      <c r="CB54" s="161" t="s">
        <v>21</v>
      </c>
      <c r="CC54" s="79"/>
      <c r="CI54" s="587"/>
    </row>
    <row r="55" spans="1:87" ht="16" customHeight="1">
      <c r="C55" s="404"/>
      <c r="D55" s="3829"/>
      <c r="F55" s="3895" t="s">
        <v>796</v>
      </c>
      <c r="G55" s="3896"/>
      <c r="H55" s="3896"/>
      <c r="I55" s="2124"/>
      <c r="J55" s="3946" t="s">
        <v>734</v>
      </c>
      <c r="K55" s="3947"/>
      <c r="L55" s="3947"/>
      <c r="M55" s="3947"/>
      <c r="N55" s="3947"/>
      <c r="O55" s="3947"/>
      <c r="P55" s="3947"/>
      <c r="Q55" s="3948"/>
      <c r="R55" s="2124"/>
      <c r="S55" s="3946" t="s">
        <v>734</v>
      </c>
      <c r="T55" s="3947"/>
      <c r="U55" s="3947"/>
      <c r="V55" s="3947"/>
      <c r="W55" s="3947"/>
      <c r="X55" s="3947"/>
      <c r="Y55" s="3947"/>
      <c r="Z55" s="3948"/>
      <c r="AA55" s="2125"/>
      <c r="AB55" s="2782"/>
      <c r="AC55" s="3895"/>
      <c r="AD55" s="3896"/>
      <c r="AE55" s="3897"/>
      <c r="AF55" s="2420"/>
      <c r="AG55" s="3946" t="s">
        <v>734</v>
      </c>
      <c r="AH55" s="3947"/>
      <c r="AI55" s="3947"/>
      <c r="AJ55" s="3947"/>
      <c r="AK55" s="3947"/>
      <c r="AL55" s="3947"/>
      <c r="AM55" s="3947"/>
      <c r="AN55" s="3948"/>
      <c r="AO55" s="3946" t="s">
        <v>734</v>
      </c>
      <c r="AP55" s="3947"/>
      <c r="AQ55" s="3947"/>
      <c r="AR55" s="3947"/>
      <c r="AS55" s="3947"/>
      <c r="AT55" s="3947"/>
      <c r="AU55" s="3947"/>
      <c r="AV55" s="3948"/>
      <c r="AW55" s="2785"/>
      <c r="AX55" s="2787"/>
      <c r="AY55" s="3946" t="s">
        <v>734</v>
      </c>
      <c r="AZ55" s="3947"/>
      <c r="BA55" s="3947"/>
      <c r="BB55" s="3947"/>
      <c r="BC55" s="3947"/>
      <c r="BD55" s="3947"/>
      <c r="BE55" s="3947"/>
      <c r="BF55" s="3948"/>
      <c r="BG55" s="2785"/>
      <c r="BH55" s="2368"/>
      <c r="BI55" s="2368"/>
      <c r="BJ55" s="2368"/>
      <c r="BM55" s="3895" t="s">
        <v>796</v>
      </c>
      <c r="BN55" s="3896"/>
      <c r="BO55" s="3897"/>
      <c r="BP55" s="2124"/>
      <c r="BQ55" s="3946" t="s">
        <v>734</v>
      </c>
      <c r="BR55" s="3947"/>
      <c r="BS55" s="3947"/>
      <c r="BT55" s="3947"/>
      <c r="BU55" s="3947"/>
      <c r="BV55" s="3947"/>
      <c r="BW55" s="3947"/>
      <c r="BX55" s="3948"/>
      <c r="BY55" s="2124"/>
      <c r="BZ55" s="2125"/>
      <c r="CA55" s="2125"/>
      <c r="CB55" s="246"/>
      <c r="CC55" s="79"/>
      <c r="CI55" s="587"/>
    </row>
    <row r="56" spans="1:87" ht="17">
      <c r="B56" s="79"/>
      <c r="C56" s="404"/>
      <c r="D56" s="3829"/>
      <c r="F56" s="404" t="s">
        <v>802</v>
      </c>
      <c r="G56" s="79" t="s">
        <v>803</v>
      </c>
      <c r="H56" s="79" t="s">
        <v>733</v>
      </c>
      <c r="I56" s="592" t="s">
        <v>1161</v>
      </c>
      <c r="J56" s="2316" t="s">
        <v>1620</v>
      </c>
      <c r="K56" s="2317" t="s">
        <v>1624</v>
      </c>
      <c r="L56" s="2317" t="s">
        <v>1622</v>
      </c>
      <c r="M56" s="2317" t="s">
        <v>1623</v>
      </c>
      <c r="N56" s="2317" t="s">
        <v>1621</v>
      </c>
      <c r="O56" s="2319" t="s">
        <v>1627</v>
      </c>
      <c r="P56" s="2317" t="s">
        <v>1625</v>
      </c>
      <c r="Q56" s="2318" t="s">
        <v>1626</v>
      </c>
      <c r="R56" s="592" t="s">
        <v>1161</v>
      </c>
      <c r="S56" s="2316" t="s">
        <v>1620</v>
      </c>
      <c r="T56" s="2317" t="s">
        <v>1624</v>
      </c>
      <c r="U56" s="2317" t="s">
        <v>1622</v>
      </c>
      <c r="V56" s="2317" t="s">
        <v>1623</v>
      </c>
      <c r="W56" s="2317" t="s">
        <v>1621</v>
      </c>
      <c r="X56" s="2319" t="s">
        <v>1627</v>
      </c>
      <c r="Y56" s="2317" t="s">
        <v>1625</v>
      </c>
      <c r="Z56" s="2318" t="s">
        <v>1626</v>
      </c>
      <c r="AA56" s="246"/>
      <c r="AB56" s="2783"/>
      <c r="AC56" s="405" t="s">
        <v>802</v>
      </c>
      <c r="AD56" s="439" t="s">
        <v>803</v>
      </c>
      <c r="AE56" s="162" t="s">
        <v>733</v>
      </c>
      <c r="AF56" s="122"/>
      <c r="AG56" s="1390" t="s">
        <v>745</v>
      </c>
      <c r="AH56" s="273" t="s">
        <v>744</v>
      </c>
      <c r="AI56" s="334" t="s">
        <v>747</v>
      </c>
      <c r="AJ56" s="401" t="s">
        <v>743</v>
      </c>
      <c r="AK56" s="401" t="s">
        <v>748</v>
      </c>
      <c r="AL56" s="401"/>
      <c r="AM56" s="401" t="s">
        <v>742</v>
      </c>
      <c r="AN56" s="274" t="s">
        <v>746</v>
      </c>
      <c r="AO56" s="1390" t="s">
        <v>745</v>
      </c>
      <c r="AP56" s="273" t="s">
        <v>744</v>
      </c>
      <c r="AQ56" s="334" t="s">
        <v>747</v>
      </c>
      <c r="AR56" s="401" t="s">
        <v>743</v>
      </c>
      <c r="AS56" s="401" t="s">
        <v>748</v>
      </c>
      <c r="AT56" s="401"/>
      <c r="AU56" s="401" t="s">
        <v>742</v>
      </c>
      <c r="AV56" s="274" t="s">
        <v>746</v>
      </c>
      <c r="AW56" s="481"/>
      <c r="AX56" s="79"/>
      <c r="AY56" s="1390" t="s">
        <v>745</v>
      </c>
      <c r="AZ56" s="273" t="s">
        <v>744</v>
      </c>
      <c r="BA56" s="334" t="s">
        <v>747</v>
      </c>
      <c r="BB56" s="401" t="s">
        <v>743</v>
      </c>
      <c r="BC56" s="401" t="s">
        <v>748</v>
      </c>
      <c r="BD56" s="401"/>
      <c r="BE56" s="401" t="s">
        <v>742</v>
      </c>
      <c r="BF56" s="274" t="s">
        <v>746</v>
      </c>
      <c r="BG56" s="481"/>
      <c r="BH56" s="3012" t="s">
        <v>2162</v>
      </c>
      <c r="BI56" s="2368"/>
      <c r="BJ56" s="2368"/>
      <c r="BM56" s="405" t="s">
        <v>802</v>
      </c>
      <c r="BN56" s="439" t="s">
        <v>803</v>
      </c>
      <c r="BO56" s="162" t="s">
        <v>733</v>
      </c>
      <c r="BP56" s="481"/>
      <c r="BQ56" s="1390" t="s">
        <v>745</v>
      </c>
      <c r="BR56" s="273" t="s">
        <v>744</v>
      </c>
      <c r="BS56" s="334" t="s">
        <v>747</v>
      </c>
      <c r="BT56" s="401" t="s">
        <v>743</v>
      </c>
      <c r="BU56" s="401" t="s">
        <v>748</v>
      </c>
      <c r="BV56" s="401"/>
      <c r="BW56" s="401" t="s">
        <v>742</v>
      </c>
      <c r="BX56" s="274" t="s">
        <v>746</v>
      </c>
      <c r="BY56" s="481"/>
      <c r="BZ56" s="162"/>
      <c r="CA56" s="162"/>
      <c r="CB56" s="162"/>
      <c r="CI56" s="587"/>
    </row>
    <row r="57" spans="1:87">
      <c r="B57" s="480" t="s">
        <v>862</v>
      </c>
      <c r="C57" s="255" t="s">
        <v>57</v>
      </c>
      <c r="D57" s="749"/>
      <c r="F57" s="1181">
        <f>'Ecological Fire Regimes'!$AB$23</f>
        <v>171.11249999999984</v>
      </c>
      <c r="G57" s="1180">
        <f>'Ecological Fire Regimes'!$AB$23</f>
        <v>171.11249999999984</v>
      </c>
      <c r="H57" s="1183">
        <f>'Ecological Fire Regimes'!$AB$23</f>
        <v>171.11249999999984</v>
      </c>
      <c r="I57" s="691"/>
      <c r="J57" s="843"/>
      <c r="K57" s="691"/>
      <c r="L57" s="844"/>
      <c r="M57" s="691"/>
      <c r="N57" s="844"/>
      <c r="O57" s="691"/>
      <c r="P57" s="844"/>
      <c r="Q57" s="844"/>
      <c r="R57" s="691"/>
      <c r="S57" s="843"/>
      <c r="T57" s="691"/>
      <c r="U57" s="844"/>
      <c r="V57" s="691"/>
      <c r="W57" s="844"/>
      <c r="X57" s="691"/>
      <c r="Y57" s="844"/>
      <c r="Z57" s="844"/>
      <c r="AA57" s="1259"/>
      <c r="AB57" s="606"/>
      <c r="AC57" s="1280"/>
      <c r="AD57" s="1279"/>
      <c r="AE57" s="1207"/>
      <c r="AF57" s="384"/>
      <c r="AG57" s="3139"/>
      <c r="AH57" s="3195"/>
      <c r="AI57" s="3113"/>
      <c r="AJ57" s="3195"/>
      <c r="AK57" s="3113"/>
      <c r="AL57" s="3113"/>
      <c r="AM57" s="3195"/>
      <c r="AN57" s="3113"/>
      <c r="AO57" s="3139"/>
      <c r="AP57" s="3195"/>
      <c r="AQ57" s="3113"/>
      <c r="AR57" s="3195"/>
      <c r="AS57" s="3113"/>
      <c r="AT57" s="3113"/>
      <c r="AU57" s="3195"/>
      <c r="AV57" s="3113"/>
      <c r="AW57" s="3196"/>
      <c r="AX57" s="384"/>
      <c r="AY57" s="843"/>
      <c r="AZ57" s="1329"/>
      <c r="BA57" s="844"/>
      <c r="BB57" s="1329"/>
      <c r="BC57" s="844"/>
      <c r="BD57" s="844"/>
      <c r="BE57" s="1329"/>
      <c r="BF57" s="844"/>
      <c r="BG57" s="1206"/>
      <c r="BH57" s="122"/>
      <c r="BI57" s="122"/>
      <c r="BJ57" s="122"/>
      <c r="BK57" s="480" t="str">
        <f t="shared" ref="BK57:BK65" si="6">C57</f>
        <v>Pre-action office planning</v>
      </c>
      <c r="BL57" s="3159"/>
      <c r="BM57" s="3130"/>
      <c r="BN57" s="3129"/>
      <c r="BO57" s="3000"/>
      <c r="BP57" s="1328"/>
      <c r="BQ57" s="1393"/>
      <c r="BR57" s="1329"/>
      <c r="BS57" s="1328"/>
      <c r="BT57" s="1329"/>
      <c r="BU57" s="1328"/>
      <c r="BV57" s="1328"/>
      <c r="BW57" s="1329"/>
      <c r="BX57" s="1328"/>
      <c r="BY57" s="1334">
        <f ca="1">OFFSET('Ecological Fire Regimes'!$AC$23,BY$52+$CC57,0)</f>
        <v>1</v>
      </c>
      <c r="BZ57" s="1208" t="str">
        <f ca="1">OFFSET('Ecological Fire Regimes'!$AC$23,BZ$52+$CC57,0)</f>
        <v/>
      </c>
      <c r="CA57" s="1335" t="str">
        <f ca="1">OFFSET('Ecological Fire Regimes'!$AC$23,CA$52+$CC57,0)</f>
        <v/>
      </c>
      <c r="CB57" s="1208" t="str">
        <f ca="1">OFFSET('Ecological Fire Regimes'!$AC$23,CB$52+$CC57,0)</f>
        <v/>
      </c>
      <c r="CC57" s="587">
        <v>0</v>
      </c>
      <c r="CD57" s="578">
        <f t="shared" ref="CD57:CD65" ca="1" si="7">SUM(BY57:CB57)</f>
        <v>1</v>
      </c>
      <c r="CI57" s="587"/>
    </row>
    <row r="58" spans="1:87">
      <c r="B58" s="591" t="s">
        <v>862</v>
      </c>
      <c r="C58" s="79" t="s">
        <v>1660</v>
      </c>
      <c r="D58" s="606"/>
      <c r="F58" s="839">
        <f>'Ecological Fire Regimes'!$AB$27</f>
        <v>19.557999999999982</v>
      </c>
      <c r="G58" s="839">
        <f>'Ecological Fire Regimes'!$AB$27</f>
        <v>19.557999999999982</v>
      </c>
      <c r="H58" s="839">
        <f>'Ecological Fire Regimes'!$AB$27</f>
        <v>19.557999999999982</v>
      </c>
      <c r="I58" s="691"/>
      <c r="J58" s="843"/>
      <c r="K58" s="691"/>
      <c r="L58" s="844"/>
      <c r="M58" s="691"/>
      <c r="N58" s="844"/>
      <c r="O58" s="691"/>
      <c r="P58" s="844"/>
      <c r="Q58" s="844"/>
      <c r="R58" s="691"/>
      <c r="S58" s="843"/>
      <c r="T58" s="691"/>
      <c r="U58" s="844"/>
      <c r="V58" s="691"/>
      <c r="W58" s="844"/>
      <c r="X58" s="691"/>
      <c r="Y58" s="844"/>
      <c r="Z58" s="844"/>
      <c r="AA58" s="1259"/>
      <c r="AB58" s="3001">
        <f>'Ecological Fire Regimes'!$S$28</f>
        <v>0.99999999999999911</v>
      </c>
      <c r="AC58" s="2885"/>
      <c r="AD58" s="2883"/>
      <c r="AE58" s="2884"/>
      <c r="AF58" s="384"/>
      <c r="AG58" s="3139"/>
      <c r="AH58" s="3112"/>
      <c r="AI58" s="3113"/>
      <c r="AJ58" s="3112"/>
      <c r="AK58" s="3113"/>
      <c r="AL58" s="3113"/>
      <c r="AM58" s="3112"/>
      <c r="AN58" s="3113"/>
      <c r="AO58" s="3139"/>
      <c r="AP58" s="3112"/>
      <c r="AQ58" s="3113"/>
      <c r="AR58" s="3112"/>
      <c r="AS58" s="3113"/>
      <c r="AT58" s="3113"/>
      <c r="AU58" s="3112"/>
      <c r="AV58" s="3113"/>
      <c r="AW58" s="3002"/>
      <c r="AX58" s="384"/>
      <c r="AY58" s="843"/>
      <c r="AZ58" s="691"/>
      <c r="BA58" s="844"/>
      <c r="BB58" s="691"/>
      <c r="BC58" s="844"/>
      <c r="BD58" s="844"/>
      <c r="BE58" s="691"/>
      <c r="BF58" s="844"/>
      <c r="BG58" s="3002"/>
      <c r="BH58" s="122"/>
      <c r="BI58" s="122"/>
      <c r="BJ58" s="122"/>
      <c r="BK58" s="591" t="str">
        <f t="shared" si="6"/>
        <v>Pre-action field planning (aerial)</v>
      </c>
      <c r="BL58" s="2333">
        <f>'Ecological Fire Regimes'!$G$28</f>
        <v>0.20512820512820515</v>
      </c>
      <c r="BM58" s="2885"/>
      <c r="BN58" s="2883"/>
      <c r="BO58" s="2884"/>
      <c r="BP58" s="844"/>
      <c r="BQ58" s="843"/>
      <c r="BR58" s="691"/>
      <c r="BS58" s="844"/>
      <c r="BT58" s="691"/>
      <c r="BU58" s="844"/>
      <c r="BV58" s="844"/>
      <c r="BW58" s="691"/>
      <c r="BX58" s="844"/>
      <c r="BY58" s="1334">
        <f ca="1">OFFSET('Ecological Fire Regimes'!$AC$23,BY$52+$CC58,0)</f>
        <v>4.3869516310461203E-2</v>
      </c>
      <c r="BZ58" s="1208">
        <f ca="1">OFFSET('Ecological Fire Regimes'!$AC$23,BZ$52+$CC58,0)</f>
        <v>0.95613048368953879</v>
      </c>
      <c r="CA58" s="1335">
        <f ca="1">OFFSET('Ecological Fire Regimes'!$AC$23,CA$52+$CC58,0)</f>
        <v>0</v>
      </c>
      <c r="CB58" s="1208">
        <f ca="1">OFFSET('Ecological Fire Regimes'!$AC$23,CB$52+$CC58,0)</f>
        <v>0</v>
      </c>
      <c r="CC58" s="587">
        <v>4</v>
      </c>
      <c r="CD58" s="578"/>
      <c r="CI58" s="587"/>
    </row>
    <row r="59" spans="1:87" ht="16" customHeight="1">
      <c r="B59" s="591" t="s">
        <v>863</v>
      </c>
      <c r="C59" s="122" t="s">
        <v>1001</v>
      </c>
      <c r="D59" s="606"/>
      <c r="F59" s="689">
        <f>'Ecological Fire Regimes'!$AB$31</f>
        <v>56.921695067264523</v>
      </c>
      <c r="G59" s="842">
        <f>'Ecological Fire Regimes'!$AB$35</f>
        <v>64.360260089686051</v>
      </c>
      <c r="H59" s="842">
        <f>'Ecological Fire Regimes'!$AB$39</f>
        <v>85.243390134529079</v>
      </c>
      <c r="I59" s="691"/>
      <c r="J59" s="843"/>
      <c r="K59" s="691"/>
      <c r="L59" s="844"/>
      <c r="M59" s="691"/>
      <c r="N59" s="844"/>
      <c r="O59" s="691"/>
      <c r="P59" s="844"/>
      <c r="Q59" s="844"/>
      <c r="R59" s="691"/>
      <c r="S59" s="843"/>
      <c r="T59" s="691"/>
      <c r="U59" s="844"/>
      <c r="V59" s="691"/>
      <c r="W59" s="844"/>
      <c r="X59" s="691"/>
      <c r="Y59" s="844"/>
      <c r="Z59" s="844"/>
      <c r="AA59" s="1259"/>
      <c r="AB59" s="3114"/>
      <c r="AC59" s="2882">
        <f>'Ecological Fire Regimes'!$S$32</f>
        <v>0.99999999999999911</v>
      </c>
      <c r="AD59" s="2333">
        <f>'Ecological Fire Regimes'!$S$36</f>
        <v>0.99999999999999911</v>
      </c>
      <c r="AE59" s="3104">
        <f>'Ecological Fire Regimes'!$S$40</f>
        <v>0.99999999999999911</v>
      </c>
      <c r="AF59" s="384"/>
      <c r="AG59" s="3139"/>
      <c r="AH59" s="3112"/>
      <c r="AI59" s="3113"/>
      <c r="AJ59" s="3112"/>
      <c r="AK59" s="3113"/>
      <c r="AL59" s="3113"/>
      <c r="AM59" s="3112"/>
      <c r="AN59" s="3113"/>
      <c r="AO59" s="3139"/>
      <c r="AP59" s="3112"/>
      <c r="AQ59" s="3113"/>
      <c r="AR59" s="3112"/>
      <c r="AS59" s="3113"/>
      <c r="AT59" s="3113"/>
      <c r="AU59" s="3112"/>
      <c r="AV59" s="3113"/>
      <c r="AW59" s="3002"/>
      <c r="AX59" s="384"/>
      <c r="AY59" s="843"/>
      <c r="AZ59" s="691"/>
      <c r="BA59" s="844"/>
      <c r="BB59" s="691"/>
      <c r="BC59" s="844"/>
      <c r="BD59" s="844"/>
      <c r="BE59" s="691"/>
      <c r="BF59" s="844"/>
      <c r="BG59" s="3002"/>
      <c r="BH59" s="122"/>
      <c r="BI59" s="122"/>
      <c r="BJ59" s="122"/>
      <c r="BK59" s="1179" t="str">
        <f t="shared" si="6"/>
        <v>Pre-action field planning (Ground)</v>
      </c>
      <c r="BL59" s="2322"/>
      <c r="BM59" s="2333">
        <f>'Ecological Fire Regimes'!$G$32</f>
        <v>3.1270553064275037</v>
      </c>
      <c r="BN59" s="3104">
        <f>'Ecological Fire Regimes'!$G$36</f>
        <v>3.724962630792227</v>
      </c>
      <c r="BO59" s="3104">
        <f>'Ecological Fire Regimes'!$G$40</f>
        <v>4.9207772795216744</v>
      </c>
      <c r="BP59" s="844"/>
      <c r="BQ59" s="843"/>
      <c r="BR59" s="691"/>
      <c r="BS59" s="844"/>
      <c r="BT59" s="691"/>
      <c r="BU59" s="844"/>
      <c r="BV59" s="844"/>
      <c r="BW59" s="691"/>
      <c r="BX59" s="844"/>
      <c r="BY59" s="1331">
        <f ca="1">OFFSET('Ecological Fire Regimes'!$AC$23,BY$52+$CC59,0)</f>
        <v>0.45956785255615878</v>
      </c>
      <c r="BZ59" s="751">
        <f ca="1">OFFSET('Ecological Fire Regimes'!$AC$23,BZ$52+$CC59,0)</f>
        <v>0.2238920307324877</v>
      </c>
      <c r="CA59" s="608">
        <f ca="1">OFFSET('Ecological Fire Regimes'!$AC$23,CA$52+$CC59,0)</f>
        <v>0.31654011671135351</v>
      </c>
      <c r="CB59" s="751">
        <f ca="1">OFFSET('Ecological Fire Regimes'!$AC$23,CB$52+$CC59,0)</f>
        <v>0</v>
      </c>
      <c r="CC59" s="587">
        <f>CC58+4</f>
        <v>8</v>
      </c>
      <c r="CD59" s="578">
        <f t="shared" ca="1" si="7"/>
        <v>1</v>
      </c>
      <c r="CI59" s="587"/>
    </row>
    <row r="60" spans="1:87">
      <c r="A60" s="1144"/>
      <c r="B60" s="2369" t="s">
        <v>863</v>
      </c>
      <c r="C60" s="2370" t="s">
        <v>1693</v>
      </c>
      <c r="D60" s="2369"/>
      <c r="F60" s="845"/>
      <c r="G60" s="691"/>
      <c r="H60" s="844"/>
      <c r="I60" s="689">
        <f>'Ecological Fire Regimes'!$AB$43</f>
        <v>1490.1703512662389</v>
      </c>
      <c r="J60" s="190">
        <f ca="1">$I60*J$54*$J$52</f>
        <v>0</v>
      </c>
      <c r="K60" s="190">
        <f t="shared" ref="K60:Q60" ca="1" si="8">$I60*K$54*$J$52</f>
        <v>0</v>
      </c>
      <c r="L60" s="190">
        <f t="shared" ca="1" si="8"/>
        <v>3.7658241785888924</v>
      </c>
      <c r="M60" s="190">
        <f t="shared" ca="1" si="8"/>
        <v>4.1622267237035127</v>
      </c>
      <c r="N60" s="190">
        <f t="shared" ca="1" si="8"/>
        <v>5.6487362678833382</v>
      </c>
      <c r="O60" s="190">
        <f t="shared" ca="1" si="8"/>
        <v>9.8852884687958422</v>
      </c>
      <c r="P60" s="190">
        <f t="shared" ca="1" si="8"/>
        <v>9.8852884687958422</v>
      </c>
      <c r="Q60" s="190">
        <f t="shared" ca="1" si="8"/>
        <v>65.901923125305615</v>
      </c>
      <c r="R60" s="689">
        <f>'Ecological Fire Regimes'!$AB$43</f>
        <v>1490.1703512662389</v>
      </c>
      <c r="S60" s="190">
        <f ca="1">$R60*S$54*$S$52</f>
        <v>0</v>
      </c>
      <c r="T60" s="190">
        <f t="shared" ref="T60:Z60" ca="1" si="9">$R60*T$54*$S$52</f>
        <v>0</v>
      </c>
      <c r="U60" s="190">
        <f t="shared" ca="1" si="9"/>
        <v>28.38419716697598</v>
      </c>
      <c r="V60" s="190">
        <f t="shared" ca="1" si="9"/>
        <v>31.372007395078711</v>
      </c>
      <c r="W60" s="190">
        <f t="shared" ca="1" si="9"/>
        <v>42.576295750463963</v>
      </c>
      <c r="X60" s="190">
        <f t="shared" ca="1" si="9"/>
        <v>74.508517563311941</v>
      </c>
      <c r="Y60" s="190">
        <f t="shared" ca="1" si="9"/>
        <v>74.508517563311941</v>
      </c>
      <c r="Z60" s="190">
        <f t="shared" ca="1" si="9"/>
        <v>496.72345042207962</v>
      </c>
      <c r="AA60" s="1259"/>
      <c r="AB60" s="3114"/>
      <c r="AC60" s="3160"/>
      <c r="AD60" s="2883"/>
      <c r="AE60" s="2884"/>
      <c r="AF60" s="620"/>
      <c r="AG60" s="3139"/>
      <c r="AH60" s="3112"/>
      <c r="AI60" s="3113"/>
      <c r="AJ60" s="3112"/>
      <c r="AK60" s="3113"/>
      <c r="AL60" s="3113"/>
      <c r="AM60" s="3112"/>
      <c r="AN60" s="3113"/>
      <c r="AO60" s="3174">
        <f t="shared" ref="AO60:AV60" ca="1" si="10">ROUNDUP((BQ60*$AO$51/21),0)*$BH60</f>
        <v>0</v>
      </c>
      <c r="AP60" s="3174">
        <f t="shared" ca="1" si="10"/>
        <v>0</v>
      </c>
      <c r="AQ60" s="3174">
        <f t="shared" ca="1" si="10"/>
        <v>0.99999999999999911</v>
      </c>
      <c r="AR60" s="3174">
        <f t="shared" ca="1" si="10"/>
        <v>0.99999999999999911</v>
      </c>
      <c r="AS60" s="3174">
        <f t="shared" ca="1" si="10"/>
        <v>0.99999999999999911</v>
      </c>
      <c r="AT60" s="3174">
        <f t="shared" ca="1" si="10"/>
        <v>0.99999999999999911</v>
      </c>
      <c r="AU60" s="3174">
        <f t="shared" ca="1" si="10"/>
        <v>0.99999999999999911</v>
      </c>
      <c r="AV60" s="3174">
        <f t="shared" ca="1" si="10"/>
        <v>0.99999999999999911</v>
      </c>
      <c r="AW60" s="3111">
        <f>1*$BH60</f>
        <v>0.99999999999999911</v>
      </c>
      <c r="AX60" s="384"/>
      <c r="AY60" s="3174">
        <f t="shared" ref="AY60:BF60" ca="1" si="11">ROUNDUP((BQ60/21),0)*$BH60</f>
        <v>0</v>
      </c>
      <c r="AZ60" s="3174">
        <f t="shared" ca="1" si="11"/>
        <v>0</v>
      </c>
      <c r="BA60" s="3174">
        <f t="shared" ca="1" si="11"/>
        <v>0.99999999999999911</v>
      </c>
      <c r="BB60" s="3174">
        <f t="shared" ca="1" si="11"/>
        <v>0.99999999999999911</v>
      </c>
      <c r="BC60" s="3174">
        <f t="shared" ca="1" si="11"/>
        <v>0.99999999999999911</v>
      </c>
      <c r="BD60" s="3174">
        <f t="shared" ca="1" si="11"/>
        <v>0.99999999999999911</v>
      </c>
      <c r="BE60" s="3174">
        <f t="shared" ca="1" si="11"/>
        <v>0.99999999999999911</v>
      </c>
      <c r="BF60" s="3180">
        <f t="shared" ca="1" si="11"/>
        <v>1.9999999999999982</v>
      </c>
      <c r="BG60" s="3111">
        <f>1*$BH60</f>
        <v>0.99999999999999911</v>
      </c>
      <c r="BH60" s="3178">
        <f>'Ecological Fire Regimes'!$R$44</f>
        <v>0.99999999999999911</v>
      </c>
      <c r="BI60" s="3179"/>
      <c r="BJ60" s="3179"/>
      <c r="BK60" s="1179" t="str">
        <f t="shared" si="6"/>
        <v>Action 1(a) - Fire Break establishment</v>
      </c>
      <c r="BL60" s="2322"/>
      <c r="BM60" s="3160"/>
      <c r="BN60" s="2883"/>
      <c r="BO60" s="2884"/>
      <c r="BP60" s="694">
        <f>'Ecological Fire Regimes'!$G$44</f>
        <v>66.266960084853395</v>
      </c>
      <c r="BQ60" s="3006">
        <f ca="1">$BP60*BQ$54</f>
        <v>0</v>
      </c>
      <c r="BR60" s="3006">
        <f t="shared" ref="BR60:BX62" ca="1" si="12">$BP60*BR$54</f>
        <v>0</v>
      </c>
      <c r="BS60" s="3006">
        <f t="shared" ca="1" si="12"/>
        <v>1.2622278111400649</v>
      </c>
      <c r="BT60" s="3006">
        <f t="shared" ca="1" si="12"/>
        <v>1.3950938965232293</v>
      </c>
      <c r="BU60" s="3006">
        <f t="shared" ca="1" si="12"/>
        <v>1.893341716710097</v>
      </c>
      <c r="BV60" s="3006">
        <f t="shared" ca="1" si="12"/>
        <v>3.3133480042426697</v>
      </c>
      <c r="BW60" s="3006">
        <f t="shared" ca="1" si="12"/>
        <v>3.3133480042426697</v>
      </c>
      <c r="BX60" s="2533">
        <f t="shared" ca="1" si="12"/>
        <v>22.088986694951132</v>
      </c>
      <c r="BY60" s="1331">
        <f ca="1">OFFSET('Ecological Fire Regimes'!$AC$23,BY$52+$CC60,0)</f>
        <v>0.32550756519477136</v>
      </c>
      <c r="BZ60" s="751">
        <f ca="1">OFFSET('Ecological Fire Regimes'!$AC$23,BZ$52+$CC60,0)</f>
        <v>0.18123498135386534</v>
      </c>
      <c r="CA60" s="608">
        <f ca="1">OFFSET('Ecological Fire Regimes'!$AC$23,CA$52+$CC60,0)</f>
        <v>0.4897308254402728</v>
      </c>
      <c r="CB60" s="751">
        <f ca="1">OFFSET('Ecological Fire Regimes'!$AC$23,CB$52+$CC60,0)</f>
        <v>3.5266280110904835E-3</v>
      </c>
      <c r="CC60" s="587">
        <v>20</v>
      </c>
      <c r="CD60" s="578">
        <f t="shared" ca="1" si="7"/>
        <v>1</v>
      </c>
      <c r="CI60" s="587"/>
    </row>
    <row r="61" spans="1:87" s="2354" customFormat="1">
      <c r="B61" s="2352" t="s">
        <v>863</v>
      </c>
      <c r="C61" s="2353" t="s">
        <v>1694</v>
      </c>
      <c r="D61" s="2352"/>
      <c r="E61"/>
      <c r="F61" s="845"/>
      <c r="G61" s="691"/>
      <c r="H61" s="844"/>
      <c r="I61" s="2355">
        <f>'Ecological Fire Regimes'!$AB$47</f>
        <v>73.403956277580335</v>
      </c>
      <c r="J61" s="2356">
        <f ca="1">$I61*J$54</f>
        <v>0</v>
      </c>
      <c r="K61" s="2356">
        <f t="shared" ref="K61:Q61" ca="1" si="13">$I61*K$54</f>
        <v>0</v>
      </c>
      <c r="L61" s="2356">
        <f t="shared" ca="1" si="13"/>
        <v>1.3981705957634352</v>
      </c>
      <c r="M61" s="2356">
        <f t="shared" ca="1" si="13"/>
        <v>1.5453464479490597</v>
      </c>
      <c r="N61" s="2356">
        <f t="shared" ca="1" si="13"/>
        <v>2.0972558936451522</v>
      </c>
      <c r="O61" s="2356">
        <f t="shared" ca="1" si="13"/>
        <v>3.670197813879017</v>
      </c>
      <c r="P61" s="2356">
        <f t="shared" ca="1" si="13"/>
        <v>3.670197813879017</v>
      </c>
      <c r="Q61" s="2355">
        <f t="shared" ca="1" si="13"/>
        <v>24.46798542586011</v>
      </c>
      <c r="R61" s="2355">
        <f>'Ecological Fire Regimes'!$AB$47</f>
        <v>73.403956277580335</v>
      </c>
      <c r="S61" s="843"/>
      <c r="T61" s="691"/>
      <c r="U61" s="844"/>
      <c r="V61" s="691"/>
      <c r="W61" s="844"/>
      <c r="X61" s="691"/>
      <c r="Y61" s="844"/>
      <c r="Z61" s="844"/>
      <c r="AA61" s="1259"/>
      <c r="AB61" s="3114"/>
      <c r="AC61" s="3160"/>
      <c r="AD61" s="2883"/>
      <c r="AE61" s="2884"/>
      <c r="AF61" s="620"/>
      <c r="AG61" s="3183">
        <f t="shared" ref="AG61:AN61" ca="1" si="14">ROUNDUP((BQ61/21),0)*$BH61</f>
        <v>0</v>
      </c>
      <c r="AH61" s="3183">
        <f t="shared" ca="1" si="14"/>
        <v>0</v>
      </c>
      <c r="AI61" s="3183">
        <f t="shared" ca="1" si="14"/>
        <v>0.99999999999999911</v>
      </c>
      <c r="AJ61" s="3183">
        <f t="shared" ca="1" si="14"/>
        <v>0.99999999999999911</v>
      </c>
      <c r="AK61" s="3183">
        <f t="shared" ca="1" si="14"/>
        <v>0.99999999999999911</v>
      </c>
      <c r="AL61" s="3183">
        <f t="shared" ca="1" si="14"/>
        <v>0.99999999999999911</v>
      </c>
      <c r="AM61" s="3183">
        <f t="shared" ca="1" si="14"/>
        <v>0.99999999999999911</v>
      </c>
      <c r="AN61" s="3183">
        <f t="shared" ca="1" si="14"/>
        <v>0.99999999999999911</v>
      </c>
      <c r="AO61" s="3139"/>
      <c r="AP61" s="3112"/>
      <c r="AQ61" s="3140"/>
      <c r="AR61" s="3112"/>
      <c r="AS61" s="3140"/>
      <c r="AT61" s="3140"/>
      <c r="AU61" s="3112"/>
      <c r="AV61" s="3113"/>
      <c r="AW61" s="3111">
        <f>1*$BH61</f>
        <v>0.99999999999999911</v>
      </c>
      <c r="AX61" s="384"/>
      <c r="AY61" s="3139"/>
      <c r="AZ61" s="3139"/>
      <c r="BA61" s="3139"/>
      <c r="BB61" s="3139"/>
      <c r="BC61" s="3139"/>
      <c r="BD61" s="3139"/>
      <c r="BE61" s="3139"/>
      <c r="BF61" s="3112"/>
      <c r="BG61" s="3002"/>
      <c r="BH61" s="3133">
        <f>'Ecological Fire Regimes'!$R$48</f>
        <v>0.99999999999999911</v>
      </c>
      <c r="BI61" s="2322"/>
      <c r="BJ61" s="2322"/>
      <c r="BK61" s="2352" t="str">
        <f t="shared" si="6"/>
        <v>Action 2(a)- Fire Regimes - Aerial (Rural + remote)</v>
      </c>
      <c r="BL61" s="3161"/>
      <c r="BM61" s="3161"/>
      <c r="BN61" s="3162"/>
      <c r="BO61" s="3163"/>
      <c r="BP61" s="2357">
        <f>'Ecological Fire Regimes'!$G$48</f>
        <v>1.0256410256410256E-2</v>
      </c>
      <c r="BQ61" s="3150">
        <f ca="1">$BP61*BQ$54</f>
        <v>0</v>
      </c>
      <c r="BR61" s="3150">
        <f t="shared" ca="1" si="12"/>
        <v>0</v>
      </c>
      <c r="BS61" s="3182">
        <f t="shared" ca="1" si="12"/>
        <v>1.9536019536019539E-4</v>
      </c>
      <c r="BT61" s="3182">
        <f t="shared" ca="1" si="12"/>
        <v>2.1592442645074225E-4</v>
      </c>
      <c r="BU61" s="3182">
        <f t="shared" ca="1" si="12"/>
        <v>2.9304029304029304E-4</v>
      </c>
      <c r="BV61" s="3182">
        <f t="shared" ca="1" si="12"/>
        <v>5.1282051282051282E-4</v>
      </c>
      <c r="BW61" s="3182">
        <f t="shared" ca="1" si="12"/>
        <v>5.1282051282051282E-4</v>
      </c>
      <c r="BX61" s="3183">
        <f t="shared" ca="1" si="12"/>
        <v>3.4188034188034188E-3</v>
      </c>
      <c r="BY61" s="2358">
        <f ca="1">OFFSET('Ecological Fire Regimes'!$AC$23,BY$52+$CC61,0)</f>
        <v>5.7567060609383415E-2</v>
      </c>
      <c r="BZ61" s="2358">
        <f ca="1">OFFSET('Ecological Fire Regimes'!$AC$23,BZ$52+$CC61,0)</f>
        <v>2.247835244411691E-2</v>
      </c>
      <c r="CA61" s="2358">
        <f ca="1">OFFSET('Ecological Fire Regimes'!$AC$23,CA$52+$CC61,0)</f>
        <v>0.50004893545849893</v>
      </c>
      <c r="CB61" s="2359">
        <f ca="1">OFFSET('Ecological Fire Regimes'!$AC$23,CB$52+$CC61,0)</f>
        <v>0.41990565148800074</v>
      </c>
      <c r="CC61" s="2360">
        <v>24</v>
      </c>
      <c r="CD61" s="2361">
        <f t="shared" ca="1" si="7"/>
        <v>1</v>
      </c>
      <c r="CI61" s="2360"/>
    </row>
    <row r="62" spans="1:87" s="1875" customFormat="1">
      <c r="B62" s="2362" t="s">
        <v>863</v>
      </c>
      <c r="C62" s="2321" t="s">
        <v>1695</v>
      </c>
      <c r="D62" s="2362"/>
      <c r="E62"/>
      <c r="F62" s="845"/>
      <c r="G62" s="691"/>
      <c r="H62" s="844"/>
      <c r="I62" s="1903">
        <f>'Ecological Fire Regimes'!$AB$51</f>
        <v>1167.1215396113589</v>
      </c>
      <c r="J62" s="691"/>
      <c r="K62" s="691"/>
      <c r="L62" s="691"/>
      <c r="M62" s="691"/>
      <c r="N62" s="691"/>
      <c r="O62" s="691"/>
      <c r="P62" s="691"/>
      <c r="Q62" s="691"/>
      <c r="R62" s="1903">
        <f>'Ecological Fire Regimes'!$AB$51</f>
        <v>1167.1215396113589</v>
      </c>
      <c r="S62" s="2363">
        <f ca="1">$R62*S$54</f>
        <v>0</v>
      </c>
      <c r="T62" s="2363">
        <f t="shared" ref="T62:Z62" ca="1" si="15">$R62*T$54</f>
        <v>0</v>
      </c>
      <c r="U62" s="2363">
        <f t="shared" ca="1" si="15"/>
        <v>22.230886468787791</v>
      </c>
      <c r="V62" s="2363">
        <f t="shared" ca="1" si="15"/>
        <v>24.570979781291765</v>
      </c>
      <c r="W62" s="2363">
        <f t="shared" ca="1" si="15"/>
        <v>33.346329703181681</v>
      </c>
      <c r="X62" s="2363">
        <f t="shared" ca="1" si="15"/>
        <v>58.356076980567948</v>
      </c>
      <c r="Y62" s="2363">
        <f t="shared" ca="1" si="15"/>
        <v>58.356076980567948</v>
      </c>
      <c r="Z62" s="2363">
        <f t="shared" ca="1" si="15"/>
        <v>389.0405132037863</v>
      </c>
      <c r="AA62" s="1259"/>
      <c r="AB62" s="3114"/>
      <c r="AC62" s="3160"/>
      <c r="AD62" s="2883"/>
      <c r="AE62" s="2884"/>
      <c r="AF62" s="384"/>
      <c r="AG62" s="3139"/>
      <c r="AH62" s="3112"/>
      <c r="AI62" s="3140"/>
      <c r="AJ62" s="3112"/>
      <c r="AK62" s="3140"/>
      <c r="AL62" s="3140"/>
      <c r="AM62" s="3112"/>
      <c r="AN62" s="3113"/>
      <c r="AO62" s="3139"/>
      <c r="AP62" s="3112"/>
      <c r="AQ62" s="3140"/>
      <c r="AR62" s="3112"/>
      <c r="AS62" s="3140"/>
      <c r="AT62" s="3140"/>
      <c r="AU62" s="3112"/>
      <c r="AV62" s="3113"/>
      <c r="AW62" s="3002"/>
      <c r="AX62" s="384"/>
      <c r="AY62" s="3175">
        <f t="shared" ref="AY62:BF62" ca="1" si="16">ROUNDUP((BQ62/21),0)*$BH62</f>
        <v>0</v>
      </c>
      <c r="AZ62" s="3175">
        <f t="shared" ca="1" si="16"/>
        <v>0</v>
      </c>
      <c r="BA62" s="3175">
        <f t="shared" ca="1" si="16"/>
        <v>0.99999999999999911</v>
      </c>
      <c r="BB62" s="3175">
        <f t="shared" ca="1" si="16"/>
        <v>0.99999999999999911</v>
      </c>
      <c r="BC62" s="3175">
        <f t="shared" ca="1" si="16"/>
        <v>0.99999999999999911</v>
      </c>
      <c r="BD62" s="3175">
        <f t="shared" ca="1" si="16"/>
        <v>0.99999999999999911</v>
      </c>
      <c r="BE62" s="3175">
        <f t="shared" ca="1" si="16"/>
        <v>0.99999999999999911</v>
      </c>
      <c r="BF62" s="3181">
        <f t="shared" ca="1" si="16"/>
        <v>0.99999999999999911</v>
      </c>
      <c r="BG62" s="3111">
        <f>1*$BH62</f>
        <v>0.99999999999999911</v>
      </c>
      <c r="BH62" s="3133">
        <f>'Ecological Fire Regimes'!$R$52</f>
        <v>0.99999999999999911</v>
      </c>
      <c r="BI62" s="2322"/>
      <c r="BJ62" s="2322"/>
      <c r="BK62" s="2362" t="str">
        <f t="shared" si="6"/>
        <v>Action 2(b)- Fire Regimes - Ground (urban)</v>
      </c>
      <c r="BL62" s="3164"/>
      <c r="BM62" s="3164"/>
      <c r="BN62" s="3165"/>
      <c r="BO62" s="3166"/>
      <c r="BP62" s="2364">
        <f>'Ecological Fire Regimes'!$G$52</f>
        <v>49.207772795216741</v>
      </c>
      <c r="BQ62" s="3151">
        <f ca="1">$BP62*BQ$54</f>
        <v>0</v>
      </c>
      <c r="BR62" s="3151">
        <f t="shared" ca="1" si="12"/>
        <v>0</v>
      </c>
      <c r="BS62" s="3151">
        <f t="shared" ca="1" si="12"/>
        <v>0.93729091038508083</v>
      </c>
      <c r="BT62" s="3151">
        <f t="shared" ca="1" si="12"/>
        <v>1.0359531114782472</v>
      </c>
      <c r="BU62" s="3151">
        <f t="shared" ca="1" si="12"/>
        <v>1.4059363655776211</v>
      </c>
      <c r="BV62" s="3151">
        <f t="shared" ca="1" si="12"/>
        <v>2.4603886397608372</v>
      </c>
      <c r="BW62" s="3151">
        <f t="shared" ca="1" si="12"/>
        <v>2.4603886397608372</v>
      </c>
      <c r="BX62" s="3152">
        <f t="shared" ca="1" si="12"/>
        <v>16.402590931738914</v>
      </c>
      <c r="BY62" s="2365">
        <f ca="1">OFFSET('Ecological Fire Regimes'!$AC$23,BY$52+$CC62,0)</f>
        <v>0.29391942009131583</v>
      </c>
      <c r="BZ62" s="2365">
        <f ca="1">OFFSET('Ecological Fire Regimes'!$AC$23,BZ$52+$CC62,0)</f>
        <v>0.17182981482261547</v>
      </c>
      <c r="CA62" s="2365">
        <f ca="1">OFFSET('Ecological Fire Regimes'!$AC$23,CA$52+$CC62,0)</f>
        <v>0.53425076508606884</v>
      </c>
      <c r="CB62" s="2366">
        <f ca="1">OFFSET('Ecological Fire Regimes'!$AC$23,CB$52+$CC62,0)</f>
        <v>0</v>
      </c>
      <c r="CC62" s="1894">
        <v>28</v>
      </c>
      <c r="CD62" s="2367">
        <f ca="1">SUM(BY62:CB62)</f>
        <v>1</v>
      </c>
      <c r="CI62" s="1894"/>
    </row>
    <row r="63" spans="1:87">
      <c r="B63" s="591" t="s">
        <v>862</v>
      </c>
      <c r="C63" s="122" t="s">
        <v>1043</v>
      </c>
      <c r="D63" s="606"/>
      <c r="F63" s="689">
        <f>'Ecological Fire Regimes'!$AB$55</f>
        <v>19.557999999999982</v>
      </c>
      <c r="G63" s="689">
        <f>'Ecological Fire Regimes'!$AB$55</f>
        <v>19.557999999999982</v>
      </c>
      <c r="H63" s="689">
        <f>'Ecological Fire Regimes'!$AB$55</f>
        <v>19.557999999999982</v>
      </c>
      <c r="I63" s="691"/>
      <c r="J63" s="691"/>
      <c r="K63" s="691"/>
      <c r="L63" s="691"/>
      <c r="M63" s="691"/>
      <c r="N63" s="691"/>
      <c r="O63" s="691"/>
      <c r="P63" s="691"/>
      <c r="Q63" s="691"/>
      <c r="R63" s="691"/>
      <c r="S63" s="691"/>
      <c r="T63" s="691"/>
      <c r="U63" s="691"/>
      <c r="V63" s="691"/>
      <c r="W63" s="691"/>
      <c r="X63" s="691"/>
      <c r="Y63" s="691"/>
      <c r="Z63" s="691"/>
      <c r="AA63" s="1259"/>
      <c r="AB63" s="3141">
        <f>'Ecological Fire Regimes'!$S$56</f>
        <v>0.99999999999999911</v>
      </c>
      <c r="AC63" s="3160"/>
      <c r="AD63" s="2883"/>
      <c r="AE63" s="2884"/>
      <c r="AF63" s="384"/>
      <c r="AG63" s="3139"/>
      <c r="AH63" s="3112"/>
      <c r="AI63" s="3140"/>
      <c r="AJ63" s="3112"/>
      <c r="AK63" s="3140"/>
      <c r="AL63" s="3140"/>
      <c r="AM63" s="3112"/>
      <c r="AN63" s="3113"/>
      <c r="AO63" s="3139"/>
      <c r="AP63" s="3112"/>
      <c r="AQ63" s="3140"/>
      <c r="AR63" s="3112"/>
      <c r="AS63" s="3140"/>
      <c r="AT63" s="3140"/>
      <c r="AU63" s="3112"/>
      <c r="AV63" s="3113"/>
      <c r="AW63" s="3002"/>
      <c r="AX63" s="384"/>
      <c r="AY63" s="3139"/>
      <c r="AZ63" s="3112"/>
      <c r="BA63" s="3140"/>
      <c r="BB63" s="3112"/>
      <c r="BC63" s="3140"/>
      <c r="BD63" s="3140"/>
      <c r="BE63" s="3112"/>
      <c r="BF63" s="3113"/>
      <c r="BG63" s="3002"/>
      <c r="BH63" s="122"/>
      <c r="BI63" s="122"/>
      <c r="BJ63" s="122"/>
      <c r="BK63" s="1179" t="str">
        <f t="shared" si="6"/>
        <v>Post-action monitoring (Aerial)</v>
      </c>
      <c r="BL63" s="2882">
        <f>'Ecological Fire Regimes'!$G$56</f>
        <v>0.20512820512820515</v>
      </c>
      <c r="BM63" s="3160"/>
      <c r="BN63" s="2883"/>
      <c r="BO63" s="2883"/>
      <c r="BP63" s="844"/>
      <c r="BQ63" s="3137"/>
      <c r="BR63" s="3102"/>
      <c r="BS63" s="3138"/>
      <c r="BT63" s="3102"/>
      <c r="BU63" s="3138"/>
      <c r="BV63" s="3138"/>
      <c r="BW63" s="3102"/>
      <c r="BX63" s="3103"/>
      <c r="BY63" s="1331">
        <f ca="1">OFFSET('Ecological Fire Regimes'!$AC$23,BY$52+$CC63,0)</f>
        <v>4.3869516310461203E-2</v>
      </c>
      <c r="BZ63" s="751">
        <f ca="1">OFFSET('Ecological Fire Regimes'!$AC$23,BZ$52+$CC63,0)</f>
        <v>0.95613048368953879</v>
      </c>
      <c r="CA63" s="608">
        <f ca="1">OFFSET('Ecological Fire Regimes'!$AC$23,CA$52+$CC63,0)</f>
        <v>0</v>
      </c>
      <c r="CB63" s="751" t="str">
        <f ca="1">OFFSET('Ecological Fire Regimes'!$AC$23,CB$52+$CC63,0)</f>
        <v/>
      </c>
      <c r="CC63" s="587">
        <v>32</v>
      </c>
      <c r="CD63" s="578"/>
      <c r="CI63" s="587"/>
    </row>
    <row r="64" spans="1:87">
      <c r="B64" s="591" t="s">
        <v>863</v>
      </c>
      <c r="C64" s="122" t="s">
        <v>1044</v>
      </c>
      <c r="D64" s="606"/>
      <c r="F64" s="841">
        <f>'Ecological Fire Regimes'!$AB$59</f>
        <v>56.921695067264523</v>
      </c>
      <c r="G64" s="841">
        <f>'Ecological Fire Regimes'!$AB$63</f>
        <v>64.360260089686051</v>
      </c>
      <c r="H64" s="841">
        <f>'Ecological Fire Regimes'!$AB$67</f>
        <v>85.243390134529079</v>
      </c>
      <c r="I64" s="691"/>
      <c r="J64" s="843"/>
      <c r="K64" s="691"/>
      <c r="L64" s="690"/>
      <c r="M64" s="691"/>
      <c r="N64" s="690"/>
      <c r="O64" s="691"/>
      <c r="P64" s="844"/>
      <c r="Q64" s="844"/>
      <c r="R64" s="691"/>
      <c r="S64" s="843"/>
      <c r="T64" s="691"/>
      <c r="U64" s="690"/>
      <c r="V64" s="691"/>
      <c r="W64" s="690"/>
      <c r="X64" s="691"/>
      <c r="Y64" s="844"/>
      <c r="Z64" s="844"/>
      <c r="AA64" s="1259"/>
      <c r="AB64" s="3114"/>
      <c r="AC64" s="2882">
        <f>'Ecological Fire Regimes'!$S$60</f>
        <v>0.99999999999999911</v>
      </c>
      <c r="AD64" s="2333">
        <f>'Ecological Fire Regimes'!$S$64</f>
        <v>0.99999999999999911</v>
      </c>
      <c r="AE64" s="3104">
        <f>'Ecological Fire Regimes'!$S$68</f>
        <v>0.99999999999999911</v>
      </c>
      <c r="AF64" s="384"/>
      <c r="AG64" s="3139"/>
      <c r="AH64" s="3112"/>
      <c r="AI64" s="3140"/>
      <c r="AJ64" s="3112"/>
      <c r="AK64" s="3140"/>
      <c r="AL64" s="3140"/>
      <c r="AM64" s="3112"/>
      <c r="AN64" s="3113"/>
      <c r="AO64" s="3139"/>
      <c r="AP64" s="3112"/>
      <c r="AQ64" s="3140"/>
      <c r="AR64" s="3112"/>
      <c r="AS64" s="3140"/>
      <c r="AT64" s="3140"/>
      <c r="AU64" s="3112"/>
      <c r="AV64" s="3113"/>
      <c r="AW64" s="3002"/>
      <c r="AX64" s="384"/>
      <c r="AY64" s="3139"/>
      <c r="AZ64" s="3112"/>
      <c r="BA64" s="3140"/>
      <c r="BB64" s="3112"/>
      <c r="BC64" s="3140"/>
      <c r="BD64" s="3140"/>
      <c r="BE64" s="3112"/>
      <c r="BF64" s="3113"/>
      <c r="BG64" s="3002"/>
      <c r="BH64" s="122"/>
      <c r="BI64" s="122"/>
      <c r="BJ64" s="122"/>
      <c r="BK64" s="1179" t="str">
        <f t="shared" si="6"/>
        <v>Post-action monitoring (Ground)</v>
      </c>
      <c r="BL64" s="1308"/>
      <c r="BM64" s="2882">
        <f>'Ecological Fire Regimes'!$G$60</f>
        <v>3.1270553064275037</v>
      </c>
      <c r="BN64" s="2333">
        <f>'Ecological Fire Regimes'!$G$64</f>
        <v>3.724962630792227</v>
      </c>
      <c r="BO64" s="2882">
        <f>'Ecological Fire Regimes'!$G$68</f>
        <v>4.9207772795216744</v>
      </c>
      <c r="BP64" s="844"/>
      <c r="BQ64" s="3137"/>
      <c r="BR64" s="3102"/>
      <c r="BS64" s="3138"/>
      <c r="BT64" s="3102"/>
      <c r="BU64" s="3138"/>
      <c r="BV64" s="3138"/>
      <c r="BW64" s="3102"/>
      <c r="BX64" s="3103"/>
      <c r="BY64" s="1331">
        <f ca="1">OFFSET('Ecological Fire Regimes'!$AC$23,BY$52+$CC64,0)</f>
        <v>0.45956785255615878</v>
      </c>
      <c r="BZ64" s="751">
        <f ca="1">OFFSET('Ecological Fire Regimes'!$AC$23,BZ$52+$CC64,0)</f>
        <v>0.2238920307324877</v>
      </c>
      <c r="CA64" s="608">
        <f ca="1">OFFSET('Ecological Fire Regimes'!$AC$23,CA$52+$CC64,0)</f>
        <v>0.31654011671135351</v>
      </c>
      <c r="CB64" s="751" t="str">
        <f ca="1">OFFSET('Ecological Fire Regimes'!$AC$23,CB$52+$CC64,0)</f>
        <v/>
      </c>
      <c r="CC64" s="587">
        <f>CC63+4</f>
        <v>36</v>
      </c>
      <c r="CD64" s="578">
        <f t="shared" ca="1" si="7"/>
        <v>1</v>
      </c>
      <c r="CI64" s="587"/>
    </row>
    <row r="65" spans="2:86">
      <c r="B65" s="591" t="s">
        <v>863</v>
      </c>
      <c r="C65" s="79" t="s">
        <v>1104</v>
      </c>
      <c r="D65" s="606"/>
      <c r="F65" s="689">
        <f>'Ecological Fire Regimes'!$AB$71</f>
        <v>85.55624999999992</v>
      </c>
      <c r="G65" s="689">
        <f>'Ecological Fire Regimes'!$AB$71</f>
        <v>85.55624999999992</v>
      </c>
      <c r="H65" s="689">
        <f>'Ecological Fire Regimes'!$AB$71</f>
        <v>85.55624999999992</v>
      </c>
      <c r="I65" s="691"/>
      <c r="J65" s="843"/>
      <c r="K65" s="691"/>
      <c r="L65" s="690"/>
      <c r="M65" s="691"/>
      <c r="N65" s="690"/>
      <c r="O65" s="691"/>
      <c r="P65" s="844"/>
      <c r="Q65" s="844"/>
      <c r="R65" s="691"/>
      <c r="S65" s="843"/>
      <c r="T65" s="691"/>
      <c r="U65" s="690"/>
      <c r="V65" s="691"/>
      <c r="W65" s="690"/>
      <c r="X65" s="691"/>
      <c r="Y65" s="844"/>
      <c r="Z65" s="844"/>
      <c r="AA65" s="1259"/>
      <c r="AB65" s="3114"/>
      <c r="AC65" s="2885"/>
      <c r="AD65" s="2883"/>
      <c r="AE65" s="2884"/>
      <c r="AF65" s="384"/>
      <c r="AG65" s="3139"/>
      <c r="AH65" s="3112"/>
      <c r="AI65" s="3140"/>
      <c r="AJ65" s="3112"/>
      <c r="AK65" s="3140"/>
      <c r="AL65" s="3140"/>
      <c r="AM65" s="3112"/>
      <c r="AN65" s="3113"/>
      <c r="AO65" s="3139"/>
      <c r="AP65" s="3112"/>
      <c r="AQ65" s="3140"/>
      <c r="AR65" s="3112"/>
      <c r="AS65" s="3140"/>
      <c r="AT65" s="3140"/>
      <c r="AU65" s="3112"/>
      <c r="AV65" s="3113"/>
      <c r="AW65" s="3002"/>
      <c r="AX65" s="384"/>
      <c r="AY65" s="3139"/>
      <c r="AZ65" s="3112"/>
      <c r="BA65" s="3140"/>
      <c r="BB65" s="3112"/>
      <c r="BC65" s="3140"/>
      <c r="BD65" s="3140"/>
      <c r="BE65" s="3112"/>
      <c r="BF65" s="3113"/>
      <c r="BG65" s="3002"/>
      <c r="BH65" s="122"/>
      <c r="BI65" s="122"/>
      <c r="BJ65" s="122"/>
      <c r="BK65" s="481" t="str">
        <f t="shared" si="6"/>
        <v>Post-action evaluation</v>
      </c>
      <c r="BL65" s="3167"/>
      <c r="BM65" s="3105"/>
      <c r="BN65" s="3106"/>
      <c r="BO65" s="3107"/>
      <c r="BP65" s="1184"/>
      <c r="BQ65" s="3153"/>
      <c r="BR65" s="3154"/>
      <c r="BS65" s="3155"/>
      <c r="BT65" s="3154"/>
      <c r="BU65" s="3155"/>
      <c r="BV65" s="3155"/>
      <c r="BW65" s="3154"/>
      <c r="BX65" s="3156"/>
      <c r="BY65" s="1331">
        <f ca="1">OFFSET('Ecological Fire Regimes'!$AC$23,BY$52+$CC65,0)</f>
        <v>1</v>
      </c>
      <c r="BZ65" s="751" t="str">
        <f ca="1">OFFSET('Ecological Fire Regimes'!$AC$23,BZ$52+$CC65,0)</f>
        <v/>
      </c>
      <c r="CA65" s="608" t="str">
        <f ca="1">OFFSET('Ecological Fire Regimes'!$AC$23,CA$52+$CC65,0)</f>
        <v/>
      </c>
      <c r="CB65" s="751" t="str">
        <f ca="1">OFFSET('Ecological Fire Regimes'!$AC$23,CB$52+$CC65,0)</f>
        <v/>
      </c>
      <c r="CC65" s="587">
        <v>48</v>
      </c>
      <c r="CD65" s="578">
        <f t="shared" ca="1" si="7"/>
        <v>1</v>
      </c>
    </row>
    <row r="66" spans="2:86">
      <c r="B66" s="593"/>
      <c r="C66" s="1325" t="s">
        <v>833</v>
      </c>
      <c r="D66" s="1326">
        <f>SUM(D57:D65)</f>
        <v>0</v>
      </c>
      <c r="E66" s="1327" t="s">
        <v>826</v>
      </c>
      <c r="F66" s="1265">
        <f>SUM(F57:F65)</f>
        <v>409.62814013452879</v>
      </c>
      <c r="G66" s="1326">
        <f>SUM(G57:G65)</f>
        <v>424.50527017937185</v>
      </c>
      <c r="H66" s="1266">
        <f>SUM(H57:H65)</f>
        <v>466.27153026905791</v>
      </c>
      <c r="I66" s="79"/>
      <c r="J66" s="778">
        <f t="shared" ref="J66:Q66" ca="1" si="17">SUM(J57:J65)</f>
        <v>0</v>
      </c>
      <c r="K66" s="778">
        <f t="shared" ca="1" si="17"/>
        <v>0</v>
      </c>
      <c r="L66" s="778">
        <f t="shared" ca="1" si="17"/>
        <v>5.1639947743523278</v>
      </c>
      <c r="M66" s="778">
        <f t="shared" ca="1" si="17"/>
        <v>5.7075731716525722</v>
      </c>
      <c r="N66" s="778">
        <f t="shared" ca="1" si="17"/>
        <v>7.7459921615284903</v>
      </c>
      <c r="O66" s="778">
        <f t="shared" ca="1" si="17"/>
        <v>13.55548628267486</v>
      </c>
      <c r="P66" s="778">
        <f t="shared" ca="1" si="17"/>
        <v>13.55548628267486</v>
      </c>
      <c r="Q66" s="778">
        <f t="shared" ca="1" si="17"/>
        <v>90.369908551165722</v>
      </c>
      <c r="R66" s="79"/>
      <c r="S66" s="778">
        <f t="shared" ref="S66:Z66" ca="1" si="18">SUM(S57:S65)</f>
        <v>0</v>
      </c>
      <c r="T66" s="778">
        <f t="shared" ca="1" si="18"/>
        <v>0</v>
      </c>
      <c r="U66" s="778">
        <f t="shared" ca="1" si="18"/>
        <v>50.615083635763767</v>
      </c>
      <c r="V66" s="778">
        <f t="shared" ca="1" si="18"/>
        <v>55.94298717637048</v>
      </c>
      <c r="W66" s="778">
        <f t="shared" ca="1" si="18"/>
        <v>75.922625453645651</v>
      </c>
      <c r="X66" s="778">
        <f t="shared" ca="1" si="18"/>
        <v>132.86459454387989</v>
      </c>
      <c r="Y66" s="778">
        <f t="shared" ca="1" si="18"/>
        <v>132.86459454387989</v>
      </c>
      <c r="Z66" s="778">
        <f t="shared" ca="1" si="18"/>
        <v>885.76396362586593</v>
      </c>
      <c r="AA66" s="1271" t="s">
        <v>2226</v>
      </c>
      <c r="AB66" s="3007">
        <f>SUM(AB57:AB65)</f>
        <v>1.9999999999999982</v>
      </c>
      <c r="AC66" s="3003">
        <f>SUM(AC57:AC65)</f>
        <v>1.9999999999999982</v>
      </c>
      <c r="AD66" s="3135">
        <f>SUM(AD57:AD65)</f>
        <v>1.9999999999999982</v>
      </c>
      <c r="AE66" s="3008">
        <f>SUM(AE57:AE65)</f>
        <v>1.9999999999999982</v>
      </c>
      <c r="AF66" s="3176"/>
      <c r="AG66" s="3007">
        <f t="shared" ref="AG66:AN66" ca="1" si="19">SUM(AG57:AG65)</f>
        <v>0</v>
      </c>
      <c r="AH66" s="3007">
        <f t="shared" ca="1" si="19"/>
        <v>0</v>
      </c>
      <c r="AI66" s="3007">
        <f t="shared" ca="1" si="19"/>
        <v>0.99999999999999911</v>
      </c>
      <c r="AJ66" s="3007">
        <f t="shared" ca="1" si="19"/>
        <v>0.99999999999999911</v>
      </c>
      <c r="AK66" s="3007">
        <f t="shared" ca="1" si="19"/>
        <v>0.99999999999999911</v>
      </c>
      <c r="AL66" s="3007">
        <f t="shared" ca="1" si="19"/>
        <v>0.99999999999999911</v>
      </c>
      <c r="AM66" s="3007">
        <f t="shared" ca="1" si="19"/>
        <v>0.99999999999999911</v>
      </c>
      <c r="AN66" s="3007">
        <f t="shared" ca="1" si="19"/>
        <v>0.99999999999999911</v>
      </c>
      <c r="AO66" s="3007">
        <f t="shared" ref="AO66:AV66" ca="1" si="20">SUM(AO57:AO65)</f>
        <v>0</v>
      </c>
      <c r="AP66" s="3007">
        <f t="shared" ca="1" si="20"/>
        <v>0</v>
      </c>
      <c r="AQ66" s="3007">
        <f t="shared" ca="1" si="20"/>
        <v>0.99999999999999911</v>
      </c>
      <c r="AR66" s="3007">
        <f t="shared" ca="1" si="20"/>
        <v>0.99999999999999911</v>
      </c>
      <c r="AS66" s="3007">
        <f t="shared" ca="1" si="20"/>
        <v>0.99999999999999911</v>
      </c>
      <c r="AT66" s="3007">
        <f t="shared" ca="1" si="20"/>
        <v>0.99999999999999911</v>
      </c>
      <c r="AU66" s="3007">
        <f t="shared" ca="1" si="20"/>
        <v>0.99999999999999911</v>
      </c>
      <c r="AV66" s="3007">
        <f t="shared" ca="1" si="20"/>
        <v>0.99999999999999911</v>
      </c>
      <c r="AW66" s="3007">
        <f>SUM(AW57:AW65)</f>
        <v>1.9999999999999982</v>
      </c>
      <c r="AX66" s="620"/>
      <c r="AY66" s="3007">
        <f t="shared" ref="AY66:BF66" ca="1" si="21">SUM(AY57:AY65)</f>
        <v>0</v>
      </c>
      <c r="AZ66" s="3007">
        <f t="shared" ca="1" si="21"/>
        <v>0</v>
      </c>
      <c r="BA66" s="3007">
        <f t="shared" ca="1" si="21"/>
        <v>1.9999999999999982</v>
      </c>
      <c r="BB66" s="3007">
        <f t="shared" ca="1" si="21"/>
        <v>1.9999999999999982</v>
      </c>
      <c r="BC66" s="3007">
        <f t="shared" ca="1" si="21"/>
        <v>1.9999999999999982</v>
      </c>
      <c r="BD66" s="3007">
        <f t="shared" ca="1" si="21"/>
        <v>1.9999999999999982</v>
      </c>
      <c r="BE66" s="3007">
        <f t="shared" ca="1" si="21"/>
        <v>1.9999999999999982</v>
      </c>
      <c r="BF66" s="3007">
        <f t="shared" ca="1" si="21"/>
        <v>2.9999999999999973</v>
      </c>
      <c r="BG66" s="3135">
        <f>SUM(BG57:BG65)</f>
        <v>1.9999999999999982</v>
      </c>
      <c r="BH66" s="276"/>
      <c r="BI66" s="276"/>
      <c r="BJ66" s="276"/>
      <c r="BL66" s="90"/>
      <c r="BM66" s="3108"/>
      <c r="BN66" s="3109"/>
      <c r="BO66" s="3168"/>
      <c r="BP66" s="3149"/>
      <c r="BQ66" s="3157">
        <f ca="1">SUM(BQ57:BQ65)</f>
        <v>0</v>
      </c>
      <c r="BR66" s="3157">
        <f ca="1">SUM(BR57:BR65)</f>
        <v>0</v>
      </c>
      <c r="BS66" s="3157">
        <f ca="1">SUM(BS57:BS65)</f>
        <v>2.1997140817205061</v>
      </c>
      <c r="BT66" s="3157">
        <f ca="1">SUM(BT57:BT65)</f>
        <v>2.4312629324279271</v>
      </c>
      <c r="BU66" s="3157">
        <f ca="1">SUM(BU57:BU65)</f>
        <v>3.2995711225807582</v>
      </c>
      <c r="BV66" s="3157"/>
      <c r="BW66" s="3157">
        <f ca="1">SUM(BW57:BW65)</f>
        <v>5.7742494645163269</v>
      </c>
      <c r="BX66" s="3157">
        <f ca="1">SUM(BX57:BX65)</f>
        <v>38.494996430108849</v>
      </c>
      <c r="BY66" s="1332"/>
      <c r="BZ66" s="1333"/>
      <c r="CA66" s="1333"/>
      <c r="CB66" s="368"/>
      <c r="CC66" s="10"/>
      <c r="CD66" s="1"/>
    </row>
    <row r="67" spans="2:86">
      <c r="B67" s="811"/>
      <c r="E67" s="16"/>
      <c r="F67" s="16"/>
      <c r="H67" s="1"/>
      <c r="K67" s="1"/>
      <c r="L67" s="1"/>
      <c r="M67" s="1"/>
      <c r="N67" s="1"/>
      <c r="O67" s="1"/>
      <c r="P67" s="1"/>
      <c r="Q67" s="1"/>
      <c r="R67" s="1"/>
      <c r="S67" s="1"/>
      <c r="T67" s="1"/>
      <c r="U67" s="1"/>
      <c r="V67" s="1"/>
      <c r="W67" s="1"/>
      <c r="X67" s="1"/>
      <c r="Y67" s="1"/>
      <c r="Z67" s="1"/>
      <c r="AX67" s="9"/>
      <c r="BH67" s="9"/>
      <c r="CB67" s="609"/>
      <c r="CC67" s="609"/>
      <c r="CD67" s="609"/>
      <c r="CE67" s="609"/>
    </row>
    <row r="68" spans="2:86">
      <c r="B68" s="811"/>
      <c r="C68" s="16"/>
      <c r="D68" s="16"/>
      <c r="AB68" s="620"/>
      <c r="BH68" s="9"/>
      <c r="BY68" s="609"/>
    </row>
    <row r="69" spans="2:86">
      <c r="B69" s="811"/>
      <c r="C69" s="28" t="s">
        <v>822</v>
      </c>
      <c r="D69" s="28"/>
      <c r="E69" s="3"/>
      <c r="F69" s="592" t="s">
        <v>802</v>
      </c>
      <c r="G69" s="401" t="s">
        <v>803</v>
      </c>
      <c r="H69" s="274" t="s">
        <v>733</v>
      </c>
      <c r="I69" s="79"/>
      <c r="J69" s="2316" t="s">
        <v>1620</v>
      </c>
      <c r="K69" s="2317" t="s">
        <v>1624</v>
      </c>
      <c r="L69" s="2317" t="s">
        <v>1622</v>
      </c>
      <c r="M69" s="2317" t="s">
        <v>1623</v>
      </c>
      <c r="N69" s="2317" t="s">
        <v>1621</v>
      </c>
      <c r="O69" s="2319" t="s">
        <v>1627</v>
      </c>
      <c r="P69" s="2317" t="s">
        <v>1625</v>
      </c>
      <c r="Q69" s="2318" t="s">
        <v>1626</v>
      </c>
      <c r="R69" s="79"/>
      <c r="S69" s="2316" t="s">
        <v>1620</v>
      </c>
      <c r="T69" s="2317" t="s">
        <v>1624</v>
      </c>
      <c r="U69" s="2317" t="s">
        <v>1622</v>
      </c>
      <c r="V69" s="2317" t="s">
        <v>1623</v>
      </c>
      <c r="W69" s="2317" t="s">
        <v>1621</v>
      </c>
      <c r="X69" s="2319" t="s">
        <v>1627</v>
      </c>
      <c r="Y69" s="2317" t="s">
        <v>1625</v>
      </c>
      <c r="Z69" s="2318" t="s">
        <v>1626</v>
      </c>
      <c r="AA69" s="3"/>
      <c r="AB69" s="3"/>
      <c r="AC69" s="3"/>
      <c r="BH69" s="9"/>
      <c r="BY69" s="609"/>
    </row>
    <row r="70" spans="2:86" ht="15" customHeight="1">
      <c r="B70" s="480" t="s">
        <v>862</v>
      </c>
      <c r="C70" s="255" t="s">
        <v>57</v>
      </c>
      <c r="D70" s="749"/>
      <c r="F70" s="1181">
        <f>'Ecological Fire Regimes'!$Z$23</f>
        <v>69.862499999999926</v>
      </c>
      <c r="G70" s="1180">
        <f>'Ecological Fire Regimes'!$Z$23</f>
        <v>69.862499999999926</v>
      </c>
      <c r="H70" s="1183">
        <f>'Ecological Fire Regimes'!$Z$23</f>
        <v>69.862499999999926</v>
      </c>
      <c r="I70" s="691"/>
      <c r="J70" s="843"/>
      <c r="K70" s="691"/>
      <c r="L70" s="844"/>
      <c r="M70" s="691"/>
      <c r="N70" s="844"/>
      <c r="O70" s="691"/>
      <c r="P70" s="844"/>
      <c r="Q70" s="844"/>
      <c r="R70" s="691"/>
      <c r="S70" s="843"/>
      <c r="T70" s="691"/>
      <c r="U70" s="844"/>
      <c r="V70" s="691"/>
      <c r="W70" s="844"/>
      <c r="X70" s="691"/>
      <c r="Y70" s="844"/>
      <c r="Z70" s="844"/>
      <c r="AA70" s="768"/>
      <c r="AB70" s="768"/>
      <c r="AC70" s="768"/>
      <c r="BH70" s="9"/>
      <c r="BK70" t="s">
        <v>299</v>
      </c>
      <c r="BY70" s="609"/>
    </row>
    <row r="71" spans="2:86">
      <c r="B71" s="591" t="s">
        <v>862</v>
      </c>
      <c r="C71" s="79" t="s">
        <v>1660</v>
      </c>
      <c r="D71" s="606"/>
      <c r="F71" s="839">
        <f>'Ecological Fire Regimes'!$Z$27</f>
        <v>6.0195384615384553</v>
      </c>
      <c r="G71" s="839">
        <f>'Ecological Fire Regimes'!$Z$27</f>
        <v>6.0195384615384553</v>
      </c>
      <c r="H71" s="839">
        <f>'Ecological Fire Regimes'!$Z$27</f>
        <v>6.0195384615384553</v>
      </c>
      <c r="I71" s="691"/>
      <c r="J71" s="843"/>
      <c r="K71" s="691"/>
      <c r="L71" s="844"/>
      <c r="M71" s="691"/>
      <c r="N71" s="844"/>
      <c r="O71" s="691"/>
      <c r="P71" s="844"/>
      <c r="Q71" s="844"/>
      <c r="R71" s="691"/>
      <c r="S71" s="843"/>
      <c r="T71" s="691"/>
      <c r="U71" s="844"/>
      <c r="V71" s="691"/>
      <c r="W71" s="844"/>
      <c r="X71" s="691"/>
      <c r="Y71" s="844"/>
      <c r="Z71" s="844"/>
      <c r="AA71" s="779"/>
      <c r="AB71" s="779"/>
      <c r="AC71" s="779"/>
      <c r="AD71" s="620"/>
      <c r="BY71" s="609"/>
    </row>
    <row r="72" spans="2:86" ht="16" customHeight="1">
      <c r="B72" s="591" t="s">
        <v>863</v>
      </c>
      <c r="C72" s="122" t="s">
        <v>1001</v>
      </c>
      <c r="D72" s="606"/>
      <c r="F72" s="689">
        <f>'Ecological Fire Regimes'!$Z$31</f>
        <v>21.337838565022402</v>
      </c>
      <c r="G72" s="842">
        <f>'Ecological Fire Regimes'!$Z$35</f>
        <v>24.381784753363213</v>
      </c>
      <c r="H72" s="842">
        <f>'Ecological Fire Regimes'!$Z$39</f>
        <v>32.275677130044819</v>
      </c>
      <c r="I72" s="691"/>
      <c r="J72" s="843"/>
      <c r="K72" s="691"/>
      <c r="L72" s="844"/>
      <c r="M72" s="691"/>
      <c r="N72" s="844"/>
      <c r="O72" s="691"/>
      <c r="P72" s="844"/>
      <c r="Q72" s="844"/>
      <c r="R72" s="691"/>
      <c r="S72" s="843"/>
      <c r="T72" s="691"/>
      <c r="U72" s="844"/>
      <c r="V72" s="691"/>
      <c r="W72" s="844"/>
      <c r="X72" s="691"/>
      <c r="Y72" s="844"/>
      <c r="Z72" s="844"/>
      <c r="AA72" s="779"/>
      <c r="AB72" s="779"/>
      <c r="AC72" s="779"/>
      <c r="BY72" s="609"/>
    </row>
    <row r="73" spans="2:86">
      <c r="B73" s="591" t="s">
        <v>863</v>
      </c>
      <c r="C73" s="122" t="s">
        <v>1693</v>
      </c>
      <c r="D73" s="606"/>
      <c r="F73" s="845"/>
      <c r="G73" s="691"/>
      <c r="H73" s="844"/>
      <c r="I73" s="689">
        <f>'Ecological Fire Regimes'!$Z$43</f>
        <v>526.00352729553049</v>
      </c>
      <c r="J73" s="190">
        <f ca="1">$I73*J$54*$J$52</f>
        <v>0</v>
      </c>
      <c r="K73" s="190">
        <f t="shared" ref="K73:Q73" ca="1" si="22">$I73*K$54*$J$52</f>
        <v>0</v>
      </c>
      <c r="L73" s="190">
        <f t="shared" ca="1" si="22"/>
        <v>1.3292686969844618</v>
      </c>
      <c r="M73" s="190">
        <f t="shared" ca="1" si="22"/>
        <v>1.4691917177196683</v>
      </c>
      <c r="N73" s="190">
        <f t="shared" ca="1" si="22"/>
        <v>1.9939030454766928</v>
      </c>
      <c r="O73" s="190">
        <f t="shared" ca="1" si="22"/>
        <v>3.4893303295842126</v>
      </c>
      <c r="P73" s="190">
        <f t="shared" ca="1" si="22"/>
        <v>3.4893303295842126</v>
      </c>
      <c r="Q73" s="190">
        <f t="shared" ca="1" si="22"/>
        <v>23.262202197228081</v>
      </c>
      <c r="R73" s="689">
        <f>'Ecological Fire Regimes'!$Z$43</f>
        <v>526.00352729553049</v>
      </c>
      <c r="S73" s="190">
        <f ca="1">$R73*S$54</f>
        <v>0</v>
      </c>
      <c r="T73" s="190">
        <f t="shared" ref="T73:Z73" ca="1" si="23">$R73*T$54</f>
        <v>0</v>
      </c>
      <c r="U73" s="190">
        <f t="shared" ca="1" si="23"/>
        <v>10.019114805629153</v>
      </c>
      <c r="V73" s="190">
        <f t="shared" ca="1" si="23"/>
        <v>11.073758469379589</v>
      </c>
      <c r="W73" s="190">
        <f t="shared" ca="1" si="23"/>
        <v>15.028672208443728</v>
      </c>
      <c r="X73" s="190">
        <f t="shared" ca="1" si="23"/>
        <v>26.300176364776526</v>
      </c>
      <c r="Y73" s="190">
        <f t="shared" ca="1" si="23"/>
        <v>26.300176364776526</v>
      </c>
      <c r="Z73" s="190">
        <f t="shared" ca="1" si="23"/>
        <v>175.33450909851015</v>
      </c>
      <c r="AA73" s="779"/>
      <c r="AB73" s="779"/>
      <c r="AC73" s="779"/>
      <c r="AD73" s="620"/>
      <c r="BY73" s="609"/>
    </row>
    <row r="74" spans="2:86">
      <c r="B74" s="591" t="s">
        <v>863</v>
      </c>
      <c r="C74" s="122" t="s">
        <v>1694</v>
      </c>
      <c r="D74" s="606"/>
      <c r="F74" s="845"/>
      <c r="G74" s="691"/>
      <c r="H74" s="844"/>
      <c r="I74" s="689">
        <f>'Ecological Fire Regimes'!$Z$47</f>
        <v>20.599005308465827</v>
      </c>
      <c r="J74" s="190">
        <f ca="1">$I74*J$54</f>
        <v>0</v>
      </c>
      <c r="K74" s="190">
        <f t="shared" ref="K74:Q74" ca="1" si="24">$I74*K$54</f>
        <v>0</v>
      </c>
      <c r="L74" s="190">
        <f t="shared" ca="1" si="24"/>
        <v>0.3923620058755396</v>
      </c>
      <c r="M74" s="190">
        <f t="shared" ca="1" si="24"/>
        <v>0.43366326965191215</v>
      </c>
      <c r="N74" s="190">
        <f t="shared" ca="1" si="24"/>
        <v>0.58854300881330934</v>
      </c>
      <c r="O74" s="190">
        <f t="shared" ca="1" si="24"/>
        <v>1.0299502654232915</v>
      </c>
      <c r="P74" s="190">
        <f t="shared" ca="1" si="24"/>
        <v>1.0299502654232915</v>
      </c>
      <c r="Q74" s="342">
        <f t="shared" ca="1" si="24"/>
        <v>6.8663351028219424</v>
      </c>
      <c r="R74" s="689"/>
      <c r="S74" s="843"/>
      <c r="T74" s="843"/>
      <c r="U74" s="843"/>
      <c r="V74" s="843"/>
      <c r="W74" s="843"/>
      <c r="X74" s="843"/>
      <c r="Y74" s="843"/>
      <c r="Z74" s="843"/>
      <c r="AA74" s="779"/>
      <c r="AB74" s="779"/>
      <c r="AC74" s="779"/>
      <c r="BY74" s="609"/>
    </row>
    <row r="75" spans="2:86">
      <c r="B75" s="591" t="s">
        <v>863</v>
      </c>
      <c r="C75" s="122" t="s">
        <v>1695</v>
      </c>
      <c r="D75" s="606"/>
      <c r="F75" s="845"/>
      <c r="G75" s="691"/>
      <c r="H75" s="844"/>
      <c r="I75" s="689"/>
      <c r="J75" s="190"/>
      <c r="K75" s="190"/>
      <c r="L75" s="190"/>
      <c r="M75" s="190"/>
      <c r="N75" s="190"/>
      <c r="O75" s="190"/>
      <c r="P75" s="190"/>
      <c r="Q75" s="342"/>
      <c r="R75" s="689">
        <f>'Ecological Fire Regimes'!$Z$51</f>
        <v>406.78082916717966</v>
      </c>
      <c r="S75" s="190">
        <f ca="1">$R75*S$54</f>
        <v>0</v>
      </c>
      <c r="T75" s="190">
        <f t="shared" ref="T75:Z75" ca="1" si="25">$R75*T$54</f>
        <v>0</v>
      </c>
      <c r="U75" s="190">
        <f t="shared" ca="1" si="25"/>
        <v>7.7482062698510417</v>
      </c>
      <c r="V75" s="190">
        <f t="shared" ca="1" si="25"/>
        <v>8.5638069298353603</v>
      </c>
      <c r="W75" s="190">
        <f t="shared" ca="1" si="25"/>
        <v>11.622309404776562</v>
      </c>
      <c r="X75" s="190">
        <f t="shared" ca="1" si="25"/>
        <v>20.339041458358984</v>
      </c>
      <c r="Y75" s="190">
        <f t="shared" ca="1" si="25"/>
        <v>20.339041458358984</v>
      </c>
      <c r="Z75" s="190">
        <f t="shared" ca="1" si="25"/>
        <v>135.59360972239321</v>
      </c>
      <c r="AA75" s="779"/>
      <c r="AB75" s="779"/>
      <c r="AC75" s="779"/>
      <c r="BY75" s="609"/>
    </row>
    <row r="76" spans="2:86">
      <c r="B76" s="591" t="s">
        <v>862</v>
      </c>
      <c r="C76" s="122" t="s">
        <v>1043</v>
      </c>
      <c r="D76" s="606"/>
      <c r="F76" s="689">
        <f>'Ecological Fire Regimes'!$Z$55</f>
        <v>6.0195384615384553</v>
      </c>
      <c r="G76" s="689">
        <f>'Ecological Fire Regimes'!$Z$55</f>
        <v>6.0195384615384553</v>
      </c>
      <c r="H76" s="689">
        <f>'Ecological Fire Regimes'!$Z$55</f>
        <v>6.0195384615384553</v>
      </c>
      <c r="I76" s="691"/>
      <c r="J76" s="691"/>
      <c r="K76" s="691"/>
      <c r="L76" s="691"/>
      <c r="M76" s="691"/>
      <c r="N76" s="691"/>
      <c r="O76" s="691"/>
      <c r="P76" s="691"/>
      <c r="Q76" s="691"/>
      <c r="R76" s="691"/>
      <c r="S76" s="691"/>
      <c r="T76" s="691"/>
      <c r="U76" s="691"/>
      <c r="V76" s="691"/>
      <c r="W76" s="691"/>
      <c r="X76" s="691"/>
      <c r="Y76" s="691"/>
      <c r="Z76" s="691"/>
      <c r="AA76" s="779"/>
      <c r="AB76" s="779"/>
      <c r="AC76" s="779"/>
      <c r="BY76" s="609"/>
    </row>
    <row r="77" spans="2:86">
      <c r="B77" s="591" t="s">
        <v>863</v>
      </c>
      <c r="C77" s="122" t="s">
        <v>1044</v>
      </c>
      <c r="D77" s="606"/>
      <c r="F77" s="841">
        <f>'Ecological Fire Regimes'!$Z$59</f>
        <v>21.337838565022402</v>
      </c>
      <c r="G77" s="841">
        <f>'Ecological Fire Regimes'!$Z$63</f>
        <v>24.381784753363213</v>
      </c>
      <c r="H77" s="841">
        <f>'Ecological Fire Regimes'!$Z$67</f>
        <v>32.275677130044819</v>
      </c>
      <c r="I77" s="691"/>
      <c r="J77" s="843"/>
      <c r="K77" s="691"/>
      <c r="L77" s="690"/>
      <c r="M77" s="691"/>
      <c r="N77" s="690"/>
      <c r="O77" s="691"/>
      <c r="P77" s="844"/>
      <c r="Q77" s="844"/>
      <c r="R77" s="691"/>
      <c r="S77" s="843"/>
      <c r="T77" s="691"/>
      <c r="U77" s="690"/>
      <c r="V77" s="691"/>
      <c r="W77" s="690"/>
      <c r="X77" s="691"/>
      <c r="Y77" s="844"/>
      <c r="Z77" s="844"/>
      <c r="AA77" s="779"/>
      <c r="AB77" s="779"/>
      <c r="AC77" s="779"/>
      <c r="BY77" s="609"/>
    </row>
    <row r="78" spans="2:86">
      <c r="B78" s="591" t="s">
        <v>863</v>
      </c>
      <c r="C78" s="79" t="s">
        <v>1104</v>
      </c>
      <c r="D78" s="606"/>
      <c r="F78" s="689">
        <f>'Ecological Fire Regimes'!$Z$71</f>
        <v>34.931249999999963</v>
      </c>
      <c r="G78" s="689">
        <f>'Ecological Fire Regimes'!$Z$71</f>
        <v>34.931249999999963</v>
      </c>
      <c r="H78" s="689">
        <f>'Ecological Fire Regimes'!$Z$71</f>
        <v>34.931249999999963</v>
      </c>
      <c r="I78" s="691"/>
      <c r="J78" s="843"/>
      <c r="K78" s="691"/>
      <c r="L78" s="690"/>
      <c r="M78" s="691"/>
      <c r="N78" s="690"/>
      <c r="O78" s="691"/>
      <c r="P78" s="844"/>
      <c r="Q78" s="844"/>
      <c r="R78" s="691"/>
      <c r="S78" s="843"/>
      <c r="T78" s="691"/>
      <c r="U78" s="690"/>
      <c r="V78" s="691"/>
      <c r="W78" s="690"/>
      <c r="X78" s="691"/>
      <c r="Y78" s="844"/>
      <c r="Z78" s="844"/>
    </row>
    <row r="79" spans="2:86">
      <c r="B79" s="593"/>
      <c r="C79" s="1325" t="s">
        <v>833</v>
      </c>
      <c r="D79" s="1326">
        <f>SUM(D70:D78)</f>
        <v>0</v>
      </c>
      <c r="E79" s="1327" t="s">
        <v>826</v>
      </c>
      <c r="F79" s="1265">
        <f>SUM(F70:F78)</f>
        <v>159.50850405312161</v>
      </c>
      <c r="G79" s="1326">
        <f>SUM(G70:G78)</f>
        <v>165.59639642980324</v>
      </c>
      <c r="H79" s="1266">
        <f>SUM(H70:H78)</f>
        <v>181.38418118316645</v>
      </c>
      <c r="I79" s="79"/>
      <c r="J79" s="778">
        <f t="shared" ref="J79:Q79" ca="1" si="26">SUM(J70:J78)</f>
        <v>0</v>
      </c>
      <c r="K79" s="778">
        <f t="shared" ca="1" si="26"/>
        <v>0</v>
      </c>
      <c r="L79" s="778">
        <f t="shared" ca="1" si="26"/>
        <v>1.7216307028600015</v>
      </c>
      <c r="M79" s="778">
        <f t="shared" ca="1" si="26"/>
        <v>1.9028549873715805</v>
      </c>
      <c r="N79" s="778">
        <f t="shared" ca="1" si="26"/>
        <v>2.5824460542900023</v>
      </c>
      <c r="O79" s="778">
        <f t="shared" ca="1" si="26"/>
        <v>4.5192805950075039</v>
      </c>
      <c r="P79" s="778">
        <f t="shared" ca="1" si="26"/>
        <v>4.5192805950075039</v>
      </c>
      <c r="Q79" s="778">
        <f t="shared" ca="1" si="26"/>
        <v>30.128537300050024</v>
      </c>
      <c r="R79" s="79"/>
      <c r="S79" s="778">
        <f t="shared" ref="S79:Z79" ca="1" si="27">SUM(S70:S78)</f>
        <v>0</v>
      </c>
      <c r="T79" s="778">
        <f t="shared" ca="1" si="27"/>
        <v>0</v>
      </c>
      <c r="U79" s="778">
        <f t="shared" ca="1" si="27"/>
        <v>17.767321075480194</v>
      </c>
      <c r="V79" s="778">
        <f t="shared" ca="1" si="27"/>
        <v>19.637565399214949</v>
      </c>
      <c r="W79" s="778">
        <f t="shared" ca="1" si="27"/>
        <v>26.650981613220289</v>
      </c>
      <c r="X79" s="778">
        <f t="shared" ca="1" si="27"/>
        <v>46.63921782313551</v>
      </c>
      <c r="Y79" s="778">
        <f t="shared" ca="1" si="27"/>
        <v>46.63921782313551</v>
      </c>
      <c r="Z79" s="778">
        <f t="shared" ca="1" si="27"/>
        <v>310.92811882090336</v>
      </c>
      <c r="CH79" s="587"/>
    </row>
    <row r="81" spans="4:26">
      <c r="J81">
        <v>0</v>
      </c>
      <c r="K81">
        <f>J81+1</f>
        <v>1</v>
      </c>
      <c r="L81">
        <f>K81+1</f>
        <v>2</v>
      </c>
      <c r="M81">
        <f>L81+1</f>
        <v>3</v>
      </c>
      <c r="N81">
        <f>M81+1</f>
        <v>4</v>
      </c>
      <c r="O81">
        <f>N81+1</f>
        <v>5</v>
      </c>
      <c r="P81">
        <v>6</v>
      </c>
      <c r="Q81">
        <v>7</v>
      </c>
      <c r="S81">
        <v>0</v>
      </c>
      <c r="T81">
        <f>S81+1</f>
        <v>1</v>
      </c>
      <c r="U81">
        <f>T81+1</f>
        <v>2</v>
      </c>
      <c r="V81">
        <f>U81+1</f>
        <v>3</v>
      </c>
      <c r="W81">
        <f>V81+1</f>
        <v>4</v>
      </c>
      <c r="X81">
        <f>W81+1</f>
        <v>5</v>
      </c>
      <c r="Y81">
        <v>6</v>
      </c>
      <c r="Z81">
        <v>7</v>
      </c>
    </row>
    <row r="83" spans="4:26" s="9" customFormat="1">
      <c r="E83" s="116"/>
      <c r="I83" s="572"/>
    </row>
    <row r="84" spans="4:26" s="9" customFormat="1">
      <c r="D84" s="256" t="s">
        <v>1615</v>
      </c>
      <c r="E84" s="2297" t="s">
        <v>1616</v>
      </c>
      <c r="F84" s="256" t="s">
        <v>1617</v>
      </c>
      <c r="G84" s="256" t="s">
        <v>1643</v>
      </c>
      <c r="H84" s="256" t="s">
        <v>1642</v>
      </c>
      <c r="I84" s="2298" t="s">
        <v>1618</v>
      </c>
      <c r="J84" s="256" t="s">
        <v>1619</v>
      </c>
      <c r="M84" s="9" t="str">
        <f t="shared" ref="M84:M93" si="28">D84</f>
        <v>Vegetation type</v>
      </c>
      <c r="N84" s="9" t="str">
        <f t="shared" ref="N84:N93" si="29">G84</f>
        <v>Assumed fire interval</v>
      </c>
      <c r="O84" s="9" t="str">
        <f t="shared" ref="O84:O93" si="30">H84</f>
        <v>Assumed Extent for costings</v>
      </c>
    </row>
    <row r="85" spans="4:26" s="9" customFormat="1">
      <c r="D85" s="9" t="s">
        <v>1620</v>
      </c>
      <c r="E85" s="116" t="s">
        <v>25</v>
      </c>
      <c r="F85" s="9" t="s">
        <v>1630</v>
      </c>
      <c r="G85" s="2301">
        <v>300</v>
      </c>
      <c r="H85" s="2300">
        <f>1/G85</f>
        <v>3.3333333333333335E-3</v>
      </c>
      <c r="I85" s="572" t="s">
        <v>1636</v>
      </c>
      <c r="M85" s="9" t="str">
        <f t="shared" si="28"/>
        <v>Tropical rainforest</v>
      </c>
      <c r="N85" s="9">
        <f t="shared" si="29"/>
        <v>300</v>
      </c>
      <c r="O85" s="2299">
        <f t="shared" si="30"/>
        <v>3.3333333333333335E-3</v>
      </c>
    </row>
    <row r="86" spans="4:26" s="9" customFormat="1">
      <c r="D86" s="9" t="s">
        <v>1626</v>
      </c>
      <c r="E86" s="116" t="s">
        <v>733</v>
      </c>
      <c r="F86" s="9" t="s">
        <v>1631</v>
      </c>
      <c r="G86" s="2301">
        <v>3</v>
      </c>
      <c r="H86" s="2300">
        <f>1/G86</f>
        <v>0.33333333333333331</v>
      </c>
      <c r="I86" s="572" t="s">
        <v>1637</v>
      </c>
      <c r="M86" s="9" t="str">
        <f t="shared" si="28"/>
        <v xml:space="preserve">Tropical savanna </v>
      </c>
      <c r="N86" s="9">
        <f t="shared" si="29"/>
        <v>3</v>
      </c>
      <c r="O86" s="2299">
        <f t="shared" si="30"/>
        <v>0.33333333333333331</v>
      </c>
    </row>
    <row r="87" spans="4:26" s="9" customFormat="1">
      <c r="D87" s="9" t="s">
        <v>1627</v>
      </c>
      <c r="E87" s="116" t="s">
        <v>1628</v>
      </c>
      <c r="F87" s="9" t="s">
        <v>1632</v>
      </c>
      <c r="G87" s="2301">
        <v>20</v>
      </c>
      <c r="H87" s="2300">
        <f>1/G87</f>
        <v>0.05</v>
      </c>
      <c r="I87" s="572" t="s">
        <v>1638</v>
      </c>
      <c r="M87" s="9" t="str">
        <f t="shared" si="28"/>
        <v>Semi-arid spinifex grasslands</v>
      </c>
      <c r="N87" s="9">
        <f t="shared" si="29"/>
        <v>20</v>
      </c>
      <c r="O87" s="2299">
        <f t="shared" si="30"/>
        <v>0.05</v>
      </c>
    </row>
    <row r="88" spans="4:26" s="9" customFormat="1">
      <c r="D88" s="9" t="s">
        <v>1621</v>
      </c>
      <c r="E88" s="116" t="s">
        <v>1628</v>
      </c>
      <c r="F88" s="9" t="s">
        <v>1633</v>
      </c>
      <c r="G88" s="2301">
        <v>35</v>
      </c>
      <c r="H88" s="2300">
        <f>1/G88</f>
        <v>2.8571428571428571E-2</v>
      </c>
      <c r="I88" s="572" t="s">
        <v>1639</v>
      </c>
      <c r="M88" s="9" t="str">
        <f t="shared" si="28"/>
        <v>Desert</v>
      </c>
      <c r="N88" s="9">
        <f t="shared" si="29"/>
        <v>35</v>
      </c>
      <c r="O88" s="2299">
        <f t="shared" si="30"/>
        <v>2.8571428571428571E-2</v>
      </c>
    </row>
    <row r="89" spans="4:26" s="9" customFormat="1">
      <c r="D89" s="9" t="s">
        <v>1625</v>
      </c>
      <c r="E89" s="116" t="s">
        <v>25</v>
      </c>
      <c r="F89" s="9" t="s">
        <v>1634</v>
      </c>
      <c r="G89" s="2301">
        <v>20</v>
      </c>
      <c r="H89" s="2300">
        <f>1/G89</f>
        <v>0.05</v>
      </c>
      <c r="I89" s="572" t="s">
        <v>1639</v>
      </c>
      <c r="M89" s="9" t="str">
        <f t="shared" si="28"/>
        <v>Shrubland</v>
      </c>
      <c r="N89" s="9">
        <f t="shared" si="29"/>
        <v>20</v>
      </c>
      <c r="O89" s="2299">
        <f t="shared" si="30"/>
        <v>0.05</v>
      </c>
    </row>
    <row r="90" spans="4:26" s="9" customFormat="1">
      <c r="D90" s="9" t="s">
        <v>1644</v>
      </c>
      <c r="E90" s="116" t="s">
        <v>735</v>
      </c>
      <c r="F90" s="9" t="s">
        <v>1646</v>
      </c>
      <c r="G90" s="2301">
        <v>65</v>
      </c>
      <c r="H90" s="2300">
        <f>1/AVERAGE(G90,G91)</f>
        <v>1.9047619047619049E-2</v>
      </c>
      <c r="I90" s="572" t="s">
        <v>1639</v>
      </c>
      <c r="M90" s="9" t="str">
        <f t="shared" si="28"/>
        <v>Dry sclerophyll forest (NB1) (mod to high rates of litter and near surface live fuel accumulation)</v>
      </c>
      <c r="N90" s="9">
        <f t="shared" si="29"/>
        <v>65</v>
      </c>
      <c r="O90" s="2299">
        <f t="shared" si="30"/>
        <v>1.9047619047619049E-2</v>
      </c>
    </row>
    <row r="91" spans="4:26" s="9" customFormat="1" ht="68">
      <c r="D91" s="9" t="s">
        <v>1645</v>
      </c>
      <c r="E91" s="116" t="s">
        <v>1629</v>
      </c>
      <c r="F91" s="3679" t="s">
        <v>2566</v>
      </c>
      <c r="G91" s="2301">
        <v>40</v>
      </c>
      <c r="H91" s="2300">
        <f>1/AVERAGE(G90,G91)</f>
        <v>1.9047619047619049E-2</v>
      </c>
      <c r="I91" s="572" t="s">
        <v>1640</v>
      </c>
      <c r="M91" s="9" t="str">
        <f t="shared" si="28"/>
        <v>Dry sclerophyll forest (NB2) (low rates of litter and near surface live fuel accumulation)</v>
      </c>
      <c r="N91" s="9">
        <f t="shared" si="29"/>
        <v>40</v>
      </c>
      <c r="O91" s="2299">
        <f t="shared" si="30"/>
        <v>1.9047619047619049E-2</v>
      </c>
      <c r="U91" s="9" t="s">
        <v>2575</v>
      </c>
      <c r="V91" s="9">
        <f>X95/V95</f>
        <v>15.899981401517879</v>
      </c>
    </row>
    <row r="92" spans="4:26" s="9" customFormat="1" ht="21" customHeight="1">
      <c r="D92" s="9" t="s">
        <v>1623</v>
      </c>
      <c r="E92" s="116" t="s">
        <v>733</v>
      </c>
      <c r="F92" s="3679" t="s">
        <v>2567</v>
      </c>
      <c r="G92" s="2301">
        <v>47.5</v>
      </c>
      <c r="H92" s="2300">
        <f>1/G92</f>
        <v>2.1052631578947368E-2</v>
      </c>
      <c r="I92" s="572" t="s">
        <v>1641</v>
      </c>
      <c r="M92" s="9" t="str">
        <f t="shared" si="28"/>
        <v>Wet sclerophyll forest</v>
      </c>
      <c r="N92" s="9">
        <f t="shared" si="29"/>
        <v>47.5</v>
      </c>
      <c r="O92" s="2299">
        <f t="shared" si="30"/>
        <v>2.1052631578947368E-2</v>
      </c>
      <c r="U92" s="3935" t="s">
        <v>1712</v>
      </c>
      <c r="V92" s="3936"/>
      <c r="W92" s="3936"/>
      <c r="X92" s="3937"/>
    </row>
    <row r="93" spans="4:26" s="9" customFormat="1" ht="34" customHeight="1">
      <c r="D93" s="9" t="s">
        <v>1624</v>
      </c>
      <c r="E93" s="116" t="s">
        <v>733</v>
      </c>
      <c r="F93" s="9" t="s">
        <v>1630</v>
      </c>
      <c r="G93" s="2301">
        <v>300</v>
      </c>
      <c r="H93" s="2300">
        <f>1/G93</f>
        <v>3.3333333333333335E-3</v>
      </c>
      <c r="I93" s="572" t="s">
        <v>1636</v>
      </c>
      <c r="M93" s="9" t="str">
        <f t="shared" si="28"/>
        <v>Temperate rainforest</v>
      </c>
      <c r="N93" s="9">
        <f t="shared" si="29"/>
        <v>300</v>
      </c>
      <c r="O93" s="2299">
        <f t="shared" si="30"/>
        <v>3.3333333333333335E-3</v>
      </c>
      <c r="R93" s="3943" t="s">
        <v>1615</v>
      </c>
      <c r="S93" s="3941" t="str">
        <f>O95</f>
        <v>Assumed fire interval (years)</v>
      </c>
      <c r="T93" s="3943" t="str">
        <f>P95</f>
        <v>Assumed Extent for costings (% of 100km2)</v>
      </c>
      <c r="U93" s="3933" t="s">
        <v>2574</v>
      </c>
      <c r="V93" s="3934"/>
      <c r="W93" s="3943" t="s">
        <v>2573</v>
      </c>
      <c r="X93" s="3945"/>
    </row>
    <row r="94" spans="4:26" s="9" customFormat="1" ht="38" customHeight="1">
      <c r="D94" s="116"/>
      <c r="E94" s="116"/>
      <c r="I94" s="572"/>
      <c r="R94" s="3944"/>
      <c r="S94" s="3942"/>
      <c r="T94" s="3944"/>
      <c r="U94" s="3717" t="s">
        <v>2572</v>
      </c>
      <c r="V94" s="3719" t="s">
        <v>1140</v>
      </c>
      <c r="W94" s="3718" t="s">
        <v>2572</v>
      </c>
      <c r="X94" s="3719" t="s">
        <v>1704</v>
      </c>
    </row>
    <row r="95" spans="4:26" s="9" customFormat="1" ht="21" customHeight="1">
      <c r="D95" s="116" t="s">
        <v>1635</v>
      </c>
      <c r="E95" s="116"/>
      <c r="I95" s="572"/>
      <c r="M95" s="3688" t="s">
        <v>1615</v>
      </c>
      <c r="N95" s="3689" t="s">
        <v>2565</v>
      </c>
      <c r="O95" s="3689" t="s">
        <v>1686</v>
      </c>
      <c r="P95" s="3690" t="s">
        <v>1687</v>
      </c>
      <c r="R95" s="117" t="s">
        <v>1711</v>
      </c>
      <c r="S95" s="148">
        <v>1</v>
      </c>
      <c r="T95" s="3694">
        <v>1</v>
      </c>
      <c r="U95" s="149">
        <f>I60*J52</f>
        <v>197.70576937591684</v>
      </c>
      <c r="V95" s="915">
        <f>I61</f>
        <v>73.403956277580335</v>
      </c>
      <c r="W95" s="3720">
        <f>I60</f>
        <v>1490.1703512662389</v>
      </c>
      <c r="X95" s="915">
        <f>R62</f>
        <v>1167.1215396113589</v>
      </c>
    </row>
    <row r="96" spans="4:26" s="9" customFormat="1" ht="17" customHeight="1">
      <c r="D96" s="116"/>
      <c r="E96" s="116"/>
      <c r="I96" s="572"/>
      <c r="M96" s="3691" t="s">
        <v>1620</v>
      </c>
      <c r="N96" s="3680" t="str">
        <f>VLOOKUP(M96,$D$85:$F$93,3,FALSE)</f>
        <v>&gt;300 years (very long)</v>
      </c>
      <c r="O96" s="3681">
        <v>300</v>
      </c>
      <c r="P96" s="3682">
        <v>0</v>
      </c>
      <c r="Q96" s="569"/>
      <c r="R96" s="135" t="str">
        <f t="shared" ref="R96:R103" si="31">M96</f>
        <v>Tropical rainforest</v>
      </c>
      <c r="S96" s="1179">
        <f t="shared" ref="S96:T103" si="32">O96</f>
        <v>300</v>
      </c>
      <c r="T96" s="2996">
        <f t="shared" si="32"/>
        <v>0</v>
      </c>
      <c r="U96" s="381">
        <f t="shared" ref="U96:X103" si="33">$T96*U$95</f>
        <v>0</v>
      </c>
      <c r="V96" s="1259">
        <f t="shared" si="33"/>
        <v>0</v>
      </c>
      <c r="W96" s="384">
        <f t="shared" si="33"/>
        <v>0</v>
      </c>
      <c r="X96" s="1259">
        <f t="shared" si="33"/>
        <v>0</v>
      </c>
    </row>
    <row r="97" spans="2:24" s="9" customFormat="1" ht="17" customHeight="1">
      <c r="D97" s="116"/>
      <c r="E97" s="116"/>
      <c r="I97" s="572"/>
      <c r="M97" s="3692" t="s">
        <v>1624</v>
      </c>
      <c r="N97" s="3683" t="str">
        <f t="shared" ref="N97:N103" si="34">VLOOKUP(M97,$D$85:$F$93,3,FALSE)</f>
        <v>&gt;300 years (very long)</v>
      </c>
      <c r="O97" s="1093">
        <v>300</v>
      </c>
      <c r="P97" s="3684">
        <v>0</v>
      </c>
      <c r="Q97" s="569"/>
      <c r="R97" s="135" t="str">
        <f t="shared" si="31"/>
        <v>Temperate rainforest</v>
      </c>
      <c r="S97" s="1179">
        <f t="shared" si="32"/>
        <v>300</v>
      </c>
      <c r="T97" s="2996">
        <f t="shared" si="32"/>
        <v>0</v>
      </c>
      <c r="U97" s="381">
        <f t="shared" si="33"/>
        <v>0</v>
      </c>
      <c r="V97" s="1259">
        <f t="shared" si="33"/>
        <v>0</v>
      </c>
      <c r="W97" s="384">
        <f t="shared" si="33"/>
        <v>0</v>
      </c>
      <c r="X97" s="1259">
        <f t="shared" si="33"/>
        <v>0</v>
      </c>
    </row>
    <row r="98" spans="2:24" s="9" customFormat="1" ht="17" customHeight="1">
      <c r="B98" s="3633" t="s">
        <v>2546</v>
      </c>
      <c r="C98" s="3633" t="s">
        <v>2547</v>
      </c>
      <c r="D98" s="3633" t="s">
        <v>2548</v>
      </c>
      <c r="E98" s="116"/>
      <c r="I98" s="572"/>
      <c r="M98" s="3692" t="s">
        <v>1622</v>
      </c>
      <c r="N98" s="3683" t="str">
        <f>F90</f>
        <v xml:space="preserve">30-100 years (Intermediate - Long) </v>
      </c>
      <c r="O98" s="1093">
        <v>65</v>
      </c>
      <c r="P98" s="3685">
        <v>1.9047619047619049E-2</v>
      </c>
      <c r="Q98" s="569"/>
      <c r="R98" s="135" t="str">
        <f t="shared" si="31"/>
        <v>Dry sclerophyll forest</v>
      </c>
      <c r="S98" s="1179">
        <f t="shared" si="32"/>
        <v>65</v>
      </c>
      <c r="T98" s="2996">
        <f t="shared" si="32"/>
        <v>1.9047619047619049E-2</v>
      </c>
      <c r="U98" s="381">
        <f t="shared" si="33"/>
        <v>3.7658241785888924</v>
      </c>
      <c r="V98" s="1259">
        <f t="shared" si="33"/>
        <v>1.3981705957634352</v>
      </c>
      <c r="W98" s="384">
        <f t="shared" si="33"/>
        <v>28.38419716697598</v>
      </c>
      <c r="X98" s="1259">
        <f t="shared" si="33"/>
        <v>22.230886468787791</v>
      </c>
    </row>
    <row r="99" spans="2:24" s="9" customFormat="1" ht="17" customHeight="1">
      <c r="B99" s="3630" t="s">
        <v>2452</v>
      </c>
      <c r="C99" s="3630" t="s">
        <v>2453</v>
      </c>
      <c r="D99" s="3629" t="s">
        <v>2549</v>
      </c>
      <c r="E99" s="116"/>
      <c r="I99" s="572"/>
      <c r="M99" s="3692" t="s">
        <v>1623</v>
      </c>
      <c r="N99" s="3683" t="str">
        <f t="shared" si="34"/>
        <v>10-30 years and 50-100 years (intermediate - long) 
(average of 20 and 75)</v>
      </c>
      <c r="O99" s="1093">
        <v>47.5</v>
      </c>
      <c r="P99" s="3685">
        <v>2.1052631578947368E-2</v>
      </c>
      <c r="Q99" s="569"/>
      <c r="R99" s="135" t="str">
        <f t="shared" si="31"/>
        <v>Wet sclerophyll forest</v>
      </c>
      <c r="S99" s="1179">
        <f t="shared" si="32"/>
        <v>47.5</v>
      </c>
      <c r="T99" s="2996">
        <f t="shared" si="32"/>
        <v>2.1052631578947368E-2</v>
      </c>
      <c r="U99" s="381">
        <f t="shared" si="33"/>
        <v>4.1622267237035127</v>
      </c>
      <c r="V99" s="1259">
        <f t="shared" si="33"/>
        <v>1.5453464479490597</v>
      </c>
      <c r="W99" s="384">
        <f t="shared" si="33"/>
        <v>31.372007395078711</v>
      </c>
      <c r="X99" s="1259">
        <f t="shared" si="33"/>
        <v>24.570979781291765</v>
      </c>
    </row>
    <row r="100" spans="2:24" s="9" customFormat="1" ht="17" customHeight="1">
      <c r="B100" s="3630" t="s">
        <v>2454</v>
      </c>
      <c r="C100" s="3630" t="s">
        <v>2455</v>
      </c>
      <c r="D100" s="3629" t="s">
        <v>1622</v>
      </c>
      <c r="E100" s="116"/>
      <c r="I100" s="572"/>
      <c r="M100" s="3692" t="s">
        <v>1621</v>
      </c>
      <c r="N100" s="3683" t="str">
        <f t="shared" si="34"/>
        <v>20-50 years (Long) rainfall-annual grass biomass event driven</v>
      </c>
      <c r="O100" s="1093">
        <v>35</v>
      </c>
      <c r="P100" s="3685">
        <v>2.8571428571428571E-2</v>
      </c>
      <c r="Q100" s="569"/>
      <c r="R100" s="135" t="str">
        <f t="shared" si="31"/>
        <v>Desert</v>
      </c>
      <c r="S100" s="1179">
        <f t="shared" si="32"/>
        <v>35</v>
      </c>
      <c r="T100" s="2996">
        <f t="shared" si="32"/>
        <v>2.8571428571428571E-2</v>
      </c>
      <c r="U100" s="381">
        <f t="shared" si="33"/>
        <v>5.6487362678833382</v>
      </c>
      <c r="V100" s="1259">
        <f t="shared" si="33"/>
        <v>2.0972558936451522</v>
      </c>
      <c r="W100" s="384">
        <f t="shared" si="33"/>
        <v>42.576295750463963</v>
      </c>
      <c r="X100" s="1259">
        <f t="shared" si="33"/>
        <v>33.346329703181681</v>
      </c>
    </row>
    <row r="101" spans="2:24" s="9" customFormat="1" ht="17" customHeight="1">
      <c r="B101" s="3630" t="s">
        <v>2456</v>
      </c>
      <c r="C101" s="3630" t="s">
        <v>2457</v>
      </c>
      <c r="D101" s="3629" t="s">
        <v>1622</v>
      </c>
      <c r="E101" s="116"/>
      <c r="I101" s="572"/>
      <c r="M101" s="3692" t="s">
        <v>1627</v>
      </c>
      <c r="N101" s="3683" t="str">
        <f t="shared" si="34"/>
        <v>10-30 years (intermediate - long) rainfall-spinifex biomass event driven</v>
      </c>
      <c r="O101" s="1093">
        <v>20</v>
      </c>
      <c r="P101" s="3685">
        <v>0.05</v>
      </c>
      <c r="Q101" s="569"/>
      <c r="R101" s="135" t="str">
        <f t="shared" si="31"/>
        <v>Semi-arid spinifex grasslands</v>
      </c>
      <c r="S101" s="1179">
        <f t="shared" si="32"/>
        <v>20</v>
      </c>
      <c r="T101" s="2996">
        <f t="shared" si="32"/>
        <v>0.05</v>
      </c>
      <c r="U101" s="381">
        <f t="shared" si="33"/>
        <v>9.8852884687958422</v>
      </c>
      <c r="V101" s="1259">
        <f t="shared" si="33"/>
        <v>3.670197813879017</v>
      </c>
      <c r="W101" s="384">
        <f t="shared" si="33"/>
        <v>74.508517563311941</v>
      </c>
      <c r="X101" s="1259">
        <f t="shared" si="33"/>
        <v>58.356076980567948</v>
      </c>
    </row>
    <row r="102" spans="2:24" s="9" customFormat="1" ht="17" customHeight="1">
      <c r="B102" s="3630" t="s">
        <v>2458</v>
      </c>
      <c r="C102" s="3630" t="s">
        <v>2459</v>
      </c>
      <c r="D102" s="3629" t="s">
        <v>1622</v>
      </c>
      <c r="E102" s="116"/>
      <c r="I102" s="572"/>
      <c r="M102" s="3692" t="s">
        <v>1625</v>
      </c>
      <c r="N102" s="3683" t="str">
        <f t="shared" si="34"/>
        <v>10-30 years (Short - intermediate)</v>
      </c>
      <c r="O102" s="1093">
        <v>20</v>
      </c>
      <c r="P102" s="3685">
        <v>0.05</v>
      </c>
      <c r="Q102" s="569"/>
      <c r="R102" s="135" t="str">
        <f t="shared" si="31"/>
        <v>Shrubland</v>
      </c>
      <c r="S102" s="1179">
        <f t="shared" si="32"/>
        <v>20</v>
      </c>
      <c r="T102" s="2996">
        <f t="shared" si="32"/>
        <v>0.05</v>
      </c>
      <c r="U102" s="381">
        <f t="shared" si="33"/>
        <v>9.8852884687958422</v>
      </c>
      <c r="V102" s="1259">
        <f t="shared" si="33"/>
        <v>3.670197813879017</v>
      </c>
      <c r="W102" s="384">
        <f t="shared" si="33"/>
        <v>74.508517563311941</v>
      </c>
      <c r="X102" s="1259">
        <f t="shared" si="33"/>
        <v>58.356076980567948</v>
      </c>
    </row>
    <row r="103" spans="2:24" s="9" customFormat="1" ht="17" customHeight="1">
      <c r="B103" s="3630" t="s">
        <v>2460</v>
      </c>
      <c r="C103" s="3630" t="s">
        <v>2461</v>
      </c>
      <c r="D103" s="3629" t="s">
        <v>1622</v>
      </c>
      <c r="E103" s="116"/>
      <c r="I103" s="572"/>
      <c r="M103" s="3693" t="s">
        <v>1626</v>
      </c>
      <c r="N103" s="3686" t="str">
        <f t="shared" si="34"/>
        <v>2-4 years (very short)</v>
      </c>
      <c r="O103" s="1096">
        <v>3</v>
      </c>
      <c r="P103" s="3687">
        <v>0.33333333333333331</v>
      </c>
      <c r="Q103" s="569"/>
      <c r="R103" s="137" t="str">
        <f t="shared" si="31"/>
        <v xml:space="preserve">Tropical savanna </v>
      </c>
      <c r="S103" s="987">
        <f t="shared" si="32"/>
        <v>3</v>
      </c>
      <c r="T103" s="2381">
        <f t="shared" si="32"/>
        <v>0.33333333333333331</v>
      </c>
      <c r="U103" s="385">
        <f t="shared" si="33"/>
        <v>65.901923125305615</v>
      </c>
      <c r="V103" s="847">
        <f t="shared" si="33"/>
        <v>24.46798542586011</v>
      </c>
      <c r="W103" s="179">
        <f t="shared" si="33"/>
        <v>496.72345042207962</v>
      </c>
      <c r="X103" s="847">
        <f t="shared" si="33"/>
        <v>389.0405132037863</v>
      </c>
    </row>
    <row r="104" spans="2:24" s="9" customFormat="1">
      <c r="B104" s="3630" t="s">
        <v>2462</v>
      </c>
      <c r="C104" s="3630" t="s">
        <v>2463</v>
      </c>
      <c r="D104" s="3629" t="s">
        <v>1622</v>
      </c>
      <c r="E104" s="116"/>
      <c r="I104" s="572"/>
      <c r="Q104" s="1288"/>
    </row>
    <row r="105" spans="2:24" s="9" customFormat="1">
      <c r="B105" s="3630" t="s">
        <v>2464</v>
      </c>
      <c r="C105" s="3630" t="s">
        <v>2465</v>
      </c>
      <c r="D105" s="3634" t="s">
        <v>2500</v>
      </c>
      <c r="E105" s="116"/>
      <c r="I105" s="572"/>
    </row>
    <row r="106" spans="2:24" s="9" customFormat="1">
      <c r="B106" s="3630" t="s">
        <v>2466</v>
      </c>
      <c r="C106" s="3630" t="s">
        <v>2467</v>
      </c>
      <c r="D106" s="3635" t="s">
        <v>1623</v>
      </c>
      <c r="E106" s="116"/>
      <c r="G106" s="9" t="s">
        <v>1692</v>
      </c>
      <c r="I106" s="572"/>
      <c r="S106" s="9" t="s">
        <v>139</v>
      </c>
    </row>
    <row r="107" spans="2:24" s="9" customFormat="1">
      <c r="B107" s="3630" t="s">
        <v>2468</v>
      </c>
      <c r="C107" s="3630" t="s">
        <v>2469</v>
      </c>
      <c r="D107" s="3635" t="s">
        <v>1623</v>
      </c>
      <c r="E107" s="116"/>
      <c r="G107" s="9" t="s">
        <v>1688</v>
      </c>
      <c r="I107" s="572"/>
    </row>
    <row r="108" spans="2:24" s="9" customFormat="1">
      <c r="B108" s="3630" t="s">
        <v>2470</v>
      </c>
      <c r="C108" s="3630" t="s">
        <v>2471</v>
      </c>
      <c r="D108" s="3629" t="s">
        <v>1622</v>
      </c>
      <c r="E108" s="116"/>
      <c r="G108" s="9" t="s">
        <v>1689</v>
      </c>
      <c r="H108" s="9">
        <v>5.05</v>
      </c>
      <c r="I108" s="572">
        <v>465</v>
      </c>
      <c r="J108" s="9">
        <f>$I$113*H108</f>
        <v>465.85271317829455</v>
      </c>
      <c r="K108" s="9">
        <f>J108/J109</f>
        <v>3.9147286821705425</v>
      </c>
      <c r="S108" s="416">
        <f>W95</f>
        <v>1490.1703512662389</v>
      </c>
      <c r="T108" s="9" t="s">
        <v>2523</v>
      </c>
    </row>
    <row r="109" spans="2:24" s="9" customFormat="1">
      <c r="B109" s="3630" t="s">
        <v>2472</v>
      </c>
      <c r="C109" s="3630" t="s">
        <v>2473</v>
      </c>
      <c r="D109" s="3629" t="s">
        <v>1622</v>
      </c>
      <c r="E109" s="116"/>
      <c r="G109" s="9" t="s">
        <v>1690</v>
      </c>
      <c r="H109" s="9">
        <v>1.29</v>
      </c>
      <c r="I109" s="572">
        <v>119</v>
      </c>
      <c r="J109" s="9">
        <f>$I$113*H109</f>
        <v>119</v>
      </c>
      <c r="S109" s="416">
        <f>S108*100</f>
        <v>149017.03512662387</v>
      </c>
      <c r="T109" s="9" t="s">
        <v>2524</v>
      </c>
    </row>
    <row r="110" spans="2:24" s="9" customFormat="1">
      <c r="B110" s="3630" t="s">
        <v>2474</v>
      </c>
      <c r="C110" s="3630" t="s">
        <v>2475</v>
      </c>
      <c r="D110" s="3636" t="s">
        <v>1626</v>
      </c>
      <c r="E110" s="116"/>
      <c r="G110" s="9" t="s">
        <v>1691</v>
      </c>
      <c r="H110" s="9">
        <v>0.67</v>
      </c>
      <c r="I110" s="572">
        <v>62</v>
      </c>
      <c r="J110" s="9">
        <f>$I$113*H110</f>
        <v>61.806201550387598</v>
      </c>
      <c r="S110" s="9">
        <f>'Ecological Fire Regimes'!D366</f>
        <v>217.43846277842522</v>
      </c>
      <c r="T110" s="9" t="s">
        <v>2525</v>
      </c>
    </row>
    <row r="111" spans="2:24">
      <c r="B111" s="3630" t="s">
        <v>2476</v>
      </c>
      <c r="C111" s="3630" t="s">
        <v>2477</v>
      </c>
      <c r="D111" s="3629" t="s">
        <v>1622</v>
      </c>
      <c r="S111" s="259">
        <f>S109/S110</f>
        <v>685.32969384756757</v>
      </c>
      <c r="T111" s="9" t="s">
        <v>2526</v>
      </c>
    </row>
    <row r="112" spans="2:24">
      <c r="B112" s="3630" t="s">
        <v>2478</v>
      </c>
      <c r="C112" s="3630" t="s">
        <v>2479</v>
      </c>
      <c r="D112" s="3629" t="s">
        <v>1622</v>
      </c>
      <c r="S112" s="259"/>
    </row>
    <row r="113" spans="2:19">
      <c r="B113" s="3630" t="s">
        <v>2480</v>
      </c>
      <c r="C113" s="3630" t="s">
        <v>2481</v>
      </c>
      <c r="D113" s="3635" t="s">
        <v>1623</v>
      </c>
      <c r="H113">
        <v>1</v>
      </c>
      <c r="I113" s="9">
        <f>I109/H109</f>
        <v>92.248062015503876</v>
      </c>
    </row>
    <row r="114" spans="2:19">
      <c r="B114" s="3630" t="s">
        <v>2482</v>
      </c>
      <c r="C114" s="3630" t="s">
        <v>2483</v>
      </c>
      <c r="D114" s="3629" t="s">
        <v>744</v>
      </c>
      <c r="S114">
        <v>890</v>
      </c>
    </row>
    <row r="115" spans="2:19">
      <c r="B115" s="3630" t="s">
        <v>2484</v>
      </c>
      <c r="C115" s="3630" t="s">
        <v>2485</v>
      </c>
      <c r="D115" s="3629" t="s">
        <v>744</v>
      </c>
      <c r="S115" s="259">
        <f>S114-S111</f>
        <v>204.67030615243243</v>
      </c>
    </row>
    <row r="116" spans="2:19">
      <c r="B116" s="3630" t="s">
        <v>2486</v>
      </c>
      <c r="C116" s="3630" t="s">
        <v>2487</v>
      </c>
      <c r="D116" s="3629" t="s">
        <v>744</v>
      </c>
      <c r="G116" s="9" t="s">
        <v>2576</v>
      </c>
      <c r="H116" s="9">
        <f>H108/H110</f>
        <v>7.5373134328358198</v>
      </c>
      <c r="S116" s="259">
        <f>S115/S114</f>
        <v>0.22996663612632856</v>
      </c>
    </row>
    <row r="117" spans="2:19">
      <c r="B117" s="3630" t="s">
        <v>2488</v>
      </c>
      <c r="C117" s="3630" t="s">
        <v>2489</v>
      </c>
      <c r="D117" s="3629" t="s">
        <v>744</v>
      </c>
      <c r="G117" t="s">
        <v>2577</v>
      </c>
      <c r="H117" s="9">
        <f>1/H116</f>
        <v>0.13267326732673268</v>
      </c>
    </row>
    <row r="118" spans="2:19">
      <c r="B118" s="3630" t="s">
        <v>2490</v>
      </c>
      <c r="C118" s="3630" t="s">
        <v>2491</v>
      </c>
      <c r="D118" s="3637" t="s">
        <v>1627</v>
      </c>
      <c r="G118" s="696"/>
      <c r="H118" s="1"/>
    </row>
    <row r="119" spans="2:19">
      <c r="B119" s="3630" t="s">
        <v>2492</v>
      </c>
      <c r="C119" s="3630" t="s">
        <v>2493</v>
      </c>
      <c r="D119" s="3629" t="s">
        <v>744</v>
      </c>
      <c r="G119" s="9"/>
      <c r="H119" s="9"/>
    </row>
    <row r="120" spans="2:19">
      <c r="B120" s="3630" t="s">
        <v>2494</v>
      </c>
      <c r="C120" s="3630" t="s">
        <v>2495</v>
      </c>
      <c r="D120" s="3637" t="s">
        <v>1627</v>
      </c>
    </row>
    <row r="121" spans="2:19">
      <c r="B121" s="3630" t="s">
        <v>2496</v>
      </c>
      <c r="C121" s="3630" t="s">
        <v>2497</v>
      </c>
      <c r="D121" s="3629" t="s">
        <v>2500</v>
      </c>
    </row>
    <row r="122" spans="2:19">
      <c r="B122" s="3630" t="s">
        <v>2498</v>
      </c>
      <c r="C122" s="3630" t="s">
        <v>2499</v>
      </c>
      <c r="D122" s="3629" t="s">
        <v>2500</v>
      </c>
    </row>
    <row r="123" spans="2:19">
      <c r="B123" s="3630" t="s">
        <v>2501</v>
      </c>
      <c r="C123" s="3630" t="s">
        <v>2502</v>
      </c>
      <c r="D123" s="3629" t="s">
        <v>2500</v>
      </c>
    </row>
    <row r="124" spans="2:19">
      <c r="B124" s="3630" t="s">
        <v>2503</v>
      </c>
      <c r="C124" s="3630" t="s">
        <v>2504</v>
      </c>
      <c r="D124" s="3629" t="s">
        <v>2500</v>
      </c>
    </row>
    <row r="125" spans="2:19">
      <c r="B125" s="3630" t="s">
        <v>2505</v>
      </c>
      <c r="C125" s="3630" t="s">
        <v>2506</v>
      </c>
      <c r="D125" s="3629" t="s">
        <v>2500</v>
      </c>
    </row>
    <row r="126" spans="2:19">
      <c r="B126" s="3630" t="s">
        <v>2507</v>
      </c>
      <c r="C126" s="3630" t="s">
        <v>2508</v>
      </c>
      <c r="D126" s="3629" t="s">
        <v>2500</v>
      </c>
    </row>
    <row r="127" spans="2:19">
      <c r="B127" s="3630" t="s">
        <v>2511</v>
      </c>
      <c r="C127" s="3630" t="s">
        <v>2512</v>
      </c>
      <c r="D127" s="3635" t="s">
        <v>1623</v>
      </c>
    </row>
    <row r="128" spans="2:19">
      <c r="B128" s="3630" t="s">
        <v>2513</v>
      </c>
      <c r="C128" s="3630" t="s">
        <v>2514</v>
      </c>
      <c r="D128" s="3629" t="s">
        <v>1622</v>
      </c>
    </row>
    <row r="129" spans="2:23">
      <c r="B129" s="3630" t="s">
        <v>2515</v>
      </c>
      <c r="C129" s="3630" t="s">
        <v>2516</v>
      </c>
      <c r="D129" s="3629" t="s">
        <v>1622</v>
      </c>
    </row>
    <row r="130" spans="2:23">
      <c r="B130" s="3630" t="s">
        <v>2517</v>
      </c>
      <c r="C130" s="3630" t="s">
        <v>2518</v>
      </c>
      <c r="D130" s="3629" t="s">
        <v>2500</v>
      </c>
    </row>
    <row r="131" spans="2:23" s="9" customFormat="1">
      <c r="B131" s="2953"/>
      <c r="C131" s="2953"/>
      <c r="D131" s="2953"/>
      <c r="E131" s="116"/>
      <c r="I131" s="572"/>
    </row>
    <row r="143" spans="2:23">
      <c r="J143" s="9"/>
      <c r="K143" s="9"/>
      <c r="L143" s="9"/>
      <c r="M143" s="9"/>
      <c r="N143" s="9"/>
      <c r="S143" s="9"/>
      <c r="T143" s="9"/>
      <c r="U143" s="9"/>
      <c r="V143" s="9"/>
      <c r="W143" s="9"/>
    </row>
  </sheetData>
  <sortState xmlns:xlrd2="http://schemas.microsoft.com/office/spreadsheetml/2017/richdata2" ref="M96:O103">
    <sortCondition ref="O96"/>
  </sortState>
  <mergeCells count="40">
    <mergeCell ref="AY53:BF53"/>
    <mergeCell ref="AY55:BF55"/>
    <mergeCell ref="BQ53:BX53"/>
    <mergeCell ref="F54:H54"/>
    <mergeCell ref="AC54:AE54"/>
    <mergeCell ref="BM54:BO54"/>
    <mergeCell ref="F55:H55"/>
    <mergeCell ref="J55:Q55"/>
    <mergeCell ref="AC55:AE55"/>
    <mergeCell ref="AO55:AV55"/>
    <mergeCell ref="BM55:BO55"/>
    <mergeCell ref="BQ55:BX55"/>
    <mergeCell ref="BM53:BO53"/>
    <mergeCell ref="AG53:AN53"/>
    <mergeCell ref="AG55:AN55"/>
    <mergeCell ref="D53:D56"/>
    <mergeCell ref="F53:H53"/>
    <mergeCell ref="J53:Q53"/>
    <mergeCell ref="AC53:AE53"/>
    <mergeCell ref="AO53:AV53"/>
    <mergeCell ref="S53:Z53"/>
    <mergeCell ref="S55:Z55"/>
    <mergeCell ref="BQ52:BX52"/>
    <mergeCell ref="S49:Z49"/>
    <mergeCell ref="AY52:BF52"/>
    <mergeCell ref="J48:Q48"/>
    <mergeCell ref="S48:Z48"/>
    <mergeCell ref="J49:Q49"/>
    <mergeCell ref="AC52:AE52"/>
    <mergeCell ref="AO52:AV52"/>
    <mergeCell ref="BM52:BO52"/>
    <mergeCell ref="AG52:AN52"/>
    <mergeCell ref="U93:V93"/>
    <mergeCell ref="U92:X92"/>
    <mergeCell ref="F48:H48"/>
    <mergeCell ref="S93:S94"/>
    <mergeCell ref="T93:T94"/>
    <mergeCell ref="R93:R94"/>
    <mergeCell ref="F52:H52"/>
    <mergeCell ref="W93:X93"/>
  </mergeCells>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P526"/>
  <sheetViews>
    <sheetView showGridLines="0" zoomScaleNormal="100" workbookViewId="0">
      <selection activeCell="H36" sqref="H36"/>
    </sheetView>
  </sheetViews>
  <sheetFormatPr baseColWidth="10" defaultColWidth="11" defaultRowHeight="16"/>
  <cols>
    <col min="1" max="1" width="2.6640625" customWidth="1"/>
    <col min="2" max="2" width="4.83203125" customWidth="1"/>
    <col min="3" max="3" width="28.5" customWidth="1"/>
    <col min="4" max="4" width="37.5" style="24" customWidth="1"/>
    <col min="5" max="5" width="12.5" style="16" customWidth="1"/>
    <col min="6" max="6" width="14.33203125" customWidth="1"/>
    <col min="7" max="7" width="17.1640625" style="359" customWidth="1"/>
    <col min="8" max="8" width="15.33203125" customWidth="1"/>
    <col min="9" max="9" width="31.6640625" customWidth="1"/>
    <col min="10" max="10" width="18.6640625" customWidth="1"/>
    <col min="11" max="11" width="6.5" customWidth="1"/>
    <col min="12" max="12" width="12.1640625" customWidth="1"/>
    <col min="13" max="13" width="10.6640625" customWidth="1"/>
    <col min="14" max="14" width="15" customWidth="1"/>
    <col min="15" max="15" width="13.6640625" customWidth="1"/>
    <col min="16" max="16" width="15.1640625" customWidth="1"/>
    <col min="17" max="19" width="15.1640625" style="2791" customWidth="1"/>
    <col min="20" max="20" width="2.6640625" customWidth="1"/>
    <col min="21" max="21" width="22.6640625" customWidth="1"/>
    <col min="22" max="24" width="11.6640625" customWidth="1"/>
    <col min="25" max="26" width="18.83203125" customWidth="1"/>
    <col min="27" max="27" width="19.33203125" customWidth="1"/>
    <col min="28" max="29" width="16.6640625" customWidth="1"/>
    <col min="30" max="30" width="21" customWidth="1"/>
    <col min="31" max="31" width="23.5" customWidth="1"/>
    <col min="32" max="32" width="37.5" customWidth="1"/>
    <col min="34" max="34" width="14.33203125" customWidth="1"/>
    <col min="35" max="35" width="12.6640625" bestFit="1" customWidth="1"/>
    <col min="36" max="37" width="12.83203125" customWidth="1"/>
    <col min="42" max="42" width="12.5" bestFit="1" customWidth="1"/>
  </cols>
  <sheetData>
    <row r="1" spans="2:35">
      <c r="B1" s="3" t="s">
        <v>19</v>
      </c>
      <c r="C1" s="24"/>
      <c r="D1" s="16"/>
      <c r="E1"/>
      <c r="F1" s="359"/>
      <c r="G1"/>
      <c r="H1" s="359"/>
    </row>
    <row r="2" spans="2:35">
      <c r="C2" s="24" t="s">
        <v>10</v>
      </c>
      <c r="D2" s="627" t="s">
        <v>2017</v>
      </c>
      <c r="E2"/>
      <c r="F2" s="359"/>
      <c r="G2"/>
      <c r="H2" s="359"/>
    </row>
    <row r="3" spans="2:35">
      <c r="C3" s="24" t="s">
        <v>0</v>
      </c>
      <c r="D3" s="16" t="s">
        <v>2019</v>
      </c>
      <c r="E3"/>
      <c r="F3" s="359"/>
      <c r="G3"/>
      <c r="H3" s="359"/>
    </row>
    <row r="4" spans="2:35">
      <c r="B4" s="3"/>
      <c r="C4" s="24" t="s">
        <v>1</v>
      </c>
      <c r="D4" s="16" t="s">
        <v>2018</v>
      </c>
      <c r="E4"/>
      <c r="F4" s="359"/>
      <c r="G4"/>
      <c r="H4" s="359"/>
    </row>
    <row r="5" spans="2:35">
      <c r="B5" s="3" t="s">
        <v>20</v>
      </c>
      <c r="C5" s="24"/>
      <c r="E5"/>
      <c r="F5" s="359"/>
      <c r="H5" s="1"/>
      <c r="I5" s="359"/>
    </row>
    <row r="6" spans="2:35">
      <c r="C6" s="24" t="s">
        <v>2</v>
      </c>
      <c r="D6" s="239" t="s">
        <v>2016</v>
      </c>
      <c r="E6"/>
      <c r="F6" s="359"/>
      <c r="H6" s="6"/>
      <c r="I6" s="359"/>
      <c r="T6" s="15"/>
    </row>
    <row r="7" spans="2:35">
      <c r="C7" s="24" t="s">
        <v>22</v>
      </c>
      <c r="D7" t="s">
        <v>2020</v>
      </c>
      <c r="F7" s="359"/>
      <c r="H7" s="6"/>
      <c r="I7" s="359"/>
    </row>
    <row r="8" spans="2:35">
      <c r="C8" s="24" t="s">
        <v>7</v>
      </c>
      <c r="D8" s="627" t="s">
        <v>2022</v>
      </c>
      <c r="E8"/>
      <c r="F8" s="359"/>
      <c r="H8" s="6"/>
      <c r="I8" s="359"/>
      <c r="W8" s="15"/>
    </row>
    <row r="9" spans="2:35">
      <c r="C9" s="24" t="s">
        <v>8</v>
      </c>
      <c r="D9" s="238" t="s">
        <v>2021</v>
      </c>
      <c r="E9"/>
      <c r="F9" s="359"/>
      <c r="H9" s="6"/>
      <c r="I9" s="359"/>
      <c r="U9" s="5"/>
    </row>
    <row r="10" spans="2:35" ht="19">
      <c r="C10" s="24"/>
      <c r="D10" s="16"/>
      <c r="F10" s="359"/>
      <c r="I10" s="359"/>
      <c r="AC10" s="2665"/>
      <c r="AF10" s="2666"/>
    </row>
    <row r="11" spans="2:35" ht="19">
      <c r="B11" s="904" t="s">
        <v>140</v>
      </c>
      <c r="C11" s="113"/>
      <c r="D11" s="16"/>
      <c r="F11" s="359"/>
      <c r="I11" s="359"/>
      <c r="AA11" s="2953" t="s">
        <v>2305</v>
      </c>
      <c r="AB11" s="2953"/>
      <c r="AC11" s="2665"/>
      <c r="AF11" s="2666"/>
    </row>
    <row r="12" spans="2:35" ht="19">
      <c r="C12" s="31" t="s">
        <v>960</v>
      </c>
      <c r="D12" s="16"/>
      <c r="F12" s="359"/>
      <c r="I12" s="359"/>
      <c r="AA12" s="204">
        <f>SUMIF(T23:T104,"L",AA23:AA104)-AA13-AA15</f>
        <v>248.53683123296832</v>
      </c>
      <c r="AB12" s="2953" t="s">
        <v>2303</v>
      </c>
      <c r="AC12" s="2665"/>
      <c r="AF12" s="2666"/>
    </row>
    <row r="13" spans="2:35" ht="19">
      <c r="C13" s="955" t="s">
        <v>961</v>
      </c>
      <c r="D13" s="16"/>
      <c r="F13" s="359"/>
      <c r="I13" s="359"/>
      <c r="AA13" s="454">
        <f>SUM(AA43,AA47)</f>
        <v>1599481.7153483548</v>
      </c>
      <c r="AB13" s="2953" t="s">
        <v>2304</v>
      </c>
      <c r="AC13" s="2665"/>
      <c r="AF13" s="2666"/>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16</v>
      </c>
      <c r="U15" t="s">
        <v>954</v>
      </c>
      <c r="V15" t="s">
        <v>906</v>
      </c>
      <c r="AA15" s="454">
        <f>SUM(AA35,AA39)</f>
        <v>52.071687526751688</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2662"/>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2667"/>
      <c r="AG21" s="2667"/>
      <c r="AH21" s="909" t="s">
        <v>66</v>
      </c>
      <c r="AI21" s="895"/>
      <c r="AJ21" s="3748" t="s">
        <v>190</v>
      </c>
      <c r="AK21" s="3748" t="s">
        <v>181</v>
      </c>
    </row>
    <row r="22" spans="1:37" s="893" customFormat="1" ht="38" customHeight="1">
      <c r="B22" s="2663"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2667"/>
      <c r="AG22" s="893" t="s">
        <v>732</v>
      </c>
      <c r="AH22" s="2664" t="s">
        <v>17</v>
      </c>
      <c r="AI22" s="898" t="s">
        <v>18</v>
      </c>
      <c r="AJ22" s="3749"/>
      <c r="AK22" s="3749"/>
    </row>
    <row r="23" spans="1:37" ht="19" customHeight="1">
      <c r="B23" s="260">
        <v>1.1000000000000001</v>
      </c>
      <c r="C23" s="3844" t="s">
        <v>201</v>
      </c>
      <c r="D23" s="3847" t="s">
        <v>131</v>
      </c>
      <c r="E23" s="12" t="s">
        <v>3</v>
      </c>
      <c r="F23" s="1172">
        <v>0</v>
      </c>
      <c r="G23" s="1172">
        <f>E89</f>
        <v>15</v>
      </c>
      <c r="H23" s="188">
        <f>F89</f>
        <v>5062.5</v>
      </c>
      <c r="I23" s="921" t="s">
        <v>407</v>
      </c>
      <c r="J23" s="377" t="str">
        <f>IF(K23=1,"Annual","Done every "&amp;K23&amp;" years")</f>
        <v>Done every 5 years</v>
      </c>
      <c r="K23" s="11">
        <f>$D$76</f>
        <v>5</v>
      </c>
      <c r="L23" s="1043">
        <f>$L$16/K23</f>
        <v>16</v>
      </c>
      <c r="M23" s="171">
        <f>$L$16/L23</f>
        <v>5</v>
      </c>
      <c r="N23" s="240">
        <f>$H23*(1-(1+$L$15)^-(L23*M23))/((1+$L$15)^M23-1)*(1+((1+$L$15)^M23-1))</f>
        <v>27195.980032959946</v>
      </c>
      <c r="O23" s="191">
        <f t="shared" ref="O23:O50" si="0">N23/(1+$L$15)*($L$15)/(1-(1+$L$15)^-$L$16)</f>
        <v>1093.4372712100794</v>
      </c>
      <c r="P23" s="195">
        <f>SUM(O23:O26)</f>
        <v>1093.4372712100794</v>
      </c>
      <c r="Q23" s="2859"/>
      <c r="R23" s="2859"/>
      <c r="S23" s="2859"/>
      <c r="T23" s="1031" t="s">
        <v>808</v>
      </c>
      <c r="U23" s="583">
        <f>O23/$U$16</f>
        <v>10.934372712100794</v>
      </c>
      <c r="V23" s="583">
        <f>IF($T23="L",SUM($U23:U23)*V$16,"")</f>
        <v>3.280311813630238</v>
      </c>
      <c r="W23" s="1474"/>
      <c r="X23" s="583">
        <f>IF($U23="","",SUM($U23:W23)*X$16)</f>
        <v>4.2644053577193093</v>
      </c>
      <c r="Y23" s="240">
        <f t="shared" ref="Y23:Y50" si="1">IF($U23="","",SUM(V23:X23))</f>
        <v>7.5447171713495473</v>
      </c>
      <c r="Z23" s="240">
        <f>SUM(V23:X26)</f>
        <v>7.5447171713495473</v>
      </c>
      <c r="AA23" s="191">
        <f t="shared" ref="AA23:AA50" si="2">IF($U23="","",SUM(U23,Y23))</f>
        <v>18.479089883450342</v>
      </c>
      <c r="AB23" s="195">
        <f>SUM(AA23:AA26)</f>
        <v>18.479089883450342</v>
      </c>
      <c r="AC23" s="889">
        <f t="shared" ref="AC23:AC58" ca="1" si="3">IF(AA23="","",AA23/OFFSET($AB$23,AF23,0))</f>
        <v>1</v>
      </c>
      <c r="AD23" s="941"/>
      <c r="AE23" s="1063"/>
      <c r="AF23" s="587">
        <v>0</v>
      </c>
      <c r="AG23" s="816">
        <f ca="1">SUM(AC23:AC26)-1</f>
        <v>0</v>
      </c>
      <c r="AH23" s="13">
        <f>$AH$16/K23</f>
        <v>1</v>
      </c>
      <c r="AI23" s="13">
        <f>$AH$16/AH23</f>
        <v>5</v>
      </c>
      <c r="AJ23" s="14">
        <f>$H23*(1-(1+$L$15)^-(AH23*AI23))/((1+$L$15)^AI23-1)*(1+((1+$L$15)^AI23-1))</f>
        <v>5062.5</v>
      </c>
      <c r="AK23" s="191">
        <f>SUM(AJ23:AJ26)</f>
        <v>5062.5</v>
      </c>
    </row>
    <row r="24" spans="1:37" ht="19" customHeight="1">
      <c r="B24" s="261"/>
      <c r="C24" s="3845"/>
      <c r="D24" s="3848"/>
      <c r="E24" s="12" t="s">
        <v>308</v>
      </c>
      <c r="F24" s="1172"/>
      <c r="G24" s="1172"/>
      <c r="H24" s="188"/>
      <c r="I24" s="921"/>
      <c r="J24" s="377"/>
      <c r="K24" s="11"/>
      <c r="L24" s="1044"/>
      <c r="M24" s="944"/>
      <c r="N24" s="241"/>
      <c r="O24" s="342">
        <f t="shared" si="0"/>
        <v>0</v>
      </c>
      <c r="P24" s="193"/>
      <c r="Q24" s="2860">
        <v>0</v>
      </c>
      <c r="R24" s="2860">
        <v>0</v>
      </c>
      <c r="S24" s="2860">
        <v>0</v>
      </c>
      <c r="T24" s="1032" t="s">
        <v>809</v>
      </c>
      <c r="U24" s="585"/>
      <c r="V24" s="585" t="str">
        <f>IF($T24="L",SUM($U24:U24)*V$16,"")</f>
        <v/>
      </c>
      <c r="W24" s="1475"/>
      <c r="X24" s="585" t="str">
        <f>IF($U24="","",SUM($U24:W24)*X$16)</f>
        <v/>
      </c>
      <c r="Y24" s="242" t="str">
        <f t="shared" si="1"/>
        <v/>
      </c>
      <c r="Z24" s="242"/>
      <c r="AA24" s="342" t="str">
        <f t="shared" si="2"/>
        <v/>
      </c>
      <c r="AB24" s="193"/>
      <c r="AC24" s="890" t="str">
        <f t="shared" ca="1" si="3"/>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f t="shared" si="0"/>
        <v>0</v>
      </c>
      <c r="P25" s="193"/>
      <c r="Q25" s="2860"/>
      <c r="R25" s="2860"/>
      <c r="S25" s="2860"/>
      <c r="T25" s="1032" t="s">
        <v>810</v>
      </c>
      <c r="U25" s="585"/>
      <c r="V25" s="585" t="str">
        <f>IF($T25="L",SUM($U25:U25)*V$16,"")</f>
        <v/>
      </c>
      <c r="W25" s="1475"/>
      <c r="X25" s="585" t="str">
        <f>IF($U25="","",SUM($U25:W25)*X$16)</f>
        <v/>
      </c>
      <c r="Y25" s="242" t="str">
        <f t="shared" si="1"/>
        <v/>
      </c>
      <c r="Z25" s="242"/>
      <c r="AA25" s="342" t="str">
        <f t="shared" si="2"/>
        <v/>
      </c>
      <c r="AB25" s="193"/>
      <c r="AC25" s="890" t="str">
        <f t="shared" ca="1" si="3"/>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f t="shared" si="0"/>
        <v>0</v>
      </c>
      <c r="P26" s="196"/>
      <c r="Q26" s="2861"/>
      <c r="R26" s="2861"/>
      <c r="S26" s="2861"/>
      <c r="T26" s="1033" t="s">
        <v>811</v>
      </c>
      <c r="U26" s="891"/>
      <c r="V26" s="891" t="str">
        <f>IF($T26="L",SUM($U26:U26)*V$16,"")</f>
        <v/>
      </c>
      <c r="W26" s="1478"/>
      <c r="X26" s="891" t="str">
        <f>IF($U26="","",SUM($U26:W26)*X$16)</f>
        <v/>
      </c>
      <c r="Y26" s="244" t="str">
        <f t="shared" si="1"/>
        <v/>
      </c>
      <c r="Z26" s="244"/>
      <c r="AA26" s="343" t="str">
        <f t="shared" si="2"/>
        <v/>
      </c>
      <c r="AB26" s="196"/>
      <c r="AC26" s="892" t="str">
        <f t="shared" ca="1" si="3"/>
        <v/>
      </c>
      <c r="AD26" s="942"/>
      <c r="AE26" s="1065"/>
      <c r="AF26" s="587">
        <f>AF25</f>
        <v>0</v>
      </c>
      <c r="AG26" s="587"/>
      <c r="AH26" s="13"/>
      <c r="AI26" s="13"/>
      <c r="AJ26" s="189"/>
      <c r="AK26" s="342"/>
    </row>
    <row r="27" spans="1:37" s="1349" customFormat="1" ht="18" customHeight="1">
      <c r="B27" s="2693">
        <f>B23+0.1</f>
        <v>1.2000000000000002</v>
      </c>
      <c r="C27" s="3961" t="s">
        <v>2030</v>
      </c>
      <c r="D27" s="2674" t="s">
        <v>2028</v>
      </c>
      <c r="E27" s="2694" t="s">
        <v>3</v>
      </c>
      <c r="F27" s="2695">
        <v>0</v>
      </c>
      <c r="G27" s="3558">
        <f>$D$131</f>
        <v>0.20512820512820515</v>
      </c>
      <c r="H27" s="187">
        <f>H180</f>
        <v>46.15384615384616</v>
      </c>
      <c r="I27" s="2696" t="s">
        <v>475</v>
      </c>
      <c r="J27" s="2697" t="str">
        <f>IF(K27=1,"Annual","Done every "&amp;K27&amp;" years")</f>
        <v>Done every 5 years</v>
      </c>
      <c r="K27" s="2698">
        <f>J180</f>
        <v>5</v>
      </c>
      <c r="L27" s="2699">
        <f t="shared" ref="L27:M29" si="4">$L$16/K27</f>
        <v>16</v>
      </c>
      <c r="M27" s="2698">
        <f t="shared" si="4"/>
        <v>5</v>
      </c>
      <c r="N27" s="187">
        <f>$H27*(1-(1+$L$15)^-(L27*M27))/((1+$L$15)^M27-1)*(1+((1+$L$15)^M27-1))</f>
        <v>247.94055870504801</v>
      </c>
      <c r="O27" s="2700">
        <f t="shared" ref="O27:O46" si="5">N27/(1+$L$15)*($L$15)/(1-(1+$L$15)^-$L$16)</f>
        <v>9.9686588828269365</v>
      </c>
      <c r="P27" s="1369">
        <f>SUM(O27:O30)</f>
        <v>292.41399389625678</v>
      </c>
      <c r="Q27" s="2833"/>
      <c r="R27" s="2833"/>
      <c r="S27" s="2833"/>
      <c r="T27" s="1370" t="s">
        <v>808</v>
      </c>
      <c r="U27" s="1371">
        <f>O27/$U$16</f>
        <v>9.9686588828269362E-2</v>
      </c>
      <c r="V27" s="1851">
        <f>IF($T27="L",SUM($U27:U27)*V$16,"")</f>
        <v>2.9905976648480808E-2</v>
      </c>
      <c r="W27" s="1851">
        <f>IF($U27="","",IF(OR($T27="L",$T27="T",$T27="C"),SUM($U27:V27)*W$16,""))</f>
        <v>1.2959256547675017E-2</v>
      </c>
      <c r="X27" s="1851">
        <f>IF($U27="","",SUM($U27:W27)*X$16)</f>
        <v>4.2765546607327551E-2</v>
      </c>
      <c r="Y27" s="1372">
        <f>IF($U27="","",SUM(V27:X27))</f>
        <v>8.5630779803483381E-2</v>
      </c>
      <c r="Z27" s="1369">
        <f>SUM(V27:X30)</f>
        <v>1.3001457203612317</v>
      </c>
      <c r="AA27" s="1373">
        <f>IF($U27="","",SUM(U27,Y27))</f>
        <v>0.18531736863175274</v>
      </c>
      <c r="AB27" s="1369">
        <f>SUM(AA27:AA30)</f>
        <v>4.2242856593237992</v>
      </c>
      <c r="AC27" s="2701">
        <f ca="1">IF(AA27="","",AA27/OFFSET($AB$23,AF27,0))</f>
        <v>4.3869516310461196E-2</v>
      </c>
      <c r="AD27" s="1631"/>
      <c r="AE27" s="1632"/>
      <c r="AF27" s="1365">
        <f>AF19+4</f>
        <v>4</v>
      </c>
      <c r="AG27" s="1366">
        <f ca="1">SUM(AC27:AC30)-1</f>
        <v>0</v>
      </c>
      <c r="AH27" s="1367">
        <f>$AH$16/K27</f>
        <v>1</v>
      </c>
      <c r="AI27" s="1367">
        <f>$AH$16/AH27</f>
        <v>5</v>
      </c>
      <c r="AJ27" s="169">
        <f>$H27*(1-(1+$L$15)^-(AH27*AI27))/((1+$L$15)^AI27-1)*(1+((1+$L$15)^AI27-1))</f>
        <v>46.153846153846168</v>
      </c>
      <c r="AK27" s="1368">
        <f>SUM(AJ27:AJ30)</f>
        <v>1353.8461538461538</v>
      </c>
    </row>
    <row r="28" spans="1:37" s="1349" customFormat="1" ht="19" customHeight="1">
      <c r="B28" s="2693"/>
      <c r="C28" s="3962"/>
      <c r="D28" s="2675"/>
      <c r="E28" s="168" t="s">
        <v>308</v>
      </c>
      <c r="F28" s="1350">
        <f>$D$167</f>
        <v>1</v>
      </c>
      <c r="G28" s="2702">
        <f>$D$166</f>
        <v>0.20512820512820515</v>
      </c>
      <c r="H28" s="187">
        <f>H181</f>
        <v>1307.6923076923076</v>
      </c>
      <c r="I28" s="2703" t="s">
        <v>797</v>
      </c>
      <c r="J28" s="1351" t="str">
        <f>IF(K28=1,"Annual","Done every "&amp;K28&amp;" years")</f>
        <v>Done every 5 years</v>
      </c>
      <c r="K28" s="1354">
        <f>J181</f>
        <v>5</v>
      </c>
      <c r="L28" s="1353">
        <f t="shared" si="4"/>
        <v>16</v>
      </c>
      <c r="M28" s="1354">
        <f t="shared" si="4"/>
        <v>5</v>
      </c>
      <c r="N28" s="169">
        <f>$H28*(1-(1+$L$15)^-(L28*M28))/((1+$L$15)^M28-1)*(1+((1+$L$15)^M28-1))</f>
        <v>7024.9824966430251</v>
      </c>
      <c r="O28" s="1355">
        <f t="shared" si="5"/>
        <v>282.44533501342983</v>
      </c>
      <c r="P28" s="1369"/>
      <c r="Q28" s="2833">
        <f>1*(1-(1+$L$15)^-(L28*M28))/((1+$L$15)^M28-1)*(1+((1+$L$15)^M28-1))</f>
        <v>5.3720454386093719</v>
      </c>
      <c r="R28" s="2833">
        <f>Q28/(1+$L$15)*($L$15)/(1-(1+$L$15)^-$L$16)</f>
        <v>0.2159876091279169</v>
      </c>
      <c r="S28" s="2833">
        <f>F28*R28</f>
        <v>0.2159876091279169</v>
      </c>
      <c r="T28" s="1370" t="s">
        <v>809</v>
      </c>
      <c r="U28" s="1359">
        <f>O28/$U$16</f>
        <v>2.8244533501342981</v>
      </c>
      <c r="V28" s="1851" t="str">
        <f>IF($T28="L",SUM($U28:U28)*V$16,"")</f>
        <v/>
      </c>
      <c r="W28" s="1851">
        <f>IF($U28="","",IF(OR($T28="L",$T28="T",$T28="C"),SUM($U28:V28)*W$16,""))</f>
        <v>0.28244533501342983</v>
      </c>
      <c r="X28" s="1851">
        <f>IF($U28="","",SUM($U28:W28)*X$16)</f>
        <v>0.93206960554431839</v>
      </c>
      <c r="Y28" s="1852">
        <f>IF($U28="","",SUM(V28:X28))</f>
        <v>1.2145149405577482</v>
      </c>
      <c r="Z28" s="1369"/>
      <c r="AA28" s="1373">
        <f>IF($U28="","",SUM(U28,Y28))</f>
        <v>4.0389682906920461</v>
      </c>
      <c r="AB28" s="1369"/>
      <c r="AC28" s="1630">
        <f ca="1">IF(AA28="","",AA28/OFFSET($AB$23,AF28,0))</f>
        <v>0.95613048368953868</v>
      </c>
      <c r="AD28" s="1631"/>
      <c r="AE28" s="1632"/>
      <c r="AF28" s="1365">
        <f>AF27</f>
        <v>4</v>
      </c>
      <c r="AG28" s="1365"/>
      <c r="AH28" s="1367">
        <f>$AH$16/K28</f>
        <v>1</v>
      </c>
      <c r="AI28" s="1367">
        <f>$AH$16/AH28</f>
        <v>5</v>
      </c>
      <c r="AJ28" s="169">
        <f>$H28*(1-(1+$L$15)^-(AH28*AI28))/((1+$L$15)^AI28-1)*(1+((1+$L$15)^AI28-1))</f>
        <v>1307.6923076923076</v>
      </c>
      <c r="AK28" s="1376"/>
    </row>
    <row r="29" spans="1:37" s="1349" customFormat="1" ht="19" customHeight="1">
      <c r="B29" s="2693"/>
      <c r="C29" s="3962"/>
      <c r="D29" s="2675"/>
      <c r="E29" s="168" t="s">
        <v>4</v>
      </c>
      <c r="F29" s="1350"/>
      <c r="G29" s="1350"/>
      <c r="H29" s="187">
        <f>H182</f>
        <v>0</v>
      </c>
      <c r="I29" s="2703" t="s">
        <v>70</v>
      </c>
      <c r="J29" s="1351" t="str">
        <f>IF(K29=1,"Annual","Done every "&amp;K29&amp;" years")</f>
        <v>Done every 5 years</v>
      </c>
      <c r="K29" s="1354">
        <f>J182</f>
        <v>5</v>
      </c>
      <c r="L29" s="1353">
        <f t="shared" si="4"/>
        <v>16</v>
      </c>
      <c r="M29" s="1354">
        <f t="shared" si="4"/>
        <v>5</v>
      </c>
      <c r="N29" s="169">
        <f>$H29*(1-(1+$L$15)^-(L29*M29))/((1+$L$15)^M29-1)*(1+((1+$L$15)^M29-1))</f>
        <v>0</v>
      </c>
      <c r="O29" s="1355">
        <f t="shared" si="5"/>
        <v>0</v>
      </c>
      <c r="P29" s="1850"/>
      <c r="Q29" s="2833"/>
      <c r="R29" s="2833"/>
      <c r="S29" s="2833"/>
      <c r="T29" s="1370" t="s">
        <v>810</v>
      </c>
      <c r="U29" s="1359">
        <f>O29/$U$16</f>
        <v>0</v>
      </c>
      <c r="V29" s="1851" t="str">
        <f>IF($T29="L",SUM($U29:U29)*V$16,"")</f>
        <v/>
      </c>
      <c r="W29" s="1851">
        <f>IF($U29="","",IF(OR($T29="L",$T29="T",$T29="C"),SUM($U29:V29)*W$16,""))</f>
        <v>0</v>
      </c>
      <c r="X29" s="1851">
        <f>IF($U29="","",SUM($U29:W29)*X$16)</f>
        <v>0</v>
      </c>
      <c r="Y29" s="1852">
        <f>IF($U29="","",SUM(V29:X29))</f>
        <v>0</v>
      </c>
      <c r="Z29" s="1850"/>
      <c r="AA29" s="1853">
        <f>IF($U29="","",SUM(U29,Y29))</f>
        <v>0</v>
      </c>
      <c r="AB29" s="1850"/>
      <c r="AC29" s="1630">
        <f ca="1">IF(AA29="","",AA29/OFFSET($AB$23,AF29,0))</f>
        <v>0</v>
      </c>
      <c r="AD29" s="1854"/>
      <c r="AE29" s="1632"/>
      <c r="AF29" s="1365">
        <f>AF28</f>
        <v>4</v>
      </c>
      <c r="AG29" s="1365"/>
      <c r="AH29" s="1367">
        <f>$AH$16/K29</f>
        <v>1</v>
      </c>
      <c r="AI29" s="1367">
        <f>$AH$16/AH29</f>
        <v>5</v>
      </c>
      <c r="AJ29" s="169">
        <f>$H29*(1-(1+$L$15)^-(AH29*AI29))/((1+$L$15)^AI29-1)*(1+((1+$L$15)^AI29-1))</f>
        <v>0</v>
      </c>
      <c r="AK29" s="1855"/>
    </row>
    <row r="30" spans="1:37" s="1349" customFormat="1" ht="19" customHeight="1">
      <c r="B30" s="2693"/>
      <c r="C30" s="3963"/>
      <c r="D30" s="2675"/>
      <c r="E30" s="2704" t="s">
        <v>21</v>
      </c>
      <c r="F30" s="2705"/>
      <c r="G30" s="2705"/>
      <c r="H30" s="1368"/>
      <c r="I30" s="2706"/>
      <c r="J30" s="2707"/>
      <c r="K30" s="2708"/>
      <c r="L30" s="2709"/>
      <c r="M30" s="2708"/>
      <c r="N30" s="1368"/>
      <c r="O30" s="2710">
        <f t="shared" si="5"/>
        <v>0</v>
      </c>
      <c r="P30" s="1850"/>
      <c r="Q30" s="2833"/>
      <c r="R30" s="2833"/>
      <c r="S30" s="2833"/>
      <c r="T30" s="1370" t="s">
        <v>811</v>
      </c>
      <c r="U30" s="1359"/>
      <c r="V30" s="1851" t="str">
        <f>IF($T30="L",SUM($U30:U30)*V$16,"")</f>
        <v/>
      </c>
      <c r="W30" s="1851" t="str">
        <f>IF($U30="","",IF(OR($T30="L",$T30="T",$T30="C"),SUM($U30:V30)*W$16,""))</f>
        <v/>
      </c>
      <c r="X30" s="1851" t="str">
        <f>IF($U30="","",SUM($U30:W30)*X$16)</f>
        <v/>
      </c>
      <c r="Y30" s="1852"/>
      <c r="Z30" s="1850"/>
      <c r="AA30" s="1853"/>
      <c r="AB30" s="1850"/>
      <c r="AC30" s="1630"/>
      <c r="AD30" s="1854"/>
      <c r="AE30" s="1632"/>
      <c r="AF30" s="1365">
        <f>AF29</f>
        <v>4</v>
      </c>
      <c r="AG30" s="1365"/>
      <c r="AH30" s="1367"/>
      <c r="AI30" s="1367"/>
      <c r="AJ30" s="169"/>
      <c r="AK30" s="1855"/>
    </row>
    <row r="31" spans="1:37" ht="19" customHeight="1">
      <c r="A31" s="390"/>
      <c r="B31" s="710">
        <f>B27+0.11</f>
        <v>1.3100000000000003</v>
      </c>
      <c r="C31" s="3859" t="s">
        <v>2031</v>
      </c>
      <c r="D31" s="3850" t="s">
        <v>2029</v>
      </c>
      <c r="E31" s="373" t="s">
        <v>3</v>
      </c>
      <c r="F31" s="1176">
        <v>0</v>
      </c>
      <c r="G31" s="1176">
        <f>$D$249</f>
        <v>20.847035376183356</v>
      </c>
      <c r="H31" s="370">
        <f>H295</f>
        <v>4690.582959641255</v>
      </c>
      <c r="I31" s="613" t="s">
        <v>475</v>
      </c>
      <c r="J31" s="375" t="str">
        <f>IF(K31=1,"Annual","Done every "&amp;K31&amp;" years")</f>
        <v>Done every 5 years</v>
      </c>
      <c r="K31" s="371">
        <f>L295</f>
        <v>5</v>
      </c>
      <c r="L31" s="386">
        <f t="shared" ref="L31:M33" si="6">$L$16/K31</f>
        <v>16</v>
      </c>
      <c r="M31" s="371">
        <f t="shared" si="6"/>
        <v>5</v>
      </c>
      <c r="N31" s="370">
        <f>$H31*(1-(1+$L$15)^-(L31*M31))/((1+$L$15)^M31-1)*(1+((1+$L$15)^M31-1))</f>
        <v>25198.024792759654</v>
      </c>
      <c r="O31" s="640">
        <f t="shared" si="5"/>
        <v>1013.107798869063</v>
      </c>
      <c r="P31" s="980">
        <f>SUM(O31:O34)</f>
        <v>2561.8906964900543</v>
      </c>
      <c r="Q31" s="3049"/>
      <c r="R31" s="3049"/>
      <c r="S31" s="3049"/>
      <c r="T31" s="1034" t="s">
        <v>808</v>
      </c>
      <c r="U31" s="642">
        <f t="shared" ref="U31:U37" si="7">O31/$U$16</f>
        <v>10.131077988690629</v>
      </c>
      <c r="V31" s="644">
        <f>IF($T31="L",SUM($U31:U31)*V$16,"")</f>
        <v>3.0393233966071889</v>
      </c>
      <c r="W31" s="644">
        <f>IF($U31="","",IF(OR($T31="L",$T31="T",$T31="C"),SUM($U31:V31)*W$16,""))</f>
        <v>1.3170401385297819</v>
      </c>
      <c r="X31" s="644">
        <f>IF($U31="","",SUM($U31:W31)*X$16)</f>
        <v>4.3462324571482798</v>
      </c>
      <c r="Y31" s="388">
        <f>IF($U31="","",SUM(V31:X31))</f>
        <v>8.70259599228525</v>
      </c>
      <c r="Z31" s="392">
        <f>SUM(V31:X34)</f>
        <v>15.362362452055514</v>
      </c>
      <c r="AA31" s="734">
        <f>IF($U31="","",SUM(U31,Y31))</f>
        <v>18.833673980975881</v>
      </c>
      <c r="AB31" s="392">
        <f>SUM(AA31:AA34)</f>
        <v>40.98126941695606</v>
      </c>
      <c r="AC31" s="888">
        <f ca="1">IF(AA31="","",AA31/OFFSET($AB$23,AF31,0))</f>
        <v>0.45956785255615878</v>
      </c>
      <c r="AD31" s="641"/>
      <c r="AE31" s="1066"/>
      <c r="AF31" s="587">
        <f>AF27+4</f>
        <v>8</v>
      </c>
      <c r="AG31" s="816">
        <f ca="1">SUM(AC31:AC34)-1</f>
        <v>0</v>
      </c>
      <c r="AH31" s="387">
        <f>$AH$16/K31</f>
        <v>1</v>
      </c>
      <c r="AI31" s="387">
        <f>$AH$16/AH31</f>
        <v>5</v>
      </c>
      <c r="AJ31" s="370">
        <f>$H31*(1-(1+$L$15)^-(AH31*AI31))/((1+$L$15)^AI31-1)*(1+((1+$L$15)^AI31-1))</f>
        <v>4690.582959641255</v>
      </c>
      <c r="AK31" s="980">
        <f>SUM(AJ31:AJ34)</f>
        <v>11861.285500747385</v>
      </c>
    </row>
    <row r="32" spans="1:37" ht="19" customHeight="1">
      <c r="A32" s="390"/>
      <c r="B32" s="710"/>
      <c r="C32" s="3860"/>
      <c r="D32" s="3851"/>
      <c r="E32" s="373" t="s">
        <v>308</v>
      </c>
      <c r="F32" s="1176">
        <f>$D$281</f>
        <v>1</v>
      </c>
      <c r="G32" s="1176">
        <f>$D$280</f>
        <v>10.423517688091678</v>
      </c>
      <c r="H32" s="882">
        <f>H296</f>
        <v>2970.7025411061286</v>
      </c>
      <c r="I32" s="613" t="s">
        <v>797</v>
      </c>
      <c r="J32" s="375" t="str">
        <f>IF(K32=1,"Annual","Done every "&amp;K32&amp;" years")</f>
        <v>Done every 5 years</v>
      </c>
      <c r="K32" s="371">
        <f>L296</f>
        <v>5</v>
      </c>
      <c r="L32" s="386">
        <f t="shared" si="6"/>
        <v>16</v>
      </c>
      <c r="M32" s="371">
        <f t="shared" si="6"/>
        <v>5</v>
      </c>
      <c r="N32" s="370">
        <f>$H32*(1-(1+$L$15)^-(L32*M32))/((1+$L$15)^M32-1)*(1+((1+$L$15)^M32-1))</f>
        <v>15958.749035414452</v>
      </c>
      <c r="O32" s="640">
        <f t="shared" si="5"/>
        <v>641.63493928374021</v>
      </c>
      <c r="P32" s="981"/>
      <c r="Q32" s="2956">
        <f>1*(1-(1+$L$15)^-(L32*M32))/((1+$L$15)^M32-1)*(1+((1+$L$15)^M32-1))</f>
        <v>5.3720454386093719</v>
      </c>
      <c r="R32" s="2956">
        <f>Q32/(1+$L$15)*($L$15)/(1-(1+$L$15)^-$L$16)</f>
        <v>0.2159876091279169</v>
      </c>
      <c r="S32" s="2956">
        <f>F32*R32</f>
        <v>0.2159876091279169</v>
      </c>
      <c r="T32" s="1034" t="s">
        <v>809</v>
      </c>
      <c r="U32" s="639">
        <f t="shared" si="7"/>
        <v>6.416349392837402</v>
      </c>
      <c r="V32" s="644" t="str">
        <f>IF($T32="L",SUM($U32:U32)*V$16,"")</f>
        <v/>
      </c>
      <c r="W32" s="644">
        <f>IF($U32="","",IF(OR($T32="L",$T32="T",$T32="C"),SUM($U32:V32)*W$16,""))</f>
        <v>0.64163493928374027</v>
      </c>
      <c r="X32" s="644">
        <f>IF($U32="","",SUM($U32:W32)*X$16)</f>
        <v>2.1173952996363425</v>
      </c>
      <c r="Y32" s="394">
        <f>IF($U32="","",SUM(V32:X32))</f>
        <v>2.7590302389200829</v>
      </c>
      <c r="Z32" s="392"/>
      <c r="AA32" s="734">
        <f>IF($U32="","",SUM(U32,Y32))</f>
        <v>9.1753796317574849</v>
      </c>
      <c r="AB32" s="392"/>
      <c r="AC32" s="729">
        <f ca="1">IF(AA32="","",AA32/OFFSET($AB$23,AF32,0))</f>
        <v>0.2238920307324877</v>
      </c>
      <c r="AD32" s="641"/>
      <c r="AE32" s="1066"/>
      <c r="AF32" s="587">
        <f>AF31</f>
        <v>8</v>
      </c>
      <c r="AG32" s="587"/>
      <c r="AH32" s="387">
        <f>$AH$16/K32</f>
        <v>1</v>
      </c>
      <c r="AI32" s="387">
        <f>$AH$16/AH32</f>
        <v>5</v>
      </c>
      <c r="AJ32" s="370">
        <f>$H32*(1-(1+$L$15)^-(AH32*AI32))/((1+$L$15)^AI32-1)*(1+((1+$L$15)^AI32-1))</f>
        <v>2970.702541106129</v>
      </c>
      <c r="AK32" s="981"/>
    </row>
    <row r="33" spans="1:37" ht="19" customHeight="1">
      <c r="A33" s="390"/>
      <c r="B33" s="710"/>
      <c r="C33" s="3860"/>
      <c r="D33" s="3851"/>
      <c r="E33" s="373" t="s">
        <v>4</v>
      </c>
      <c r="F33" s="1176"/>
      <c r="G33" s="1176">
        <f>$D$290</f>
        <v>20</v>
      </c>
      <c r="H33" s="882">
        <f>H297</f>
        <v>4200</v>
      </c>
      <c r="I33" s="613" t="s">
        <v>70</v>
      </c>
      <c r="J33" s="375" t="str">
        <f>IF(K33=1,"Annual","Done every "&amp;K33&amp;" years")</f>
        <v>Done every 5 years</v>
      </c>
      <c r="K33" s="371">
        <f>L297</f>
        <v>5</v>
      </c>
      <c r="L33" s="386">
        <f t="shared" si="6"/>
        <v>16</v>
      </c>
      <c r="M33" s="371">
        <f t="shared" si="6"/>
        <v>5</v>
      </c>
      <c r="N33" s="370">
        <f>$H33*(1-(1+$L$15)^-(L33*M33))/((1+$L$15)^M33-1)*(1+((1+$L$15)^M33-1))</f>
        <v>22562.590842159363</v>
      </c>
      <c r="O33" s="640">
        <f t="shared" si="5"/>
        <v>907.14795833725111</v>
      </c>
      <c r="P33" s="982"/>
      <c r="Q33" s="2956"/>
      <c r="R33" s="2956"/>
      <c r="S33" s="2956"/>
      <c r="T33" s="1034" t="s">
        <v>810</v>
      </c>
      <c r="U33" s="639">
        <f t="shared" si="7"/>
        <v>9.0714795833725113</v>
      </c>
      <c r="V33" s="644" t="str">
        <f>IF($T33="L",SUM($U33:U33)*V$16,"")</f>
        <v/>
      </c>
      <c r="W33" s="644">
        <f>IF($U33="","",IF(OR($T33="L",$T33="T",$T33="C"),SUM($U33:V33)*W$16,""))</f>
        <v>0.90714795833725115</v>
      </c>
      <c r="X33" s="644">
        <f>IF($U33="","",SUM($U33:W33)*X$16)</f>
        <v>2.9935882625129286</v>
      </c>
      <c r="Y33" s="394">
        <f>IF($U33="","",SUM(V33:X33))</f>
        <v>3.9007362208501797</v>
      </c>
      <c r="Z33" s="393"/>
      <c r="AA33" s="735">
        <f>IF($U33="","",SUM(U33,Y33))</f>
        <v>12.97221580422269</v>
      </c>
      <c r="AB33" s="393"/>
      <c r="AC33" s="729">
        <f ca="1">IF(AA33="","",AA33/OFFSET($AB$23,AF33,0))</f>
        <v>0.31654011671135346</v>
      </c>
      <c r="AD33" s="643"/>
      <c r="AE33" s="1066"/>
      <c r="AF33" s="587">
        <f>AF32</f>
        <v>8</v>
      </c>
      <c r="AG33" s="587"/>
      <c r="AH33" s="387">
        <f>$AH$16/K33</f>
        <v>1</v>
      </c>
      <c r="AI33" s="387">
        <f>$AH$16/AH33</f>
        <v>5</v>
      </c>
      <c r="AJ33" s="370">
        <f>$H33*(1-(1+$L$15)^-(AH33*AI33))/((1+$L$15)^AI33-1)*(1+((1+$L$15)^AI33-1))</f>
        <v>4200.0000000000009</v>
      </c>
      <c r="AK33" s="982"/>
    </row>
    <row r="34" spans="1:37" ht="19" customHeight="1">
      <c r="A34" s="390"/>
      <c r="B34" s="710"/>
      <c r="C34" s="2711" t="s">
        <v>788</v>
      </c>
      <c r="D34" s="3851"/>
      <c r="E34" s="373" t="s">
        <v>21</v>
      </c>
      <c r="F34" s="1176"/>
      <c r="G34" s="1176"/>
      <c r="H34" s="370"/>
      <c r="I34" s="1086"/>
      <c r="J34" s="375"/>
      <c r="K34" s="371"/>
      <c r="L34" s="386"/>
      <c r="M34" s="371"/>
      <c r="N34" s="370"/>
      <c r="O34" s="640">
        <f t="shared" si="5"/>
        <v>0</v>
      </c>
      <c r="P34" s="982"/>
      <c r="Q34" s="2956"/>
      <c r="R34" s="2956"/>
      <c r="S34" s="2956"/>
      <c r="T34" s="1034" t="s">
        <v>811</v>
      </c>
      <c r="U34" s="639">
        <f t="shared" si="7"/>
        <v>0</v>
      </c>
      <c r="V34" s="644" t="str">
        <f>IF($T34="L",SUM($U34:U34)*V$16,"")</f>
        <v/>
      </c>
      <c r="W34" s="644" t="str">
        <f>IF($U34="","",IF(OR($T34="L",$T34="T",$T34="C"),SUM($U34:V34)*W$16,""))</f>
        <v/>
      </c>
      <c r="X34" s="644">
        <f>IF($U34="","",SUM($U34:W34)*X$16)</f>
        <v>0</v>
      </c>
      <c r="Y34" s="394"/>
      <c r="Z34" s="393"/>
      <c r="AA34" s="735"/>
      <c r="AB34" s="393"/>
      <c r="AC34" s="729"/>
      <c r="AD34" s="643"/>
      <c r="AE34" s="1066"/>
      <c r="AF34" s="587">
        <f>AF33</f>
        <v>8</v>
      </c>
      <c r="AG34" s="587"/>
      <c r="AH34" s="387"/>
      <c r="AI34" s="387"/>
      <c r="AJ34" s="370"/>
      <c r="AK34" s="982"/>
    </row>
    <row r="35" spans="1:37" ht="19" customHeight="1">
      <c r="A35" s="676"/>
      <c r="B35" s="711">
        <f>B23+0.12</f>
        <v>1.2200000000000002</v>
      </c>
      <c r="C35" s="3875" t="str">
        <f>C31</f>
        <v>Management Action 2
(L + T + C)
Ground surveys</v>
      </c>
      <c r="D35" s="3852" t="str">
        <f>D31</f>
        <v>This involves surveying 100% of area to Increase accuracy of species occurrence models by surveying for threatened species.</v>
      </c>
      <c r="E35" s="685" t="s">
        <v>3</v>
      </c>
      <c r="F35" s="1177">
        <v>0</v>
      </c>
      <c r="G35" s="1177">
        <f>$E$249</f>
        <v>24.833084205281516</v>
      </c>
      <c r="H35" s="665">
        <f>I295</f>
        <v>5587.4439461883412</v>
      </c>
      <c r="I35" s="818" t="str">
        <f>I31</f>
        <v xml:space="preserve">Labour to get tracking done, cameras, sandpads and collars. </v>
      </c>
      <c r="J35" s="666" t="str">
        <f>IF(K35=1,"Annual","Done every "&amp;K35&amp;" years")</f>
        <v>Done every 5 years</v>
      </c>
      <c r="K35" s="667">
        <f>L295</f>
        <v>5</v>
      </c>
      <c r="L35" s="671">
        <f t="shared" ref="L35:M37" si="8">$L$16/K35</f>
        <v>16</v>
      </c>
      <c r="M35" s="880">
        <f t="shared" si="8"/>
        <v>5</v>
      </c>
      <c r="N35" s="883">
        <f>$H35*(1-(1+$L$15)^-(L35*M35))/((1+$L$15)^M35-1)*(1+((1+$L$15)^M35-1))</f>
        <v>30016.002764606634</v>
      </c>
      <c r="O35" s="673">
        <f t="shared" si="5"/>
        <v>1206.8186590734733</v>
      </c>
      <c r="P35" s="983">
        <f>SUM(O35:O38)</f>
        <v>3059.714693158041</v>
      </c>
      <c r="Q35" s="3050"/>
      <c r="R35" s="3050"/>
      <c r="S35" s="3050"/>
      <c r="T35" s="1035" t="s">
        <v>808</v>
      </c>
      <c r="U35" s="675">
        <f t="shared" si="7"/>
        <v>12.068186590734733</v>
      </c>
      <c r="V35" s="675">
        <f>IF($T35="L",SUM($U35:U35)*V$16,"")</f>
        <v>3.6204559772204199</v>
      </c>
      <c r="W35" s="675">
        <f>IF($U35="","",IF(OR($T35="L",$T35="T",$T35="C"),SUM($U35:V35)*W$16,""))</f>
        <v>1.5688642567955153</v>
      </c>
      <c r="X35" s="675">
        <f>IF($U35="","",SUM($U35:W35)*X$16)</f>
        <v>5.1772520474252</v>
      </c>
      <c r="Y35" s="670">
        <f>IF($U35="","",SUM(V35:X35))</f>
        <v>10.366572281441135</v>
      </c>
      <c r="Z35" s="716">
        <f>SUM(V35:X38)</f>
        <v>18.334025228004776</v>
      </c>
      <c r="AA35" s="736">
        <f>IF($U35="","",SUM(U35,Y35))</f>
        <v>22.43475887217587</v>
      </c>
      <c r="AB35" s="716">
        <f>SUM(AA35:AA38)</f>
        <v>48.931172159585188</v>
      </c>
      <c r="AC35" s="730">
        <f ca="1">IF(AA35="","",AA35/OFFSET($AB$23,AF35,0))</f>
        <v>0.45849624854697246</v>
      </c>
      <c r="AD35" s="674"/>
      <c r="AE35" s="1067"/>
      <c r="AF35" s="587">
        <f>AF31+4</f>
        <v>12</v>
      </c>
      <c r="AG35" s="816">
        <f ca="1">SUM(AC35:AC38)-1</f>
        <v>0</v>
      </c>
      <c r="AH35" s="669">
        <f>$AH$16/K35</f>
        <v>1</v>
      </c>
      <c r="AI35" s="669">
        <f>$AH$16/AH35</f>
        <v>5</v>
      </c>
      <c r="AJ35" s="665">
        <f>$H35*(1-(1+$L$15)^-(AH35*AI35))/((1+$L$15)^AI35-1)*(1+((1+$L$15)^AI35-1))</f>
        <v>5587.4439461883421</v>
      </c>
      <c r="AK35" s="983">
        <f>SUM(AJ35:AJ38)</f>
        <v>14166.158445440957</v>
      </c>
    </row>
    <row r="36" spans="1:37" ht="19" customHeight="1">
      <c r="A36" s="676"/>
      <c r="B36" s="712"/>
      <c r="C36" s="3876"/>
      <c r="D36" s="3853"/>
      <c r="E36" s="685" t="s">
        <v>308</v>
      </c>
      <c r="F36" s="1177">
        <f>$E$281</f>
        <v>1</v>
      </c>
      <c r="G36" s="1177">
        <f>$E$280</f>
        <v>12.416542102640758</v>
      </c>
      <c r="H36" s="665">
        <f>I296</f>
        <v>3538.714499252616</v>
      </c>
      <c r="I36" s="818" t="str">
        <f>I32</f>
        <v>Transport at site</v>
      </c>
      <c r="J36" s="666" t="str">
        <f>IF(K36=1,"Annual","Done every "&amp;K36&amp;" years")</f>
        <v>Done every 5 years</v>
      </c>
      <c r="K36" s="667">
        <f>L296</f>
        <v>5</v>
      </c>
      <c r="L36" s="668">
        <f t="shared" si="8"/>
        <v>16</v>
      </c>
      <c r="M36" s="667">
        <f t="shared" si="8"/>
        <v>5</v>
      </c>
      <c r="N36" s="665">
        <f>$H36*(1-(1+$L$15)^-(L36*M36))/((1+$L$15)^M36-1)*(1+((1+$L$15)^M36-1))</f>
        <v>19010.135084250865</v>
      </c>
      <c r="O36" s="680">
        <f t="shared" si="5"/>
        <v>764.31848407986627</v>
      </c>
      <c r="P36" s="984"/>
      <c r="Q36" s="3051">
        <f>1*(1-(1+$L$15)^-(L36*M36))/((1+$L$15)^M36-1)*(1+((1+$L$15)^M36-1))</f>
        <v>5.3720454386093719</v>
      </c>
      <c r="R36" s="3051">
        <f>Q36/(1+$L$15)*($L$15)/(1-(1+$L$15)^-$L$16)</f>
        <v>0.2159876091279169</v>
      </c>
      <c r="S36" s="3051">
        <f>F36*R36</f>
        <v>0.2159876091279169</v>
      </c>
      <c r="T36" s="1036" t="s">
        <v>809</v>
      </c>
      <c r="U36" s="675">
        <f t="shared" si="7"/>
        <v>7.6431848407986624</v>
      </c>
      <c r="V36" s="682" t="str">
        <f>IF($T36="L",SUM($U36:U36)*V$16,"")</f>
        <v/>
      </c>
      <c r="W36" s="682">
        <f>IF($U36="","",IF(OR($T36="L",$T36="T",$T36="C"),SUM($U36:V36)*W$16,""))</f>
        <v>0.76431848407986624</v>
      </c>
      <c r="X36" s="682">
        <f>IF($U36="","",SUM($U36:W36)*X$16)</f>
        <v>2.522250997463559</v>
      </c>
      <c r="Y36" s="679">
        <f>IF($U36="","",SUM(V36:X36))</f>
        <v>3.2865694815434252</v>
      </c>
      <c r="Z36" s="720"/>
      <c r="AA36" s="737">
        <f>IF($U36="","",SUM(U36,Y36))</f>
        <v>10.929754322342088</v>
      </c>
      <c r="AB36" s="720"/>
      <c r="AC36" s="730">
        <f ca="1">IF(AA36="","",AA36/OFFSET($AB$23,AF36,0))</f>
        <v>0.22336996724083269</v>
      </c>
      <c r="AD36" s="681"/>
      <c r="AE36" s="1067"/>
      <c r="AF36" s="587">
        <f>AF35</f>
        <v>12</v>
      </c>
      <c r="AG36" s="587"/>
      <c r="AH36" s="669">
        <f>$AH$16/K36</f>
        <v>1</v>
      </c>
      <c r="AI36" s="669">
        <f>$AH$16/AH36</f>
        <v>5</v>
      </c>
      <c r="AJ36" s="665">
        <f>$H36*(1-(1+$L$15)^-(AH36*AI36))/((1+$L$15)^AI36-1)*(1+((1+$L$15)^AI36-1))</f>
        <v>3538.714499252616</v>
      </c>
      <c r="AK36" s="984"/>
    </row>
    <row r="37" spans="1:37" ht="19" customHeight="1">
      <c r="A37" s="676"/>
      <c r="B37" s="712"/>
      <c r="C37" s="3876"/>
      <c r="D37" s="3853"/>
      <c r="E37" s="685" t="s">
        <v>4</v>
      </c>
      <c r="F37" s="1177"/>
      <c r="G37" s="1177">
        <f>$E$290</f>
        <v>24</v>
      </c>
      <c r="H37" s="665">
        <f>I297</f>
        <v>5040</v>
      </c>
      <c r="I37" s="818" t="str">
        <f>I33</f>
        <v>Accomodation</v>
      </c>
      <c r="J37" s="666" t="str">
        <f>IF(K37=1,"Annual","Done every "&amp;K37&amp;" years")</f>
        <v>Done every 5 years</v>
      </c>
      <c r="K37" s="667">
        <f>L297</f>
        <v>5</v>
      </c>
      <c r="L37" s="668">
        <f t="shared" si="8"/>
        <v>16</v>
      </c>
      <c r="M37" s="667">
        <f t="shared" si="8"/>
        <v>5</v>
      </c>
      <c r="N37" s="665">
        <f>$H37*(1-(1+$L$15)^-(L37*M37))/((1+$L$15)^M37-1)*(1+((1+$L$15)^M37-1))</f>
        <v>27075.109010591237</v>
      </c>
      <c r="O37" s="680">
        <f t="shared" si="5"/>
        <v>1088.5775500047014</v>
      </c>
      <c r="P37" s="985"/>
      <c r="Q37" s="3051"/>
      <c r="R37" s="3051"/>
      <c r="S37" s="3051"/>
      <c r="T37" s="1036" t="s">
        <v>810</v>
      </c>
      <c r="U37" s="675">
        <f t="shared" si="7"/>
        <v>10.885775500047014</v>
      </c>
      <c r="V37" s="684" t="str">
        <f>IF($T37="L",SUM($U37:U37)*V$16,"")</f>
        <v/>
      </c>
      <c r="W37" s="684">
        <f>IF($U37="","",IF(OR($T37="L",$T37="T",$T37="C"),SUM($U37:V37)*W$16,""))</f>
        <v>1.0885775500047015</v>
      </c>
      <c r="X37" s="684">
        <f>IF($U37="","",SUM($U37:W37)*X$16)</f>
        <v>3.592305915015515</v>
      </c>
      <c r="Y37" s="1024">
        <f>IF($U37="","",SUM(V37:X37))</f>
        <v>4.6808834650202167</v>
      </c>
      <c r="Z37" s="721"/>
      <c r="AA37" s="738">
        <f>IF($U37="","",SUM(U37,Y37))</f>
        <v>15.56665896506723</v>
      </c>
      <c r="AB37" s="721"/>
      <c r="AC37" s="730">
        <f ca="1">IF(AA37="","",AA37/OFFSET($AB$23,AF37,0))</f>
        <v>0.31813378421219485</v>
      </c>
      <c r="AD37" s="683"/>
      <c r="AE37" s="1067"/>
      <c r="AF37" s="587">
        <f>AF36</f>
        <v>12</v>
      </c>
      <c r="AG37" s="587"/>
      <c r="AH37" s="669">
        <f>$AH$16/K37</f>
        <v>1</v>
      </c>
      <c r="AI37" s="669">
        <f>$AH$16/AH37</f>
        <v>5</v>
      </c>
      <c r="AJ37" s="665">
        <f>$H37*(1-(1+$L$15)^-(AH37*AI37))/((1+$L$15)^AI37-1)*(1+((1+$L$15)^AI37-1))</f>
        <v>5039.9999999999991</v>
      </c>
      <c r="AK37" s="985"/>
    </row>
    <row r="38" spans="1:37" ht="19" customHeight="1">
      <c r="A38" s="676"/>
      <c r="B38" s="712"/>
      <c r="C38" s="2712" t="s">
        <v>779</v>
      </c>
      <c r="D38" s="3854"/>
      <c r="E38" s="1082" t="s">
        <v>21</v>
      </c>
      <c r="F38" s="1177"/>
      <c r="G38" s="1177"/>
      <c r="H38" s="665"/>
      <c r="I38" s="818"/>
      <c r="J38" s="666"/>
      <c r="K38" s="667"/>
      <c r="L38" s="668"/>
      <c r="M38" s="667"/>
      <c r="N38" s="665"/>
      <c r="O38" s="680">
        <f t="shared" si="5"/>
        <v>0</v>
      </c>
      <c r="P38" s="985"/>
      <c r="Q38" s="3051"/>
      <c r="R38" s="3051"/>
      <c r="S38" s="3051"/>
      <c r="T38" s="1036" t="s">
        <v>811</v>
      </c>
      <c r="U38" s="675"/>
      <c r="V38" s="684" t="str">
        <f>IF($T38="L",SUM($U38:U38)*V$16,"")</f>
        <v/>
      </c>
      <c r="W38" s="684" t="str">
        <f>IF($U38="","",IF(OR($T38="L",$T38="T",$T38="C"),SUM($U38:V38)*W$16,""))</f>
        <v/>
      </c>
      <c r="X38" s="684" t="str">
        <f>IF($U38="","",SUM($U38:W38)*X$16)</f>
        <v/>
      </c>
      <c r="Y38" s="1024"/>
      <c r="Z38" s="721"/>
      <c r="AA38" s="738"/>
      <c r="AB38" s="721"/>
      <c r="AC38" s="730"/>
      <c r="AD38" s="683"/>
      <c r="AE38" s="1067"/>
      <c r="AF38" s="587">
        <f>AF37</f>
        <v>12</v>
      </c>
      <c r="AG38" s="587"/>
      <c r="AH38" s="669"/>
      <c r="AI38" s="669"/>
      <c r="AJ38" s="665"/>
      <c r="AK38" s="985"/>
    </row>
    <row r="39" spans="1:37" ht="19" customHeight="1">
      <c r="A39" s="656"/>
      <c r="B39" s="713">
        <f>$B$23+0.13</f>
        <v>1.23</v>
      </c>
      <c r="C39" s="3878" t="str">
        <f>C35</f>
        <v>Management Action 2
(L + T + C)
Ground surveys</v>
      </c>
      <c r="D39" s="3852" t="str">
        <f>D35</f>
        <v>This involves surveying 100% of area to Increase accuracy of species occurrence models by surveying for threatened species.</v>
      </c>
      <c r="E39" s="686" t="s">
        <v>3</v>
      </c>
      <c r="F39" s="1178">
        <v>0</v>
      </c>
      <c r="G39" s="1178">
        <f>$F$249</f>
        <v>32.805181863477827</v>
      </c>
      <c r="H39" s="645">
        <f>J295</f>
        <v>7381.1659192825109</v>
      </c>
      <c r="I39" s="820" t="s">
        <v>475</v>
      </c>
      <c r="J39" s="646" t="str">
        <f>IF(K39=1,"Annual","Done every "&amp;K39&amp;" years")</f>
        <v>Done every 5 years</v>
      </c>
      <c r="K39" s="647">
        <f>L295</f>
        <v>5</v>
      </c>
      <c r="L39" s="651">
        <f t="shared" ref="L39:M41" si="9">$L$16/K39</f>
        <v>16</v>
      </c>
      <c r="M39" s="881">
        <f t="shared" si="9"/>
        <v>5</v>
      </c>
      <c r="N39" s="884">
        <f>$H39*(1-(1+$L$15)^-(L39*M39))/((1+$L$15)^M39-1)*(1+((1+$L$15)^M39-1))</f>
        <v>39651.958708300568</v>
      </c>
      <c r="O39" s="653">
        <f t="shared" si="5"/>
        <v>1594.2403794822926</v>
      </c>
      <c r="P39" s="931">
        <f>SUM(O39:O42)</f>
        <v>4055.3626864940134</v>
      </c>
      <c r="Q39" s="3052"/>
      <c r="R39" s="3052"/>
      <c r="S39" s="3052"/>
      <c r="T39" s="1037" t="s">
        <v>808</v>
      </c>
      <c r="U39" s="655">
        <f>O39/$U$16</f>
        <v>15.942403794822926</v>
      </c>
      <c r="V39" s="655">
        <f>IF($T39="L",SUM($U39:U39)*V$16,"")</f>
        <v>4.7827211384468775</v>
      </c>
      <c r="W39" s="655">
        <f>IF($U39="","",IF(OR($T39="L",$T39="T",$T39="C"),SUM($U39:V39)*W$16,""))</f>
        <v>2.0725124933269803</v>
      </c>
      <c r="X39" s="655">
        <f>IF($U39="","",SUM($U39:W39)*X$16)</f>
        <v>6.839291227979035</v>
      </c>
      <c r="Y39" s="650">
        <f>IF($U39="","",SUM(V39:X39))</f>
        <v>13.694524859752892</v>
      </c>
      <c r="Z39" s="717">
        <f>SUM(V39:X42)</f>
        <v>24.277350779903287</v>
      </c>
      <c r="AA39" s="739">
        <f>IF($U39="","",SUM(U39,Y39))</f>
        <v>29.636928654575819</v>
      </c>
      <c r="AB39" s="717">
        <f>SUM(AA39:AA42)</f>
        <v>64.830977644843429</v>
      </c>
      <c r="AC39" s="731">
        <f ca="1">IF(AA39="","",AA39/OFFSET($AB$23,AF39,0))</f>
        <v>0.45714147358586227</v>
      </c>
      <c r="AD39" s="654"/>
      <c r="AE39" s="1068"/>
      <c r="AF39" s="587">
        <f>AF35+4</f>
        <v>16</v>
      </c>
      <c r="AG39" s="816">
        <f ca="1">SUM(AC39:AC42)-1</f>
        <v>0</v>
      </c>
      <c r="AH39" s="649">
        <f>$AH$16/K39</f>
        <v>1</v>
      </c>
      <c r="AI39" s="649">
        <f>$AH$16/AH39</f>
        <v>5</v>
      </c>
      <c r="AJ39" s="645">
        <f>$H39*(1-(1+$L$15)^-(AH39*AI39))/((1+$L$15)^AI39-1)*(1+((1+$L$15)^AI39-1))</f>
        <v>7381.16591928251</v>
      </c>
      <c r="AK39" s="931">
        <f>SUM(AJ39:AJ42)</f>
        <v>18775.904334828101</v>
      </c>
    </row>
    <row r="40" spans="1:37" ht="19" customHeight="1">
      <c r="A40" s="656"/>
      <c r="B40" s="714"/>
      <c r="C40" s="3879"/>
      <c r="D40" s="3853"/>
      <c r="E40" s="686" t="s">
        <v>308</v>
      </c>
      <c r="F40" s="1178">
        <f>$F$281</f>
        <v>1</v>
      </c>
      <c r="G40" s="1178">
        <f>$F$280</f>
        <v>16.402590931738914</v>
      </c>
      <c r="H40" s="645">
        <f>J296</f>
        <v>4674.7384155455902</v>
      </c>
      <c r="I40" s="820" t="s">
        <v>797</v>
      </c>
      <c r="J40" s="646" t="str">
        <f>IF(K40=1,"Annual","Done every "&amp;K40&amp;" years")</f>
        <v>Done every 5 years</v>
      </c>
      <c r="K40" s="1691">
        <f>L296</f>
        <v>5</v>
      </c>
      <c r="L40" s="648">
        <f t="shared" si="9"/>
        <v>16</v>
      </c>
      <c r="M40" s="647">
        <f t="shared" si="9"/>
        <v>5</v>
      </c>
      <c r="N40" s="645">
        <f>$H40*(1-(1+$L$15)^-(L40*M40))/((1+$L$15)^M40-1)*(1+((1+$L$15)^M40-1))</f>
        <v>25112.907181923696</v>
      </c>
      <c r="O40" s="660">
        <f t="shared" si="5"/>
        <v>1009.6855736721188</v>
      </c>
      <c r="P40" s="932"/>
      <c r="Q40" s="3053">
        <f>1*(1-(1+$L$15)^-(L40*M40))/((1+$L$15)^M40-1)*(1+((1+$L$15)^M40-1))</f>
        <v>5.3720454386093719</v>
      </c>
      <c r="R40" s="3053">
        <f>Q40/(1+$L$15)*($L$15)/(1-(1+$L$15)^-$L$16)</f>
        <v>0.2159876091279169</v>
      </c>
      <c r="S40" s="3053">
        <f>F40*R40</f>
        <v>0.2159876091279169</v>
      </c>
      <c r="T40" s="1038" t="s">
        <v>809</v>
      </c>
      <c r="U40" s="655">
        <f>O40/$U$16</f>
        <v>10.096855736721189</v>
      </c>
      <c r="V40" s="662" t="str">
        <f>IF($T40="L",SUM($U40:U40)*V$16,"")</f>
        <v/>
      </c>
      <c r="W40" s="662">
        <f>IF($U40="","",IF(OR($T40="L",$T40="T",$T40="C"),SUM($U40:V40)*W$16,""))</f>
        <v>1.0096855736721189</v>
      </c>
      <c r="X40" s="662">
        <f>IF($U40="","",SUM($U40:W40)*X$16)</f>
        <v>3.3319623931179922</v>
      </c>
      <c r="Y40" s="659">
        <f>IF($U40="","",SUM(V40:X40))</f>
        <v>4.3416479667901111</v>
      </c>
      <c r="Z40" s="722"/>
      <c r="AA40" s="740">
        <f>IF($U40="","",SUM(U40,Y40))</f>
        <v>14.4385037035113</v>
      </c>
      <c r="AB40" s="722"/>
      <c r="AC40" s="731">
        <f ca="1">IF(AA40="","",AA40/OFFSET($AB$23,AF40,0))</f>
        <v>0.22270994867003552</v>
      </c>
      <c r="AD40" s="661"/>
      <c r="AE40" s="1068"/>
      <c r="AF40" s="587">
        <f>AF39</f>
        <v>16</v>
      </c>
      <c r="AG40" s="587"/>
      <c r="AH40" s="649">
        <f>$AH$16/K40</f>
        <v>1</v>
      </c>
      <c r="AI40" s="649">
        <f>$AH$16/AH40</f>
        <v>5</v>
      </c>
      <c r="AJ40" s="645">
        <f>$H40*(1-(1+$L$15)^-(AH40*AI40))/((1+$L$15)^AI40-1)*(1+((1+$L$15)^AI40-1))</f>
        <v>4674.7384155455902</v>
      </c>
      <c r="AK40" s="932"/>
    </row>
    <row r="41" spans="1:37" ht="19" customHeight="1">
      <c r="A41" s="656"/>
      <c r="B41" s="714"/>
      <c r="C41" s="3879"/>
      <c r="D41" s="3853"/>
      <c r="E41" s="686" t="s">
        <v>4</v>
      </c>
      <c r="F41" s="1178"/>
      <c r="G41" s="1178">
        <f>$F$290</f>
        <v>32</v>
      </c>
      <c r="H41" s="645">
        <f>J297</f>
        <v>6720</v>
      </c>
      <c r="I41" s="820" t="s">
        <v>70</v>
      </c>
      <c r="J41" s="646" t="str">
        <f>IF(K41=1,"Annual","Done every "&amp;K41&amp;" years")</f>
        <v>Done every 5 years</v>
      </c>
      <c r="K41" s="1691">
        <f>L297</f>
        <v>5</v>
      </c>
      <c r="L41" s="648">
        <f t="shared" si="9"/>
        <v>16</v>
      </c>
      <c r="M41" s="647">
        <f t="shared" si="9"/>
        <v>5</v>
      </c>
      <c r="N41" s="645">
        <f>$H41*(1-(1+$L$15)^-(L41*M41))/((1+$L$15)^M41-1)*(1+((1+$L$15)^M41-1))</f>
        <v>36100.145347454985</v>
      </c>
      <c r="O41" s="660">
        <f t="shared" si="5"/>
        <v>1451.4367333396019</v>
      </c>
      <c r="P41" s="933"/>
      <c r="Q41" s="3053"/>
      <c r="R41" s="3053"/>
      <c r="S41" s="3053"/>
      <c r="T41" s="1038" t="s">
        <v>810</v>
      </c>
      <c r="U41" s="655">
        <f>O41/$U$16</f>
        <v>14.514367333396018</v>
      </c>
      <c r="V41" s="664" t="str">
        <f>IF($T41="L",SUM($U41:U41)*V$16,"")</f>
        <v/>
      </c>
      <c r="W41" s="664">
        <f>IF($U41="","",IF(OR($T41="L",$T41="T",$T41="C"),SUM($U41:V41)*W$16,""))</f>
        <v>1.4514367333396019</v>
      </c>
      <c r="X41" s="664">
        <f>IF($U41="","",SUM($U41:W41)*X$16)</f>
        <v>4.7897412200206855</v>
      </c>
      <c r="Y41" s="1025">
        <f>IF($U41="","",SUM(V41:X41))</f>
        <v>6.2411779533602871</v>
      </c>
      <c r="Z41" s="723"/>
      <c r="AA41" s="741">
        <f>IF($U41="","",SUM(U41,Y41))</f>
        <v>20.755545286756306</v>
      </c>
      <c r="AB41" s="723"/>
      <c r="AC41" s="731">
        <f ca="1">IF(AA41="","",AA41/OFFSET($AB$23,AF41,0))</f>
        <v>0.32014857774410216</v>
      </c>
      <c r="AD41" s="663"/>
      <c r="AE41" s="1068"/>
      <c r="AF41" s="587">
        <f>AF40</f>
        <v>16</v>
      </c>
      <c r="AG41" s="587"/>
      <c r="AH41" s="649">
        <f>$AH$16/K41</f>
        <v>1</v>
      </c>
      <c r="AI41" s="649">
        <f>$AH$16/AH41</f>
        <v>5</v>
      </c>
      <c r="AJ41" s="645">
        <f>$H41*(1-(1+$L$15)^-(AH41*AI41))/((1+$L$15)^AI41-1)*(1+((1+$L$15)^AI41-1))</f>
        <v>6720</v>
      </c>
      <c r="AK41" s="933"/>
    </row>
    <row r="42" spans="1:37" ht="19" customHeight="1">
      <c r="A42" s="656"/>
      <c r="B42" s="714"/>
      <c r="C42" s="2713" t="s">
        <v>789</v>
      </c>
      <c r="D42" s="3854"/>
      <c r="E42" s="686" t="s">
        <v>21</v>
      </c>
      <c r="F42" s="1178"/>
      <c r="G42" s="1178"/>
      <c r="H42" s="645"/>
      <c r="I42" s="1087"/>
      <c r="J42" s="646"/>
      <c r="K42" s="1691"/>
      <c r="L42" s="648"/>
      <c r="M42" s="647"/>
      <c r="N42" s="645"/>
      <c r="O42" s="660">
        <f t="shared" si="5"/>
        <v>0</v>
      </c>
      <c r="P42" s="934"/>
      <c r="Q42" s="3054"/>
      <c r="R42" s="3054"/>
      <c r="S42" s="3054"/>
      <c r="T42" s="1038"/>
      <c r="U42" s="655"/>
      <c r="V42" s="664" t="str">
        <f>IF($T42="L",SUM($U42:U42)*V$16,"")</f>
        <v/>
      </c>
      <c r="W42" s="664" t="str">
        <f>IF($U42="","",IF(OR($T42="L",$T42="T",$T42="C"),SUM($U42:V42)*W$16,""))</f>
        <v/>
      </c>
      <c r="X42" s="664" t="str">
        <f>IF($U42="","",SUM($U42:W42)*X$16)</f>
        <v/>
      </c>
      <c r="Y42" s="1025"/>
      <c r="Z42" s="723"/>
      <c r="AA42" s="741"/>
      <c r="AB42" s="723"/>
      <c r="AC42" s="731"/>
      <c r="AD42" s="663"/>
      <c r="AE42" s="1068"/>
      <c r="AF42" s="587">
        <f>AF41</f>
        <v>16</v>
      </c>
      <c r="AG42" s="587"/>
      <c r="AH42" s="649"/>
      <c r="AI42" s="649"/>
      <c r="AJ42" s="645"/>
      <c r="AK42" s="933"/>
    </row>
    <row r="43" spans="1:37" s="9" customFormat="1" ht="19" customHeight="1">
      <c r="B43" s="2685">
        <f>B23+0.2</f>
        <v>1.3</v>
      </c>
      <c r="C43" s="3949" t="s">
        <v>2327</v>
      </c>
      <c r="D43" s="3866" t="s">
        <v>2027</v>
      </c>
      <c r="E43" s="148" t="s">
        <v>3</v>
      </c>
      <c r="F43" s="1174">
        <v>0</v>
      </c>
      <c r="G43" s="1174">
        <f>$E$334</f>
        <v>240</v>
      </c>
      <c r="H43" s="150">
        <f>F334</f>
        <v>90000</v>
      </c>
      <c r="I43" s="150" t="str">
        <f>G334</f>
        <v>Cost for Mapping team</v>
      </c>
      <c r="J43" s="376" t="str">
        <f t="shared" ref="J43" si="10">IF(K43=1,"Annual","Done every "&amp;K43&amp;" years")</f>
        <v>Done every 5 years</v>
      </c>
      <c r="K43" s="1692">
        <f>H334</f>
        <v>5</v>
      </c>
      <c r="L43" s="379">
        <f t="shared" ref="L43:M43" si="11">$L$16/K43</f>
        <v>16</v>
      </c>
      <c r="M43" s="272">
        <f t="shared" si="11"/>
        <v>5</v>
      </c>
      <c r="N43" s="150">
        <f>$H43*(1-(1+$L$15)^-(L43*M43))/((1+$L$15)^M43-1)*(1+((1+$L$15)^M43-1))</f>
        <v>483484.08947484347</v>
      </c>
      <c r="O43" s="915">
        <f t="shared" si="5"/>
        <v>19438.884821512522</v>
      </c>
      <c r="P43" s="245">
        <f>SUM(O43:O46)</f>
        <v>19438.884821512522</v>
      </c>
      <c r="Q43" s="3015"/>
      <c r="R43" s="3015"/>
      <c r="S43" s="3015"/>
      <c r="T43" s="1582" t="s">
        <v>808</v>
      </c>
      <c r="U43" s="2682">
        <f>O43</f>
        <v>19438.884821512522</v>
      </c>
      <c r="V43" s="588">
        <f>IF($T43="L",SUM($U43:U43)*V$16,"")</f>
        <v>5831.665446453756</v>
      </c>
      <c r="W43" s="2715"/>
      <c r="X43" s="588">
        <f>IF($U43="","",SUM($U43:W43)*X$16)</f>
        <v>7581.1650803898829</v>
      </c>
      <c r="Y43" s="383">
        <f>IF($U43="","",SUM(V43:X43))</f>
        <v>13412.830526843638</v>
      </c>
      <c r="Z43" s="245">
        <f>SUM(V43:X46)</f>
        <v>13412.830526843638</v>
      </c>
      <c r="AA43" s="917">
        <f>IF($U43="","",SUM(U43,Y43))</f>
        <v>32851.715348356156</v>
      </c>
      <c r="AB43" s="2530">
        <f>SUM(AA43:AA46)</f>
        <v>32851.715348356156</v>
      </c>
      <c r="AC43" s="918">
        <f t="shared" ref="AC43:AC46" ca="1" si="12">IF(AA43="","",AA43/OFFSET($AB$23,AF43,0))</f>
        <v>1</v>
      </c>
      <c r="AD43" s="589"/>
      <c r="AE43" s="1075"/>
      <c r="AF43" s="587">
        <f>AF39+4</f>
        <v>20</v>
      </c>
      <c r="AG43" s="995">
        <f ca="1">SUM(AC43:AC46)-1</f>
        <v>0</v>
      </c>
      <c r="AH43" s="380">
        <f>$AH$16/K43</f>
        <v>1</v>
      </c>
      <c r="AI43" s="380">
        <f t="shared" ref="AI43" si="13">$AH$16/AH43</f>
        <v>5</v>
      </c>
      <c r="AJ43" s="150">
        <f>$H43*(1-(1+$L$15)^-(AH43*AI43))/((1+$L$15)^AI43-1)*(1+((1+$L$15)^AI43-1))</f>
        <v>90000</v>
      </c>
      <c r="AK43" s="1165">
        <f>SUM(AJ43:AJ46)</f>
        <v>90000</v>
      </c>
    </row>
    <row r="44" spans="1:37" s="9" customFormat="1" ht="19" customHeight="1">
      <c r="B44" s="27"/>
      <c r="C44" s="3950"/>
      <c r="D44" s="3867"/>
      <c r="E44" s="148" t="s">
        <v>308</v>
      </c>
      <c r="F44" s="1174"/>
      <c r="G44" s="1174"/>
      <c r="H44" s="150"/>
      <c r="I44" s="1085"/>
      <c r="J44" s="376"/>
      <c r="K44" s="1692"/>
      <c r="L44" s="379"/>
      <c r="M44" s="272"/>
      <c r="N44" s="150"/>
      <c r="O44" s="915">
        <f t="shared" si="5"/>
        <v>0</v>
      </c>
      <c r="P44" s="382"/>
      <c r="Q44" s="2854">
        <v>0</v>
      </c>
      <c r="R44" s="2854">
        <v>0</v>
      </c>
      <c r="S44" s="2854">
        <v>0</v>
      </c>
      <c r="T44" s="1076" t="s">
        <v>809</v>
      </c>
      <c r="U44" s="588"/>
      <c r="V44" s="919" t="str">
        <f>IF($T44="L",SUM($U44:U44)*V$16,"")</f>
        <v/>
      </c>
      <c r="W44" s="2716"/>
      <c r="X44" s="919"/>
      <c r="Y44" s="384"/>
      <c r="Z44" s="382"/>
      <c r="AA44" s="920" t="str">
        <f>IF($U44="","",SUM(U44,Y44))</f>
        <v/>
      </c>
      <c r="AB44" s="382"/>
      <c r="AC44" s="918" t="str">
        <f t="shared" ca="1" si="12"/>
        <v/>
      </c>
      <c r="AD44" s="590"/>
      <c r="AE44" s="1075"/>
      <c r="AF44" s="587">
        <f>AF43</f>
        <v>20</v>
      </c>
      <c r="AG44" s="587"/>
      <c r="AH44" s="380"/>
      <c r="AI44" s="380"/>
      <c r="AJ44" s="150"/>
      <c r="AK44" s="715"/>
    </row>
    <row r="45" spans="1:37" s="9" customFormat="1" ht="16" customHeight="1">
      <c r="B45" s="27"/>
      <c r="C45" s="3950"/>
      <c r="D45" s="3867"/>
      <c r="E45" s="148" t="s">
        <v>4</v>
      </c>
      <c r="F45" s="1174"/>
      <c r="G45" s="1174"/>
      <c r="H45" s="150"/>
      <c r="I45" s="1085"/>
      <c r="J45" s="376"/>
      <c r="K45" s="1692"/>
      <c r="L45" s="379"/>
      <c r="M45" s="272"/>
      <c r="N45" s="150"/>
      <c r="O45" s="915">
        <f t="shared" si="5"/>
        <v>0</v>
      </c>
      <c r="P45" s="382"/>
      <c r="Q45" s="2854"/>
      <c r="R45" s="2854"/>
      <c r="S45" s="2854"/>
      <c r="T45" s="1076" t="s">
        <v>810</v>
      </c>
      <c r="U45" s="588"/>
      <c r="V45" s="919" t="str">
        <f>IF($T45="L",SUM($U45:U45)*V$16,"")</f>
        <v/>
      </c>
      <c r="W45" s="2716"/>
      <c r="X45" s="919"/>
      <c r="Y45" s="384"/>
      <c r="Z45" s="382"/>
      <c r="AA45" s="920" t="str">
        <f>IF($U45="","",SUM(U45,Y45))</f>
        <v/>
      </c>
      <c r="AB45" s="382"/>
      <c r="AC45" s="918" t="str">
        <f t="shared" ca="1" si="12"/>
        <v/>
      </c>
      <c r="AD45" s="589"/>
      <c r="AE45" s="1075"/>
      <c r="AF45" s="587">
        <f>AF44</f>
        <v>20</v>
      </c>
      <c r="AG45" s="587"/>
      <c r="AH45" s="380"/>
      <c r="AI45" s="380"/>
      <c r="AJ45" s="150"/>
      <c r="AK45" s="715"/>
    </row>
    <row r="46" spans="1:37" s="9" customFormat="1" ht="19" customHeight="1">
      <c r="B46" s="27"/>
      <c r="C46" s="3951"/>
      <c r="D46" s="3868"/>
      <c r="E46" s="148" t="s">
        <v>21</v>
      </c>
      <c r="F46" s="1174"/>
      <c r="G46" s="1174"/>
      <c r="H46" s="150"/>
      <c r="I46" s="1085"/>
      <c r="J46" s="376"/>
      <c r="K46" s="1692"/>
      <c r="L46" s="379"/>
      <c r="M46" s="272"/>
      <c r="N46" s="150"/>
      <c r="O46" s="915">
        <f t="shared" si="5"/>
        <v>0</v>
      </c>
      <c r="P46" s="382"/>
      <c r="Q46" s="2854"/>
      <c r="R46" s="2854"/>
      <c r="S46" s="2854"/>
      <c r="T46" s="1583" t="s">
        <v>811</v>
      </c>
      <c r="U46" s="588"/>
      <c r="V46" s="919" t="str">
        <f>IF($T46="L",SUM($U46:U46)*V$16,"")</f>
        <v/>
      </c>
      <c r="W46" s="2717"/>
      <c r="X46" s="919"/>
      <c r="Y46" s="384"/>
      <c r="Z46" s="382"/>
      <c r="AA46" s="920" t="str">
        <f>IF($U46="","",SUM(U46,Y46))</f>
        <v/>
      </c>
      <c r="AB46" s="382"/>
      <c r="AC46" s="918" t="str">
        <f t="shared" ca="1" si="12"/>
        <v/>
      </c>
      <c r="AD46" s="589"/>
      <c r="AE46" s="1075"/>
      <c r="AF46" s="587">
        <f>AF45</f>
        <v>20</v>
      </c>
      <c r="AG46" s="587"/>
      <c r="AH46" s="380"/>
      <c r="AI46" s="380"/>
      <c r="AJ46" s="150"/>
      <c r="AK46" s="715"/>
    </row>
    <row r="47" spans="1:37" s="828" customFormat="1" ht="19" customHeight="1" collapsed="1">
      <c r="B47" s="1486">
        <v>3</v>
      </c>
      <c r="C47" s="3952" t="s">
        <v>2328</v>
      </c>
      <c r="D47" s="3866" t="s">
        <v>2026</v>
      </c>
      <c r="E47" s="1487" t="s">
        <v>1205</v>
      </c>
      <c r="F47" s="1488">
        <v>0</v>
      </c>
      <c r="G47" s="1488">
        <f>$E$360</f>
        <v>2640</v>
      </c>
      <c r="H47" s="1489">
        <f>F360</f>
        <v>927000</v>
      </c>
      <c r="I47" s="1489" t="str">
        <f>G360</f>
        <v>Cost for liaison officers</v>
      </c>
      <c r="J47" s="1491" t="str">
        <f>IF(K47=1,"Annual","Done every "&amp;K47&amp;" years")</f>
        <v>Annual</v>
      </c>
      <c r="K47" s="1492">
        <f>D346</f>
        <v>1</v>
      </c>
      <c r="L47" s="1493">
        <f>$L$16/K47</f>
        <v>80</v>
      </c>
      <c r="M47" s="1494">
        <f>$L$16/L47</f>
        <v>1</v>
      </c>
      <c r="N47" s="1489">
        <f>$H47*(1-(1+$L$15)^-(L47*M47))/((1+$L$15)^M47-1)*(1+((1+$L$15)^M47-1))</f>
        <v>23056350.971696652</v>
      </c>
      <c r="O47" s="1495">
        <f t="shared" si="0"/>
        <v>926999.99999999919</v>
      </c>
      <c r="P47" s="1496">
        <f>SUM(O47:O50)</f>
        <v>926999.99999999919</v>
      </c>
      <c r="Q47" s="2827"/>
      <c r="R47" s="2827"/>
      <c r="S47" s="2827"/>
      <c r="T47" s="1497" t="s">
        <v>808</v>
      </c>
      <c r="U47" s="2682">
        <f>O47</f>
        <v>926999.99999999919</v>
      </c>
      <c r="V47" s="1498">
        <f>IF($T47="L",SUM($U47:U47)*V$16,"")</f>
        <v>278099.99999999977</v>
      </c>
      <c r="W47" s="1474"/>
      <c r="X47" s="1498">
        <f>IF($U47="","",SUM($U47:W47)*X$16)</f>
        <v>361529.99999999971</v>
      </c>
      <c r="Y47" s="1182">
        <f t="shared" si="1"/>
        <v>639629.99999999953</v>
      </c>
      <c r="Z47" s="1496">
        <f>SUM(V47:X50)</f>
        <v>639629.99999999953</v>
      </c>
      <c r="AA47" s="1499">
        <f t="shared" si="2"/>
        <v>1566629.9999999986</v>
      </c>
      <c r="AB47" s="2530">
        <f>SUM(AA47:AA50)</f>
        <v>1566629.9999999986</v>
      </c>
      <c r="AC47" s="1500">
        <f t="shared" ca="1" si="3"/>
        <v>1</v>
      </c>
      <c r="AD47" s="1501"/>
      <c r="AE47" s="1502"/>
      <c r="AF47" s="587">
        <f>AF43+4</f>
        <v>24</v>
      </c>
      <c r="AG47" s="1504">
        <f ca="1">SUM(AC47:AC50)-1</f>
        <v>0</v>
      </c>
      <c r="AH47" s="1505">
        <f>$AH$16/K47</f>
        <v>5</v>
      </c>
      <c r="AI47" s="1505">
        <f>$AH$16/AH47</f>
        <v>1</v>
      </c>
      <c r="AJ47" s="1489">
        <f>$H47*(1-(1+$L$15)^-(AH47*AI47))/((1+$L$15)^AI47-1)*(1+((1+$L$15)^AI47-1))</f>
        <v>4291912.8728861054</v>
      </c>
      <c r="AK47" s="1180">
        <f>SUM(AJ47:AJ50)</f>
        <v>4291912.8728861054</v>
      </c>
    </row>
    <row r="48" spans="1:37" s="828" customFormat="1" ht="19" customHeight="1">
      <c r="B48" s="1506"/>
      <c r="C48" s="3953"/>
      <c r="D48" s="3867"/>
      <c r="E48" s="1487" t="s">
        <v>308</v>
      </c>
      <c r="F48" s="1488"/>
      <c r="G48" s="1488"/>
      <c r="H48" s="1489"/>
      <c r="I48" s="1490"/>
      <c r="J48" s="1491"/>
      <c r="K48" s="1492"/>
      <c r="L48" s="1493"/>
      <c r="M48" s="1494"/>
      <c r="N48" s="1489"/>
      <c r="O48" s="1495">
        <f t="shared" si="0"/>
        <v>0</v>
      </c>
      <c r="P48" s="1507"/>
      <c r="Q48" s="2829">
        <v>0</v>
      </c>
      <c r="R48" s="2829">
        <v>0</v>
      </c>
      <c r="S48" s="2829">
        <v>0</v>
      </c>
      <c r="T48" s="1508" t="s">
        <v>809</v>
      </c>
      <c r="U48" s="1498"/>
      <c r="V48" s="1509" t="str">
        <f>IF($T48="L",SUM($U48:U48)*V$16,"")</f>
        <v/>
      </c>
      <c r="W48" s="1475" t="str">
        <f>IF($U48="","",IF(OR($T48="L",$T48="T",$T48="C"),SUM($U48:V48)*W$16,""))</f>
        <v/>
      </c>
      <c r="X48" s="1509" t="str">
        <f>IF($U48="","",SUM($U48:W48)*X$16)</f>
        <v/>
      </c>
      <c r="Y48" s="748" t="str">
        <f t="shared" si="1"/>
        <v/>
      </c>
      <c r="Z48" s="1507"/>
      <c r="AA48" s="1510" t="str">
        <f t="shared" si="2"/>
        <v/>
      </c>
      <c r="AB48" s="1507"/>
      <c r="AC48" s="1500" t="str">
        <f t="shared" ca="1" si="3"/>
        <v/>
      </c>
      <c r="AD48" s="1511"/>
      <c r="AE48" s="1502"/>
      <c r="AF48" s="1503">
        <f>AF47</f>
        <v>24</v>
      </c>
      <c r="AG48" s="1503"/>
      <c r="AH48" s="1505"/>
      <c r="AI48" s="1505"/>
      <c r="AJ48" s="1489"/>
      <c r="AK48" s="1512"/>
    </row>
    <row r="49" spans="2:37" s="828" customFormat="1" ht="16" customHeight="1">
      <c r="B49" s="1506"/>
      <c r="C49" s="3953"/>
      <c r="D49" s="3867"/>
      <c r="E49" s="1487" t="s">
        <v>4</v>
      </c>
      <c r="F49" s="1488"/>
      <c r="G49" s="1488"/>
      <c r="H49" s="1489"/>
      <c r="I49" s="1490"/>
      <c r="J49" s="1491"/>
      <c r="K49" s="1492"/>
      <c r="L49" s="1493"/>
      <c r="M49" s="1494"/>
      <c r="N49" s="1489"/>
      <c r="O49" s="1495">
        <f t="shared" si="0"/>
        <v>0</v>
      </c>
      <c r="P49" s="1507"/>
      <c r="Q49" s="2829"/>
      <c r="R49" s="2829"/>
      <c r="S49" s="2829"/>
      <c r="T49" s="1508" t="s">
        <v>810</v>
      </c>
      <c r="U49" s="1498"/>
      <c r="V49" s="1509" t="str">
        <f>IF($T49="L",SUM($U49:U49)*V$16,"")</f>
        <v/>
      </c>
      <c r="W49" s="1475" t="str">
        <f>IF($U49="","",IF(OR($T49="L",$T49="T",$T49="C"),SUM($U49:V49)*W$16,""))</f>
        <v/>
      </c>
      <c r="X49" s="1509" t="str">
        <f>IF($U49="","",SUM($U49:W49)*X$16)</f>
        <v/>
      </c>
      <c r="Y49" s="748" t="str">
        <f t="shared" si="1"/>
        <v/>
      </c>
      <c r="Z49" s="1507"/>
      <c r="AA49" s="1510" t="str">
        <f t="shared" si="2"/>
        <v/>
      </c>
      <c r="AB49" s="1507"/>
      <c r="AC49" s="1500" t="str">
        <f t="shared" ca="1" si="3"/>
        <v/>
      </c>
      <c r="AD49" s="1501"/>
      <c r="AE49" s="1502"/>
      <c r="AF49" s="1503">
        <f>AF48</f>
        <v>24</v>
      </c>
      <c r="AG49" s="1503"/>
      <c r="AH49" s="1505"/>
      <c r="AI49" s="1505"/>
      <c r="AJ49" s="1489"/>
      <c r="AK49" s="1512"/>
    </row>
    <row r="50" spans="2:37" s="828" customFormat="1" ht="19" customHeight="1">
      <c r="B50" s="1506"/>
      <c r="C50" s="3954"/>
      <c r="D50" s="3868"/>
      <c r="E50" s="1487" t="s">
        <v>21</v>
      </c>
      <c r="F50" s="1488"/>
      <c r="G50" s="1488"/>
      <c r="H50" s="1489"/>
      <c r="I50" s="1490"/>
      <c r="J50" s="1491"/>
      <c r="K50" s="1492"/>
      <c r="L50" s="379"/>
      <c r="M50" s="1494"/>
      <c r="N50" s="1489"/>
      <c r="O50" s="1495">
        <f t="shared" si="0"/>
        <v>0</v>
      </c>
      <c r="P50" s="1507"/>
      <c r="Q50" s="2829"/>
      <c r="R50" s="2829"/>
      <c r="S50" s="2829"/>
      <c r="T50" s="1513" t="s">
        <v>811</v>
      </c>
      <c r="U50" s="1498"/>
      <c r="V50" s="1509" t="str">
        <f>IF($T50="L",SUM($U50:U50)*V$16,"")</f>
        <v/>
      </c>
      <c r="W50" s="1475" t="str">
        <f>IF($U50="","",IF(OR($T50="L",$T50="T",$T50="C"),$U50*#REF!,""))</f>
        <v/>
      </c>
      <c r="X50" s="1509" t="str">
        <f>IF($U50="","",SUM($U50:W50)*X$16)</f>
        <v/>
      </c>
      <c r="Y50" s="748" t="str">
        <f t="shared" si="1"/>
        <v/>
      </c>
      <c r="Z50" s="1507"/>
      <c r="AA50" s="1510" t="str">
        <f t="shared" si="2"/>
        <v/>
      </c>
      <c r="AB50" s="1507"/>
      <c r="AC50" s="1500" t="str">
        <f t="shared" ca="1" si="3"/>
        <v/>
      </c>
      <c r="AD50" s="1501"/>
      <c r="AE50" s="1502"/>
      <c r="AF50" s="1503">
        <f>AF49</f>
        <v>24</v>
      </c>
      <c r="AG50" s="1503"/>
      <c r="AH50" s="1505"/>
      <c r="AI50" s="1505"/>
      <c r="AJ50" s="1489"/>
      <c r="AK50" s="1512"/>
    </row>
    <row r="51" spans="2:37" s="266" customFormat="1" ht="19" customHeight="1">
      <c r="B51" s="2642" t="e">
        <f>B11+0.2</f>
        <v>#VALUE!</v>
      </c>
      <c r="C51" s="3955" t="s">
        <v>2032</v>
      </c>
      <c r="D51" s="3958" t="s">
        <v>2024</v>
      </c>
      <c r="E51" s="1955" t="s">
        <v>3</v>
      </c>
      <c r="F51" s="1956">
        <v>0</v>
      </c>
      <c r="G51" s="1956">
        <f>$D$394</f>
        <v>30</v>
      </c>
      <c r="H51" s="1957">
        <f>G432</f>
        <v>6750</v>
      </c>
      <c r="I51" s="1957" t="str">
        <f>H432</f>
        <v>Cost for labour</v>
      </c>
      <c r="J51" s="1959" t="str">
        <f t="shared" ref="J51:J53" si="14">IF(K51=1,"Annual","Done every "&amp;K51&amp;" years")</f>
        <v>Annual</v>
      </c>
      <c r="K51" s="2686">
        <f>$D$368</f>
        <v>1</v>
      </c>
      <c r="L51" s="1961">
        <f t="shared" ref="L51:M53" si="15">$L$16/K51</f>
        <v>80</v>
      </c>
      <c r="M51" s="1960">
        <f t="shared" si="15"/>
        <v>1</v>
      </c>
      <c r="N51" s="1957">
        <f t="shared" ref="N51:N53" si="16">$H51*(1-(1+$L$15)^-(L51*M51))/((1+$L$15)^M51-1)*(1+((1+$L$15)^M51-1))</f>
        <v>167886.05076478145</v>
      </c>
      <c r="O51" s="1962">
        <f t="shared" ref="O51:O54" si="17">N51/(1+$L$15)*($L$15)/(1-(1+$L$15)^-$L$16)</f>
        <v>6749.9999999999945</v>
      </c>
      <c r="P51" s="1963">
        <f>SUM(O51:O54)</f>
        <v>17324.999999999985</v>
      </c>
      <c r="Q51" s="2842"/>
      <c r="R51" s="2842"/>
      <c r="S51" s="2842"/>
      <c r="T51" s="1964" t="s">
        <v>808</v>
      </c>
      <c r="U51" s="2644">
        <f>O51/$U$16</f>
        <v>67.499999999999943</v>
      </c>
      <c r="V51" s="1965">
        <f>IF($T51="L",SUM($U51:U51)*V$16,"")</f>
        <v>20.249999999999982</v>
      </c>
      <c r="W51" s="1965">
        <f>IF($U51="","",IF(OR($T51="L",$T51="T",$T51="C"),SUM($U51:V51)*W$16,""))</f>
        <v>8.7749999999999932</v>
      </c>
      <c r="X51" s="1965">
        <f>IF($U51="","",SUM($U51:W51)*X$16)</f>
        <v>28.957499999999975</v>
      </c>
      <c r="Y51" s="1966">
        <f t="shared" ref="Y51:Y58" si="18">IF($U51="","",SUM(V51:X51))</f>
        <v>57.982499999999952</v>
      </c>
      <c r="Z51" s="1963">
        <f>SUM(V51:X54)</f>
        <v>103.45499999999991</v>
      </c>
      <c r="AA51" s="1967">
        <f t="shared" ref="AA51:AA58" si="19">IF($U51="","",SUM(U51,Y51))</f>
        <v>125.4824999999999</v>
      </c>
      <c r="AB51" s="1963">
        <f>SUM(AA51:AA54)</f>
        <v>276.70499999999976</v>
      </c>
      <c r="AC51" s="2687">
        <f t="shared" ca="1" si="3"/>
        <v>0.45348837209302328</v>
      </c>
      <c r="AD51" s="2688"/>
      <c r="AE51" s="466"/>
      <c r="AF51" s="1482">
        <f>AF47+4</f>
        <v>28</v>
      </c>
      <c r="AG51" s="1971">
        <f ca="1">SUM(AC51:AC54)-1</f>
        <v>0</v>
      </c>
      <c r="AH51" s="1972">
        <f>$AH$16/K51</f>
        <v>5</v>
      </c>
      <c r="AI51" s="1972">
        <f t="shared" ref="AI51:AI53" si="20">$AH$16/AH51</f>
        <v>1</v>
      </c>
      <c r="AJ51" s="1957">
        <f t="shared" ref="AJ51:AJ53" si="21">$H51*(1-(1+$L$15)^-(AH51*AI51))/((1+$L$15)^AI51-1)*(1+((1+$L$15)^AI51-1))</f>
        <v>31251.792763733778</v>
      </c>
      <c r="AK51" s="1973">
        <f>SUM(AJ51:AJ54)</f>
        <v>80212.934760250035</v>
      </c>
    </row>
    <row r="52" spans="2:37" s="266" customFormat="1" ht="19" customHeight="1">
      <c r="B52" s="2646"/>
      <c r="C52" s="3956"/>
      <c r="D52" s="3959"/>
      <c r="E52" s="1955" t="s">
        <v>308</v>
      </c>
      <c r="F52" s="1956">
        <f>$D$417</f>
        <v>1</v>
      </c>
      <c r="G52" s="1956">
        <f>$D$418</f>
        <v>15</v>
      </c>
      <c r="H52" s="1957">
        <f t="shared" ref="H52:I53" si="22">G433</f>
        <v>4275</v>
      </c>
      <c r="I52" s="1957" t="str">
        <f t="shared" si="22"/>
        <v>Cost for ute hire for the whole activity</v>
      </c>
      <c r="J52" s="1959" t="str">
        <f t="shared" si="14"/>
        <v>Annual</v>
      </c>
      <c r="K52" s="2686">
        <f>$D$368</f>
        <v>1</v>
      </c>
      <c r="L52" s="1961">
        <f t="shared" si="15"/>
        <v>80</v>
      </c>
      <c r="M52" s="1960">
        <f t="shared" si="15"/>
        <v>1</v>
      </c>
      <c r="N52" s="1957">
        <f t="shared" si="16"/>
        <v>106327.83215102824</v>
      </c>
      <c r="O52" s="1962">
        <f t="shared" si="17"/>
        <v>4274.9999999999964</v>
      </c>
      <c r="P52" s="1976"/>
      <c r="Q52" s="2844">
        <f>1*(1-(1+$L$15)^-(L52*M52))/((1+$L$15)^M52-1)*(1+((1+$L$15)^M52-1))</f>
        <v>24.872007520708362</v>
      </c>
      <c r="R52" s="2844">
        <f>Q52/(1+$L$15)*($L$15)/(1-(1+$L$15)^-$L$16)</f>
        <v>0.99999999999999911</v>
      </c>
      <c r="S52" s="2844">
        <f>F52*R52</f>
        <v>0.99999999999999911</v>
      </c>
      <c r="T52" s="1977" t="s">
        <v>809</v>
      </c>
      <c r="U52" s="1965">
        <f>O52/$U$16</f>
        <v>42.749999999999964</v>
      </c>
      <c r="V52" s="1978" t="str">
        <f>IF($T52="L",SUM($U52:U52)*V$16,"")</f>
        <v/>
      </c>
      <c r="W52" s="1978">
        <f>IF($U52="","",IF(OR($T52="L",$T52="T",$T52="C"),SUM($U52:V52)*W$16,""))</f>
        <v>4.2749999999999968</v>
      </c>
      <c r="X52" s="1978">
        <f>IF($U52="","",SUM($U52:W52)*X$16)</f>
        <v>14.107499999999989</v>
      </c>
      <c r="Y52" s="1979">
        <f t="shared" si="18"/>
        <v>18.382499999999986</v>
      </c>
      <c r="Z52" s="1976"/>
      <c r="AA52" s="1980">
        <f t="shared" si="19"/>
        <v>61.132499999999951</v>
      </c>
      <c r="AB52" s="1976"/>
      <c r="AC52" s="2687">
        <f t="shared" ca="1" si="3"/>
        <v>0.22093023255813954</v>
      </c>
      <c r="AD52" s="2689"/>
      <c r="AE52" s="452"/>
      <c r="AF52" s="1482">
        <f>AF51</f>
        <v>28</v>
      </c>
      <c r="AG52" s="1482"/>
      <c r="AH52" s="1972">
        <f>$AH$16/K52</f>
        <v>5</v>
      </c>
      <c r="AI52" s="1972">
        <f t="shared" si="20"/>
        <v>1</v>
      </c>
      <c r="AJ52" s="1957">
        <f t="shared" si="21"/>
        <v>19792.802083698061</v>
      </c>
      <c r="AK52" s="1982"/>
    </row>
    <row r="53" spans="2:37" s="266" customFormat="1" ht="16" customHeight="1">
      <c r="B53" s="2646"/>
      <c r="C53" s="3956"/>
      <c r="D53" s="3959"/>
      <c r="E53" s="1955" t="s">
        <v>4</v>
      </c>
      <c r="F53" s="1956"/>
      <c r="G53" s="1956">
        <f>$D$425</f>
        <v>30</v>
      </c>
      <c r="H53" s="1957">
        <f t="shared" si="22"/>
        <v>6300</v>
      </c>
      <c r="I53" s="1957" t="str">
        <f t="shared" si="22"/>
        <v>Accomodation + Food Cost</v>
      </c>
      <c r="J53" s="1959" t="str">
        <f t="shared" si="14"/>
        <v>Annual</v>
      </c>
      <c r="K53" s="2686">
        <f>$D$368</f>
        <v>1</v>
      </c>
      <c r="L53" s="1961">
        <f t="shared" si="15"/>
        <v>80</v>
      </c>
      <c r="M53" s="1960">
        <f t="shared" si="15"/>
        <v>1</v>
      </c>
      <c r="N53" s="1957">
        <f t="shared" si="16"/>
        <v>156693.64738046264</v>
      </c>
      <c r="O53" s="1962">
        <f t="shared" si="17"/>
        <v>6299.9999999999936</v>
      </c>
      <c r="P53" s="1976"/>
      <c r="Q53" s="2844"/>
      <c r="R53" s="2844"/>
      <c r="S53" s="2844"/>
      <c r="T53" s="1977" t="s">
        <v>810</v>
      </c>
      <c r="U53" s="1965">
        <f>O53/$U$16</f>
        <v>62.999999999999936</v>
      </c>
      <c r="V53" s="1978" t="str">
        <f>IF($T53="L",SUM($U53:U53)*V$16,"")</f>
        <v/>
      </c>
      <c r="W53" s="1978">
        <f>IF($U53="","",IF(OR($T53="L",$T53="T",$T53="C"),SUM($U53:V53)*W$16,""))</f>
        <v>6.2999999999999936</v>
      </c>
      <c r="X53" s="1978">
        <f>IF($U53="","",SUM($U53:W53)*X$16)</f>
        <v>20.789999999999978</v>
      </c>
      <c r="Y53" s="1979">
        <f t="shared" si="18"/>
        <v>27.089999999999971</v>
      </c>
      <c r="Z53" s="1976"/>
      <c r="AA53" s="1980">
        <f t="shared" si="19"/>
        <v>90.089999999999904</v>
      </c>
      <c r="AB53" s="1976"/>
      <c r="AC53" s="2687">
        <f t="shared" ca="1" si="3"/>
        <v>0.32558139534883712</v>
      </c>
      <c r="AD53" s="2690"/>
      <c r="AE53" s="452"/>
      <c r="AF53" s="1482">
        <f>AF52</f>
        <v>28</v>
      </c>
      <c r="AG53" s="1482"/>
      <c r="AH53" s="1972">
        <f>$AH$16/K53</f>
        <v>5</v>
      </c>
      <c r="AI53" s="1972">
        <f t="shared" si="20"/>
        <v>1</v>
      </c>
      <c r="AJ53" s="1957">
        <f t="shared" si="21"/>
        <v>29168.339912818192</v>
      </c>
      <c r="AK53" s="1982"/>
    </row>
    <row r="54" spans="2:37" s="266" customFormat="1" ht="19" customHeight="1">
      <c r="B54" s="2646"/>
      <c r="C54" s="3957"/>
      <c r="D54" s="3960"/>
      <c r="E54" s="1955" t="s">
        <v>21</v>
      </c>
      <c r="F54" s="1956"/>
      <c r="G54" s="1956"/>
      <c r="H54" s="1957"/>
      <c r="I54" s="1990"/>
      <c r="J54" s="1959"/>
      <c r="K54" s="2691"/>
      <c r="L54" s="1961"/>
      <c r="M54" s="1960"/>
      <c r="N54" s="1957"/>
      <c r="O54" s="1962">
        <f t="shared" si="17"/>
        <v>0</v>
      </c>
      <c r="P54" s="1976"/>
      <c r="Q54" s="2844"/>
      <c r="R54" s="2844"/>
      <c r="S54" s="2844"/>
      <c r="T54" s="1993" t="s">
        <v>811</v>
      </c>
      <c r="U54" s="1965">
        <f>O54/$U$16</f>
        <v>0</v>
      </c>
      <c r="V54" s="1978" t="str">
        <f>IF($T54="L",SUM($U54:U54)*V$16,"")</f>
        <v/>
      </c>
      <c r="W54" s="1978" t="str">
        <f>IF($U54="","",IF(OR($T54="L",$T54="T",$T54="C"),SUM($U54:V54)*W$16,""))</f>
        <v/>
      </c>
      <c r="X54" s="1978">
        <f>IF($U54="","",SUM($U54:W54)*X$16)</f>
        <v>0</v>
      </c>
      <c r="Y54" s="1979">
        <f t="shared" si="18"/>
        <v>0</v>
      </c>
      <c r="Z54" s="1976"/>
      <c r="AA54" s="1980">
        <f t="shared" si="19"/>
        <v>0</v>
      </c>
      <c r="AB54" s="1976"/>
      <c r="AC54" s="2687">
        <f t="shared" ca="1" si="3"/>
        <v>0</v>
      </c>
      <c r="AD54" s="2692"/>
      <c r="AE54" s="453"/>
      <c r="AF54" s="1482">
        <f>AF53</f>
        <v>28</v>
      </c>
      <c r="AG54" s="1482"/>
      <c r="AH54" s="1972"/>
      <c r="AI54" s="1972"/>
      <c r="AJ54" s="1957"/>
      <c r="AK54" s="1982"/>
    </row>
    <row r="55" spans="2:37" ht="19" customHeight="1">
      <c r="B55" s="1771">
        <v>9</v>
      </c>
      <c r="C55" s="2668" t="s">
        <v>397</v>
      </c>
      <c r="D55" s="3847" t="s">
        <v>192</v>
      </c>
      <c r="E55" s="12" t="s">
        <v>3</v>
      </c>
      <c r="F55" s="1172">
        <v>0</v>
      </c>
      <c r="G55" s="1172">
        <f>$E$460</f>
        <v>15</v>
      </c>
      <c r="H55" s="188">
        <f>$F$460</f>
        <v>5062.5</v>
      </c>
      <c r="I55" s="188">
        <f>$F$460</f>
        <v>5062.5</v>
      </c>
      <c r="J55" s="377" t="str">
        <f>IF(K55=1,"Annual","Done every "&amp;K55&amp;" years")</f>
        <v>Annual</v>
      </c>
      <c r="K55" s="586">
        <f>$D$448</f>
        <v>1</v>
      </c>
      <c r="L55" s="158">
        <f>$L$16/K55</f>
        <v>80</v>
      </c>
      <c r="M55" s="586">
        <f>$L$16/L55</f>
        <v>1</v>
      </c>
      <c r="N55" s="188">
        <f>$H55*(1-(1+$L$15)^-(L55*M55))/((1+$L$15)^M55-1)*(1+((1+$L$15)^M55-1))</f>
        <v>125914.53807358607</v>
      </c>
      <c r="O55" s="242">
        <f>N55/(1+$L$15)*($L$15)/(1-(1+$L$15)^-$L$16)</f>
        <v>5062.4999999999955</v>
      </c>
      <c r="P55" s="192">
        <f>SUM(O55:O58)</f>
        <v>5062.4999999999955</v>
      </c>
      <c r="Q55" s="2817"/>
      <c r="R55" s="2817"/>
      <c r="S55" s="2817"/>
      <c r="T55" s="1039" t="s">
        <v>808</v>
      </c>
      <c r="U55" s="583">
        <f>O55/$U$16</f>
        <v>50.624999999999957</v>
      </c>
      <c r="V55" s="583">
        <f>IF($T55="L",SUM($U55:U55)*V$16,"")</f>
        <v>15.187499999999986</v>
      </c>
      <c r="W55" s="1474"/>
      <c r="X55" s="583">
        <f>IF($U55="","",SUM($U55:W55)*X$16)</f>
        <v>19.743749999999981</v>
      </c>
      <c r="Y55" s="240">
        <f t="shared" si="18"/>
        <v>34.931249999999963</v>
      </c>
      <c r="Z55" s="192">
        <f>SUM(V55:X58)</f>
        <v>34.931249999999963</v>
      </c>
      <c r="AA55" s="742">
        <f t="shared" si="19"/>
        <v>85.55624999999992</v>
      </c>
      <c r="AB55" s="192">
        <f>SUM(AA55:AA58)</f>
        <v>85.55624999999992</v>
      </c>
      <c r="AC55" s="727">
        <f t="shared" ca="1" si="3"/>
        <v>1</v>
      </c>
      <c r="AD55" s="589"/>
      <c r="AE55" s="573"/>
      <c r="AF55" s="587">
        <f>AF51+4</f>
        <v>32</v>
      </c>
      <c r="AG55" s="816">
        <f ca="1">SUM(AC55:AC58)-1</f>
        <v>0</v>
      </c>
      <c r="AH55" s="13">
        <f>$AH$16/K55</f>
        <v>5</v>
      </c>
      <c r="AI55" s="13">
        <f>$AH$16/AH55</f>
        <v>1</v>
      </c>
      <c r="AJ55" s="188">
        <f>$H55*(1-(1+$L$15)^-(AH55*AI55))/((1+$L$15)^AI55-1)*(1+((1+$L$15)^AI55-1))</f>
        <v>23438.844572800335</v>
      </c>
      <c r="AK55" s="191">
        <f>SUM(AJ55:AJ58)</f>
        <v>23438.844572800335</v>
      </c>
    </row>
    <row r="56" spans="2:37" ht="19" customHeight="1">
      <c r="B56" s="261"/>
      <c r="C56" s="2669"/>
      <c r="D56" s="3848"/>
      <c r="E56" s="12" t="s">
        <v>308</v>
      </c>
      <c r="F56" s="1172"/>
      <c r="G56" s="1172"/>
      <c r="H56" s="188"/>
      <c r="I56" s="921"/>
      <c r="J56" s="377"/>
      <c r="K56" s="586"/>
      <c r="L56" s="158"/>
      <c r="M56" s="586"/>
      <c r="N56" s="188"/>
      <c r="O56" s="242"/>
      <c r="P56" s="194"/>
      <c r="Q56" s="2819">
        <v>0</v>
      </c>
      <c r="R56" s="2819">
        <v>0</v>
      </c>
      <c r="S56" s="2819">
        <v>0</v>
      </c>
      <c r="T56" s="1034" t="s">
        <v>809</v>
      </c>
      <c r="U56" s="585"/>
      <c r="V56" s="585" t="str">
        <f>IF($T56="L",SUM($U56:U56)*V$16,"")</f>
        <v/>
      </c>
      <c r="W56" s="1475"/>
      <c r="X56" s="585" t="str">
        <f>IF($U56="","",SUM($U56:W56)*X$16)</f>
        <v/>
      </c>
      <c r="Y56" s="242" t="str">
        <f t="shared" si="18"/>
        <v/>
      </c>
      <c r="Z56" s="194"/>
      <c r="AA56" s="733" t="str">
        <f t="shared" si="19"/>
        <v/>
      </c>
      <c r="AB56" s="194"/>
      <c r="AC56" s="728" t="str">
        <f t="shared" ca="1" si="3"/>
        <v/>
      </c>
      <c r="AD56" s="589"/>
      <c r="AE56" s="1072"/>
      <c r="AF56" s="587">
        <f>AF55</f>
        <v>32</v>
      </c>
      <c r="AG56" s="587"/>
      <c r="AH56" s="13"/>
      <c r="AI56" s="13"/>
      <c r="AJ56" s="209"/>
      <c r="AK56" s="342"/>
    </row>
    <row r="57" spans="2:37" ht="19" customHeight="1">
      <c r="B57" s="261"/>
      <c r="C57" s="2669"/>
      <c r="D57" s="3848"/>
      <c r="E57" s="12" t="s">
        <v>4</v>
      </c>
      <c r="F57" s="1172"/>
      <c r="G57" s="1172"/>
      <c r="H57" s="188"/>
      <c r="I57" s="921"/>
      <c r="J57" s="377"/>
      <c r="K57" s="586"/>
      <c r="L57" s="158"/>
      <c r="M57" s="586"/>
      <c r="N57" s="188"/>
      <c r="O57" s="241"/>
      <c r="P57" s="210"/>
      <c r="Q57" s="2819"/>
      <c r="R57" s="2819"/>
      <c r="S57" s="2819"/>
      <c r="T57" s="1034" t="s">
        <v>810</v>
      </c>
      <c r="U57" s="584"/>
      <c r="V57" s="584" t="str">
        <f>IF($T57="L",SUM($U57:U57)*V$16,"")</f>
        <v/>
      </c>
      <c r="W57" s="1475"/>
      <c r="X57" s="584" t="str">
        <f>IF($U57="","",SUM($U57:W57)*X$16)</f>
        <v/>
      </c>
      <c r="Y57" s="241" t="str">
        <f t="shared" si="18"/>
        <v/>
      </c>
      <c r="Z57" s="210"/>
      <c r="AA57" s="746" t="str">
        <f t="shared" si="19"/>
        <v/>
      </c>
      <c r="AB57" s="210"/>
      <c r="AC57" s="732" t="str">
        <f t="shared" ca="1" si="3"/>
        <v/>
      </c>
      <c r="AD57" s="815"/>
      <c r="AE57" s="1072"/>
      <c r="AF57" s="587">
        <f>AF56</f>
        <v>32</v>
      </c>
      <c r="AG57" s="587"/>
      <c r="AH57" s="13"/>
      <c r="AI57" s="13"/>
      <c r="AJ57" s="188"/>
      <c r="AK57" s="477"/>
    </row>
    <row r="58" spans="2:37" ht="19" customHeight="1" thickBot="1">
      <c r="B58" s="261"/>
      <c r="C58" s="2670"/>
      <c r="D58" s="3849"/>
      <c r="E58" s="12" t="s">
        <v>21</v>
      </c>
      <c r="F58" s="1172"/>
      <c r="G58" s="1172"/>
      <c r="H58" s="188"/>
      <c r="I58" s="921"/>
      <c r="J58" s="377"/>
      <c r="K58" s="11"/>
      <c r="L58" s="1046"/>
      <c r="M58" s="1047"/>
      <c r="N58" s="1048"/>
      <c r="O58" s="726"/>
      <c r="P58" s="725"/>
      <c r="Q58" s="2858"/>
      <c r="R58" s="2858"/>
      <c r="S58" s="2858"/>
      <c r="T58" s="1034" t="s">
        <v>811</v>
      </c>
      <c r="U58" s="724"/>
      <c r="V58" s="724" t="str">
        <f>IF($T58="L",SUM($U58:U58)*V$16,"")</f>
        <v/>
      </c>
      <c r="W58" s="1478"/>
      <c r="X58" s="724" t="str">
        <f>IF($U58="","",SUM($U58:W58)*X$16)</f>
        <v/>
      </c>
      <c r="Y58" s="726" t="str">
        <f t="shared" si="18"/>
        <v/>
      </c>
      <c r="Z58" s="725"/>
      <c r="AA58" s="747" t="str">
        <f t="shared" si="19"/>
        <v/>
      </c>
      <c r="AB58" s="725"/>
      <c r="AC58" s="767" t="str">
        <f t="shared" ca="1" si="3"/>
        <v/>
      </c>
      <c r="AD58" s="1073"/>
      <c r="AE58" s="1074"/>
      <c r="AF58" s="587">
        <f>AF57</f>
        <v>32</v>
      </c>
      <c r="AG58" s="587"/>
      <c r="AH58" s="13"/>
      <c r="AI58" s="13"/>
      <c r="AJ58" s="188"/>
      <c r="AK58" s="478"/>
    </row>
    <row r="59" spans="2:37">
      <c r="C59" s="24"/>
      <c r="D59" s="238"/>
      <c r="E59"/>
      <c r="F59" s="359"/>
      <c r="H59" s="6"/>
      <c r="I59" s="359"/>
      <c r="Q59" s="3040"/>
      <c r="R59" s="3040"/>
      <c r="S59" s="3040"/>
      <c r="T59" s="122"/>
      <c r="U59" s="5"/>
    </row>
    <row r="60" spans="2:37">
      <c r="C60" s="24"/>
      <c r="D60" s="238" t="s">
        <v>299</v>
      </c>
      <c r="E60"/>
      <c r="F60" s="359"/>
      <c r="H60" s="6"/>
      <c r="I60" s="359"/>
      <c r="Q60" s="3040"/>
      <c r="R60" s="3040"/>
      <c r="S60" s="3040"/>
      <c r="T60" s="122"/>
      <c r="U60" s="5"/>
    </row>
    <row r="61" spans="2:37">
      <c r="C61" s="24"/>
      <c r="D61" s="238"/>
      <c r="E61"/>
      <c r="F61" s="359"/>
      <c r="H61" s="6"/>
      <c r="I61" s="359"/>
      <c r="Q61" s="3040"/>
      <c r="R61" s="3040"/>
      <c r="S61" s="3040"/>
      <c r="T61" s="122"/>
      <c r="U61" s="5"/>
    </row>
    <row r="62" spans="2:37">
      <c r="C62" s="24"/>
      <c r="D62" s="238"/>
      <c r="E62"/>
      <c r="F62" s="359"/>
      <c r="H62" s="6"/>
      <c r="I62" s="359"/>
      <c r="Q62" s="3040"/>
      <c r="R62" s="3040"/>
      <c r="S62" s="3040"/>
      <c r="T62" s="122"/>
      <c r="U62" s="5"/>
    </row>
    <row r="63" spans="2:37">
      <c r="C63" s="24"/>
      <c r="D63" s="238"/>
      <c r="E63"/>
      <c r="F63" s="359"/>
      <c r="H63" s="6"/>
      <c r="I63" s="359"/>
      <c r="Q63" s="2795"/>
      <c r="R63" s="2795"/>
      <c r="S63" s="2795"/>
      <c r="T63" s="122"/>
      <c r="U63" s="5"/>
    </row>
    <row r="64" spans="2:37">
      <c r="C64" s="24"/>
      <c r="D64" s="238"/>
      <c r="E64"/>
      <c r="F64" s="359"/>
      <c r="H64" s="6"/>
      <c r="I64" s="359"/>
      <c r="Q64" s="2795"/>
      <c r="R64" s="2795"/>
      <c r="S64" s="2795"/>
      <c r="T64" s="122"/>
      <c r="U64" s="5"/>
    </row>
    <row r="65" spans="3:21">
      <c r="C65" s="24"/>
      <c r="D65" s="238"/>
      <c r="E65"/>
      <c r="F65" s="359"/>
      <c r="H65" s="6"/>
      <c r="I65" s="359"/>
      <c r="Q65" s="2795"/>
      <c r="R65" s="2795"/>
      <c r="S65" s="2795"/>
      <c r="T65" s="122"/>
      <c r="U65" s="5"/>
    </row>
    <row r="66" spans="3:21">
      <c r="C66" s="24"/>
      <c r="D66" s="238"/>
      <c r="E66"/>
      <c r="F66" s="359"/>
      <c r="H66" s="6"/>
      <c r="I66" s="359"/>
      <c r="Q66" s="2795"/>
      <c r="R66" s="2795"/>
      <c r="S66" s="2795"/>
      <c r="T66" s="122"/>
      <c r="U66" s="5"/>
    </row>
    <row r="67" spans="3:21">
      <c r="C67" s="24"/>
      <c r="D67" s="238"/>
      <c r="E67"/>
      <c r="F67" s="359"/>
      <c r="H67" s="6"/>
      <c r="I67" s="359"/>
      <c r="U67" s="5"/>
    </row>
    <row r="68" spans="3:21" s="7" customFormat="1">
      <c r="E68" s="36"/>
      <c r="G68" s="1089"/>
    </row>
    <row r="69" spans="3:21" s="9" customFormat="1">
      <c r="C69" s="120" t="s">
        <v>57</v>
      </c>
      <c r="D69" s="34" t="s">
        <v>1054</v>
      </c>
      <c r="E69" s="34"/>
      <c r="G69" s="572"/>
    </row>
    <row r="70" spans="3:21" s="9" customFormat="1">
      <c r="D70" s="592" t="s">
        <v>237</v>
      </c>
      <c r="E70" s="970"/>
      <c r="G70" s="572"/>
    </row>
    <row r="71" spans="3:21" s="9" customFormat="1">
      <c r="D71" s="332" t="s">
        <v>91</v>
      </c>
      <c r="E71" s="43"/>
      <c r="F71" s="24"/>
      <c r="G71" s="359"/>
    </row>
    <row r="72" spans="3:21" s="9" customFormat="1">
      <c r="D72" s="135">
        <f>'Overall Assumptions'!$C$6</f>
        <v>100</v>
      </c>
      <c r="E72" s="246" t="s">
        <v>967</v>
      </c>
      <c r="F72"/>
      <c r="G72" s="359"/>
    </row>
    <row r="73" spans="3:21" s="9" customFormat="1">
      <c r="D73" s="332">
        <f>'Overall Assumptions'!$C$115</f>
        <v>3</v>
      </c>
      <c r="E73" s="131" t="str">
        <f>'Overall Assumptions'!$D$115</f>
        <v>weeks</v>
      </c>
      <c r="F73"/>
      <c r="G73" s="359"/>
    </row>
    <row r="74" spans="3:21" s="9" customFormat="1">
      <c r="C74" s="105"/>
      <c r="D74" s="332">
        <f>'Overall Assumptions'!$C$116</f>
        <v>15</v>
      </c>
      <c r="E74" s="131" t="str">
        <f>'Overall Assumptions'!$D$116</f>
        <v>days</v>
      </c>
      <c r="F74"/>
      <c r="G74" s="359"/>
    </row>
    <row r="75" spans="3:21" s="9" customFormat="1">
      <c r="C75" s="105"/>
      <c r="D75" s="332"/>
      <c r="E75" s="43"/>
      <c r="F75"/>
      <c r="G75" s="359"/>
    </row>
    <row r="76" spans="3:21" s="9" customFormat="1">
      <c r="C76" s="105"/>
      <c r="D76" s="268">
        <v>5</v>
      </c>
      <c r="E76" s="43" t="s">
        <v>245</v>
      </c>
      <c r="F76"/>
      <c r="G76" s="359"/>
    </row>
    <row r="77" spans="3:21" s="9" customFormat="1">
      <c r="C77" s="105"/>
      <c r="D77" s="332"/>
      <c r="E77" s="43"/>
      <c r="F77"/>
      <c r="G77" s="359"/>
    </row>
    <row r="78" spans="3:21" s="9" customFormat="1">
      <c r="C78" s="105"/>
      <c r="D78" s="332"/>
      <c r="E78" s="43"/>
      <c r="F78"/>
      <c r="G78" s="359"/>
    </row>
    <row r="79" spans="3:21" s="9" customFormat="1">
      <c r="C79" s="105"/>
      <c r="D79" s="332" t="str">
        <f>'Overall Assumptions'!$D$76</f>
        <v>Daily rate (AUD) for labour assuming 7.5 hours/day</v>
      </c>
      <c r="E79" s="246"/>
      <c r="F79"/>
      <c r="G79" s="359"/>
    </row>
    <row r="80" spans="3:21" s="9" customFormat="1">
      <c r="D80" s="614">
        <f>'Overall Assumptions'!$C$68</f>
        <v>225</v>
      </c>
      <c r="E80" s="246" t="str">
        <f>'Overall Assumptions'!$B$67</f>
        <v>Labour 1- APS Low (Entry lvl)</v>
      </c>
      <c r="F80"/>
      <c r="G80" s="359"/>
    </row>
    <row r="81" spans="3:8" s="9" customFormat="1">
      <c r="D81" s="399">
        <f>'Overall Assumptions'!$C$72</f>
        <v>337.5</v>
      </c>
      <c r="E81" s="530" t="str">
        <f>'Overall Assumptions'!$B$71</f>
        <v>Labour 2 - APS High (Experienced)</v>
      </c>
      <c r="F81"/>
      <c r="G81" s="359"/>
    </row>
    <row r="82" spans="3:8" s="9" customFormat="1">
      <c r="D82" s="112">
        <f>'Overall Assumptions'!$C$76</f>
        <v>487.5</v>
      </c>
      <c r="E82" s="45" t="str">
        <f>'Overall Assumptions'!$B$75</f>
        <v>Labour 3 - EL (Management)</v>
      </c>
      <c r="F82"/>
      <c r="G82" s="359"/>
    </row>
    <row r="83" spans="3:8" s="9" customFormat="1">
      <c r="D83" s="33"/>
      <c r="E83" s="16"/>
      <c r="F83"/>
      <c r="G83" s="359"/>
    </row>
    <row r="84" spans="3:8" s="9" customFormat="1">
      <c r="D84" s="531"/>
      <c r="E84" s="33"/>
      <c r="F84"/>
      <c r="G84" s="359"/>
    </row>
    <row r="85" spans="3:8" s="9" customFormat="1">
      <c r="D85" s="912"/>
      <c r="E85" s="16"/>
      <c r="F85"/>
      <c r="G85" s="359"/>
    </row>
    <row r="86" spans="3:8" s="9" customFormat="1">
      <c r="D86" s="33"/>
      <c r="E86" s="16"/>
      <c r="F86"/>
      <c r="G86" s="359"/>
    </row>
    <row r="87" spans="3:8" s="9" customFormat="1">
      <c r="D87" s="33"/>
      <c r="E87" s="16"/>
      <c r="F87"/>
      <c r="G87" s="359"/>
    </row>
    <row r="88" spans="3:8" s="9" customFormat="1">
      <c r="D88" s="175"/>
      <c r="E88" s="164" t="s">
        <v>155</v>
      </c>
      <c r="F88" s="255" t="s">
        <v>166</v>
      </c>
      <c r="G88" s="1090" t="s">
        <v>69</v>
      </c>
      <c r="H88" s="108"/>
    </row>
    <row r="89" spans="3:8" s="9" customFormat="1">
      <c r="D89" s="405" t="s">
        <v>3</v>
      </c>
      <c r="E89" s="509">
        <f>D74</f>
        <v>15</v>
      </c>
      <c r="F89" s="321">
        <f>D74*D81</f>
        <v>5062.5</v>
      </c>
      <c r="G89" s="1091" t="s">
        <v>162</v>
      </c>
      <c r="H89" s="323"/>
    </row>
    <row r="90" spans="3:8" s="9" customFormat="1">
      <c r="D90" s="105"/>
      <c r="E90" s="34"/>
      <c r="G90" s="572"/>
    </row>
    <row r="91" spans="3:8" s="7" customFormat="1">
      <c r="D91" s="977"/>
      <c r="E91" s="35"/>
      <c r="G91" s="1089"/>
    </row>
    <row r="92" spans="3:8" s="7" customFormat="1">
      <c r="D92" s="977"/>
      <c r="E92" s="35"/>
      <c r="G92" s="1089"/>
    </row>
    <row r="93" spans="3:8" s="9" customFormat="1">
      <c r="C93" s="120" t="s">
        <v>984</v>
      </c>
      <c r="D93" s="34" t="s">
        <v>163</v>
      </c>
      <c r="E93" s="34"/>
      <c r="G93" s="572"/>
    </row>
    <row r="94" spans="3:8" s="9" customFormat="1">
      <c r="D94" s="9" t="s">
        <v>168</v>
      </c>
      <c r="E94" s="34"/>
      <c r="G94" s="572"/>
    </row>
    <row r="95" spans="3:8" s="9" customFormat="1">
      <c r="D95" s="106" t="s">
        <v>269</v>
      </c>
      <c r="G95" s="572"/>
    </row>
    <row r="96" spans="3:8" s="9" customFormat="1">
      <c r="D96" s="107" t="s">
        <v>91</v>
      </c>
      <c r="E96" s="108"/>
      <c r="G96" s="572"/>
    </row>
    <row r="97" spans="1:42" s="9" customFormat="1">
      <c r="D97" s="199">
        <f>'Overall Assumptions'!$C$6</f>
        <v>100</v>
      </c>
      <c r="E97" s="161" t="s">
        <v>451</v>
      </c>
      <c r="G97" s="572"/>
    </row>
    <row r="98" spans="1:42" s="9" customFormat="1">
      <c r="D98" s="348">
        <f>'Overall Assumptions'!$C$121</f>
        <v>1</v>
      </c>
      <c r="E98" s="269" t="s">
        <v>134</v>
      </c>
      <c r="G98" s="572"/>
    </row>
    <row r="99" spans="1:42" s="9" customFormat="1">
      <c r="D99" s="972">
        <f>D97*D98</f>
        <v>100</v>
      </c>
      <c r="E99" s="109" t="s">
        <v>971</v>
      </c>
      <c r="G99" s="572"/>
    </row>
    <row r="100" spans="1:42" s="9" customFormat="1">
      <c r="D100" s="413">
        <v>5</v>
      </c>
      <c r="E100" s="270" t="s">
        <v>246</v>
      </c>
      <c r="G100" s="572"/>
    </row>
    <row r="101" spans="1:42" s="9" customFormat="1">
      <c r="D101" s="116"/>
      <c r="E101" s="116"/>
      <c r="G101" s="572"/>
    </row>
    <row r="102" spans="1:42" s="9" customFormat="1">
      <c r="E102" s="106"/>
      <c r="F102" s="119"/>
      <c r="G102" s="1092"/>
    </row>
    <row r="103" spans="1:42">
      <c r="C103" t="s">
        <v>266</v>
      </c>
      <c r="D103" s="16"/>
    </row>
    <row r="104" spans="1:42">
      <c r="C104" t="s">
        <v>267</v>
      </c>
    </row>
    <row r="105" spans="1:42" ht="28">
      <c r="D105" s="345" t="s">
        <v>101</v>
      </c>
      <c r="E105" s="147"/>
      <c r="F105" s="122"/>
      <c r="G105" s="1093"/>
      <c r="H105" s="119"/>
      <c r="I105" s="119"/>
    </row>
    <row r="106" spans="1:42">
      <c r="D106" s="346">
        <v>1</v>
      </c>
      <c r="E106" s="147" t="s">
        <v>263</v>
      </c>
      <c r="F106" s="122"/>
      <c r="G106" s="1093"/>
      <c r="H106" s="119"/>
      <c r="I106" s="119"/>
    </row>
    <row r="107" spans="1:42" ht="35">
      <c r="D107" s="17"/>
    </row>
    <row r="108" spans="1:42">
      <c r="D108" s="25"/>
    </row>
    <row r="109" spans="1:42">
      <c r="D109" s="85" t="s">
        <v>91</v>
      </c>
      <c r="E109" s="164"/>
      <c r="F109" s="161"/>
    </row>
    <row r="110" spans="1:42" s="359" customFormat="1">
      <c r="A110"/>
      <c r="B110"/>
      <c r="C110"/>
      <c r="D110" s="84">
        <f>'Overall Assumptions'!$C$68</f>
        <v>225</v>
      </c>
      <c r="E110" s="284" t="s">
        <v>102</v>
      </c>
      <c r="F110" s="967"/>
      <c r="H110"/>
      <c r="I110"/>
      <c r="J110"/>
      <c r="K110"/>
      <c r="L110"/>
      <c r="M110"/>
      <c r="N110"/>
      <c r="O110"/>
      <c r="P110"/>
      <c r="Q110" s="2791"/>
      <c r="R110" s="2791"/>
      <c r="S110" s="2791"/>
      <c r="T110"/>
      <c r="U110"/>
      <c r="V110"/>
      <c r="W110"/>
      <c r="X110"/>
      <c r="Y110"/>
      <c r="Z110"/>
      <c r="AA110"/>
      <c r="AB110"/>
      <c r="AC110"/>
      <c r="AD110"/>
      <c r="AE110"/>
      <c r="AF110"/>
      <c r="AG110"/>
      <c r="AH110"/>
      <c r="AI110"/>
      <c r="AJ110"/>
      <c r="AK110"/>
      <c r="AL110"/>
      <c r="AM110"/>
      <c r="AN110"/>
      <c r="AO110"/>
      <c r="AP110"/>
    </row>
    <row r="111" spans="1:42" s="359" customFormat="1">
      <c r="A111"/>
      <c r="B111"/>
      <c r="C111"/>
      <c r="D111" s="84">
        <f>'Overall Assumptions'!$C$81</f>
        <v>210</v>
      </c>
      <c r="E111" s="76" t="s">
        <v>87</v>
      </c>
      <c r="F111" s="246"/>
      <c r="H111"/>
      <c r="I111"/>
      <c r="J111"/>
      <c r="K111"/>
      <c r="L111"/>
      <c r="M111"/>
      <c r="N111"/>
      <c r="O111"/>
      <c r="P111"/>
      <c r="Q111" s="2791"/>
      <c r="R111" s="2791"/>
      <c r="S111" s="2791"/>
      <c r="T111"/>
      <c r="U111"/>
      <c r="V111"/>
      <c r="W111"/>
      <c r="X111"/>
      <c r="Y111"/>
      <c r="Z111"/>
      <c r="AA111"/>
      <c r="AB111"/>
      <c r="AC111"/>
      <c r="AD111"/>
      <c r="AE111"/>
      <c r="AF111"/>
      <c r="AG111"/>
      <c r="AH111"/>
      <c r="AI111"/>
      <c r="AJ111"/>
      <c r="AK111"/>
      <c r="AL111"/>
      <c r="AM111"/>
      <c r="AN111"/>
      <c r="AO111"/>
      <c r="AP111"/>
    </row>
    <row r="112" spans="1:42" s="359" customFormat="1">
      <c r="A112"/>
      <c r="B112"/>
      <c r="C112"/>
      <c r="D112" s="84">
        <f>'Overall Assumptions'!$C$131</f>
        <v>1</v>
      </c>
      <c r="E112" s="963" t="s">
        <v>84</v>
      </c>
      <c r="F112" s="246"/>
      <c r="H112"/>
      <c r="I112"/>
      <c r="J112"/>
      <c r="K112"/>
      <c r="L112"/>
      <c r="M112"/>
      <c r="N112"/>
      <c r="O112"/>
      <c r="P112"/>
      <c r="Q112" s="2791"/>
      <c r="R112" s="2791"/>
      <c r="S112" s="2791"/>
      <c r="T112"/>
      <c r="U112"/>
      <c r="V112"/>
      <c r="W112"/>
      <c r="X112"/>
      <c r="Y112"/>
      <c r="Z112"/>
      <c r="AA112"/>
      <c r="AB112"/>
      <c r="AC112"/>
      <c r="AD112"/>
      <c r="AE112"/>
      <c r="AF112"/>
      <c r="AG112"/>
      <c r="AH112"/>
      <c r="AI112"/>
      <c r="AJ112"/>
      <c r="AK112"/>
      <c r="AL112"/>
      <c r="AM112"/>
      <c r="AN112"/>
      <c r="AO112"/>
      <c r="AP112"/>
    </row>
    <row r="113" spans="1:42" s="359" customFormat="1">
      <c r="A113"/>
      <c r="B113"/>
      <c r="C113"/>
      <c r="D113" s="84">
        <f>'Overall Assumptions'!$C$6</f>
        <v>100</v>
      </c>
      <c r="E113" s="963" t="str">
        <f>'Overall Assumptions'!$D$6</f>
        <v>Standardised action area - Planar spatial polygon area of action area (km2)</v>
      </c>
      <c r="F113" s="246"/>
      <c r="H113"/>
      <c r="I113"/>
      <c r="J113"/>
      <c r="K113"/>
      <c r="L113"/>
      <c r="M113"/>
      <c r="N113"/>
      <c r="O113"/>
      <c r="P113"/>
      <c r="Q113" s="2791"/>
      <c r="R113" s="2791"/>
      <c r="S113" s="2791"/>
      <c r="T113"/>
      <c r="U113"/>
      <c r="V113"/>
      <c r="W113"/>
      <c r="X113"/>
      <c r="Y113"/>
      <c r="Z113"/>
      <c r="AA113"/>
      <c r="AB113"/>
      <c r="AC113"/>
      <c r="AD113"/>
      <c r="AE113"/>
      <c r="AF113"/>
      <c r="AG113"/>
      <c r="AH113"/>
      <c r="AI113"/>
      <c r="AJ113"/>
      <c r="AK113"/>
      <c r="AL113"/>
      <c r="AM113"/>
      <c r="AN113"/>
      <c r="AO113"/>
      <c r="AP113"/>
    </row>
    <row r="114" spans="1:42" s="359" customFormat="1">
      <c r="A114"/>
      <c r="B114"/>
      <c r="C114"/>
      <c r="D114" s="411">
        <f>D113*D98</f>
        <v>100</v>
      </c>
      <c r="E114" s="964" t="s">
        <v>270</v>
      </c>
      <c r="F114" s="246"/>
      <c r="H114"/>
      <c r="I114"/>
      <c r="J114"/>
      <c r="K114"/>
      <c r="L114"/>
      <c r="M114"/>
      <c r="N114"/>
      <c r="O114"/>
      <c r="P114"/>
      <c r="Q114" s="2791"/>
      <c r="R114" s="2791"/>
      <c r="S114" s="2791"/>
      <c r="T114"/>
      <c r="U114"/>
      <c r="V114"/>
      <c r="W114"/>
      <c r="X114"/>
      <c r="Y114"/>
      <c r="Z114"/>
      <c r="AA114"/>
      <c r="AB114"/>
      <c r="AC114"/>
      <c r="AD114"/>
      <c r="AE114"/>
      <c r="AF114"/>
      <c r="AG114"/>
      <c r="AH114"/>
      <c r="AI114"/>
      <c r="AJ114"/>
      <c r="AK114"/>
      <c r="AL114"/>
      <c r="AM114"/>
      <c r="AN114"/>
      <c r="AO114"/>
      <c r="AP114"/>
    </row>
    <row r="115" spans="1:42" s="359" customFormat="1">
      <c r="A115"/>
      <c r="B115"/>
      <c r="C115"/>
      <c r="D115" s="412">
        <f>'Overall Assumptions'!$C$133</f>
        <v>0.5</v>
      </c>
      <c r="E115" s="965" t="s">
        <v>105</v>
      </c>
      <c r="F115" s="246"/>
      <c r="H115"/>
      <c r="I115"/>
      <c r="J115"/>
      <c r="K115"/>
      <c r="L115"/>
      <c r="M115"/>
      <c r="N115"/>
      <c r="O115"/>
      <c r="P115"/>
      <c r="Q115" s="2791"/>
      <c r="R115" s="2791"/>
      <c r="S115" s="2791"/>
      <c r="T115"/>
      <c r="U115"/>
      <c r="V115"/>
      <c r="W115"/>
      <c r="X115"/>
      <c r="Y115"/>
      <c r="Z115"/>
      <c r="AA115"/>
      <c r="AB115"/>
      <c r="AC115"/>
      <c r="AD115"/>
      <c r="AE115"/>
      <c r="AF115"/>
      <c r="AG115"/>
      <c r="AH115"/>
      <c r="AI115"/>
      <c r="AJ115"/>
      <c r="AK115"/>
      <c r="AL115"/>
      <c r="AM115"/>
      <c r="AN115"/>
      <c r="AO115"/>
      <c r="AP115"/>
    </row>
    <row r="116" spans="1:42" s="359" customFormat="1">
      <c r="A116"/>
      <c r="B116"/>
      <c r="C116"/>
      <c r="D116" s="84">
        <f>'Overall Assumptions'!C11</f>
        <v>0</v>
      </c>
      <c r="E116" s="283" t="str">
        <f>'Overall Assumptions'!D11</f>
        <v>Distance from mgmt area to closest air base (km) [These steps calculated with GIS layer]</v>
      </c>
      <c r="F116" s="246"/>
      <c r="H116"/>
      <c r="I116"/>
      <c r="J116"/>
      <c r="K116"/>
      <c r="L116"/>
      <c r="M116"/>
      <c r="N116"/>
      <c r="O116"/>
      <c r="P116"/>
      <c r="Q116" s="2791"/>
      <c r="R116" s="2791"/>
      <c r="S116" s="2791"/>
      <c r="T116"/>
      <c r="U116"/>
      <c r="V116"/>
      <c r="W116"/>
      <c r="X116"/>
      <c r="Y116"/>
      <c r="Z116"/>
      <c r="AA116"/>
      <c r="AB116"/>
      <c r="AC116"/>
      <c r="AD116"/>
      <c r="AE116"/>
      <c r="AF116"/>
      <c r="AG116"/>
      <c r="AH116"/>
      <c r="AI116"/>
      <c r="AJ116"/>
      <c r="AK116"/>
      <c r="AL116"/>
      <c r="AM116"/>
      <c r="AN116"/>
      <c r="AO116"/>
      <c r="AP116"/>
    </row>
    <row r="117" spans="1:42" s="359" customFormat="1">
      <c r="A117"/>
      <c r="B117"/>
      <c r="C117"/>
      <c r="D117" s="84">
        <f>'Overall Assumptions'!$C$97</f>
        <v>250</v>
      </c>
      <c r="E117" s="963" t="s">
        <v>103</v>
      </c>
      <c r="F117" s="246"/>
      <c r="H117"/>
      <c r="I117"/>
      <c r="J117"/>
      <c r="K117"/>
      <c r="L117"/>
      <c r="M117"/>
      <c r="N117"/>
      <c r="O117"/>
      <c r="P117"/>
      <c r="Q117" s="2791"/>
      <c r="R117" s="2791"/>
      <c r="S117" s="2791"/>
      <c r="T117"/>
      <c r="U117"/>
      <c r="V117"/>
      <c r="W117"/>
      <c r="X117"/>
      <c r="Y117"/>
      <c r="Z117"/>
      <c r="AA117"/>
      <c r="AB117"/>
      <c r="AC117"/>
      <c r="AD117"/>
      <c r="AE117"/>
      <c r="AF117"/>
      <c r="AG117"/>
      <c r="AH117"/>
      <c r="AI117"/>
      <c r="AJ117"/>
      <c r="AK117"/>
      <c r="AL117"/>
      <c r="AM117"/>
      <c r="AN117"/>
      <c r="AO117"/>
      <c r="AP117"/>
    </row>
    <row r="118" spans="1:42" s="359" customFormat="1">
      <c r="A118"/>
      <c r="B118"/>
      <c r="C118"/>
      <c r="D118" s="54">
        <f>'Overall Assumptions'!$C$98</f>
        <v>130</v>
      </c>
      <c r="E118" s="966" t="s">
        <v>104</v>
      </c>
      <c r="F118" s="246"/>
      <c r="H118"/>
      <c r="I118"/>
      <c r="J118"/>
      <c r="K118"/>
      <c r="L118"/>
      <c r="M118"/>
      <c r="N118"/>
      <c r="O118"/>
      <c r="P118"/>
      <c r="Q118" s="2791"/>
      <c r="R118" s="2791"/>
      <c r="S118" s="2791"/>
      <c r="T118"/>
      <c r="U118"/>
      <c r="V118"/>
      <c r="W118"/>
      <c r="X118"/>
      <c r="Y118"/>
      <c r="Z118"/>
      <c r="AA118"/>
      <c r="AB118"/>
      <c r="AC118"/>
      <c r="AD118"/>
      <c r="AE118"/>
      <c r="AF118"/>
      <c r="AG118"/>
      <c r="AH118"/>
      <c r="AI118"/>
      <c r="AJ118"/>
      <c r="AK118"/>
      <c r="AL118"/>
      <c r="AM118"/>
      <c r="AN118"/>
      <c r="AO118"/>
      <c r="AP118"/>
    </row>
    <row r="119" spans="1:42" s="359" customFormat="1">
      <c r="A119"/>
      <c r="B119"/>
      <c r="C119"/>
      <c r="D119" s="54">
        <f>'Overall Assumptions'!$C$99</f>
        <v>400</v>
      </c>
      <c r="E119" s="76" t="s">
        <v>47</v>
      </c>
      <c r="F119" s="246"/>
      <c r="H119"/>
      <c r="I119"/>
      <c r="J119"/>
      <c r="K119"/>
      <c r="L119"/>
      <c r="M119"/>
      <c r="N119"/>
      <c r="O119"/>
      <c r="P119"/>
      <c r="Q119" s="2791"/>
      <c r="R119" s="2791"/>
      <c r="S119" s="2791"/>
      <c r="T119"/>
      <c r="U119"/>
      <c r="V119"/>
      <c r="W119"/>
      <c r="X119"/>
      <c r="Y119"/>
      <c r="Z119"/>
      <c r="AA119"/>
      <c r="AB119"/>
      <c r="AC119"/>
      <c r="AD119"/>
      <c r="AE119"/>
      <c r="AF119"/>
      <c r="AG119"/>
      <c r="AH119"/>
      <c r="AI119"/>
      <c r="AJ119"/>
      <c r="AK119"/>
      <c r="AL119"/>
      <c r="AM119"/>
      <c r="AN119"/>
      <c r="AO119"/>
      <c r="AP119"/>
    </row>
    <row r="120" spans="1:42" s="359" customFormat="1">
      <c r="A120"/>
      <c r="B120"/>
      <c r="C120"/>
      <c r="D120" s="968">
        <f>'Overall Assumptions'!$C$100</f>
        <v>50</v>
      </c>
      <c r="E120" s="969" t="s">
        <v>107</v>
      </c>
      <c r="F120" s="162"/>
      <c r="H120"/>
      <c r="I120"/>
      <c r="J120"/>
      <c r="K120"/>
      <c r="L120"/>
      <c r="M120"/>
      <c r="N120"/>
      <c r="O120"/>
      <c r="P120"/>
      <c r="Q120" s="2791"/>
      <c r="R120" s="2791"/>
      <c r="S120" s="2791"/>
      <c r="T120"/>
      <c r="U120"/>
      <c r="V120"/>
      <c r="W120"/>
      <c r="X120"/>
      <c r="Y120"/>
      <c r="Z120"/>
      <c r="AA120"/>
      <c r="AB120"/>
      <c r="AC120"/>
      <c r="AD120"/>
      <c r="AE120"/>
      <c r="AF120"/>
      <c r="AG120"/>
      <c r="AH120"/>
      <c r="AI120"/>
      <c r="AJ120"/>
      <c r="AK120"/>
      <c r="AL120"/>
      <c r="AM120"/>
      <c r="AN120"/>
      <c r="AO120"/>
      <c r="AP120"/>
    </row>
    <row r="121" spans="1:42" s="359" customFormat="1" ht="18">
      <c r="A121"/>
      <c r="B121"/>
      <c r="C121"/>
      <c r="D121" s="18" t="s">
        <v>108</v>
      </c>
      <c r="E121" s="16"/>
      <c r="F121"/>
      <c r="H121"/>
      <c r="I121"/>
      <c r="J121"/>
      <c r="K121"/>
      <c r="L121"/>
      <c r="M121"/>
      <c r="N121"/>
      <c r="O121"/>
      <c r="P121"/>
      <c r="Q121" s="2791"/>
      <c r="R121" s="2791"/>
      <c r="S121" s="2791"/>
      <c r="T121"/>
      <c r="U121"/>
      <c r="V121"/>
      <c r="W121"/>
      <c r="X121"/>
      <c r="Y121"/>
      <c r="Z121"/>
      <c r="AA121"/>
      <c r="AB121"/>
      <c r="AC121"/>
      <c r="AD121"/>
      <c r="AE121"/>
      <c r="AF121"/>
      <c r="AG121"/>
      <c r="AH121"/>
      <c r="AI121"/>
      <c r="AJ121"/>
      <c r="AK121"/>
      <c r="AL121"/>
      <c r="AM121"/>
      <c r="AN121"/>
      <c r="AO121"/>
      <c r="AP121"/>
    </row>
    <row r="122" spans="1:42" s="359" customFormat="1">
      <c r="A122"/>
      <c r="B122"/>
      <c r="C122"/>
      <c r="D122" s="25">
        <f>2*D116/D117/7.5</f>
        <v>0</v>
      </c>
      <c r="E122" s="16" t="s">
        <v>112</v>
      </c>
      <c r="F122"/>
      <c r="H122"/>
      <c r="I122"/>
      <c r="J122"/>
      <c r="K122"/>
      <c r="L122"/>
      <c r="M122"/>
      <c r="N122"/>
      <c r="O122"/>
      <c r="P122"/>
      <c r="Q122" s="2791"/>
      <c r="R122" s="2791"/>
      <c r="S122" s="2791"/>
      <c r="T122"/>
      <c r="U122"/>
      <c r="V122"/>
      <c r="W122"/>
      <c r="X122"/>
      <c r="Y122"/>
      <c r="Z122"/>
      <c r="AA122"/>
      <c r="AB122"/>
      <c r="AC122"/>
      <c r="AD122"/>
      <c r="AE122"/>
      <c r="AF122"/>
      <c r="AG122"/>
      <c r="AH122"/>
      <c r="AI122"/>
      <c r="AJ122"/>
      <c r="AK122"/>
      <c r="AL122"/>
      <c r="AM122"/>
      <c r="AN122"/>
      <c r="AO122"/>
      <c r="AP122"/>
    </row>
    <row r="123" spans="1:42" s="359" customFormat="1">
      <c r="A123"/>
      <c r="B123"/>
      <c r="C123"/>
      <c r="D123" s="23" t="s">
        <v>109</v>
      </c>
      <c r="E123" s="16"/>
      <c r="F123"/>
      <c r="H123"/>
      <c r="I123"/>
      <c r="J123"/>
      <c r="K123"/>
      <c r="L123"/>
      <c r="M123"/>
      <c r="N123"/>
      <c r="O123"/>
      <c r="P123"/>
      <c r="Q123" s="2791"/>
      <c r="R123" s="2791"/>
      <c r="S123" s="2791"/>
      <c r="T123"/>
      <c r="U123"/>
      <c r="V123"/>
      <c r="W123"/>
      <c r="X123"/>
      <c r="Y123"/>
      <c r="Z123"/>
      <c r="AA123"/>
      <c r="AB123"/>
      <c r="AC123"/>
      <c r="AD123"/>
      <c r="AE123"/>
      <c r="AF123"/>
      <c r="AG123"/>
      <c r="AH123"/>
      <c r="AI123"/>
      <c r="AJ123"/>
      <c r="AK123"/>
      <c r="AL123"/>
      <c r="AM123"/>
      <c r="AN123"/>
      <c r="AO123"/>
      <c r="AP123"/>
    </row>
    <row r="124" spans="1:42" s="359" customFormat="1">
      <c r="A124"/>
      <c r="B124"/>
      <c r="C124"/>
      <c r="D124" s="77">
        <f>D114/D115/D118/7.5</f>
        <v>0.20512820512820515</v>
      </c>
      <c r="E124" s="16" t="s">
        <v>113</v>
      </c>
      <c r="F124"/>
      <c r="H124"/>
      <c r="I124"/>
      <c r="J124"/>
      <c r="K124"/>
      <c r="L124"/>
      <c r="M124"/>
      <c r="N124"/>
      <c r="O124"/>
      <c r="P124"/>
      <c r="Q124" s="2791"/>
      <c r="R124" s="2791"/>
      <c r="S124" s="2791"/>
      <c r="T124"/>
      <c r="U124"/>
      <c r="V124"/>
      <c r="W124"/>
      <c r="X124"/>
      <c r="Y124"/>
      <c r="Z124"/>
      <c r="AA124"/>
      <c r="AB124"/>
      <c r="AC124"/>
      <c r="AD124"/>
      <c r="AE124"/>
      <c r="AF124"/>
      <c r="AG124"/>
      <c r="AH124"/>
      <c r="AI124"/>
      <c r="AJ124"/>
      <c r="AK124"/>
      <c r="AL124"/>
      <c r="AM124"/>
      <c r="AN124"/>
      <c r="AO124"/>
      <c r="AP124"/>
    </row>
    <row r="125" spans="1:42" s="359" customFormat="1">
      <c r="A125"/>
      <c r="B125"/>
      <c r="C125"/>
      <c r="D125" s="23" t="s">
        <v>110</v>
      </c>
      <c r="E125" s="16"/>
      <c r="F125"/>
      <c r="H125"/>
      <c r="I125"/>
      <c r="J125"/>
      <c r="K125"/>
      <c r="L125"/>
      <c r="M125"/>
      <c r="N125"/>
      <c r="O125"/>
      <c r="P125"/>
      <c r="Q125" s="2791"/>
      <c r="R125" s="2791"/>
      <c r="S125" s="2791"/>
      <c r="T125"/>
      <c r="U125"/>
      <c r="V125"/>
      <c r="W125"/>
      <c r="X125"/>
      <c r="Y125"/>
      <c r="Z125"/>
      <c r="AA125"/>
      <c r="AB125"/>
      <c r="AC125"/>
      <c r="AD125"/>
      <c r="AE125"/>
      <c r="AF125"/>
      <c r="AG125"/>
      <c r="AH125"/>
      <c r="AI125"/>
      <c r="AJ125"/>
      <c r="AK125"/>
      <c r="AL125"/>
      <c r="AM125"/>
      <c r="AN125"/>
      <c r="AO125"/>
      <c r="AP125"/>
    </row>
    <row r="126" spans="1:42">
      <c r="D126" s="46">
        <f>FLOOR(D114/D115/D119,1)</f>
        <v>0</v>
      </c>
      <c r="E126" s="16" t="s">
        <v>111</v>
      </c>
      <c r="F126" s="70"/>
      <c r="G126" s="99"/>
      <c r="H126" s="16"/>
    </row>
    <row r="127" spans="1:42">
      <c r="D127" s="25" t="str">
        <f>IF(F126&gt;D119,"YES","NO")</f>
        <v>NO</v>
      </c>
      <c r="E127" s="16" t="s">
        <v>48</v>
      </c>
    </row>
    <row r="128" spans="1:42">
      <c r="D128" s="46">
        <f>2*D120/D117*D126/7.5</f>
        <v>0</v>
      </c>
      <c r="E128" s="16" t="s">
        <v>114</v>
      </c>
    </row>
    <row r="130" spans="1:42">
      <c r="D130" s="25">
        <f>SUM(D122,D124,D128)</f>
        <v>0.20512820512820515</v>
      </c>
      <c r="E130" s="16" t="s">
        <v>115</v>
      </c>
    </row>
    <row r="131" spans="1:42">
      <c r="D131" s="77">
        <f>D112*D130</f>
        <v>0.20512820512820515</v>
      </c>
      <c r="E131" s="16" t="s">
        <v>88</v>
      </c>
    </row>
    <row r="133" spans="1:42">
      <c r="D133" s="62">
        <f>D110*D112*D122</f>
        <v>0</v>
      </c>
      <c r="E133" s="16" t="s">
        <v>36</v>
      </c>
    </row>
    <row r="134" spans="1:42">
      <c r="D134" s="62">
        <f>D110*D112*D124</f>
        <v>46.15384615384616</v>
      </c>
      <c r="E134" s="16" t="s">
        <v>39</v>
      </c>
    </row>
    <row r="135" spans="1:42">
      <c r="D135" s="62">
        <f>D110*D112*D128</f>
        <v>0</v>
      </c>
      <c r="E135" s="16" t="s">
        <v>118</v>
      </c>
    </row>
    <row r="137" spans="1:42">
      <c r="D137" s="72">
        <f>SUM(D133:D135)</f>
        <v>46.15384615384616</v>
      </c>
      <c r="E137" s="47" t="s">
        <v>486</v>
      </c>
    </row>
    <row r="138" spans="1:42">
      <c r="D138" s="104"/>
      <c r="E138" s="66"/>
    </row>
    <row r="139" spans="1:42">
      <c r="C139" t="s">
        <v>55</v>
      </c>
      <c r="D139" s="6" t="s">
        <v>119</v>
      </c>
    </row>
    <row r="140" spans="1:42">
      <c r="D140" s="25"/>
    </row>
    <row r="141" spans="1:42">
      <c r="D141" s="25"/>
    </row>
    <row r="142" spans="1:42" s="359" customFormat="1">
      <c r="A142"/>
      <c r="B142"/>
      <c r="C142"/>
      <c r="D142" s="25"/>
      <c r="E142" s="16"/>
      <c r="F142"/>
      <c r="H142"/>
      <c r="I142"/>
      <c r="J142"/>
      <c r="K142"/>
      <c r="L142"/>
      <c r="M142"/>
      <c r="N142"/>
      <c r="O142"/>
      <c r="P142"/>
      <c r="Q142" s="2791"/>
      <c r="R142" s="2791"/>
      <c r="S142" s="2791"/>
      <c r="T142"/>
      <c r="U142"/>
      <c r="V142"/>
      <c r="W142"/>
      <c r="X142"/>
      <c r="Y142"/>
      <c r="Z142"/>
      <c r="AA142"/>
      <c r="AB142"/>
      <c r="AC142"/>
      <c r="AD142"/>
      <c r="AE142"/>
      <c r="AF142"/>
      <c r="AG142"/>
      <c r="AH142"/>
      <c r="AI142"/>
      <c r="AJ142"/>
      <c r="AK142"/>
      <c r="AL142"/>
      <c r="AM142"/>
      <c r="AN142"/>
      <c r="AO142"/>
      <c r="AP142"/>
    </row>
    <row r="144" spans="1:42" s="359" customFormat="1">
      <c r="A144"/>
      <c r="B144"/>
      <c r="C144"/>
      <c r="D144" s="85" t="s">
        <v>91</v>
      </c>
      <c r="E144" s="41"/>
      <c r="F144"/>
      <c r="H144"/>
      <c r="I144"/>
      <c r="J144"/>
      <c r="K144"/>
      <c r="L144"/>
      <c r="M144"/>
      <c r="N144"/>
      <c r="O144"/>
      <c r="P144"/>
      <c r="Q144" s="2791"/>
      <c r="R144" s="2791"/>
      <c r="S144" s="2791"/>
      <c r="T144"/>
      <c r="U144"/>
      <c r="V144"/>
      <c r="W144"/>
      <c r="X144"/>
      <c r="Y144"/>
      <c r="Z144"/>
      <c r="AA144"/>
      <c r="AB144"/>
      <c r="AC144"/>
      <c r="AD144"/>
      <c r="AE144"/>
      <c r="AF144"/>
      <c r="AG144"/>
      <c r="AH144"/>
      <c r="AI144"/>
      <c r="AJ144"/>
      <c r="AK144"/>
      <c r="AL144"/>
      <c r="AM144"/>
      <c r="AN144"/>
      <c r="AO144"/>
      <c r="AP144"/>
    </row>
    <row r="145" spans="1:42" s="359" customFormat="1">
      <c r="A145"/>
      <c r="B145"/>
      <c r="C145"/>
      <c r="D145" s="86">
        <f>'Overall Assumptions'!$C$96</f>
        <v>850</v>
      </c>
      <c r="E145" s="80" t="s">
        <v>120</v>
      </c>
      <c r="F145"/>
      <c r="H145"/>
      <c r="I145"/>
      <c r="J145"/>
      <c r="K145"/>
      <c r="L145"/>
      <c r="M145"/>
      <c r="N145"/>
      <c r="O145"/>
      <c r="P145"/>
      <c r="Q145" s="2791"/>
      <c r="R145" s="2791"/>
      <c r="S145" s="2791"/>
      <c r="T145"/>
      <c r="U145"/>
      <c r="V145"/>
      <c r="W145"/>
      <c r="X145"/>
      <c r="Y145"/>
      <c r="Z145"/>
      <c r="AA145"/>
      <c r="AB145"/>
      <c r="AC145"/>
      <c r="AD145"/>
      <c r="AE145"/>
      <c r="AF145"/>
      <c r="AG145"/>
      <c r="AH145"/>
      <c r="AI145"/>
      <c r="AJ145"/>
      <c r="AK145"/>
      <c r="AL145"/>
      <c r="AM145"/>
      <c r="AN145"/>
      <c r="AO145"/>
      <c r="AP145"/>
    </row>
    <row r="146" spans="1:42" s="359" customFormat="1">
      <c r="A146"/>
      <c r="B146"/>
      <c r="C146"/>
      <c r="D146" s="56"/>
      <c r="E146" s="45"/>
      <c r="F146"/>
      <c r="H146"/>
      <c r="I146"/>
      <c r="J146"/>
      <c r="K146"/>
      <c r="L146"/>
      <c r="M146"/>
      <c r="N146"/>
      <c r="O146"/>
      <c r="P146"/>
      <c r="Q146" s="2791"/>
      <c r="R146" s="2791"/>
      <c r="S146" s="2791"/>
      <c r="T146"/>
      <c r="U146"/>
      <c r="V146"/>
      <c r="W146"/>
      <c r="X146"/>
      <c r="Y146"/>
      <c r="Z146"/>
      <c r="AA146"/>
      <c r="AB146"/>
      <c r="AC146"/>
      <c r="AD146"/>
      <c r="AE146"/>
      <c r="AF146"/>
      <c r="AG146"/>
      <c r="AH146"/>
      <c r="AI146"/>
      <c r="AJ146"/>
      <c r="AK146"/>
      <c r="AL146"/>
      <c r="AM146"/>
      <c r="AN146"/>
      <c r="AO146"/>
      <c r="AP146"/>
    </row>
    <row r="147" spans="1:42" s="359" customFormat="1">
      <c r="A147"/>
      <c r="B147"/>
      <c r="C147"/>
      <c r="D147" s="23" t="s">
        <v>121</v>
      </c>
      <c r="E147" s="87"/>
      <c r="F147" s="21"/>
      <c r="H147"/>
      <c r="I147"/>
      <c r="J147"/>
      <c r="K147"/>
      <c r="L147"/>
      <c r="M147"/>
      <c r="N147"/>
      <c r="O147"/>
      <c r="P147"/>
      <c r="Q147" s="2791"/>
      <c r="R147" s="2791"/>
      <c r="S147" s="2791"/>
      <c r="T147"/>
      <c r="U147"/>
      <c r="V147"/>
      <c r="W147"/>
      <c r="X147"/>
      <c r="Y147"/>
      <c r="Z147"/>
      <c r="AA147"/>
      <c r="AB147"/>
      <c r="AC147"/>
      <c r="AD147"/>
      <c r="AE147"/>
      <c r="AF147"/>
      <c r="AG147"/>
      <c r="AH147"/>
      <c r="AI147"/>
      <c r="AJ147"/>
      <c r="AK147"/>
      <c r="AL147"/>
      <c r="AM147"/>
      <c r="AN147"/>
      <c r="AO147"/>
      <c r="AP147"/>
    </row>
    <row r="148" spans="1:42" s="359" customFormat="1">
      <c r="A148"/>
      <c r="B148"/>
      <c r="C148"/>
      <c r="D148" s="23" t="s">
        <v>123</v>
      </c>
      <c r="E148" s="87"/>
      <c r="F148" s="21"/>
      <c r="H148"/>
      <c r="I148"/>
      <c r="J148"/>
      <c r="K148"/>
      <c r="L148"/>
      <c r="M148"/>
      <c r="N148"/>
      <c r="O148"/>
      <c r="P148"/>
      <c r="Q148" s="2791"/>
      <c r="R148" s="2791"/>
      <c r="S148" s="2791"/>
      <c r="T148"/>
      <c r="U148"/>
      <c r="V148"/>
      <c r="W148"/>
      <c r="X148"/>
      <c r="Y148"/>
      <c r="Z148"/>
      <c r="AA148"/>
      <c r="AB148"/>
      <c r="AC148"/>
      <c r="AD148"/>
      <c r="AE148"/>
      <c r="AF148"/>
      <c r="AG148"/>
      <c r="AH148"/>
      <c r="AI148"/>
      <c r="AJ148"/>
      <c r="AK148"/>
      <c r="AL148"/>
      <c r="AM148"/>
      <c r="AN148"/>
      <c r="AO148"/>
      <c r="AP148"/>
    </row>
    <row r="149" spans="1:42" s="359" customFormat="1">
      <c r="A149"/>
      <c r="B149"/>
      <c r="C149"/>
      <c r="D149" s="22">
        <f>2*D116/D117</f>
        <v>0</v>
      </c>
      <c r="E149" s="21" t="s">
        <v>968</v>
      </c>
      <c r="F149" s="21"/>
      <c r="H149"/>
      <c r="I149"/>
      <c r="J149"/>
      <c r="K149"/>
      <c r="L149"/>
      <c r="M149"/>
      <c r="N149"/>
      <c r="O149"/>
      <c r="P149"/>
      <c r="Q149" s="2791"/>
      <c r="R149" s="2791"/>
      <c r="S149" s="2791"/>
      <c r="T149"/>
      <c r="U149"/>
      <c r="V149"/>
      <c r="W149"/>
      <c r="X149"/>
      <c r="Y149"/>
      <c r="Z149"/>
      <c r="AA149"/>
      <c r="AB149"/>
      <c r="AC149"/>
      <c r="AD149"/>
      <c r="AE149"/>
      <c r="AF149"/>
      <c r="AG149"/>
      <c r="AH149"/>
      <c r="AI149"/>
      <c r="AJ149"/>
      <c r="AK149"/>
      <c r="AL149"/>
      <c r="AM149"/>
      <c r="AN149"/>
      <c r="AO149"/>
      <c r="AP149"/>
    </row>
    <row r="150" spans="1:42" s="359" customFormat="1">
      <c r="A150"/>
      <c r="B150"/>
      <c r="C150"/>
      <c r="D150" s="23" t="s">
        <v>122</v>
      </c>
      <c r="E150" s="21"/>
      <c r="F150" s="21"/>
      <c r="H150"/>
      <c r="I150"/>
      <c r="J150"/>
      <c r="K150"/>
      <c r="L150"/>
      <c r="M150"/>
      <c r="N150"/>
      <c r="O150"/>
      <c r="P150"/>
      <c r="Q150" s="2791"/>
      <c r="R150" s="2791"/>
      <c r="S150" s="2791"/>
      <c r="T150"/>
      <c r="U150"/>
      <c r="V150"/>
      <c r="W150"/>
      <c r="X150"/>
      <c r="Y150"/>
      <c r="Z150"/>
      <c r="AA150"/>
      <c r="AB150"/>
      <c r="AC150"/>
      <c r="AD150"/>
      <c r="AE150"/>
      <c r="AF150"/>
      <c r="AG150"/>
      <c r="AH150"/>
      <c r="AI150"/>
      <c r="AJ150"/>
      <c r="AK150"/>
      <c r="AL150"/>
      <c r="AM150"/>
      <c r="AN150"/>
      <c r="AO150"/>
      <c r="AP150"/>
    </row>
    <row r="151" spans="1:42" s="359" customFormat="1">
      <c r="A151"/>
      <c r="B151"/>
      <c r="C151"/>
      <c r="D151" s="23" t="s">
        <v>124</v>
      </c>
      <c r="E151" s="21"/>
      <c r="F151" s="21"/>
      <c r="H151"/>
      <c r="I151"/>
      <c r="J151"/>
      <c r="K151"/>
      <c r="L151"/>
      <c r="M151"/>
      <c r="N151"/>
      <c r="O151"/>
      <c r="P151"/>
      <c r="Q151" s="2791"/>
      <c r="R151" s="2791"/>
      <c r="S151" s="2791"/>
      <c r="T151"/>
      <c r="U151"/>
      <c r="V151"/>
      <c r="W151"/>
      <c r="X151"/>
      <c r="Y151"/>
      <c r="Z151"/>
      <c r="AA151"/>
      <c r="AB151"/>
      <c r="AC151"/>
      <c r="AD151"/>
      <c r="AE151"/>
      <c r="AF151"/>
      <c r="AG151"/>
      <c r="AH151"/>
      <c r="AI151"/>
      <c r="AJ151"/>
      <c r="AK151"/>
      <c r="AL151"/>
      <c r="AM151"/>
      <c r="AN151"/>
      <c r="AO151"/>
      <c r="AP151"/>
    </row>
    <row r="152" spans="1:42" s="359" customFormat="1">
      <c r="A152"/>
      <c r="B152"/>
      <c r="C152"/>
      <c r="D152" s="22">
        <f>D124</f>
        <v>0.20512820512820515</v>
      </c>
      <c r="E152" s="21" t="s">
        <v>969</v>
      </c>
      <c r="F152" s="21"/>
      <c r="H152"/>
      <c r="I152"/>
      <c r="J152"/>
      <c r="K152"/>
      <c r="L152"/>
      <c r="M152"/>
      <c r="N152"/>
      <c r="O152"/>
      <c r="P152"/>
      <c r="Q152" s="2791"/>
      <c r="R152" s="2791"/>
      <c r="S152" s="2791"/>
      <c r="T152"/>
      <c r="U152"/>
      <c r="V152"/>
      <c r="W152"/>
      <c r="X152"/>
      <c r="Y152"/>
      <c r="Z152"/>
      <c r="AA152"/>
      <c r="AB152"/>
      <c r="AC152"/>
      <c r="AD152"/>
      <c r="AE152"/>
      <c r="AF152"/>
      <c r="AG152"/>
      <c r="AH152"/>
      <c r="AI152"/>
      <c r="AJ152"/>
      <c r="AK152"/>
      <c r="AL152"/>
      <c r="AM152"/>
      <c r="AN152"/>
      <c r="AO152"/>
      <c r="AP152"/>
    </row>
    <row r="153" spans="1:42" s="359" customFormat="1">
      <c r="A153"/>
      <c r="B153"/>
      <c r="C153"/>
      <c r="D153" s="23" t="s">
        <v>125</v>
      </c>
      <c r="E153" s="21"/>
      <c r="F153" s="21"/>
      <c r="H153"/>
      <c r="I153"/>
      <c r="J153"/>
      <c r="K153"/>
      <c r="L153"/>
      <c r="M153"/>
      <c r="N153"/>
      <c r="O153"/>
      <c r="P153"/>
      <c r="Q153" s="2791"/>
      <c r="R153" s="2791"/>
      <c r="S153" s="2791"/>
      <c r="T153"/>
      <c r="U153"/>
      <c r="V153"/>
      <c r="W153"/>
      <c r="X153"/>
      <c r="Y153"/>
      <c r="Z153"/>
      <c r="AA153"/>
      <c r="AB153"/>
      <c r="AC153"/>
      <c r="AD153"/>
      <c r="AE153"/>
      <c r="AF153"/>
      <c r="AG153"/>
      <c r="AH153"/>
      <c r="AI153"/>
      <c r="AJ153"/>
      <c r="AK153"/>
      <c r="AL153"/>
      <c r="AM153"/>
      <c r="AN153"/>
      <c r="AO153"/>
      <c r="AP153"/>
    </row>
    <row r="154" spans="1:42" s="359" customFormat="1">
      <c r="A154"/>
      <c r="B154"/>
      <c r="C154"/>
      <c r="D154" s="23" t="s">
        <v>126</v>
      </c>
      <c r="E154" s="21"/>
      <c r="F154" s="21"/>
      <c r="H154"/>
      <c r="I154"/>
      <c r="J154"/>
      <c r="K154"/>
      <c r="L154"/>
      <c r="M154"/>
      <c r="N154"/>
      <c r="O154"/>
      <c r="P154"/>
      <c r="Q154" s="2791"/>
      <c r="R154" s="2791"/>
      <c r="S154" s="2791"/>
      <c r="T154"/>
      <c r="U154"/>
      <c r="V154"/>
      <c r="W154"/>
      <c r="X154"/>
      <c r="Y154"/>
      <c r="Z154"/>
      <c r="AA154"/>
      <c r="AB154"/>
      <c r="AC154"/>
      <c r="AD154"/>
      <c r="AE154"/>
      <c r="AF154"/>
      <c r="AG154"/>
      <c r="AH154"/>
      <c r="AI154"/>
      <c r="AJ154"/>
      <c r="AK154"/>
      <c r="AL154"/>
      <c r="AM154"/>
      <c r="AN154"/>
      <c r="AO154"/>
      <c r="AP154"/>
    </row>
    <row r="155" spans="1:42" s="359" customFormat="1">
      <c r="A155"/>
      <c r="B155"/>
      <c r="C155"/>
      <c r="D155" s="22">
        <f t="shared" ref="D155:E157" si="23">D126</f>
        <v>0</v>
      </c>
      <c r="E155" s="971" t="str">
        <f t="shared" si="23"/>
        <v>Number of times required to do refuelling</v>
      </c>
      <c r="F155" s="21"/>
      <c r="H155"/>
      <c r="I155"/>
      <c r="J155"/>
      <c r="K155"/>
      <c r="L155"/>
      <c r="M155"/>
      <c r="N155"/>
      <c r="O155"/>
      <c r="P155"/>
      <c r="Q155" s="2791"/>
      <c r="R155" s="2791"/>
      <c r="S155" s="2791"/>
      <c r="T155"/>
      <c r="U155"/>
      <c r="V155"/>
      <c r="W155"/>
      <c r="X155"/>
      <c r="Y155"/>
      <c r="Z155"/>
      <c r="AA155"/>
      <c r="AB155"/>
      <c r="AC155"/>
      <c r="AD155"/>
      <c r="AE155"/>
      <c r="AF155"/>
      <c r="AG155"/>
      <c r="AH155"/>
      <c r="AI155"/>
      <c r="AJ155"/>
      <c r="AK155"/>
      <c r="AL155"/>
      <c r="AM155"/>
      <c r="AN155"/>
      <c r="AO155"/>
      <c r="AP155"/>
    </row>
    <row r="156" spans="1:42" s="359" customFormat="1">
      <c r="A156"/>
      <c r="B156"/>
      <c r="C156"/>
      <c r="D156" s="22" t="str">
        <f t="shared" si="23"/>
        <v>NO</v>
      </c>
      <c r="E156" s="971" t="str">
        <f t="shared" si="23"/>
        <v>Need to refuel?</v>
      </c>
      <c r="F156" s="21"/>
      <c r="H156"/>
      <c r="I156"/>
      <c r="J156"/>
      <c r="K156"/>
      <c r="L156"/>
      <c r="M156"/>
      <c r="N156"/>
      <c r="O156"/>
      <c r="P156"/>
      <c r="Q156" s="2791"/>
      <c r="R156" s="2791"/>
      <c r="S156" s="2791"/>
      <c r="T156"/>
      <c r="U156"/>
      <c r="V156"/>
      <c r="W156"/>
      <c r="X156"/>
      <c r="Y156"/>
      <c r="Z156"/>
      <c r="AA156"/>
      <c r="AB156"/>
      <c r="AC156"/>
      <c r="AD156"/>
      <c r="AE156"/>
      <c r="AF156"/>
      <c r="AG156"/>
      <c r="AH156"/>
      <c r="AI156"/>
      <c r="AJ156"/>
      <c r="AK156"/>
      <c r="AL156"/>
      <c r="AM156"/>
      <c r="AN156"/>
      <c r="AO156"/>
      <c r="AP156"/>
    </row>
    <row r="157" spans="1:42" s="359" customFormat="1">
      <c r="A157"/>
      <c r="B157"/>
      <c r="C157"/>
      <c r="D157" s="22">
        <f t="shared" si="23"/>
        <v>0</v>
      </c>
      <c r="E157" s="971" t="str">
        <f t="shared" si="23"/>
        <v>Days required to do refuelling</v>
      </c>
      <c r="F157" s="21"/>
      <c r="H157"/>
      <c r="I157"/>
      <c r="J157"/>
      <c r="K157"/>
      <c r="L157"/>
      <c r="M157"/>
      <c r="N157"/>
      <c r="O157"/>
      <c r="P157"/>
      <c r="Q157" s="2791"/>
      <c r="R157" s="2791"/>
      <c r="S157" s="2791"/>
      <c r="T157"/>
      <c r="U157"/>
      <c r="V157"/>
      <c r="W157"/>
      <c r="X157"/>
      <c r="Y157"/>
      <c r="Z157"/>
      <c r="AA157"/>
      <c r="AB157"/>
      <c r="AC157"/>
      <c r="AD157"/>
      <c r="AE157"/>
      <c r="AF157"/>
      <c r="AG157"/>
      <c r="AH157"/>
      <c r="AI157"/>
      <c r="AJ157"/>
      <c r="AK157"/>
      <c r="AL157"/>
      <c r="AM157"/>
      <c r="AN157"/>
      <c r="AO157"/>
      <c r="AP157"/>
    </row>
    <row r="158" spans="1:42">
      <c r="F158" s="21"/>
      <c r="J158" s="21"/>
    </row>
    <row r="159" spans="1:42">
      <c r="D159" s="20">
        <f>SUM(D149,D152,D157)</f>
        <v>0.20512820512820515</v>
      </c>
      <c r="E159" s="21" t="s">
        <v>177</v>
      </c>
      <c r="F159" s="21"/>
    </row>
    <row r="160" spans="1:42">
      <c r="D160" s="20">
        <f>D159*7.5</f>
        <v>1.5384615384615385</v>
      </c>
      <c r="E160" s="16" t="s">
        <v>970</v>
      </c>
      <c r="F160" s="21"/>
    </row>
    <row r="161" spans="3:6">
      <c r="C161" s="90"/>
      <c r="D161" s="89">
        <f>D145*D149*7.5</f>
        <v>0</v>
      </c>
      <c r="E161" s="21" t="s">
        <v>36</v>
      </c>
      <c r="F161" s="21"/>
    </row>
    <row r="162" spans="3:6">
      <c r="D162" s="73">
        <f>D152*D145*7.5</f>
        <v>1307.6923076923076</v>
      </c>
      <c r="E162" s="16" t="s">
        <v>56</v>
      </c>
    </row>
    <row r="163" spans="3:6">
      <c r="D163" s="73">
        <f>D157*D145*7.5</f>
        <v>0</v>
      </c>
      <c r="E163" s="21" t="s">
        <v>127</v>
      </c>
    </row>
    <row r="164" spans="3:6">
      <c r="D164" s="74">
        <f>SUM(D161:D163)</f>
        <v>1307.6923076923076</v>
      </c>
      <c r="E164" s="47" t="s">
        <v>487</v>
      </c>
    </row>
    <row r="165" spans="3:6">
      <c r="D165" s="91"/>
      <c r="E165" s="66"/>
    </row>
    <row r="166" spans="3:6">
      <c r="D166" s="46">
        <f>D159</f>
        <v>0.20512820512820515</v>
      </c>
      <c r="E166" s="359" t="s">
        <v>795</v>
      </c>
      <c r="F166" s="46"/>
    </row>
    <row r="167" spans="3:6">
      <c r="D167" s="75">
        <f>ROUNDUP((D159/21),0)</f>
        <v>1</v>
      </c>
      <c r="E167" s="99" t="s">
        <v>739</v>
      </c>
      <c r="F167" s="75"/>
    </row>
    <row r="168" spans="3:6">
      <c r="D168" s="104"/>
      <c r="E168" s="66"/>
    </row>
    <row r="169" spans="3:6">
      <c r="C169" t="s">
        <v>70</v>
      </c>
      <c r="D169" s="23" t="s">
        <v>161</v>
      </c>
    </row>
    <row r="173" spans="3:6">
      <c r="D173" s="46">
        <f>SUM(D122,D124,D128)</f>
        <v>0.20512820512820515</v>
      </c>
      <c r="E173" s="16" t="s">
        <v>115</v>
      </c>
    </row>
    <row r="174" spans="3:6">
      <c r="D174" s="23" t="str">
        <f>IF(D130&gt;1,"YES","NO")</f>
        <v>NO</v>
      </c>
      <c r="E174" s="16" t="s">
        <v>72</v>
      </c>
    </row>
    <row r="175" spans="3:6">
      <c r="D175" s="23">
        <f>FLOOR(D130,1)</f>
        <v>0</v>
      </c>
      <c r="E175" s="16" t="s">
        <v>116</v>
      </c>
    </row>
    <row r="176" spans="3:6">
      <c r="D176" s="104"/>
      <c r="E176" s="66"/>
    </row>
    <row r="177" spans="3:10">
      <c r="D177" s="64">
        <f>D111*D112*D175</f>
        <v>0</v>
      </c>
      <c r="E177" s="39" t="s">
        <v>117</v>
      </c>
      <c r="F177" s="255"/>
      <c r="G177" s="1090"/>
      <c r="H177" s="255"/>
      <c r="I177" s="161"/>
    </row>
    <row r="178" spans="3:10">
      <c r="D178" s="400"/>
      <c r="E178" s="164"/>
      <c r="F178" s="255"/>
      <c r="G178" s="1090"/>
      <c r="H178" s="255"/>
      <c r="I178" s="161"/>
    </row>
    <row r="179" spans="3:10">
      <c r="D179" s="143" t="s">
        <v>172</v>
      </c>
      <c r="E179" s="144" t="s">
        <v>155</v>
      </c>
      <c r="F179" s="144" t="s">
        <v>173</v>
      </c>
      <c r="G179" s="1094" t="s">
        <v>174</v>
      </c>
      <c r="H179" s="144" t="s">
        <v>166</v>
      </c>
      <c r="I179" s="145" t="s">
        <v>69</v>
      </c>
    </row>
    <row r="180" spans="3:10">
      <c r="D180" s="135" t="s">
        <v>3</v>
      </c>
      <c r="E180" s="136">
        <f>D131</f>
        <v>0.20512820512820515</v>
      </c>
      <c r="F180" s="141">
        <f>D114</f>
        <v>100</v>
      </c>
      <c r="G180" s="1093"/>
      <c r="H180" s="119">
        <f>D137</f>
        <v>46.15384615384616</v>
      </c>
      <c r="I180" s="358" t="str">
        <f>E137</f>
        <v>Cost for labour</v>
      </c>
      <c r="J180" s="558">
        <f>$D$100</f>
        <v>5</v>
      </c>
    </row>
    <row r="181" spans="3:10">
      <c r="D181" s="135" t="s">
        <v>132</v>
      </c>
      <c r="E181" s="136">
        <f>D160</f>
        <v>1.5384615384615385</v>
      </c>
      <c r="F181" s="141">
        <f>D116*2</f>
        <v>0</v>
      </c>
      <c r="G181" s="1095"/>
      <c r="H181" s="119">
        <f>D164</f>
        <v>1307.6923076923076</v>
      </c>
      <c r="I181" s="358" t="str">
        <f>E164</f>
        <v xml:space="preserve">Cost for transport </v>
      </c>
      <c r="J181" s="558">
        <f>$D$100</f>
        <v>5</v>
      </c>
    </row>
    <row r="182" spans="3:10">
      <c r="D182" s="135" t="s">
        <v>169</v>
      </c>
      <c r="E182" s="136">
        <f>D175</f>
        <v>0</v>
      </c>
      <c r="F182" s="141"/>
      <c r="G182" s="1095"/>
      <c r="H182" s="119">
        <f>D177</f>
        <v>0</v>
      </c>
      <c r="I182" s="358" t="str">
        <f>E177</f>
        <v>cost for accommodation and meals</v>
      </c>
      <c r="J182" s="558">
        <f>$D$100</f>
        <v>5</v>
      </c>
    </row>
    <row r="183" spans="3:10">
      <c r="D183" s="135"/>
      <c r="E183" s="136"/>
      <c r="F183" s="141"/>
      <c r="G183" s="1093"/>
      <c r="H183" s="119"/>
      <c r="I183" s="358"/>
    </row>
    <row r="184" spans="3:10">
      <c r="D184" s="135"/>
      <c r="E184" s="136"/>
      <c r="F184" s="141"/>
      <c r="G184" s="1093"/>
      <c r="H184" s="119"/>
      <c r="I184" s="358"/>
    </row>
    <row r="185" spans="3:10">
      <c r="D185" s="137"/>
      <c r="E185" s="138"/>
      <c r="F185" s="142"/>
      <c r="G185" s="1096"/>
      <c r="H185" s="139">
        <f>SUM(H180:H184)</f>
        <v>1353.8461538461538</v>
      </c>
      <c r="I185" s="140" t="s">
        <v>165</v>
      </c>
    </row>
    <row r="186" spans="3:10">
      <c r="D186" s="122"/>
      <c r="E186" s="147"/>
      <c r="F186" s="122"/>
      <c r="G186" s="1093"/>
      <c r="H186" s="119"/>
      <c r="I186" s="119"/>
    </row>
    <row r="188" spans="3:10" s="7" customFormat="1">
      <c r="D188" s="35"/>
      <c r="E188" s="36"/>
      <c r="G188" s="1089"/>
    </row>
    <row r="189" spans="3:10">
      <c r="C189" s="8" t="s">
        <v>1001</v>
      </c>
      <c r="D189" s="16" t="s">
        <v>163</v>
      </c>
    </row>
    <row r="190" spans="3:10">
      <c r="D190"/>
    </row>
    <row r="191" spans="3:10">
      <c r="D191"/>
      <c r="E191"/>
    </row>
    <row r="192" spans="3:10">
      <c r="D192"/>
      <c r="E192"/>
    </row>
    <row r="193" spans="4:5">
      <c r="D193" s="455"/>
      <c r="E193"/>
    </row>
    <row r="194" spans="4:5" ht="17">
      <c r="D194" s="456"/>
      <c r="E194"/>
    </row>
    <row r="195" spans="4:5">
      <c r="D195" s="455"/>
      <c r="E195"/>
    </row>
    <row r="196" spans="4:5">
      <c r="D196"/>
      <c r="E196"/>
    </row>
    <row r="197" spans="4:5">
      <c r="D197" s="592" t="s">
        <v>179</v>
      </c>
      <c r="E197" s="274"/>
    </row>
    <row r="198" spans="4:5">
      <c r="D198" s="974">
        <f>'Overall Assumptions'!$C$6</f>
        <v>100</v>
      </c>
      <c r="E198" s="246" t="s">
        <v>451</v>
      </c>
    </row>
    <row r="199" spans="4:5">
      <c r="D199" s="408">
        <v>1</v>
      </c>
      <c r="E199" s="483" t="str">
        <f>'Overall Assumptions'!$D$120</f>
        <v>Percentage of field that needs to be surveyed (ground)</v>
      </c>
    </row>
    <row r="200" spans="4:5">
      <c r="D200" s="332">
        <f>D198*D199</f>
        <v>100</v>
      </c>
      <c r="E200" s="483" t="s">
        <v>450</v>
      </c>
    </row>
    <row r="201" spans="4:5">
      <c r="D201" s="447">
        <v>5</v>
      </c>
      <c r="E201" s="483" t="s">
        <v>246</v>
      </c>
    </row>
    <row r="202" spans="4:5">
      <c r="D202" s="482">
        <f>'Overall Assumptions'!$C$132</f>
        <v>0.5</v>
      </c>
      <c r="E202" s="43" t="s">
        <v>79</v>
      </c>
    </row>
    <row r="203" spans="4:5">
      <c r="D203" s="54">
        <f>D200/D202</f>
        <v>200</v>
      </c>
      <c r="E203" s="483" t="s">
        <v>972</v>
      </c>
    </row>
    <row r="204" spans="4:5">
      <c r="D204" s="42">
        <f>'Overall Assumptions'!$C$53</f>
        <v>4.46</v>
      </c>
      <c r="E204" s="631" t="s">
        <v>780</v>
      </c>
    </row>
    <row r="205" spans="4:5">
      <c r="D205" s="42">
        <f>'Overall Assumptions'!$C$54</f>
        <v>3.3449999999999998</v>
      </c>
      <c r="E205" s="631" t="s">
        <v>781</v>
      </c>
    </row>
    <row r="206" spans="4:5">
      <c r="D206" s="125">
        <f>'Overall Assumptions'!$C$55</f>
        <v>2.23</v>
      </c>
      <c r="E206" s="635" t="s">
        <v>782</v>
      </c>
    </row>
    <row r="208" spans="4:5">
      <c r="D208" s="25"/>
    </row>
    <row r="209" spans="3:12">
      <c r="D209" s="151" t="s">
        <v>179</v>
      </c>
      <c r="E209" s="164"/>
      <c r="F209" s="255"/>
      <c r="G209" s="1090"/>
      <c r="H209" s="161"/>
    </row>
    <row r="210" spans="3:12">
      <c r="D210" s="444">
        <f>10/60</f>
        <v>0.16666666666666666</v>
      </c>
      <c r="E210" s="443" t="s">
        <v>447</v>
      </c>
      <c r="F210" s="465"/>
      <c r="G210" s="1097"/>
      <c r="H210" s="466"/>
    </row>
    <row r="211" spans="3:12">
      <c r="D211" s="332">
        <f>D200/D202</f>
        <v>200</v>
      </c>
      <c r="E211" s="16" t="s">
        <v>253</v>
      </c>
      <c r="H211" s="246"/>
    </row>
    <row r="212" spans="3:12">
      <c r="D212" s="154">
        <f>D210*D211</f>
        <v>33.333333333333329</v>
      </c>
      <c r="E212" s="333" t="s">
        <v>2322</v>
      </c>
      <c r="F212" s="439"/>
      <c r="G212" s="1098"/>
      <c r="H212" s="162"/>
    </row>
    <row r="213" spans="3:12">
      <c r="D213" s="152"/>
      <c r="H213" s="246"/>
    </row>
    <row r="214" spans="3:12">
      <c r="D214"/>
      <c r="E214"/>
    </row>
    <row r="215" spans="3:12">
      <c r="D215"/>
      <c r="E215"/>
    </row>
    <row r="216" spans="3:12">
      <c r="D216"/>
      <c r="K216" s="2671"/>
      <c r="L216" s="2671"/>
    </row>
    <row r="217" spans="3:12">
      <c r="D217" s="825"/>
      <c r="E217" s="825"/>
    </row>
    <row r="218" spans="3:12">
      <c r="D218"/>
      <c r="E218"/>
      <c r="F218" s="432"/>
      <c r="G218" s="1099"/>
    </row>
    <row r="219" spans="3:12" ht="19">
      <c r="C219" t="s">
        <v>50</v>
      </c>
      <c r="D219" s="37" t="s">
        <v>81</v>
      </c>
      <c r="E219" s="24"/>
      <c r="F219" s="1"/>
      <c r="G219" s="1100"/>
      <c r="H219" s="3"/>
      <c r="I219" s="3"/>
      <c r="J219" s="3"/>
    </row>
    <row r="220" spans="3:12">
      <c r="F220" s="1"/>
      <c r="G220" s="1100"/>
      <c r="H220" s="3"/>
      <c r="I220" s="3"/>
      <c r="J220" s="3"/>
    </row>
    <row r="221" spans="3:12">
      <c r="D221" s="160" t="s">
        <v>408</v>
      </c>
    </row>
    <row r="223" spans="3:12">
      <c r="D223" s="50"/>
    </row>
    <row r="224" spans="3:12">
      <c r="D224" s="51" t="s">
        <v>82</v>
      </c>
      <c r="E224" s="273"/>
      <c r="F224" s="274"/>
    </row>
    <row r="225" spans="3:10" ht="19">
      <c r="D225" s="54">
        <f>'Overall Assumptions'!$C$68</f>
        <v>225</v>
      </c>
      <c r="E225" s="1215" t="s">
        <v>99</v>
      </c>
      <c r="F225" s="246"/>
    </row>
    <row r="226" spans="3:10">
      <c r="D226" s="54">
        <f>'Overall Assumptions'!$C$130</f>
        <v>2</v>
      </c>
      <c r="E226" s="76" t="s">
        <v>84</v>
      </c>
      <c r="F226" s="246"/>
    </row>
    <row r="227" spans="3:10">
      <c r="D227" s="152"/>
      <c r="E227" s="76"/>
      <c r="F227" s="246"/>
    </row>
    <row r="228" spans="3:10">
      <c r="D228" s="42">
        <f>'Overall Assumptions'!$C$53</f>
        <v>4.46</v>
      </c>
      <c r="E228" s="629" t="s">
        <v>780</v>
      </c>
      <c r="F228" s="246"/>
    </row>
    <row r="229" spans="3:10">
      <c r="D229" s="42">
        <f>'Overall Assumptions'!$C$54</f>
        <v>3.3449999999999998</v>
      </c>
      <c r="E229" s="629" t="s">
        <v>781</v>
      </c>
      <c r="F229" s="246"/>
    </row>
    <row r="230" spans="3:10">
      <c r="D230" s="42">
        <f>'Overall Assumptions'!$C$55</f>
        <v>2.23</v>
      </c>
      <c r="E230" s="629" t="s">
        <v>782</v>
      </c>
      <c r="F230" s="246"/>
    </row>
    <row r="231" spans="3:10">
      <c r="D231" s="616"/>
      <c r="E231" s="833"/>
      <c r="F231" s="246"/>
    </row>
    <row r="232" spans="3:10">
      <c r="D232" s="467">
        <f>D203</f>
        <v>200</v>
      </c>
      <c r="E232" s="1216" t="str">
        <f>E203</f>
        <v>Effective distance to be walked along</v>
      </c>
      <c r="F232" s="246"/>
    </row>
    <row r="233" spans="3:10">
      <c r="D233" s="467"/>
      <c r="E233" s="76"/>
      <c r="F233" s="246"/>
    </row>
    <row r="234" spans="3:10">
      <c r="D234" s="468">
        <f>D212/7.5</f>
        <v>4.4444444444444438</v>
      </c>
      <c r="E234" s="76" t="s">
        <v>464</v>
      </c>
      <c r="F234" s="246"/>
    </row>
    <row r="235" spans="3:10">
      <c r="D235" s="54">
        <f>'Overall Assumptions'!$C$10</f>
        <v>0</v>
      </c>
      <c r="E235" s="76" t="s">
        <v>85</v>
      </c>
      <c r="F235" s="246"/>
    </row>
    <row r="236" spans="3:10">
      <c r="D236" s="54">
        <f>'Overall Assumptions'!$C$90</f>
        <v>80</v>
      </c>
      <c r="E236" s="76" t="s">
        <v>86</v>
      </c>
      <c r="F236" s="246"/>
    </row>
    <row r="237" spans="3:10">
      <c r="D237" s="56">
        <f>'Overall Assumptions'!$C$81</f>
        <v>210</v>
      </c>
      <c r="E237" s="333" t="s">
        <v>87</v>
      </c>
      <c r="F237" s="162"/>
      <c r="J237" s="578"/>
    </row>
    <row r="238" spans="3:10">
      <c r="D238" s="57"/>
    </row>
    <row r="239" spans="3:10">
      <c r="C239" s="21"/>
      <c r="J239" s="90"/>
    </row>
    <row r="240" spans="3:10">
      <c r="C240" s="21"/>
      <c r="D240" s="59" t="s">
        <v>735</v>
      </c>
      <c r="E240" s="2" t="s">
        <v>218</v>
      </c>
      <c r="F240" s="2" t="s">
        <v>733</v>
      </c>
      <c r="G240" s="359" t="s">
        <v>796</v>
      </c>
    </row>
    <row r="241" spans="3:11">
      <c r="C241" s="21"/>
      <c r="D241" s="46">
        <f>D228</f>
        <v>4.46</v>
      </c>
      <c r="E241" s="46">
        <f>D229</f>
        <v>3.3449999999999998</v>
      </c>
      <c r="F241" s="1219">
        <f>D230</f>
        <v>2.23</v>
      </c>
      <c r="G241" s="359" t="s">
        <v>254</v>
      </c>
      <c r="J241" s="90"/>
    </row>
    <row r="242" spans="3:11">
      <c r="C242" s="21"/>
      <c r="D242" s="77">
        <f>2*D235/D236/7.5</f>
        <v>0</v>
      </c>
      <c r="E242" s="77">
        <f>D242</f>
        <v>0</v>
      </c>
      <c r="F242" s="77">
        <f>E242</f>
        <v>0</v>
      </c>
      <c r="G242" s="59" t="s">
        <v>95</v>
      </c>
      <c r="J242" s="90"/>
    </row>
    <row r="243" spans="3:11">
      <c r="C243" s="21"/>
      <c r="D243" s="77"/>
      <c r="G243" s="16" t="s">
        <v>778</v>
      </c>
      <c r="J243" s="90"/>
    </row>
    <row r="244" spans="3:11">
      <c r="C244" s="21"/>
      <c r="J244" s="90"/>
    </row>
    <row r="245" spans="3:11" ht="18" customHeight="1">
      <c r="C245" s="21"/>
      <c r="D245" s="77">
        <f>$D232/D241/7.5</f>
        <v>5.9790732436472345</v>
      </c>
      <c r="E245" s="77">
        <f>$D232/E241/7.5</f>
        <v>7.9720976581963141</v>
      </c>
      <c r="F245" s="77">
        <f>$D232/F241/7.5</f>
        <v>11.958146487294469</v>
      </c>
      <c r="G245" s="693" t="s">
        <v>96</v>
      </c>
    </row>
    <row r="246" spans="3:11" ht="18" customHeight="1">
      <c r="C246" s="21"/>
      <c r="D246" s="77">
        <f>$D234</f>
        <v>4.4444444444444438</v>
      </c>
      <c r="E246" s="77">
        <f>$D234</f>
        <v>4.4444444444444438</v>
      </c>
      <c r="F246" s="77">
        <f>$D234</f>
        <v>4.4444444444444438</v>
      </c>
      <c r="G246" s="693" t="s">
        <v>786</v>
      </c>
    </row>
    <row r="247" spans="3:11" ht="18" customHeight="1">
      <c r="C247" s="21"/>
      <c r="D247" s="77">
        <f>SUM(D245:D246)</f>
        <v>10.423517688091678</v>
      </c>
      <c r="E247" s="77">
        <f>SUM(E245:E246)</f>
        <v>12.416542102640758</v>
      </c>
      <c r="F247" s="77">
        <f>SUM(F245:F246)</f>
        <v>16.402590931738914</v>
      </c>
      <c r="G247" s="693" t="s">
        <v>171</v>
      </c>
    </row>
    <row r="248" spans="3:11" ht="18" customHeight="1">
      <c r="C248" s="21"/>
      <c r="D248" s="16"/>
      <c r="E248"/>
    </row>
    <row r="249" spans="3:11" ht="18" customHeight="1">
      <c r="C249" s="21"/>
      <c r="D249" s="77">
        <f>D247*$D226</f>
        <v>20.847035376183356</v>
      </c>
      <c r="E249" s="77">
        <f>E247*$D226</f>
        <v>24.833084205281516</v>
      </c>
      <c r="F249" s="77">
        <f>F247*$D226</f>
        <v>32.805181863477827</v>
      </c>
      <c r="G249" s="99" t="s">
        <v>787</v>
      </c>
    </row>
    <row r="250" spans="3:11">
      <c r="C250" s="21"/>
      <c r="D250" s="16"/>
      <c r="E250"/>
      <c r="G250" s="99"/>
    </row>
    <row r="251" spans="3:11">
      <c r="C251" s="21"/>
      <c r="D251" s="63">
        <f>$D225*$D226*D245</f>
        <v>2690.5829596412555</v>
      </c>
      <c r="E251" s="63">
        <f>$D225*$D226*E245</f>
        <v>3587.4439461883412</v>
      </c>
      <c r="F251" s="63">
        <f>$D225*$D226*F245</f>
        <v>5381.1659192825109</v>
      </c>
      <c r="G251" s="99" t="s">
        <v>37</v>
      </c>
      <c r="J251" s="90"/>
    </row>
    <row r="252" spans="3:11">
      <c r="C252" s="21"/>
      <c r="D252" s="63">
        <f>$D225*$D226*D246</f>
        <v>1999.9999999999998</v>
      </c>
      <c r="E252" s="63">
        <f>$D225*$D226*E246</f>
        <v>1999.9999999999998</v>
      </c>
      <c r="F252" s="63">
        <f>$D225*$D226*F246</f>
        <v>1999.9999999999998</v>
      </c>
      <c r="G252" s="99" t="s">
        <v>412</v>
      </c>
      <c r="J252" s="259"/>
      <c r="K252" s="16"/>
    </row>
    <row r="253" spans="3:11">
      <c r="C253" s="21"/>
      <c r="D253" s="64">
        <f>SUM(D251:D252)</f>
        <v>4690.582959641255</v>
      </c>
      <c r="E253" s="905">
        <f>SUM(E251:E252)</f>
        <v>5587.4439461883412</v>
      </c>
      <c r="F253" s="905">
        <f>SUM(F251:F252)</f>
        <v>7381.1659192825109</v>
      </c>
      <c r="G253" s="1101" t="s">
        <v>486</v>
      </c>
      <c r="J253" s="259"/>
      <c r="K253" s="16"/>
    </row>
    <row r="254" spans="3:11">
      <c r="F254" s="16"/>
      <c r="G254" s="99"/>
    </row>
    <row r="255" spans="3:11">
      <c r="D255" s="46"/>
      <c r="E255" s="46"/>
      <c r="F255" s="46"/>
      <c r="J255" s="65"/>
      <c r="K255" s="24"/>
    </row>
    <row r="256" spans="3:11">
      <c r="D256" s="75"/>
      <c r="E256" s="75"/>
      <c r="F256" s="75"/>
      <c r="G256" s="99"/>
      <c r="J256" s="65"/>
      <c r="K256" s="24"/>
    </row>
    <row r="257" spans="3:11">
      <c r="D257" s="75"/>
      <c r="E257" s="75"/>
      <c r="F257" s="75"/>
      <c r="G257" s="99"/>
      <c r="J257" s="65"/>
      <c r="K257" s="24"/>
    </row>
    <row r="258" spans="3:11" ht="19">
      <c r="C258" t="s">
        <v>64</v>
      </c>
      <c r="D258" s="37" t="s">
        <v>89</v>
      </c>
    </row>
    <row r="259" spans="3:11">
      <c r="C259" t="s">
        <v>54</v>
      </c>
    </row>
    <row r="261" spans="3:11">
      <c r="D261" s="16"/>
    </row>
    <row r="262" spans="3:11">
      <c r="D262" s="67" t="s">
        <v>91</v>
      </c>
      <c r="E262" s="41"/>
    </row>
    <row r="263" spans="3:11">
      <c r="D263" s="52">
        <f>'Overall Assumptions'!$C$93</f>
        <v>285</v>
      </c>
      <c r="E263" s="41" t="s">
        <v>93</v>
      </c>
    </row>
    <row r="264" spans="3:11">
      <c r="D264" s="54">
        <f>'Overall Assumptions'!$C$10</f>
        <v>0</v>
      </c>
      <c r="E264" s="43" t="s">
        <v>85</v>
      </c>
    </row>
    <row r="265" spans="3:11">
      <c r="D265" s="54"/>
      <c r="E265" s="43"/>
    </row>
    <row r="266" spans="3:11">
      <c r="D266" s="616"/>
      <c r="E266" s="43"/>
    </row>
    <row r="267" spans="3:11">
      <c r="D267" s="56"/>
      <c r="E267" s="45"/>
      <c r="J267" s="578"/>
    </row>
    <row r="268" spans="3:11">
      <c r="D268" s="75"/>
    </row>
    <row r="269" spans="3:11">
      <c r="D269" s="46">
        <f>D242</f>
        <v>0</v>
      </c>
      <c r="E269" s="46">
        <f>D269</f>
        <v>0</v>
      </c>
      <c r="F269" s="46">
        <f>E269</f>
        <v>0</v>
      </c>
      <c r="G269" s="693"/>
      <c r="J269" s="532"/>
      <c r="K269" s="59"/>
    </row>
    <row r="270" spans="3:11">
      <c r="D270" s="46">
        <f t="shared" ref="D270:F271" si="24">D245</f>
        <v>5.9790732436472345</v>
      </c>
      <c r="E270" s="46">
        <f t="shared" si="24"/>
        <v>7.9720976581963141</v>
      </c>
      <c r="F270" s="46">
        <f t="shared" si="24"/>
        <v>11.958146487294469</v>
      </c>
      <c r="G270" s="693" t="s">
        <v>98</v>
      </c>
      <c r="K270" s="59"/>
    </row>
    <row r="271" spans="3:11">
      <c r="D271" s="46">
        <f t="shared" si="24"/>
        <v>4.4444444444444438</v>
      </c>
      <c r="E271" s="46">
        <f t="shared" si="24"/>
        <v>4.4444444444444438</v>
      </c>
      <c r="F271" s="46">
        <f t="shared" si="24"/>
        <v>4.4444444444444438</v>
      </c>
      <c r="G271" s="693" t="str">
        <f>G246</f>
        <v>3rd term is the days required to do all activities (for one person)</v>
      </c>
      <c r="K271" s="59"/>
    </row>
    <row r="272" spans="3:11">
      <c r="D272" s="46"/>
      <c r="E272" s="46"/>
      <c r="F272" s="46"/>
      <c r="G272" s="693"/>
      <c r="K272" s="59"/>
    </row>
    <row r="273" spans="3:11">
      <c r="D273" s="46">
        <f>SUM(D269:D271)</f>
        <v>10.423517688091678</v>
      </c>
      <c r="E273" s="46">
        <f>SUM(E269:E271)</f>
        <v>12.416542102640758</v>
      </c>
      <c r="F273" s="46">
        <f>SUM(F269:F271)</f>
        <v>16.402590931738914</v>
      </c>
      <c r="G273" s="693" t="s">
        <v>135</v>
      </c>
      <c r="J273" s="90"/>
    </row>
    <row r="274" spans="3:11">
      <c r="D274" s="46"/>
      <c r="E274" s="59"/>
      <c r="J274" s="90"/>
    </row>
    <row r="275" spans="3:11">
      <c r="D275" s="63"/>
      <c r="E275" s="63"/>
      <c r="F275" s="63"/>
      <c r="G275" s="99"/>
      <c r="J275" s="259"/>
      <c r="K275" s="16"/>
    </row>
    <row r="276" spans="3:11">
      <c r="D276" s="63">
        <f>$D263*D270</f>
        <v>1704.0358744394618</v>
      </c>
      <c r="E276" s="63">
        <f>$D263*E270</f>
        <v>2272.0478325859494</v>
      </c>
      <c r="F276" s="63">
        <f>$D263*F270</f>
        <v>3408.0717488789237</v>
      </c>
      <c r="G276" s="99" t="s">
        <v>52</v>
      </c>
      <c r="J276" s="259"/>
      <c r="K276" s="16"/>
    </row>
    <row r="277" spans="3:11">
      <c r="D277" s="63">
        <f>$D263*D271</f>
        <v>1266.6666666666665</v>
      </c>
      <c r="E277" s="63">
        <f>$D263*E271</f>
        <v>1266.6666666666665</v>
      </c>
      <c r="F277" s="63">
        <f>$D263*F271</f>
        <v>1266.6666666666665</v>
      </c>
      <c r="G277" s="99" t="s">
        <v>52</v>
      </c>
      <c r="J277" s="259"/>
      <c r="K277" s="16"/>
    </row>
    <row r="278" spans="3:11">
      <c r="D278" s="68">
        <f>SUM(D275:D277)</f>
        <v>2970.7025411061286</v>
      </c>
      <c r="E278" s="906">
        <f>SUM(E275:E277)</f>
        <v>3538.714499252616</v>
      </c>
      <c r="F278" s="906">
        <f>SUM(F275:F277)</f>
        <v>4674.7384155455902</v>
      </c>
      <c r="G278" s="1101" t="s">
        <v>53</v>
      </c>
      <c r="J278" s="65"/>
      <c r="K278" s="24"/>
    </row>
    <row r="279" spans="3:11">
      <c r="D279" s="432"/>
      <c r="J279" s="65"/>
      <c r="K279" s="24"/>
    </row>
    <row r="280" spans="3:11">
      <c r="D280" s="46">
        <f>D273</f>
        <v>10.423517688091678</v>
      </c>
      <c r="E280" s="46">
        <f>E273</f>
        <v>12.416542102640758</v>
      </c>
      <c r="F280" s="46">
        <f>F273</f>
        <v>16.402590931738914</v>
      </c>
      <c r="G280" s="359" t="s">
        <v>795</v>
      </c>
      <c r="J280" s="65"/>
      <c r="K280" s="24"/>
    </row>
    <row r="281" spans="3:11">
      <c r="D281" s="75">
        <f>ROUNDUP((D273/21),0)</f>
        <v>1</v>
      </c>
      <c r="E281" s="75">
        <f>ROUNDUP((E273/21),0)</f>
        <v>1</v>
      </c>
      <c r="F281" s="75">
        <f>ROUNDUP((F273/21),0)</f>
        <v>1</v>
      </c>
      <c r="G281" s="99" t="s">
        <v>739</v>
      </c>
      <c r="J281" s="65"/>
      <c r="K281" s="24"/>
    </row>
    <row r="282" spans="3:11">
      <c r="D282" s="432"/>
      <c r="J282" s="65"/>
      <c r="K282" s="24"/>
    </row>
    <row r="283" spans="3:11">
      <c r="D283" s="65"/>
      <c r="E283" s="24"/>
      <c r="J283" s="65"/>
      <c r="K283" s="24"/>
    </row>
    <row r="284" spans="3:11">
      <c r="C284" t="s">
        <v>70</v>
      </c>
      <c r="D284" s="58"/>
      <c r="E284" s="59" t="s">
        <v>156</v>
      </c>
      <c r="J284" s="65"/>
      <c r="K284" s="24"/>
    </row>
    <row r="285" spans="3:11">
      <c r="D285" s="160" t="s">
        <v>238</v>
      </c>
      <c r="E285" s="59"/>
      <c r="J285" s="65"/>
      <c r="K285" s="24"/>
    </row>
    <row r="286" spans="3:11">
      <c r="D286" s="58"/>
      <c r="E286" s="59"/>
      <c r="J286" s="65"/>
      <c r="K286" s="24"/>
    </row>
    <row r="287" spans="3:11">
      <c r="D287" s="25">
        <f>D247</f>
        <v>10.423517688091678</v>
      </c>
      <c r="E287" s="25">
        <f>E247</f>
        <v>12.416542102640758</v>
      </c>
      <c r="F287" s="25">
        <f>F247</f>
        <v>16.402590931738914</v>
      </c>
      <c r="G287" s="99" t="s">
        <v>157</v>
      </c>
      <c r="J287" s="65"/>
      <c r="K287" s="24"/>
    </row>
    <row r="288" spans="3:11">
      <c r="D288" s="61">
        <f>FLOOR(D287,1)</f>
        <v>10</v>
      </c>
      <c r="E288" s="61">
        <f>FLOOR(E287,1)</f>
        <v>12</v>
      </c>
      <c r="F288" s="61">
        <f>FLOOR(F287,1)</f>
        <v>16</v>
      </c>
      <c r="G288" s="99" t="s">
        <v>73</v>
      </c>
      <c r="J288" s="65"/>
      <c r="K288" s="24"/>
    </row>
    <row r="289" spans="4:12">
      <c r="D289" s="65"/>
      <c r="G289" s="1102"/>
      <c r="J289" s="65"/>
      <c r="K289" s="24"/>
    </row>
    <row r="290" spans="4:12">
      <c r="D290" s="65">
        <f>D288*$D226</f>
        <v>20</v>
      </c>
      <c r="E290" s="65">
        <f>E288*$D226</f>
        <v>24</v>
      </c>
      <c r="F290" s="65">
        <f>F288*$D226</f>
        <v>32</v>
      </c>
      <c r="G290" s="1102" t="s">
        <v>88</v>
      </c>
      <c r="J290" s="65"/>
      <c r="K290" s="24"/>
    </row>
    <row r="291" spans="4:12">
      <c r="D291" s="102">
        <f>D290*$D237</f>
        <v>4200</v>
      </c>
      <c r="E291" s="907">
        <f>E290*$D237</f>
        <v>5040</v>
      </c>
      <c r="F291" s="907">
        <f>F290*$D237</f>
        <v>6720</v>
      </c>
      <c r="G291" s="1101" t="s">
        <v>74</v>
      </c>
      <c r="J291" s="259"/>
      <c r="K291" s="16"/>
    </row>
    <row r="292" spans="4:12">
      <c r="D292" s="275"/>
      <c r="E292" s="275"/>
      <c r="F292" s="275"/>
      <c r="G292" s="1084"/>
      <c r="J292" s="259"/>
      <c r="K292" s="16"/>
    </row>
    <row r="293" spans="4:12">
      <c r="D293" s="825"/>
      <c r="E293" s="825"/>
      <c r="H293" s="1" t="s">
        <v>788</v>
      </c>
      <c r="I293" s="1" t="s">
        <v>779</v>
      </c>
      <c r="J293" s="1" t="s">
        <v>789</v>
      </c>
    </row>
    <row r="294" spans="4:12">
      <c r="D294" s="617" t="s">
        <v>172</v>
      </c>
      <c r="E294" s="618" t="s">
        <v>155</v>
      </c>
      <c r="F294" s="618" t="s">
        <v>173</v>
      </c>
      <c r="G294" s="1103" t="s">
        <v>174</v>
      </c>
      <c r="H294" s="618" t="s">
        <v>166</v>
      </c>
      <c r="I294" s="618" t="s">
        <v>166</v>
      </c>
      <c r="J294" s="618" t="s">
        <v>166</v>
      </c>
      <c r="K294" s="619" t="s">
        <v>69</v>
      </c>
    </row>
    <row r="295" spans="4:12">
      <c r="D295" s="404" t="s">
        <v>3</v>
      </c>
      <c r="E295" s="90">
        <f>D249</f>
        <v>20.847035376183356</v>
      </c>
      <c r="F295" s="531">
        <f>D200</f>
        <v>100</v>
      </c>
      <c r="H295" s="432">
        <f>D253</f>
        <v>4690.582959641255</v>
      </c>
      <c r="I295" s="432">
        <f>E253</f>
        <v>5587.4439461883412</v>
      </c>
      <c r="J295" s="432">
        <f>F253</f>
        <v>7381.1659192825109</v>
      </c>
      <c r="K295" s="830" t="str">
        <f>G253</f>
        <v>Cost for labour</v>
      </c>
      <c r="L295" s="558">
        <f>D201</f>
        <v>5</v>
      </c>
    </row>
    <row r="296" spans="4:12">
      <c r="D296" s="404" t="s">
        <v>490</v>
      </c>
      <c r="E296" s="90">
        <f>D273</f>
        <v>10.423517688091678</v>
      </c>
      <c r="F296" s="531">
        <f>F297</f>
        <v>100</v>
      </c>
      <c r="G296" s="1104">
        <f>D264</f>
        <v>0</v>
      </c>
      <c r="H296" s="432">
        <f>D278</f>
        <v>2970.7025411061286</v>
      </c>
      <c r="I296" s="432">
        <f>E278</f>
        <v>3538.714499252616</v>
      </c>
      <c r="J296" s="432">
        <f>F278</f>
        <v>4674.7384155455902</v>
      </c>
      <c r="K296" s="830" t="str">
        <f>G278</f>
        <v>Cost for ute hire for the whole activity</v>
      </c>
      <c r="L296" s="558">
        <f>L295</f>
        <v>5</v>
      </c>
    </row>
    <row r="297" spans="4:12">
      <c r="D297" s="404" t="s">
        <v>169</v>
      </c>
      <c r="E297" s="90">
        <f>D290</f>
        <v>20</v>
      </c>
      <c r="F297" s="531">
        <f>F295</f>
        <v>100</v>
      </c>
      <c r="H297" s="432">
        <f>D291</f>
        <v>4200</v>
      </c>
      <c r="I297" s="432">
        <f>E291</f>
        <v>5040</v>
      </c>
      <c r="J297" s="432">
        <f>F291</f>
        <v>6720</v>
      </c>
      <c r="K297" s="830" t="str">
        <f>G291</f>
        <v>Accomodation + Food Cost</v>
      </c>
      <c r="L297" s="558">
        <f>L296</f>
        <v>5</v>
      </c>
    </row>
    <row r="298" spans="4:12">
      <c r="D298" s="404"/>
      <c r="E298" s="90"/>
      <c r="F298" s="531"/>
      <c r="H298" s="432"/>
      <c r="I298" s="259"/>
      <c r="J298" s="259"/>
      <c r="K298" s="830"/>
      <c r="L298" s="558"/>
    </row>
    <row r="299" spans="4:12">
      <c r="D299" s="404"/>
      <c r="E299" s="90"/>
      <c r="F299" s="531"/>
      <c r="H299" s="432"/>
      <c r="I299" s="259"/>
      <c r="J299" s="259"/>
      <c r="K299" s="830"/>
    </row>
    <row r="300" spans="4:12">
      <c r="D300" s="405"/>
      <c r="E300" s="439"/>
      <c r="F300" s="439"/>
      <c r="G300" s="1098"/>
      <c r="H300" s="622">
        <f>SUM(H295:H299)</f>
        <v>11861.285500747385</v>
      </c>
      <c r="I300" s="622">
        <f>SUM(I295:I299)</f>
        <v>14166.158445440957</v>
      </c>
      <c r="J300" s="622">
        <f>SUM(J295:J299)</f>
        <v>18775.904334828101</v>
      </c>
      <c r="K300" s="623" t="s">
        <v>165</v>
      </c>
    </row>
    <row r="301" spans="4:12">
      <c r="D301"/>
      <c r="E301"/>
      <c r="F301" s="432"/>
      <c r="G301" s="1099"/>
    </row>
    <row r="302" spans="4:12">
      <c r="D302" s="25"/>
    </row>
    <row r="303" spans="4:12" s="7" customFormat="1">
      <c r="D303" s="134"/>
      <c r="E303" s="134"/>
      <c r="G303" s="1089"/>
    </row>
    <row r="304" spans="4:12" s="7" customFormat="1">
      <c r="E304" s="36"/>
      <c r="G304" s="1089"/>
    </row>
    <row r="305" spans="3:11" s="9" customFormat="1">
      <c r="C305" s="120" t="s">
        <v>223</v>
      </c>
      <c r="D305" s="2684" t="s">
        <v>2025</v>
      </c>
      <c r="E305" s="34"/>
      <c r="G305" s="572"/>
    </row>
    <row r="306" spans="3:11" s="9" customFormat="1">
      <c r="E306" s="34"/>
      <c r="G306" s="572"/>
    </row>
    <row r="307" spans="3:11" s="9" customFormat="1">
      <c r="C307" s="120"/>
      <c r="D307" s="34" t="s">
        <v>1054</v>
      </c>
      <c r="E307" s="34"/>
      <c r="G307" s="572"/>
    </row>
    <row r="308" spans="3:11" s="9" customFormat="1">
      <c r="D308" s="1598" t="s">
        <v>1285</v>
      </c>
      <c r="E308" s="970"/>
      <c r="G308" s="572"/>
    </row>
    <row r="309" spans="3:11" s="9" customFormat="1">
      <c r="D309" s="332" t="s">
        <v>91</v>
      </c>
      <c r="E309" s="43"/>
      <c r="F309" s="24"/>
      <c r="G309" s="359"/>
      <c r="I309" s="10"/>
      <c r="J309" s="10"/>
      <c r="K309" s="122"/>
    </row>
    <row r="310" spans="3:11" s="9" customFormat="1">
      <c r="D310" s="135"/>
      <c r="E310" s="246"/>
      <c r="F310"/>
      <c r="G310" s="359"/>
      <c r="I310" s="280"/>
      <c r="J310" s="2595"/>
      <c r="K310" s="122"/>
    </row>
    <row r="311" spans="3:11" s="9" customFormat="1">
      <c r="D311" s="398">
        <v>12</v>
      </c>
      <c r="E311" s="131" t="str">
        <f>'Overall Assumptions'!$D$115</f>
        <v>weeks</v>
      </c>
      <c r="F311"/>
      <c r="G311" s="359"/>
      <c r="I311" s="280"/>
      <c r="J311" s="2595"/>
      <c r="K311" s="122"/>
    </row>
    <row r="312" spans="3:11" s="9" customFormat="1">
      <c r="C312" s="105"/>
      <c r="D312" s="332">
        <f>D311*5</f>
        <v>60</v>
      </c>
      <c r="E312" s="131" t="str">
        <f>'Overall Assumptions'!$D$116</f>
        <v>days</v>
      </c>
      <c r="F312"/>
      <c r="G312" s="359"/>
      <c r="I312" s="147"/>
      <c r="J312" s="2595"/>
      <c r="K312" s="122"/>
    </row>
    <row r="313" spans="3:11" s="9" customFormat="1">
      <c r="C313" s="105"/>
      <c r="D313" s="332"/>
      <c r="E313" s="43"/>
      <c r="F313"/>
      <c r="G313" s="359"/>
      <c r="I313" s="280"/>
      <c r="J313" s="2595"/>
      <c r="K313" s="122"/>
    </row>
    <row r="314" spans="3:11" s="9" customFormat="1">
      <c r="C314" s="105"/>
      <c r="D314" s="398">
        <v>5</v>
      </c>
      <c r="E314" s="43" t="s">
        <v>263</v>
      </c>
      <c r="F314"/>
      <c r="G314" s="359"/>
      <c r="I314" s="280"/>
      <c r="J314" s="2595"/>
      <c r="K314" s="122"/>
    </row>
    <row r="315" spans="3:11" s="9" customFormat="1">
      <c r="C315" s="105"/>
      <c r="G315" s="359"/>
      <c r="I315" s="280"/>
      <c r="J315" s="2595"/>
      <c r="K315" s="122"/>
    </row>
    <row r="316" spans="3:11" s="9" customFormat="1">
      <c r="C316" s="105"/>
      <c r="D316" s="2487"/>
      <c r="G316" s="359"/>
      <c r="I316" s="280"/>
      <c r="J316" s="2595"/>
      <c r="K316" s="122"/>
    </row>
    <row r="317" spans="3:11" s="9" customFormat="1">
      <c r="C317" s="105"/>
      <c r="G317" s="359" t="s">
        <v>155</v>
      </c>
      <c r="H317" s="9" t="s">
        <v>135</v>
      </c>
      <c r="I317" s="280"/>
      <c r="J317" s="2595"/>
      <c r="K317" s="122"/>
    </row>
    <row r="318" spans="3:11" s="9" customFormat="1">
      <c r="C318" s="105"/>
      <c r="D318" s="398">
        <v>3</v>
      </c>
      <c r="E318" s="43" t="s">
        <v>1223</v>
      </c>
      <c r="F318"/>
      <c r="G318" s="359">
        <f>D318*D$312</f>
        <v>180</v>
      </c>
      <c r="H318" s="9">
        <f>SUM(G318:G319)</f>
        <v>240</v>
      </c>
      <c r="I318" s="280"/>
      <c r="J318" s="2595"/>
      <c r="K318" s="122"/>
    </row>
    <row r="319" spans="3:11" s="9" customFormat="1">
      <c r="D319" s="398">
        <v>1</v>
      </c>
      <c r="E319" s="43" t="s">
        <v>1928</v>
      </c>
      <c r="F319"/>
      <c r="G319" s="359">
        <f>D319*D$312</f>
        <v>60</v>
      </c>
      <c r="I319" s="280"/>
      <c r="J319" s="2595"/>
      <c r="K319" s="122"/>
    </row>
    <row r="320" spans="3:11" s="9" customFormat="1">
      <c r="D320" s="332"/>
      <c r="E320" s="43"/>
      <c r="F320"/>
      <c r="G320" s="359"/>
      <c r="I320" s="280"/>
      <c r="J320" s="2595"/>
      <c r="K320" s="122"/>
    </row>
    <row r="321" spans="4:11" s="9" customFormat="1">
      <c r="D321" s="332" t="str">
        <f>'Overall Assumptions'!$D$76</f>
        <v>Daily rate (AUD) for labour assuming 7.5 hours/day</v>
      </c>
      <c r="E321" s="246"/>
      <c r="F321"/>
      <c r="I321" s="280"/>
      <c r="J321" s="2595"/>
      <c r="K321" s="122"/>
    </row>
    <row r="322" spans="4:11" s="9" customFormat="1">
      <c r="D322" s="614">
        <f>'Overall Assumptions'!$C$68</f>
        <v>225</v>
      </c>
      <c r="E322" s="246" t="str">
        <f>'Overall Assumptions'!$B$67</f>
        <v>Labour 1- APS Low (Entry lvl)</v>
      </c>
      <c r="F322"/>
      <c r="G322" s="359"/>
      <c r="I322" s="280"/>
      <c r="J322" s="2595"/>
      <c r="K322" s="122"/>
    </row>
    <row r="323" spans="4:11" s="9" customFormat="1">
      <c r="D323" s="1484">
        <f>'Overall Assumptions'!$C$72</f>
        <v>337.5</v>
      </c>
      <c r="E323" s="530" t="str">
        <f>'Overall Assumptions'!$B$71</f>
        <v>Labour 2 - APS High (Experienced)</v>
      </c>
      <c r="F323"/>
      <c r="G323" s="359"/>
      <c r="I323" s="280"/>
      <c r="J323" s="2595"/>
      <c r="K323" s="122"/>
    </row>
    <row r="324" spans="4:11" s="9" customFormat="1">
      <c r="D324" s="1485">
        <f>'Overall Assumptions'!$C$76</f>
        <v>487.5</v>
      </c>
      <c r="E324" s="45" t="str">
        <f>'Overall Assumptions'!$B$75</f>
        <v>Labour 3 - EL (Management)</v>
      </c>
      <c r="F324"/>
      <c r="G324" s="359"/>
      <c r="I324" s="280"/>
      <c r="J324" s="2595"/>
      <c r="K324" s="122"/>
    </row>
    <row r="325" spans="4:11" s="9" customFormat="1">
      <c r="D325" s="33"/>
      <c r="E325" s="16"/>
      <c r="F325"/>
      <c r="G325" s="359"/>
      <c r="I325" s="122"/>
      <c r="J325" s="122"/>
      <c r="K325" s="122"/>
    </row>
    <row r="326" spans="4:11" s="9" customFormat="1">
      <c r="D326" s="33"/>
      <c r="F326"/>
      <c r="G326" s="359"/>
    </row>
    <row r="327" spans="4:11" s="9" customFormat="1">
      <c r="D327" s="33">
        <f>D318*D323*D312</f>
        <v>60750</v>
      </c>
      <c r="E327" s="16" t="str">
        <f>E323</f>
        <v>Labour 2 - APS High (Experienced)</v>
      </c>
      <c r="F327"/>
      <c r="G327" s="359"/>
    </row>
    <row r="328" spans="4:11" s="9" customFormat="1">
      <c r="D328" s="33">
        <f>D319*D324*D312</f>
        <v>29250</v>
      </c>
      <c r="E328" s="16" t="str">
        <f>E324</f>
        <v>Labour 3 - EL (Management)</v>
      </c>
      <c r="F328"/>
      <c r="G328" s="359"/>
    </row>
    <row r="329" spans="4:11" s="9" customFormat="1">
      <c r="D329" s="33"/>
      <c r="E329" s="16"/>
      <c r="F329"/>
      <c r="G329" s="359"/>
    </row>
    <row r="330" spans="4:11" s="9" customFormat="1">
      <c r="D330" s="33"/>
      <c r="E330" s="16"/>
      <c r="F330"/>
      <c r="G330" s="359"/>
    </row>
    <row r="331" spans="4:11" s="9" customFormat="1">
      <c r="D331" s="2488">
        <f>SUM(D327:D328)</f>
        <v>90000</v>
      </c>
      <c r="E331" s="273" t="s">
        <v>2323</v>
      </c>
      <c r="F331" s="274"/>
      <c r="G331" s="359"/>
    </row>
    <row r="332" spans="4:11" s="9" customFormat="1">
      <c r="D332" s="33"/>
      <c r="E332" s="16"/>
      <c r="F332"/>
      <c r="G332" s="359"/>
    </row>
    <row r="333" spans="4:11" s="9" customFormat="1">
      <c r="D333" s="175"/>
      <c r="E333" s="164" t="s">
        <v>155</v>
      </c>
      <c r="F333" s="255" t="s">
        <v>166</v>
      </c>
      <c r="G333" s="1090" t="s">
        <v>69</v>
      </c>
      <c r="H333" s="108" t="s">
        <v>1881</v>
      </c>
    </row>
    <row r="334" spans="4:11" s="9" customFormat="1">
      <c r="D334" s="405" t="s">
        <v>3</v>
      </c>
      <c r="E334" s="509">
        <f>H318</f>
        <v>240</v>
      </c>
      <c r="F334" s="321">
        <f>D331</f>
        <v>90000</v>
      </c>
      <c r="G334" s="1091" t="s">
        <v>1929</v>
      </c>
      <c r="H334" s="323">
        <f>D314</f>
        <v>5</v>
      </c>
    </row>
    <row r="335" spans="4:11" s="9" customFormat="1">
      <c r="D335" s="105"/>
      <c r="E335" s="34"/>
      <c r="G335" s="572"/>
    </row>
    <row r="336" spans="4:11" s="351" customFormat="1">
      <c r="D336" s="352"/>
      <c r="E336" s="353"/>
      <c r="G336" s="1122"/>
    </row>
    <row r="337" spans="3:8" s="7" customFormat="1">
      <c r="E337" s="36"/>
      <c r="G337" s="1089"/>
    </row>
    <row r="338" spans="3:8" s="9" customFormat="1">
      <c r="C338" s="120" t="s">
        <v>1229</v>
      </c>
      <c r="D338" s="34" t="s">
        <v>1227</v>
      </c>
      <c r="E338" s="34"/>
      <c r="G338" s="572"/>
    </row>
    <row r="339" spans="3:8" s="9" customFormat="1">
      <c r="C339" s="120" t="s">
        <v>2034</v>
      </c>
      <c r="D339" s="34" t="s">
        <v>1054</v>
      </c>
      <c r="E339" s="34"/>
      <c r="G339" s="572"/>
    </row>
    <row r="340" spans="3:8" s="9" customFormat="1">
      <c r="D340" s="1598" t="s">
        <v>1285</v>
      </c>
      <c r="E340" s="970"/>
      <c r="G340" s="572"/>
    </row>
    <row r="341" spans="3:8" s="9" customFormat="1">
      <c r="D341" s="332" t="s">
        <v>91</v>
      </c>
      <c r="E341" s="43"/>
      <c r="F341" s="24"/>
      <c r="G341" s="359"/>
    </row>
    <row r="342" spans="3:8" s="9" customFormat="1">
      <c r="D342" s="135"/>
      <c r="E342" s="246"/>
      <c r="F342"/>
      <c r="G342" s="359"/>
    </row>
    <row r="343" spans="3:8" s="9" customFormat="1">
      <c r="D343" s="398">
        <f>'Overall Assumptions'!$C$149</f>
        <v>48</v>
      </c>
      <c r="E343" s="131" t="str">
        <f>'Overall Assumptions'!$D$115</f>
        <v>weeks</v>
      </c>
      <c r="F343"/>
      <c r="G343" s="359"/>
    </row>
    <row r="344" spans="3:8" s="9" customFormat="1">
      <c r="C344" s="105"/>
      <c r="D344" s="332">
        <f>D343*5</f>
        <v>240</v>
      </c>
      <c r="E344" s="131" t="str">
        <f>'Overall Assumptions'!$D$116</f>
        <v>days</v>
      </c>
      <c r="F344"/>
      <c r="G344" s="359"/>
    </row>
    <row r="345" spans="3:8" s="9" customFormat="1">
      <c r="C345" s="105"/>
      <c r="D345" s="332"/>
      <c r="E345" s="43"/>
      <c r="F345"/>
      <c r="G345" s="359"/>
    </row>
    <row r="346" spans="3:8" s="9" customFormat="1">
      <c r="C346" s="105"/>
      <c r="D346" s="398">
        <v>1</v>
      </c>
      <c r="E346" s="43" t="s">
        <v>263</v>
      </c>
      <c r="F346"/>
      <c r="G346" s="359" t="s">
        <v>138</v>
      </c>
      <c r="H346" s="9" t="s">
        <v>135</v>
      </c>
    </row>
    <row r="347" spans="3:8" s="9" customFormat="1">
      <c r="C347" s="105"/>
      <c r="D347" s="398">
        <f>'Overall Assumptions'!$C$150</f>
        <v>10</v>
      </c>
      <c r="E347" s="43" t="s">
        <v>1222</v>
      </c>
      <c r="F347"/>
      <c r="G347" s="359">
        <f>D347*D$344</f>
        <v>2400</v>
      </c>
      <c r="H347" s="9">
        <f>SUM(G347:G348)</f>
        <v>2640</v>
      </c>
    </row>
    <row r="348" spans="3:8" s="9" customFormat="1">
      <c r="C348" s="105"/>
      <c r="D348" s="398">
        <f>'Overall Assumptions'!$C$151</f>
        <v>1</v>
      </c>
      <c r="E348" s="43" t="s">
        <v>1225</v>
      </c>
      <c r="F348"/>
      <c r="G348" s="359">
        <f>D348*D$344</f>
        <v>240</v>
      </c>
    </row>
    <row r="349" spans="3:8" s="9" customFormat="1">
      <c r="C349" s="105"/>
      <c r="D349" s="332"/>
      <c r="E349" s="43"/>
      <c r="F349"/>
      <c r="G349" s="359"/>
    </row>
    <row r="350" spans="3:8" s="9" customFormat="1">
      <c r="C350" s="105"/>
      <c r="D350" s="332" t="str">
        <f>'Overall Assumptions'!$D$76</f>
        <v>Daily rate (AUD) for labour assuming 7.5 hours/day</v>
      </c>
      <c r="E350" s="246"/>
      <c r="F350"/>
      <c r="G350" s="359"/>
    </row>
    <row r="351" spans="3:8" s="9" customFormat="1">
      <c r="D351" s="614">
        <f>'Overall Assumptions'!$C$68</f>
        <v>225</v>
      </c>
      <c r="E351" s="246" t="str">
        <f>'Overall Assumptions'!$B$67</f>
        <v>Labour 1- APS Low (Entry lvl)</v>
      </c>
      <c r="F351"/>
      <c r="G351" s="359"/>
    </row>
    <row r="352" spans="3:8" s="9" customFormat="1">
      <c r="D352" s="1484">
        <f>'Overall Assumptions'!$C$72</f>
        <v>337.5</v>
      </c>
      <c r="E352" s="530" t="str">
        <f>'Overall Assumptions'!$B$71</f>
        <v>Labour 2 - APS High (Experienced)</v>
      </c>
      <c r="F352"/>
      <c r="G352" s="359"/>
    </row>
    <row r="353" spans="3:11" s="9" customFormat="1">
      <c r="D353" s="1485">
        <f>'Overall Assumptions'!$C$76</f>
        <v>487.5</v>
      </c>
      <c r="E353" s="45" t="str">
        <f>'Overall Assumptions'!$B$75</f>
        <v>Labour 3 - EL (Management)</v>
      </c>
      <c r="F353"/>
      <c r="G353" s="359"/>
    </row>
    <row r="354" spans="3:11" s="9" customFormat="1">
      <c r="D354" s="33"/>
      <c r="E354" s="16"/>
      <c r="F354"/>
      <c r="G354" s="359"/>
    </row>
    <row r="355" spans="3:11" s="9" customFormat="1">
      <c r="D355" s="531"/>
      <c r="E355" s="33"/>
      <c r="F355"/>
      <c r="G355" s="359"/>
    </row>
    <row r="356" spans="3:11" s="9" customFormat="1">
      <c r="D356" s="912"/>
      <c r="E356" s="16"/>
      <c r="F356"/>
      <c r="G356" s="359"/>
    </row>
    <row r="357" spans="3:11" s="9" customFormat="1">
      <c r="D357" s="33"/>
      <c r="E357" s="16"/>
      <c r="F357"/>
      <c r="G357" s="359"/>
    </row>
    <row r="358" spans="3:11" s="9" customFormat="1">
      <c r="D358" s="33"/>
      <c r="E358" s="16"/>
      <c r="F358"/>
      <c r="G358" s="359"/>
    </row>
    <row r="359" spans="3:11" s="9" customFormat="1">
      <c r="D359" s="175"/>
      <c r="E359" s="164" t="s">
        <v>155</v>
      </c>
      <c r="F359" s="255" t="s">
        <v>166</v>
      </c>
      <c r="G359" s="1090" t="s">
        <v>69</v>
      </c>
      <c r="H359" s="108"/>
    </row>
    <row r="360" spans="3:11" s="9" customFormat="1">
      <c r="D360" s="405" t="s">
        <v>3</v>
      </c>
      <c r="E360" s="509">
        <f>H347</f>
        <v>2640</v>
      </c>
      <c r="F360" s="321">
        <f>D344*D352*D347+D344*D348*D353</f>
        <v>927000</v>
      </c>
      <c r="G360" s="1091" t="s">
        <v>1230</v>
      </c>
      <c r="H360" s="323"/>
    </row>
    <row r="361" spans="3:11" s="9" customFormat="1">
      <c r="D361" s="105"/>
      <c r="E361" s="34"/>
      <c r="G361" s="572"/>
    </row>
    <row r="362" spans="3:11" s="7" customFormat="1">
      <c r="D362" s="69"/>
      <c r="E362" s="36"/>
      <c r="G362" s="1089"/>
    </row>
    <row r="363" spans="3:11" s="9" customFormat="1">
      <c r="E363" s="34"/>
      <c r="F363" s="34"/>
      <c r="G363" s="572"/>
    </row>
    <row r="364" spans="3:11" s="9" customFormat="1">
      <c r="C364" s="121" t="s">
        <v>2033</v>
      </c>
      <c r="D364" s="1599" t="s">
        <v>2023</v>
      </c>
      <c r="E364" s="34"/>
      <c r="G364" s="572"/>
    </row>
    <row r="365" spans="3:11" s="79" customFormat="1">
      <c r="D365" s="1599"/>
      <c r="E365" s="76"/>
      <c r="G365" s="1119"/>
    </row>
    <row r="366" spans="3:11" s="79" customFormat="1">
      <c r="C366" s="233"/>
      <c r="D366" s="475"/>
      <c r="E366" s="76"/>
      <c r="G366" s="1119"/>
      <c r="H366" s="129"/>
      <c r="J366" s="65"/>
      <c r="K366" s="66"/>
    </row>
    <row r="367" spans="3:11" s="79" customFormat="1">
      <c r="D367" s="65"/>
      <c r="E367" s="66"/>
      <c r="G367" s="1119"/>
      <c r="J367" s="65"/>
      <c r="K367" s="66"/>
    </row>
    <row r="368" spans="3:11" s="79" customFormat="1">
      <c r="D368" s="330">
        <v>1</v>
      </c>
      <c r="E368" s="66" t="s">
        <v>263</v>
      </c>
      <c r="G368" s="1120"/>
      <c r="H368" s="324"/>
      <c r="I368" s="325"/>
    </row>
    <row r="369" spans="3:12" s="79" customFormat="1">
      <c r="C369" s="9"/>
      <c r="D369" s="290"/>
      <c r="E369" s="124"/>
      <c r="F369" s="147"/>
      <c r="G369" s="1121"/>
      <c r="H369" s="288"/>
      <c r="I369" s="288"/>
      <c r="J369" s="289"/>
      <c r="K369" s="216"/>
    </row>
    <row r="370" spans="3:12" s="79" customFormat="1" ht="19">
      <c r="C370" t="s">
        <v>50</v>
      </c>
      <c r="D370" s="37" t="s">
        <v>81</v>
      </c>
      <c r="E370" s="24"/>
      <c r="F370" s="1"/>
      <c r="G370" s="1100"/>
      <c r="H370" s="286"/>
      <c r="I370" s="286"/>
      <c r="J370" s="289"/>
      <c r="K370" s="216"/>
    </row>
    <row r="371" spans="3:12" s="79" customFormat="1">
      <c r="C371"/>
      <c r="D371" s="24" t="s">
        <v>250</v>
      </c>
      <c r="E371" s="16"/>
      <c r="F371" s="1"/>
      <c r="G371" s="1100"/>
      <c r="J371" s="248"/>
      <c r="K371" s="248"/>
      <c r="L371" s="122"/>
    </row>
    <row r="372" spans="3:12" s="79" customFormat="1">
      <c r="C372"/>
      <c r="D372" s="160" t="s">
        <v>294</v>
      </c>
      <c r="E372" s="16"/>
      <c r="F372"/>
      <c r="G372" s="359"/>
      <c r="J372" s="248"/>
      <c r="K372" s="288"/>
      <c r="L372" s="122"/>
    </row>
    <row r="373" spans="3:12" s="79" customFormat="1">
      <c r="C373"/>
      <c r="D373" s="50"/>
      <c r="E373" s="16"/>
      <c r="F373"/>
      <c r="G373" s="359"/>
      <c r="J373" s="286"/>
      <c r="K373" s="286"/>
      <c r="L373" s="122"/>
    </row>
    <row r="374" spans="3:12" s="79" customFormat="1">
      <c r="C374"/>
      <c r="D374" s="51" t="s">
        <v>82</v>
      </c>
      <c r="E374" s="39"/>
      <c r="F374"/>
      <c r="G374" s="359"/>
      <c r="H374" s="212"/>
      <c r="I374" s="212"/>
      <c r="J374" s="216"/>
      <c r="K374" s="216"/>
    </row>
    <row r="375" spans="3:12" s="79" customFormat="1" ht="19">
      <c r="C375"/>
      <c r="D375" s="52">
        <f>'Overall Assumptions'!$C$68</f>
        <v>225</v>
      </c>
      <c r="E375" s="53" t="s">
        <v>99</v>
      </c>
      <c r="F375"/>
      <c r="G375" s="359"/>
      <c r="J375" s="65"/>
      <c r="K375" s="66"/>
    </row>
    <row r="376" spans="3:12" s="79" customFormat="1" ht="19">
      <c r="C376"/>
      <c r="D376" s="54">
        <f>'Overall Assumptions'!$C$6</f>
        <v>100</v>
      </c>
      <c r="E376" s="355" t="s">
        <v>80</v>
      </c>
      <c r="F376"/>
      <c r="G376" s="359"/>
      <c r="I376" s="65"/>
      <c r="K376" s="66"/>
    </row>
    <row r="377" spans="3:12" s="79" customFormat="1" ht="19">
      <c r="C377"/>
      <c r="D377" s="54"/>
      <c r="E377" s="355"/>
      <c r="F377"/>
      <c r="G377" s="359"/>
      <c r="I377" s="65"/>
      <c r="K377" s="66"/>
    </row>
    <row r="378" spans="3:12" s="79" customFormat="1">
      <c r="C378"/>
      <c r="D378" s="302">
        <v>3</v>
      </c>
      <c r="E378" s="303" t="s">
        <v>61</v>
      </c>
      <c r="F378"/>
      <c r="G378" s="359"/>
      <c r="I378" s="65"/>
      <c r="K378" s="66"/>
    </row>
    <row r="379" spans="3:12" s="79" customFormat="1">
      <c r="C379"/>
      <c r="D379" s="304">
        <f>D378*5</f>
        <v>15</v>
      </c>
      <c r="E379" s="303" t="s">
        <v>138</v>
      </c>
      <c r="F379"/>
      <c r="G379" s="359"/>
      <c r="I379" s="65"/>
      <c r="K379" s="66"/>
    </row>
    <row r="380" spans="3:12" s="79" customFormat="1" ht="19">
      <c r="C380"/>
      <c r="D380" s="54"/>
      <c r="E380" s="355"/>
      <c r="F380"/>
      <c r="G380" s="359"/>
      <c r="I380" s="65"/>
      <c r="K380" s="66"/>
    </row>
    <row r="381" spans="3:12" s="79" customFormat="1" ht="19">
      <c r="C381"/>
      <c r="D381" s="54"/>
      <c r="E381" s="355"/>
      <c r="F381"/>
      <c r="G381" s="359"/>
      <c r="I381" s="357"/>
      <c r="K381" s="66"/>
    </row>
    <row r="382" spans="3:12" s="79" customFormat="1">
      <c r="C382"/>
      <c r="D382" s="354">
        <v>2</v>
      </c>
      <c r="E382" s="43" t="s">
        <v>1288</v>
      </c>
      <c r="F382"/>
      <c r="G382" s="359"/>
      <c r="H382" s="346"/>
      <c r="J382" s="65"/>
      <c r="K382" s="66"/>
    </row>
    <row r="383" spans="3:12" s="79" customFormat="1">
      <c r="C383"/>
      <c r="D383" s="295">
        <f>D379</f>
        <v>15</v>
      </c>
      <c r="E383" s="43" t="s">
        <v>292</v>
      </c>
      <c r="F383"/>
      <c r="G383" s="359"/>
      <c r="H383" s="346"/>
      <c r="J383" s="65"/>
      <c r="K383" s="66"/>
    </row>
    <row r="384" spans="3:12" s="79" customFormat="1">
      <c r="C384"/>
      <c r="D384" s="54">
        <f>'Overall Assumptions'!$C$10</f>
        <v>0</v>
      </c>
      <c r="E384" s="43" t="s">
        <v>85</v>
      </c>
      <c r="F384"/>
      <c r="G384" s="359"/>
      <c r="I384" s="122"/>
      <c r="J384" s="65"/>
      <c r="K384" s="66"/>
    </row>
    <row r="385" spans="3:11" s="79" customFormat="1">
      <c r="C385"/>
      <c r="D385" s="54">
        <f>'Overall Assumptions'!$C$90</f>
        <v>80</v>
      </c>
      <c r="E385" s="43" t="s">
        <v>86</v>
      </c>
      <c r="F385"/>
      <c r="G385" s="359"/>
      <c r="J385" s="65"/>
      <c r="K385" s="66"/>
    </row>
    <row r="386" spans="3:11" s="79" customFormat="1">
      <c r="C386"/>
      <c r="D386" s="56">
        <f>'Overall Assumptions'!$C$81</f>
        <v>210</v>
      </c>
      <c r="E386" s="45" t="s">
        <v>87</v>
      </c>
      <c r="F386"/>
      <c r="G386" s="359"/>
      <c r="J386" s="65"/>
      <c r="K386" s="66"/>
    </row>
    <row r="387" spans="3:11" s="79" customFormat="1">
      <c r="C387"/>
      <c r="D387" s="57"/>
      <c r="E387" s="16"/>
      <c r="F387"/>
      <c r="G387" s="359"/>
      <c r="J387" s="65"/>
      <c r="K387" s="66"/>
    </row>
    <row r="388" spans="3:11" s="79" customFormat="1">
      <c r="C388" s="21"/>
      <c r="D388" s="296">
        <f>2*D384/D385/7.5</f>
        <v>0</v>
      </c>
      <c r="E388" s="59" t="s">
        <v>95</v>
      </c>
      <c r="F388"/>
      <c r="G388" s="359"/>
      <c r="J388" s="129"/>
      <c r="K388" s="76"/>
    </row>
    <row r="389" spans="3:11" s="79" customFormat="1">
      <c r="C389" s="21"/>
      <c r="D389" s="296"/>
      <c r="E389" s="60" t="s">
        <v>100</v>
      </c>
      <c r="F389"/>
      <c r="G389" s="359"/>
      <c r="J389" s="65"/>
      <c r="K389" s="66"/>
    </row>
    <row r="390" spans="3:11" s="79" customFormat="1">
      <c r="C390" s="21"/>
      <c r="D390" s="296">
        <f>D383</f>
        <v>15</v>
      </c>
      <c r="E390" s="124" t="s">
        <v>295</v>
      </c>
      <c r="F390"/>
      <c r="G390" s="359"/>
    </row>
    <row r="391" spans="3:11" s="79" customFormat="1">
      <c r="C391" s="21"/>
      <c r="D391" s="297"/>
      <c r="E391" s="59"/>
      <c r="G391" s="1119"/>
    </row>
    <row r="392" spans="3:11" s="79" customFormat="1" ht="28">
      <c r="C392" s="21"/>
      <c r="D392" s="296">
        <f>D388+D390+D391</f>
        <v>15</v>
      </c>
      <c r="E392" s="16" t="s">
        <v>157</v>
      </c>
      <c r="F392" s="19"/>
      <c r="G392" s="359"/>
    </row>
    <row r="393" spans="3:11" s="122" customFormat="1">
      <c r="C393" s="9"/>
      <c r="D393" s="105"/>
      <c r="E393" s="34" t="s">
        <v>88</v>
      </c>
      <c r="F393" s="9"/>
      <c r="G393" s="572"/>
    </row>
    <row r="394" spans="3:11" s="79" customFormat="1">
      <c r="C394"/>
      <c r="D394" s="77">
        <f>D392*D382</f>
        <v>30</v>
      </c>
      <c r="E394" s="16" t="s">
        <v>133</v>
      </c>
      <c r="F394"/>
      <c r="G394" s="359"/>
    </row>
    <row r="395" spans="3:11" s="79" customFormat="1">
      <c r="C395"/>
      <c r="D395" s="77"/>
      <c r="E395" s="16"/>
      <c r="F395"/>
      <c r="G395" s="359"/>
    </row>
    <row r="396" spans="3:11" s="79" customFormat="1">
      <c r="C396" s="21"/>
      <c r="D396" s="64">
        <f>D394*D375</f>
        <v>6750</v>
      </c>
      <c r="E396" s="39" t="s">
        <v>486</v>
      </c>
      <c r="F396"/>
      <c r="G396" s="359"/>
      <c r="H396" s="276"/>
      <c r="I396" s="276"/>
    </row>
    <row r="397" spans="3:11" s="79" customFormat="1">
      <c r="C397" s="21"/>
      <c r="G397" s="1119"/>
      <c r="H397" s="119"/>
      <c r="I397" s="119"/>
    </row>
    <row r="398" spans="3:11" s="79" customFormat="1">
      <c r="C398" s="21"/>
      <c r="G398" s="1119"/>
      <c r="H398" s="119"/>
      <c r="I398" s="119"/>
    </row>
    <row r="399" spans="3:11" s="79" customFormat="1" ht="19">
      <c r="C399" s="2" t="s">
        <v>132</v>
      </c>
      <c r="D399" s="37" t="s">
        <v>89</v>
      </c>
      <c r="E399" s="16"/>
      <c r="F399"/>
      <c r="G399" s="359"/>
      <c r="H399"/>
      <c r="I399"/>
    </row>
    <row r="400" spans="3:11" s="79" customFormat="1">
      <c r="C400" t="s">
        <v>54</v>
      </c>
      <c r="D400" s="160" t="s">
        <v>296</v>
      </c>
      <c r="E400" s="16"/>
      <c r="F400"/>
      <c r="G400" s="359"/>
      <c r="H400"/>
      <c r="I400"/>
    </row>
    <row r="401" spans="3:9" s="79" customFormat="1">
      <c r="C401"/>
      <c r="D401" s="160"/>
      <c r="E401" s="16"/>
      <c r="F401"/>
      <c r="G401" s="359"/>
      <c r="H401"/>
      <c r="I401"/>
    </row>
    <row r="402" spans="3:9" s="79" customFormat="1">
      <c r="C402"/>
      <c r="D402" s="16"/>
      <c r="E402" s="16"/>
      <c r="F402"/>
      <c r="G402" s="359"/>
      <c r="H402"/>
      <c r="I402"/>
    </row>
    <row r="403" spans="3:9" s="79" customFormat="1">
      <c r="C403"/>
      <c r="D403" s="67" t="s">
        <v>91</v>
      </c>
      <c r="E403" s="41"/>
      <c r="F403"/>
      <c r="G403" s="359"/>
      <c r="H403"/>
      <c r="I403"/>
    </row>
    <row r="404" spans="3:9" s="79" customFormat="1">
      <c r="C404"/>
      <c r="D404" s="52">
        <f>'Overall Assumptions'!$C$93</f>
        <v>285</v>
      </c>
      <c r="E404" s="41" t="s">
        <v>93</v>
      </c>
      <c r="F404"/>
      <c r="G404" s="359"/>
      <c r="H404"/>
      <c r="I404"/>
    </row>
    <row r="405" spans="3:9" s="79" customFormat="1">
      <c r="C405"/>
      <c r="D405" s="54"/>
      <c r="E405" s="43"/>
      <c r="F405"/>
      <c r="G405" s="359"/>
      <c r="H405"/>
      <c r="I405"/>
    </row>
    <row r="406" spans="3:9" s="79" customFormat="1">
      <c r="C406"/>
      <c r="D406" s="54"/>
      <c r="E406" s="43"/>
      <c r="F406"/>
      <c r="G406" s="359"/>
      <c r="H406"/>
      <c r="I406"/>
    </row>
    <row r="407" spans="3:9" s="79" customFormat="1">
      <c r="C407"/>
      <c r="D407" s="56"/>
      <c r="E407" s="45"/>
      <c r="F407"/>
      <c r="G407" s="359"/>
      <c r="H407"/>
      <c r="I407"/>
    </row>
    <row r="408" spans="3:9" s="79" customFormat="1">
      <c r="C408"/>
      <c r="D408" s="75"/>
      <c r="E408" s="76"/>
      <c r="F408"/>
      <c r="G408" s="359"/>
      <c r="H408"/>
      <c r="I408"/>
    </row>
    <row r="409" spans="3:9" s="79" customFormat="1">
      <c r="C409"/>
      <c r="D409" s="46">
        <f>D388*D405</f>
        <v>0</v>
      </c>
      <c r="E409" s="59" t="s">
        <v>97</v>
      </c>
      <c r="F409"/>
      <c r="G409" s="359"/>
      <c r="H409"/>
      <c r="I409"/>
    </row>
    <row r="410" spans="3:9" s="79" customFormat="1">
      <c r="C410"/>
      <c r="D410" s="46">
        <f>D390</f>
        <v>15</v>
      </c>
      <c r="E410" s="59" t="s">
        <v>98</v>
      </c>
      <c r="F410"/>
      <c r="G410" s="359"/>
      <c r="H410"/>
      <c r="I410"/>
    </row>
    <row r="411" spans="3:9" s="79" customFormat="1">
      <c r="C411"/>
      <c r="D411" s="46"/>
      <c r="E411" s="59"/>
      <c r="F411"/>
      <c r="G411" s="359"/>
      <c r="H411"/>
      <c r="I411"/>
    </row>
    <row r="412" spans="3:9" s="79" customFormat="1">
      <c r="C412"/>
      <c r="D412" s="46">
        <f>SUM(D409:D411)</f>
        <v>15</v>
      </c>
      <c r="E412" s="59" t="s">
        <v>983</v>
      </c>
      <c r="F412"/>
      <c r="G412" s="359"/>
      <c r="H412"/>
      <c r="I412"/>
    </row>
    <row r="413" spans="3:9" s="79" customFormat="1">
      <c r="C413"/>
      <c r="D413" s="63"/>
      <c r="E413" s="16"/>
      <c r="F413"/>
      <c r="G413" s="359"/>
      <c r="H413"/>
      <c r="I413"/>
    </row>
    <row r="414" spans="3:9" s="79" customFormat="1">
      <c r="C414"/>
      <c r="D414" s="63"/>
      <c r="E414" s="16"/>
      <c r="F414"/>
      <c r="G414" s="359"/>
      <c r="H414"/>
      <c r="I414"/>
    </row>
    <row r="415" spans="3:9" s="79" customFormat="1">
      <c r="C415"/>
      <c r="D415" s="68">
        <f>D412*D404</f>
        <v>4275</v>
      </c>
      <c r="E415" s="47" t="s">
        <v>53</v>
      </c>
      <c r="F415"/>
      <c r="G415" s="359"/>
      <c r="H415"/>
      <c r="I415"/>
    </row>
    <row r="416" spans="3:9" s="79" customFormat="1">
      <c r="G416" s="1119"/>
    </row>
    <row r="417" spans="3:13" s="79" customFormat="1">
      <c r="D417">
        <f>ROUNDUP(D412/21,0)</f>
        <v>1</v>
      </c>
      <c r="E417" s="359" t="s">
        <v>739</v>
      </c>
      <c r="F417"/>
    </row>
    <row r="418" spans="3:13" s="79" customFormat="1">
      <c r="D418" s="532">
        <f>D412</f>
        <v>15</v>
      </c>
      <c r="E418" s="359" t="s">
        <v>793</v>
      </c>
      <c r="F418" s="532"/>
    </row>
    <row r="419" spans="3:13" s="79" customFormat="1">
      <c r="G419" s="1119"/>
    </row>
    <row r="420" spans="3:13" s="79" customFormat="1">
      <c r="C420" s="225" t="s">
        <v>70</v>
      </c>
      <c r="D420" s="230"/>
      <c r="E420" s="224" t="s">
        <v>156</v>
      </c>
      <c r="F420" s="212"/>
      <c r="G420" s="1108"/>
      <c r="H420" s="212"/>
      <c r="I420" s="119"/>
    </row>
    <row r="421" spans="3:13" s="79" customFormat="1">
      <c r="C421" s="212"/>
      <c r="D421" s="230"/>
      <c r="E421" s="224"/>
      <c r="F421" s="212"/>
      <c r="G421" s="1108"/>
      <c r="H421" s="212"/>
      <c r="I421" s="119"/>
    </row>
    <row r="422" spans="3:13" s="79" customFormat="1">
      <c r="C422" s="212"/>
      <c r="D422" s="230"/>
      <c r="E422" s="224"/>
      <c r="F422" s="212"/>
      <c r="G422" s="1108"/>
      <c r="H422" s="212"/>
      <c r="I422" s="119"/>
    </row>
    <row r="423" spans="3:13" s="79" customFormat="1">
      <c r="C423" s="212"/>
      <c r="D423" s="222">
        <f>D392</f>
        <v>15</v>
      </c>
      <c r="E423" s="213" t="s">
        <v>157</v>
      </c>
      <c r="F423" s="212"/>
      <c r="G423" s="1108"/>
      <c r="H423" s="212"/>
      <c r="I423" s="119"/>
    </row>
    <row r="424" spans="3:13" s="79" customFormat="1">
      <c r="C424" s="212"/>
      <c r="D424" s="229">
        <f>FLOOR(D423,1)</f>
        <v>15</v>
      </c>
      <c r="E424" s="213" t="s">
        <v>73</v>
      </c>
      <c r="F424" s="212"/>
      <c r="G424" s="1108"/>
      <c r="H424" s="212"/>
      <c r="I424" s="119"/>
    </row>
    <row r="425" spans="3:13" s="79" customFormat="1">
      <c r="C425" s="212"/>
      <c r="D425" s="228">
        <f>D424*$D$382</f>
        <v>30</v>
      </c>
      <c r="E425" s="214" t="s">
        <v>175</v>
      </c>
      <c r="F425" s="212"/>
      <c r="G425" s="1108"/>
      <c r="H425" s="212"/>
      <c r="I425" s="119"/>
    </row>
    <row r="426" spans="3:13" s="79" customFormat="1">
      <c r="C426" s="212"/>
      <c r="D426" s="227"/>
      <c r="E426" s="214" t="s">
        <v>88</v>
      </c>
      <c r="F426" s="212"/>
      <c r="G426" s="1108"/>
      <c r="H426" s="212"/>
    </row>
    <row r="427" spans="3:13" s="79" customFormat="1">
      <c r="C427" s="212"/>
      <c r="D427" s="226">
        <f>D425*D386</f>
        <v>6300</v>
      </c>
      <c r="E427" s="221" t="s">
        <v>74</v>
      </c>
      <c r="F427" s="212"/>
      <c r="G427" s="1108"/>
      <c r="H427" s="212"/>
      <c r="J427" s="276"/>
      <c r="K427" s="276"/>
      <c r="L427" s="276"/>
      <c r="M427" s="276"/>
    </row>
    <row r="428" spans="3:13" s="79" customFormat="1">
      <c r="D428" s="282"/>
      <c r="E428" s="76"/>
      <c r="G428" s="1119"/>
      <c r="J428" s="122"/>
      <c r="K428" s="136"/>
      <c r="L428" s="119"/>
      <c r="M428" s="119"/>
    </row>
    <row r="429" spans="3:13" s="79" customFormat="1">
      <c r="D429" s="283"/>
      <c r="E429" s="284"/>
      <c r="F429" s="78"/>
      <c r="G429" s="1119"/>
      <c r="J429" s="122"/>
      <c r="K429" s="136"/>
      <c r="L429" s="119"/>
      <c r="M429" s="119"/>
    </row>
    <row r="430" spans="3:13" s="79" customFormat="1">
      <c r="D430" s="283"/>
      <c r="E430" s="76"/>
      <c r="G430" s="1119"/>
      <c r="J430" s="122"/>
      <c r="K430" s="136"/>
      <c r="L430" s="119"/>
      <c r="M430" s="119"/>
    </row>
    <row r="431" spans="3:13" s="79" customFormat="1">
      <c r="D431" s="143" t="s">
        <v>172</v>
      </c>
      <c r="E431" s="144" t="s">
        <v>155</v>
      </c>
      <c r="F431" s="144" t="s">
        <v>174</v>
      </c>
      <c r="G431" s="1094" t="s">
        <v>166</v>
      </c>
      <c r="H431" s="145" t="s">
        <v>69</v>
      </c>
      <c r="J431" s="122"/>
      <c r="K431" s="147"/>
      <c r="L431" s="119"/>
      <c r="M431" s="119"/>
    </row>
    <row r="432" spans="3:13" s="79" customFormat="1">
      <c r="D432" s="135" t="s">
        <v>3</v>
      </c>
      <c r="E432" s="136">
        <f>D394</f>
        <v>30</v>
      </c>
      <c r="F432" s="122"/>
      <c r="G432" s="1092">
        <f>D396</f>
        <v>6750</v>
      </c>
      <c r="H432" s="119" t="str">
        <f>E396</f>
        <v>Cost for labour</v>
      </c>
      <c r="I432" s="79">
        <f>D368</f>
        <v>1</v>
      </c>
    </row>
    <row r="433" spans="1:42" s="79" customFormat="1">
      <c r="D433" s="135" t="s">
        <v>132</v>
      </c>
      <c r="E433" s="136">
        <f>D412</f>
        <v>15</v>
      </c>
      <c r="F433" s="141"/>
      <c r="G433" s="1092">
        <f>D415</f>
        <v>4275</v>
      </c>
      <c r="H433" s="119" t="str">
        <f>E415</f>
        <v>Cost for ute hire for the whole activity</v>
      </c>
      <c r="I433" s="79">
        <f>I432</f>
        <v>1</v>
      </c>
    </row>
    <row r="434" spans="1:42" s="79" customFormat="1">
      <c r="D434" s="135" t="s">
        <v>169</v>
      </c>
      <c r="E434" s="136">
        <f>D425</f>
        <v>30</v>
      </c>
      <c r="F434" s="141"/>
      <c r="G434" s="1092">
        <f>D427</f>
        <v>6300</v>
      </c>
      <c r="H434" s="119" t="str">
        <f>E427</f>
        <v>Accomodation + Food Cost</v>
      </c>
      <c r="I434" s="79">
        <f>I433</f>
        <v>1</v>
      </c>
    </row>
    <row r="435" spans="1:42" s="79" customFormat="1">
      <c r="D435" s="137"/>
      <c r="E435" s="138"/>
      <c r="F435" s="142"/>
      <c r="G435" s="1116">
        <f>SUM(G432:G434)</f>
        <v>17325</v>
      </c>
      <c r="H435" s="140" t="s">
        <v>165</v>
      </c>
    </row>
    <row r="436" spans="1:42" s="79" customFormat="1">
      <c r="D436" s="122"/>
      <c r="E436" s="147"/>
      <c r="F436" s="122"/>
      <c r="G436" s="1092"/>
      <c r="H436" s="119"/>
    </row>
    <row r="437" spans="1:42" s="351" customFormat="1">
      <c r="D437" s="352"/>
      <c r="E437" s="353"/>
      <c r="G437" s="1122"/>
    </row>
    <row r="438" spans="1:42" s="212" customFormat="1" ht="18" customHeight="1">
      <c r="A438" s="219"/>
      <c r="B438" s="219"/>
      <c r="C438" s="219"/>
      <c r="D438" s="223"/>
      <c r="E438" s="220"/>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row>
    <row r="439" spans="1:42" s="7" customFormat="1">
      <c r="D439" s="35"/>
      <c r="E439" s="36"/>
      <c r="G439" s="1089"/>
    </row>
    <row r="440" spans="1:42" s="9" customFormat="1">
      <c r="D440" s="105"/>
      <c r="E440" s="34"/>
      <c r="G440" s="572"/>
    </row>
    <row r="441" spans="1:42" s="9" customFormat="1">
      <c r="C441" s="120" t="s">
        <v>247</v>
      </c>
      <c r="D441" s="105"/>
      <c r="E441" s="34"/>
      <c r="G441" s="572"/>
    </row>
    <row r="442" spans="1:42" s="9" customFormat="1">
      <c r="D442" s="34" t="s">
        <v>258</v>
      </c>
      <c r="E442" s="34"/>
      <c r="G442" s="572"/>
    </row>
    <row r="443" spans="1:42" s="9" customFormat="1">
      <c r="D443" s="38" t="s">
        <v>91</v>
      </c>
      <c r="E443" s="39"/>
      <c r="F443" s="105"/>
      <c r="G443" s="572"/>
    </row>
    <row r="444" spans="1:42" s="9" customFormat="1">
      <c r="D444" s="402"/>
      <c r="E444" s="161"/>
      <c r="G444" s="572"/>
    </row>
    <row r="445" spans="1:42" s="9" customFormat="1">
      <c r="D445" s="332">
        <f>'Overall Assumptions'!$C$125</f>
        <v>3</v>
      </c>
      <c r="E445" s="131" t="str">
        <f>'Overall Assumptions'!$D$115</f>
        <v>weeks</v>
      </c>
      <c r="G445" s="572"/>
    </row>
    <row r="446" spans="1:42" s="9" customFormat="1">
      <c r="C446" s="105"/>
      <c r="D446" s="332">
        <f>D445*5</f>
        <v>15</v>
      </c>
      <c r="E446" s="43" t="str">
        <f>'Overall Assumptions'!$D$116</f>
        <v>days</v>
      </c>
      <c r="G446" s="572"/>
    </row>
    <row r="447" spans="1:42" s="9" customFormat="1">
      <c r="C447" s="105"/>
      <c r="D447" s="332"/>
      <c r="E447" s="43"/>
      <c r="G447" s="572"/>
    </row>
    <row r="448" spans="1:42" s="9" customFormat="1">
      <c r="C448" s="105"/>
      <c r="D448" s="268">
        <v>1</v>
      </c>
      <c r="E448" s="43" t="s">
        <v>259</v>
      </c>
      <c r="G448" s="572"/>
    </row>
    <row r="449" spans="3:10" s="9" customFormat="1">
      <c r="C449" s="105"/>
      <c r="D449" s="332"/>
      <c r="E449" s="43"/>
      <c r="G449" s="572"/>
    </row>
    <row r="450" spans="3:10" s="9" customFormat="1">
      <c r="C450" s="105"/>
      <c r="D450" s="332"/>
      <c r="E450" s="246"/>
      <c r="G450" s="572"/>
    </row>
    <row r="451" spans="3:10" s="9" customFormat="1">
      <c r="D451" s="614">
        <f>'Overall Assumptions'!$C$68</f>
        <v>225</v>
      </c>
      <c r="E451" s="246" t="str">
        <f>'Overall Assumptions'!$B$67</f>
        <v>Labour 1- APS Low (Entry lvl)</v>
      </c>
      <c r="G451" s="572"/>
    </row>
    <row r="452" spans="3:10" s="9" customFormat="1">
      <c r="D452" s="399">
        <f>'Overall Assumptions'!$C$72</f>
        <v>337.5</v>
      </c>
      <c r="E452" s="530" t="str">
        <f>'Overall Assumptions'!$B$71</f>
        <v>Labour 2 - APS High (Experienced)</v>
      </c>
      <c r="G452" s="572"/>
    </row>
    <row r="453" spans="3:10" s="9" customFormat="1">
      <c r="D453" s="112">
        <f>'Overall Assumptions'!$C$76</f>
        <v>487.5</v>
      </c>
      <c r="E453" s="45" t="str">
        <f>'Overall Assumptions'!$B$75</f>
        <v>Labour 3 - EL (Management)</v>
      </c>
      <c r="G453" s="572"/>
    </row>
    <row r="454" spans="3:10" s="9" customFormat="1">
      <c r="D454" s="33"/>
      <c r="E454" s="34"/>
      <c r="G454" s="572"/>
    </row>
    <row r="455" spans="3:10">
      <c r="C455" s="9"/>
      <c r="D455" s="247"/>
      <c r="E455" s="33"/>
      <c r="F455" s="9"/>
      <c r="G455" s="572"/>
      <c r="H455" s="9"/>
      <c r="I455" s="9"/>
      <c r="J455" s="9"/>
    </row>
    <row r="456" spans="3:10">
      <c r="C456" s="9"/>
      <c r="D456" s="33"/>
      <c r="E456" s="34"/>
      <c r="F456" s="9"/>
      <c r="G456" s="572"/>
      <c r="H456" s="9"/>
      <c r="I456" s="9"/>
      <c r="J456" s="9"/>
    </row>
    <row r="457" spans="3:10">
      <c r="C457" s="9"/>
      <c r="D457" s="33"/>
      <c r="E457" s="34"/>
      <c r="F457" s="9"/>
      <c r="G457" s="572"/>
      <c r="H457" s="9"/>
      <c r="I457" s="9"/>
      <c r="J457" s="9"/>
    </row>
    <row r="458" spans="3:10">
      <c r="C458" s="9"/>
      <c r="D458" s="33"/>
      <c r="E458" s="34"/>
      <c r="F458" s="9"/>
      <c r="G458" s="572"/>
      <c r="H458" s="9"/>
      <c r="I458" s="9"/>
      <c r="J458" s="9"/>
    </row>
    <row r="459" spans="3:10">
      <c r="C459" s="9"/>
      <c r="D459" s="175"/>
      <c r="E459" s="164" t="s">
        <v>155</v>
      </c>
      <c r="F459" s="255" t="s">
        <v>166</v>
      </c>
      <c r="G459" s="1090" t="s">
        <v>69</v>
      </c>
      <c r="H459" s="161"/>
      <c r="I459" s="9"/>
      <c r="J459" s="9"/>
    </row>
    <row r="460" spans="3:10">
      <c r="C460" s="9"/>
      <c r="D460" s="405" t="s">
        <v>3</v>
      </c>
      <c r="E460" s="615">
        <f>D446</f>
        <v>15</v>
      </c>
      <c r="F460" s="321">
        <f>D446*D452</f>
        <v>5062.5</v>
      </c>
      <c r="G460" s="1091" t="s">
        <v>182</v>
      </c>
      <c r="H460" s="162"/>
      <c r="I460" s="9"/>
      <c r="J460" s="9"/>
    </row>
    <row r="461" spans="3:10">
      <c r="H461" s="9"/>
    </row>
    <row r="464" spans="3:10" s="182" customFormat="1">
      <c r="D464" s="183"/>
      <c r="E464" s="184"/>
      <c r="G464" s="1131"/>
    </row>
    <row r="465" spans="1:42">
      <c r="C465" s="1"/>
    </row>
    <row r="466" spans="1:42">
      <c r="C466" s="199"/>
      <c r="D466" s="200"/>
    </row>
    <row r="467" spans="1:42">
      <c r="C467" s="201"/>
      <c r="D467" s="202"/>
    </row>
    <row r="469" spans="1:42">
      <c r="C469" s="198"/>
    </row>
    <row r="471" spans="1:42">
      <c r="C471" s="160"/>
    </row>
    <row r="474" spans="1:42" s="359" customFormat="1">
      <c r="A474"/>
      <c r="B474"/>
      <c r="C474"/>
      <c r="D474" s="1081"/>
      <c r="E474" s="16"/>
      <c r="F474"/>
      <c r="H474"/>
      <c r="I474"/>
      <c r="J474"/>
      <c r="K474"/>
      <c r="L474"/>
      <c r="M474"/>
      <c r="N474"/>
      <c r="O474"/>
      <c r="P474"/>
      <c r="Q474" s="2791"/>
      <c r="R474" s="2791"/>
      <c r="S474" s="2791"/>
      <c r="T474"/>
      <c r="U474"/>
      <c r="V474"/>
      <c r="W474"/>
      <c r="X474"/>
      <c r="Y474"/>
      <c r="Z474"/>
      <c r="AA474"/>
      <c r="AB474"/>
      <c r="AC474"/>
      <c r="AD474"/>
      <c r="AE474"/>
      <c r="AF474"/>
      <c r="AG474"/>
      <c r="AH474"/>
      <c r="AI474"/>
      <c r="AJ474"/>
      <c r="AK474"/>
      <c r="AL474"/>
      <c r="AM474"/>
      <c r="AN474"/>
      <c r="AO474"/>
      <c r="AP474"/>
    </row>
    <row r="475" spans="1:42" s="359" customFormat="1">
      <c r="A475"/>
      <c r="B475"/>
      <c r="C475"/>
      <c r="D475" s="58"/>
      <c r="E475" s="16"/>
      <c r="F475"/>
      <c r="H475"/>
      <c r="I475"/>
      <c r="J475"/>
      <c r="K475"/>
      <c r="L475"/>
      <c r="M475"/>
      <c r="N475"/>
      <c r="O475"/>
      <c r="P475"/>
      <c r="Q475" s="2791"/>
      <c r="R475" s="2791"/>
      <c r="S475" s="2791"/>
      <c r="T475"/>
      <c r="U475"/>
      <c r="V475"/>
      <c r="W475"/>
      <c r="X475"/>
      <c r="Y475"/>
      <c r="Z475"/>
      <c r="AA475"/>
      <c r="AB475"/>
      <c r="AC475"/>
      <c r="AD475"/>
      <c r="AE475"/>
      <c r="AF475"/>
      <c r="AG475"/>
      <c r="AH475"/>
      <c r="AI475"/>
      <c r="AJ475"/>
      <c r="AK475"/>
      <c r="AL475"/>
      <c r="AM475"/>
      <c r="AN475"/>
      <c r="AO475"/>
      <c r="AP475"/>
    </row>
    <row r="477" spans="1:42" s="359" customFormat="1">
      <c r="A477"/>
      <c r="B477"/>
      <c r="C477" s="90"/>
      <c r="D477"/>
      <c r="E477" s="16"/>
      <c r="F477"/>
      <c r="H477"/>
      <c r="I477"/>
      <c r="J477"/>
      <c r="K477"/>
      <c r="L477"/>
      <c r="M477"/>
      <c r="N477"/>
      <c r="O477"/>
      <c r="P477"/>
      <c r="Q477" s="2791"/>
      <c r="R477" s="2791"/>
      <c r="S477" s="2791"/>
      <c r="T477"/>
      <c r="U477"/>
      <c r="V477"/>
      <c r="W477"/>
      <c r="X477"/>
      <c r="Y477"/>
      <c r="Z477"/>
      <c r="AA477"/>
      <c r="AB477"/>
      <c r="AC477"/>
      <c r="AD477"/>
      <c r="AE477"/>
      <c r="AF477"/>
      <c r="AG477"/>
      <c r="AH477"/>
      <c r="AI477"/>
      <c r="AJ477"/>
      <c r="AK477"/>
      <c r="AL477"/>
      <c r="AM477"/>
      <c r="AN477"/>
      <c r="AO477"/>
      <c r="AP477"/>
    </row>
    <row r="478" spans="1:42" s="359" customFormat="1" ht="24" customHeight="1">
      <c r="A478"/>
      <c r="B478"/>
      <c r="C478" s="436"/>
      <c r="D478" s="24"/>
      <c r="E478" s="16"/>
      <c r="F478"/>
      <c r="H478"/>
      <c r="I478"/>
      <c r="J478"/>
      <c r="K478"/>
      <c r="L478"/>
      <c r="M478"/>
      <c r="N478"/>
      <c r="O478"/>
      <c r="P478"/>
      <c r="Q478" s="2791"/>
      <c r="R478" s="2791"/>
      <c r="S478" s="2791"/>
      <c r="T478"/>
      <c r="U478"/>
      <c r="V478"/>
      <c r="W478"/>
      <c r="X478"/>
      <c r="Y478"/>
      <c r="Z478"/>
      <c r="AA478"/>
      <c r="AB478"/>
      <c r="AC478"/>
      <c r="AD478"/>
      <c r="AE478"/>
      <c r="AF478"/>
      <c r="AG478"/>
      <c r="AH478"/>
      <c r="AI478"/>
      <c r="AJ478"/>
      <c r="AK478"/>
      <c r="AL478"/>
      <c r="AM478"/>
      <c r="AN478"/>
      <c r="AO478"/>
      <c r="AP478"/>
    </row>
    <row r="479" spans="1:42" s="359" customFormat="1">
      <c r="A479"/>
      <c r="B479"/>
      <c r="C479"/>
      <c r="D479" s="58"/>
      <c r="E479" s="16"/>
      <c r="F479"/>
      <c r="H479"/>
      <c r="I479"/>
      <c r="J479"/>
      <c r="K479"/>
      <c r="L479"/>
      <c r="M479"/>
      <c r="N479"/>
      <c r="O479"/>
      <c r="P479"/>
      <c r="Q479" s="2791"/>
      <c r="R479" s="2791"/>
      <c r="S479" s="2791"/>
      <c r="T479"/>
      <c r="U479"/>
      <c r="V479"/>
      <c r="W479"/>
      <c r="X479"/>
      <c r="Y479"/>
      <c r="Z479"/>
      <c r="AA479"/>
      <c r="AB479"/>
      <c r="AC479"/>
      <c r="AD479"/>
      <c r="AE479"/>
      <c r="AF479"/>
      <c r="AG479"/>
      <c r="AH479"/>
      <c r="AI479"/>
      <c r="AJ479"/>
      <c r="AK479"/>
      <c r="AL479"/>
      <c r="AM479"/>
      <c r="AN479"/>
      <c r="AO479"/>
      <c r="AP479"/>
    </row>
    <row r="480" spans="1:42" s="359" customFormat="1">
      <c r="A480"/>
      <c r="B480"/>
      <c r="C480"/>
      <c r="D480" s="58"/>
      <c r="E480" s="16"/>
      <c r="F480"/>
      <c r="H480"/>
      <c r="I480"/>
      <c r="J480"/>
      <c r="K480"/>
      <c r="L480"/>
      <c r="M480"/>
      <c r="N480"/>
      <c r="O480"/>
      <c r="P480"/>
      <c r="Q480" s="2791"/>
      <c r="R480" s="2791"/>
      <c r="S480" s="2791"/>
      <c r="T480"/>
      <c r="U480"/>
      <c r="V480"/>
      <c r="W480"/>
      <c r="X480"/>
      <c r="Y480"/>
      <c r="Z480"/>
      <c r="AA480"/>
      <c r="AB480"/>
      <c r="AC480"/>
      <c r="AD480"/>
      <c r="AE480"/>
      <c r="AF480"/>
      <c r="AG480"/>
      <c r="AH480"/>
      <c r="AI480"/>
      <c r="AJ480"/>
      <c r="AK480"/>
      <c r="AL480"/>
      <c r="AM480"/>
      <c r="AN480"/>
      <c r="AO480"/>
      <c r="AP480"/>
    </row>
    <row r="481" spans="1:42" s="359" customFormat="1">
      <c r="A481"/>
      <c r="B481"/>
      <c r="C481" s="204"/>
      <c r="D481" s="24"/>
      <c r="E481" s="16"/>
      <c r="F481"/>
      <c r="H481"/>
      <c r="I481"/>
      <c r="J481"/>
      <c r="K481"/>
      <c r="L481"/>
      <c r="M481"/>
      <c r="N481"/>
      <c r="O481"/>
      <c r="P481"/>
      <c r="Q481" s="2791"/>
      <c r="R481" s="2791"/>
      <c r="S481" s="2791"/>
      <c r="T481"/>
      <c r="U481"/>
      <c r="V481"/>
      <c r="W481"/>
      <c r="X481"/>
      <c r="Y481"/>
      <c r="Z481"/>
      <c r="AA481"/>
      <c r="AB481"/>
      <c r="AC481"/>
      <c r="AD481"/>
      <c r="AE481"/>
      <c r="AF481"/>
      <c r="AG481"/>
      <c r="AH481"/>
      <c r="AI481"/>
      <c r="AJ481"/>
      <c r="AK481"/>
      <c r="AL481"/>
      <c r="AM481"/>
      <c r="AN481"/>
      <c r="AO481"/>
      <c r="AP481"/>
    </row>
    <row r="483" spans="1:42" s="359" customFormat="1">
      <c r="A483"/>
      <c r="B483"/>
      <c r="C483" s="206"/>
      <c r="D483" s="24"/>
      <c r="E483" s="16"/>
      <c r="F483" s="2"/>
      <c r="H483"/>
      <c r="I483"/>
      <c r="J483"/>
      <c r="K483"/>
      <c r="L483"/>
      <c r="M483"/>
      <c r="N483"/>
      <c r="O483"/>
      <c r="P483"/>
      <c r="Q483" s="2791"/>
      <c r="R483" s="2791"/>
      <c r="S483" s="2791"/>
      <c r="T483"/>
      <c r="U483"/>
      <c r="V483"/>
      <c r="W483"/>
      <c r="X483"/>
      <c r="Y483"/>
      <c r="Z483"/>
      <c r="AA483"/>
      <c r="AB483"/>
      <c r="AC483"/>
      <c r="AD483"/>
      <c r="AE483"/>
      <c r="AF483"/>
      <c r="AG483"/>
      <c r="AH483"/>
      <c r="AI483"/>
      <c r="AJ483"/>
      <c r="AK483"/>
      <c r="AL483"/>
      <c r="AM483"/>
      <c r="AN483"/>
      <c r="AO483"/>
      <c r="AP483"/>
    </row>
    <row r="484" spans="1:42" s="359" customFormat="1" ht="15" customHeight="1">
      <c r="A484"/>
      <c r="B484"/>
      <c r="C484" s="2"/>
      <c r="D484" s="207"/>
      <c r="E484" s="16"/>
      <c r="F484" s="2"/>
      <c r="H484"/>
      <c r="I484"/>
      <c r="J484"/>
      <c r="K484"/>
      <c r="L484"/>
      <c r="M484"/>
      <c r="N484"/>
      <c r="O484"/>
      <c r="P484"/>
      <c r="Q484" s="2791"/>
      <c r="R484" s="2791"/>
      <c r="S484" s="2791"/>
      <c r="T484"/>
      <c r="U484"/>
      <c r="V484"/>
      <c r="W484"/>
      <c r="X484"/>
      <c r="Y484"/>
      <c r="Z484"/>
      <c r="AA484"/>
      <c r="AB484"/>
      <c r="AC484"/>
      <c r="AD484"/>
      <c r="AE484"/>
      <c r="AF484"/>
      <c r="AG484"/>
      <c r="AH484"/>
      <c r="AI484"/>
      <c r="AJ484"/>
      <c r="AK484"/>
      <c r="AL484"/>
      <c r="AM484"/>
      <c r="AN484"/>
      <c r="AO484"/>
      <c r="AP484"/>
    </row>
    <row r="485" spans="1:42" s="359" customFormat="1" ht="15" customHeight="1">
      <c r="A485"/>
      <c r="B485"/>
      <c r="C485" s="2"/>
      <c r="D485" s="207"/>
      <c r="E485" s="16"/>
      <c r="F485" s="2"/>
      <c r="H485"/>
      <c r="I485"/>
      <c r="J485"/>
      <c r="K485"/>
      <c r="L485"/>
      <c r="M485"/>
      <c r="N485"/>
      <c r="O485"/>
      <c r="P485"/>
      <c r="Q485" s="2791"/>
      <c r="R485" s="2791"/>
      <c r="S485" s="2791"/>
      <c r="T485"/>
      <c r="U485"/>
      <c r="V485"/>
      <c r="W485"/>
      <c r="X485"/>
      <c r="Y485"/>
      <c r="Z485"/>
      <c r="AA485"/>
      <c r="AB485"/>
      <c r="AC485"/>
      <c r="AD485"/>
      <c r="AE485"/>
      <c r="AF485"/>
      <c r="AG485"/>
      <c r="AH485"/>
      <c r="AI485"/>
      <c r="AJ485"/>
      <c r="AK485"/>
      <c r="AL485"/>
      <c r="AM485"/>
      <c r="AN485"/>
      <c r="AO485"/>
      <c r="AP485"/>
    </row>
    <row r="486" spans="1:42" s="359" customFormat="1" ht="15" customHeight="1">
      <c r="A486"/>
      <c r="B486"/>
      <c r="C486" s="2"/>
      <c r="D486" s="207"/>
      <c r="E486" s="16"/>
      <c r="F486" s="2"/>
      <c r="H486"/>
      <c r="I486"/>
      <c r="J486"/>
      <c r="K486"/>
      <c r="L486"/>
      <c r="M486"/>
      <c r="N486"/>
      <c r="O486"/>
      <c r="P486"/>
      <c r="Q486" s="2791"/>
      <c r="R486" s="2791"/>
      <c r="S486" s="2791"/>
      <c r="T486"/>
      <c r="U486"/>
      <c r="V486"/>
      <c r="W486"/>
      <c r="X486"/>
      <c r="Y486"/>
      <c r="Z486"/>
      <c r="AA486"/>
      <c r="AB486"/>
      <c r="AC486"/>
      <c r="AD486"/>
      <c r="AE486"/>
      <c r="AF486"/>
      <c r="AG486"/>
      <c r="AH486"/>
      <c r="AI486"/>
      <c r="AJ486"/>
      <c r="AK486"/>
      <c r="AL486"/>
      <c r="AM486"/>
      <c r="AN486"/>
      <c r="AO486"/>
      <c r="AP486"/>
    </row>
    <row r="487" spans="1:42" s="359" customFormat="1" ht="15" customHeight="1">
      <c r="A487"/>
      <c r="B487"/>
      <c r="C487" s="2"/>
      <c r="D487" s="207"/>
      <c r="E487" s="16"/>
      <c r="F487" s="2"/>
      <c r="H487"/>
      <c r="I487"/>
      <c r="J487"/>
      <c r="K487"/>
      <c r="L487"/>
      <c r="M487"/>
      <c r="N487"/>
      <c r="O487"/>
      <c r="P487"/>
      <c r="Q487" s="2791"/>
      <c r="R487" s="2791"/>
      <c r="S487" s="2791"/>
      <c r="T487"/>
      <c r="U487"/>
      <c r="V487"/>
      <c r="W487"/>
      <c r="X487"/>
      <c r="Y487"/>
      <c r="Z487"/>
      <c r="AA487"/>
      <c r="AB487"/>
      <c r="AC487"/>
      <c r="AD487"/>
      <c r="AE487"/>
      <c r="AF487"/>
      <c r="AG487"/>
      <c r="AH487"/>
      <c r="AI487"/>
      <c r="AJ487"/>
      <c r="AK487"/>
      <c r="AL487"/>
      <c r="AM487"/>
      <c r="AN487"/>
      <c r="AO487"/>
      <c r="AP487"/>
    </row>
    <row r="488" spans="1:42" s="359" customFormat="1" ht="15" customHeight="1">
      <c r="A488"/>
      <c r="B488"/>
      <c r="C488" s="206"/>
      <c r="D488" s="207"/>
      <c r="E488" s="16"/>
      <c r="F488" s="2"/>
      <c r="H488"/>
      <c r="I488"/>
      <c r="J488"/>
      <c r="K488"/>
      <c r="L488"/>
      <c r="M488"/>
      <c r="N488"/>
      <c r="O488"/>
      <c r="P488"/>
      <c r="Q488" s="2791"/>
      <c r="R488" s="2791"/>
      <c r="S488" s="2791"/>
      <c r="T488"/>
      <c r="U488"/>
      <c r="V488"/>
      <c r="W488"/>
      <c r="X488"/>
      <c r="Y488"/>
      <c r="Z488"/>
      <c r="AA488"/>
      <c r="AB488"/>
      <c r="AC488"/>
      <c r="AD488"/>
      <c r="AE488"/>
      <c r="AF488"/>
      <c r="AG488"/>
      <c r="AH488"/>
      <c r="AI488"/>
      <c r="AJ488"/>
      <c r="AK488"/>
      <c r="AL488"/>
      <c r="AM488"/>
      <c r="AN488"/>
      <c r="AO488"/>
      <c r="AP488"/>
    </row>
    <row r="489" spans="1:42" s="359" customFormat="1" ht="15" customHeight="1">
      <c r="A489"/>
      <c r="B489"/>
      <c r="C489"/>
      <c r="D489" s="207"/>
      <c r="E489" s="16"/>
      <c r="F489"/>
      <c r="H489"/>
      <c r="I489"/>
      <c r="J489"/>
      <c r="K489"/>
      <c r="L489"/>
      <c r="M489"/>
      <c r="N489"/>
      <c r="O489"/>
      <c r="P489"/>
      <c r="Q489" s="2791"/>
      <c r="R489" s="2791"/>
      <c r="S489" s="2791"/>
      <c r="T489"/>
      <c r="U489"/>
      <c r="V489"/>
      <c r="W489"/>
      <c r="X489"/>
      <c r="Y489"/>
      <c r="Z489"/>
      <c r="AA489"/>
      <c r="AB489"/>
      <c r="AC489"/>
      <c r="AD489"/>
      <c r="AE489"/>
      <c r="AF489"/>
      <c r="AG489"/>
      <c r="AH489"/>
      <c r="AI489"/>
      <c r="AJ489"/>
      <c r="AK489"/>
      <c r="AL489"/>
      <c r="AM489"/>
      <c r="AN489"/>
      <c r="AO489"/>
      <c r="AP489"/>
    </row>
    <row r="490" spans="1:42" ht="15" customHeight="1">
      <c r="D490" s="207"/>
      <c r="E490" s="2"/>
      <c r="F490" s="2"/>
    </row>
    <row r="491" spans="1:42" ht="15" customHeight="1">
      <c r="D491" s="207"/>
      <c r="F491" s="2"/>
    </row>
    <row r="492" spans="1:42" ht="15" customHeight="1">
      <c r="D492" s="207"/>
      <c r="F492" s="2"/>
    </row>
    <row r="493" spans="1:42" ht="15" customHeight="1">
      <c r="D493" s="207"/>
    </row>
    <row r="494" spans="1:42" ht="15" customHeight="1">
      <c r="D494" s="207"/>
    </row>
    <row r="495" spans="1:42" ht="15" customHeight="1">
      <c r="D495" s="57"/>
    </row>
    <row r="496" spans="1:42">
      <c r="D496" s="16"/>
    </row>
    <row r="497" spans="3:10">
      <c r="C497" s="206"/>
      <c r="D497" s="208"/>
      <c r="E497" s="6"/>
    </row>
    <row r="498" spans="3:10">
      <c r="D498" s="207"/>
    </row>
    <row r="499" spans="3:10">
      <c r="D499" s="207"/>
      <c r="F499" s="2"/>
    </row>
    <row r="500" spans="3:10">
      <c r="D500" s="207"/>
      <c r="F500" s="2"/>
    </row>
    <row r="501" spans="3:10">
      <c r="D501" s="156"/>
      <c r="F501" s="2"/>
    </row>
    <row r="502" spans="3:10">
      <c r="C502" s="206"/>
      <c r="F502" s="2"/>
    </row>
    <row r="503" spans="3:10">
      <c r="C503" s="206"/>
      <c r="D503" s="207"/>
      <c r="F503" s="2"/>
    </row>
    <row r="504" spans="3:10">
      <c r="D504" s="207"/>
      <c r="G504" s="99"/>
    </row>
    <row r="505" spans="3:10">
      <c r="D505" s="16"/>
      <c r="G505" s="99"/>
      <c r="H505" s="16"/>
    </row>
    <row r="506" spans="3:10">
      <c r="D506" s="207"/>
      <c r="G506" s="1132"/>
    </row>
    <row r="507" spans="3:10">
      <c r="D507" s="207"/>
      <c r="G507" s="1133"/>
    </row>
    <row r="508" spans="3:10">
      <c r="G508" s="99"/>
    </row>
    <row r="509" spans="3:10">
      <c r="D509" s="57"/>
      <c r="G509" s="1102"/>
      <c r="H509" s="16"/>
    </row>
    <row r="510" spans="3:10">
      <c r="G510" s="1102"/>
      <c r="H510" s="16"/>
    </row>
    <row r="511" spans="3:10">
      <c r="D511" s="156"/>
      <c r="J511" s="16"/>
    </row>
    <row r="512" spans="3:10">
      <c r="D512" s="156"/>
      <c r="J512" s="16"/>
    </row>
    <row r="514" spans="2:42">
      <c r="D514" s="16"/>
    </row>
    <row r="515" spans="2:42">
      <c r="D515" s="16"/>
    </row>
    <row r="516" spans="2:42">
      <c r="D516" s="16"/>
    </row>
    <row r="517" spans="2:42">
      <c r="D517" s="16"/>
    </row>
    <row r="520" spans="2:42" s="24" customFormat="1">
      <c r="B520"/>
      <c r="C520" s="206"/>
      <c r="E520" s="16"/>
      <c r="F520"/>
      <c r="G520" s="359"/>
      <c r="H520"/>
      <c r="I520"/>
      <c r="J520"/>
      <c r="K520"/>
      <c r="L520"/>
      <c r="M520"/>
      <c r="N520"/>
      <c r="O520"/>
      <c r="P520"/>
      <c r="Q520" s="2791"/>
      <c r="R520" s="2791"/>
      <c r="S520" s="2791"/>
      <c r="T520"/>
      <c r="U520"/>
      <c r="V520"/>
      <c r="W520"/>
      <c r="X520"/>
      <c r="Y520"/>
      <c r="Z520"/>
      <c r="AA520"/>
      <c r="AB520"/>
      <c r="AC520"/>
      <c r="AD520"/>
      <c r="AE520"/>
      <c r="AF520"/>
      <c r="AG520"/>
      <c r="AH520"/>
      <c r="AI520"/>
      <c r="AJ520"/>
      <c r="AK520"/>
      <c r="AL520"/>
      <c r="AM520"/>
      <c r="AN520"/>
      <c r="AO520"/>
      <c r="AP520"/>
    </row>
    <row r="521" spans="2:42" s="24" customFormat="1">
      <c r="B521"/>
      <c r="C521" s="206"/>
      <c r="E521" s="16"/>
      <c r="F521"/>
      <c r="G521" s="359"/>
      <c r="H521"/>
      <c r="I521"/>
      <c r="J521"/>
      <c r="K521"/>
      <c r="L521"/>
      <c r="M521"/>
      <c r="N521"/>
      <c r="O521"/>
      <c r="P521"/>
      <c r="Q521" s="2791"/>
      <c r="R521" s="2791"/>
      <c r="S521" s="2791"/>
      <c r="T521"/>
      <c r="U521"/>
      <c r="V521"/>
      <c r="W521"/>
      <c r="X521"/>
      <c r="Y521"/>
      <c r="Z521"/>
      <c r="AA521"/>
      <c r="AB521"/>
      <c r="AC521"/>
      <c r="AD521"/>
      <c r="AE521"/>
      <c r="AF521"/>
      <c r="AG521"/>
      <c r="AH521"/>
      <c r="AI521"/>
      <c r="AJ521"/>
      <c r="AK521"/>
      <c r="AL521"/>
      <c r="AM521"/>
      <c r="AN521"/>
      <c r="AO521"/>
      <c r="AP521"/>
    </row>
    <row r="522" spans="2:42" s="24" customFormat="1">
      <c r="B522"/>
      <c r="C522" s="206"/>
      <c r="E522" s="16"/>
      <c r="F522"/>
      <c r="G522" s="359"/>
      <c r="H522"/>
      <c r="I522"/>
      <c r="J522"/>
      <c r="K522"/>
      <c r="L522"/>
      <c r="M522"/>
      <c r="N522"/>
      <c r="O522"/>
      <c r="P522"/>
      <c r="Q522" s="2791"/>
      <c r="R522" s="2791"/>
      <c r="S522" s="2791"/>
      <c r="T522"/>
      <c r="U522"/>
      <c r="V522"/>
      <c r="W522"/>
      <c r="X522"/>
      <c r="Y522"/>
      <c r="Z522"/>
      <c r="AA522"/>
      <c r="AB522"/>
      <c r="AC522"/>
      <c r="AD522"/>
      <c r="AE522"/>
      <c r="AF522"/>
      <c r="AG522"/>
      <c r="AH522"/>
      <c r="AI522"/>
      <c r="AJ522"/>
      <c r="AK522"/>
      <c r="AL522"/>
      <c r="AM522"/>
      <c r="AN522"/>
      <c r="AO522"/>
      <c r="AP522"/>
    </row>
    <row r="523" spans="2:42" s="24" customFormat="1">
      <c r="B523"/>
      <c r="C523" s="206"/>
      <c r="E523" s="16"/>
      <c r="F523"/>
      <c r="G523" s="359"/>
      <c r="H523"/>
      <c r="I523"/>
      <c r="J523"/>
      <c r="K523"/>
      <c r="L523"/>
      <c r="M523"/>
      <c r="N523"/>
      <c r="O523"/>
      <c r="P523"/>
      <c r="Q523" s="2791"/>
      <c r="R523" s="2791"/>
      <c r="S523" s="2791"/>
      <c r="T523"/>
      <c r="U523"/>
      <c r="V523"/>
      <c r="W523"/>
      <c r="X523"/>
      <c r="Y523"/>
      <c r="Z523"/>
      <c r="AA523"/>
      <c r="AB523"/>
      <c r="AC523"/>
      <c r="AD523"/>
      <c r="AE523"/>
      <c r="AF523"/>
      <c r="AG523"/>
      <c r="AH523"/>
      <c r="AI523"/>
      <c r="AJ523"/>
      <c r="AK523"/>
      <c r="AL523"/>
      <c r="AM523"/>
      <c r="AN523"/>
      <c r="AO523"/>
      <c r="AP523"/>
    </row>
    <row r="524" spans="2:42" s="24" customFormat="1">
      <c r="B524"/>
      <c r="C524" s="206"/>
      <c r="E524" s="16"/>
      <c r="F524"/>
      <c r="G524" s="359"/>
      <c r="H524"/>
      <c r="I524"/>
      <c r="J524"/>
      <c r="K524"/>
      <c r="L524"/>
      <c r="M524"/>
      <c r="N524"/>
      <c r="O524"/>
      <c r="P524"/>
      <c r="Q524" s="2791"/>
      <c r="R524" s="2791"/>
      <c r="S524" s="2791"/>
      <c r="T524"/>
      <c r="U524"/>
      <c r="V524"/>
      <c r="W524"/>
      <c r="X524"/>
      <c r="Y524"/>
      <c r="Z524"/>
      <c r="AA524"/>
      <c r="AB524"/>
      <c r="AC524"/>
      <c r="AD524"/>
      <c r="AE524"/>
      <c r="AF524"/>
      <c r="AG524"/>
      <c r="AH524"/>
      <c r="AI524"/>
      <c r="AJ524"/>
      <c r="AK524"/>
      <c r="AL524"/>
      <c r="AM524"/>
      <c r="AN524"/>
      <c r="AO524"/>
      <c r="AP524"/>
    </row>
    <row r="525" spans="2:42" s="24" customFormat="1">
      <c r="B525"/>
      <c r="C525" s="206"/>
      <c r="E525" s="16"/>
      <c r="F525"/>
      <c r="G525" s="359"/>
      <c r="H525"/>
      <c r="I525"/>
      <c r="J525"/>
      <c r="K525"/>
      <c r="L525"/>
      <c r="M525"/>
      <c r="N525"/>
      <c r="O525"/>
      <c r="P525"/>
      <c r="Q525" s="2791"/>
      <c r="R525" s="2791"/>
      <c r="S525" s="2791"/>
      <c r="T525"/>
      <c r="U525"/>
      <c r="V525"/>
      <c r="W525"/>
      <c r="X525"/>
      <c r="Y525"/>
      <c r="Z525"/>
      <c r="AA525"/>
      <c r="AB525"/>
      <c r="AC525"/>
      <c r="AD525"/>
      <c r="AE525"/>
      <c r="AF525"/>
      <c r="AG525"/>
      <c r="AH525"/>
      <c r="AI525"/>
      <c r="AJ525"/>
      <c r="AK525"/>
      <c r="AL525"/>
      <c r="AM525"/>
      <c r="AN525"/>
      <c r="AO525"/>
      <c r="AP525"/>
    </row>
    <row r="526" spans="2:42" s="24" customFormat="1">
      <c r="B526"/>
      <c r="C526" s="206"/>
      <c r="E526" s="16"/>
      <c r="F526"/>
      <c r="G526" s="359"/>
      <c r="H526"/>
      <c r="I526"/>
      <c r="J526"/>
      <c r="K526"/>
      <c r="L526"/>
      <c r="M526"/>
      <c r="N526"/>
      <c r="O526"/>
      <c r="P526"/>
      <c r="Q526" s="2791"/>
      <c r="R526" s="2791"/>
      <c r="S526" s="2791"/>
      <c r="T526"/>
      <c r="U526"/>
      <c r="V526"/>
      <c r="W526"/>
      <c r="X526"/>
      <c r="Y526"/>
      <c r="Z526"/>
      <c r="AA526"/>
      <c r="AB526"/>
      <c r="AC526"/>
      <c r="AD526"/>
      <c r="AE526"/>
      <c r="AF526"/>
      <c r="AG526"/>
      <c r="AH526"/>
      <c r="AI526"/>
      <c r="AJ526"/>
      <c r="AK526"/>
      <c r="AL526"/>
      <c r="AM526"/>
      <c r="AN526"/>
      <c r="AO526"/>
      <c r="AP526"/>
    </row>
  </sheetData>
  <mergeCells count="51">
    <mergeCell ref="Q17:S20"/>
    <mergeCell ref="Q21:Q22"/>
    <mergeCell ref="R21:R22"/>
    <mergeCell ref="S21:S22"/>
    <mergeCell ref="V19:Z20"/>
    <mergeCell ref="U19:U20"/>
    <mergeCell ref="AK21:AK22"/>
    <mergeCell ref="Y21:Y22"/>
    <mergeCell ref="Z21:Z22"/>
    <mergeCell ref="AA21:AA22"/>
    <mergeCell ref="C27:C30"/>
    <mergeCell ref="AB21:AB22"/>
    <mergeCell ref="AD21:AD22"/>
    <mergeCell ref="AE21:AE22"/>
    <mergeCell ref="L21:M21"/>
    <mergeCell ref="N21:N22"/>
    <mergeCell ref="O21:O22"/>
    <mergeCell ref="P21:P22"/>
    <mergeCell ref="C21:C22"/>
    <mergeCell ref="D21:D22"/>
    <mergeCell ref="E21:E22"/>
    <mergeCell ref="F21:G21"/>
    <mergeCell ref="H21:I21"/>
    <mergeCell ref="AJ21:AJ22"/>
    <mergeCell ref="C23:C26"/>
    <mergeCell ref="D23:D26"/>
    <mergeCell ref="V21:V22"/>
    <mergeCell ref="W21:W22"/>
    <mergeCell ref="X21:X22"/>
    <mergeCell ref="AC19:AC22"/>
    <mergeCell ref="AD19:AE20"/>
    <mergeCell ref="U21:U22"/>
    <mergeCell ref="AA19:AB20"/>
    <mergeCell ref="AH19:AK20"/>
    <mergeCell ref="B17:K20"/>
    <mergeCell ref="L17:P18"/>
    <mergeCell ref="U17:AE18"/>
    <mergeCell ref="L19:P20"/>
    <mergeCell ref="D55:D58"/>
    <mergeCell ref="C31:C33"/>
    <mergeCell ref="C35:C37"/>
    <mergeCell ref="C39:C41"/>
    <mergeCell ref="D47:D50"/>
    <mergeCell ref="D31:D34"/>
    <mergeCell ref="D35:D38"/>
    <mergeCell ref="D39:D42"/>
    <mergeCell ref="C43:C46"/>
    <mergeCell ref="D43:D46"/>
    <mergeCell ref="C47:C50"/>
    <mergeCell ref="C51:C54"/>
    <mergeCell ref="D51:D54"/>
  </mergeCells>
  <pageMargins left="0.7" right="0.7" top="0.75" bottom="0.75" header="0.3" footer="0.3"/>
  <pageSetup paperSize="9" orientation="portrait" horizontalDpi="0" verticalDpi="0"/>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B1:X80"/>
  <sheetViews>
    <sheetView showGridLines="0" zoomScaleNormal="100" workbookViewId="0">
      <selection activeCell="H36" sqref="H36"/>
    </sheetView>
  </sheetViews>
  <sheetFormatPr baseColWidth="10" defaultColWidth="11" defaultRowHeight="16"/>
  <cols>
    <col min="1" max="1" width="4.6640625" customWidth="1"/>
    <col min="2" max="2" width="17.5" customWidth="1"/>
    <col min="3" max="3" width="35.1640625" customWidth="1"/>
    <col min="4" max="4" width="16.83203125" customWidth="1"/>
    <col min="5" max="5" width="13.33203125" customWidth="1"/>
    <col min="6" max="7" width="14.33203125" customWidth="1"/>
    <col min="8" max="8" width="18.1640625" customWidth="1"/>
    <col min="9" max="9" width="16.6640625" customWidth="1"/>
    <col min="10" max="10" width="17.6640625" customWidth="1"/>
    <col min="11" max="11" width="10.5" customWidth="1"/>
    <col min="12" max="12" width="14.6640625" customWidth="1"/>
    <col min="13" max="13" width="10.5" customWidth="1"/>
    <col min="14" max="14" width="11.83203125" customWidth="1"/>
    <col min="15" max="18" width="13.5" customWidth="1"/>
  </cols>
  <sheetData>
    <row r="1" spans="2:22">
      <c r="B1" s="8" t="s">
        <v>1035</v>
      </c>
    </row>
    <row r="2" spans="2:22">
      <c r="K2" s="79"/>
      <c r="L2" s="79"/>
      <c r="M2" s="79"/>
      <c r="N2" s="79"/>
    </row>
    <row r="3" spans="2:22">
      <c r="B3" s="8" t="s">
        <v>844</v>
      </c>
      <c r="G3" s="692"/>
      <c r="H3" s="692"/>
      <c r="I3" s="692"/>
      <c r="J3" s="692"/>
      <c r="K3" s="2596"/>
      <c r="L3" s="79"/>
      <c r="M3" s="79"/>
      <c r="N3" s="79"/>
    </row>
    <row r="4" spans="2:22" ht="17" thickBot="1">
      <c r="B4" t="s">
        <v>839</v>
      </c>
      <c r="C4" t="s">
        <v>845</v>
      </c>
      <c r="D4" s="1"/>
      <c r="E4" s="1"/>
      <c r="F4" s="1"/>
      <c r="G4" s="1"/>
      <c r="H4" s="1"/>
      <c r="K4" s="2597"/>
      <c r="L4" s="2597"/>
      <c r="M4" s="79"/>
      <c r="N4" s="79"/>
    </row>
    <row r="5" spans="2:22">
      <c r="C5" s="804" t="s">
        <v>838</v>
      </c>
      <c r="D5" s="805" t="s">
        <v>860</v>
      </c>
      <c r="E5" s="805"/>
      <c r="F5" s="805"/>
      <c r="G5" s="805"/>
      <c r="H5" s="805"/>
      <c r="K5" s="2598"/>
      <c r="L5" s="2380"/>
      <c r="M5" s="79"/>
      <c r="N5" s="79"/>
    </row>
    <row r="6" spans="2:22">
      <c r="C6" s="807" t="s">
        <v>827</v>
      </c>
      <c r="D6" t="s">
        <v>2204</v>
      </c>
      <c r="H6" s="79"/>
      <c r="K6" s="2598"/>
      <c r="L6" s="2380"/>
      <c r="M6" s="79"/>
      <c r="N6" s="79"/>
    </row>
    <row r="7" spans="2:22">
      <c r="C7" s="807" t="s">
        <v>827</v>
      </c>
      <c r="D7" s="2791" t="s">
        <v>2390</v>
      </c>
      <c r="H7" s="79"/>
      <c r="K7" s="2598"/>
      <c r="L7" s="2380"/>
      <c r="M7" s="79"/>
      <c r="N7" s="79"/>
    </row>
    <row r="8" spans="2:22">
      <c r="C8" s="807" t="s">
        <v>827</v>
      </c>
      <c r="D8" s="2791" t="s">
        <v>2369</v>
      </c>
      <c r="H8" s="79"/>
      <c r="K8" s="2598"/>
      <c r="L8" s="2380"/>
      <c r="M8" s="79"/>
      <c r="N8" s="79"/>
    </row>
    <row r="9" spans="2:22">
      <c r="C9" s="807"/>
      <c r="H9" s="79"/>
      <c r="K9" s="2598"/>
      <c r="L9" s="2380"/>
      <c r="M9" s="79"/>
      <c r="N9" s="79"/>
    </row>
    <row r="10" spans="2:22">
      <c r="C10" s="807"/>
      <c r="H10" s="79"/>
      <c r="K10" s="2598"/>
      <c r="L10" s="2380"/>
      <c r="M10" s="79"/>
      <c r="N10" s="79"/>
    </row>
    <row r="11" spans="2:22" ht="17" thickBot="1">
      <c r="C11" s="808"/>
      <c r="D11" s="574"/>
      <c r="E11" s="574"/>
      <c r="F11" s="574"/>
      <c r="G11" s="574"/>
      <c r="H11" s="574"/>
      <c r="K11" s="2598"/>
      <c r="L11" s="2380"/>
      <c r="M11" s="79"/>
      <c r="N11" s="79"/>
      <c r="V11" s="587">
        <v>0</v>
      </c>
    </row>
    <row r="12" spans="2:22">
      <c r="C12" s="360" t="s">
        <v>851</v>
      </c>
      <c r="K12" s="2598"/>
      <c r="L12" s="2380"/>
      <c r="M12" s="79"/>
      <c r="N12" s="79"/>
      <c r="V12" s="587"/>
    </row>
    <row r="13" spans="2:22">
      <c r="K13" s="2598"/>
      <c r="L13" s="2380"/>
      <c r="M13" s="79"/>
      <c r="N13" s="79"/>
      <c r="V13" s="587"/>
    </row>
    <row r="14" spans="2:22">
      <c r="B14" t="s">
        <v>942</v>
      </c>
      <c r="C14" s="359" t="s">
        <v>848</v>
      </c>
      <c r="K14" s="2598"/>
      <c r="L14" s="2380"/>
      <c r="M14" s="79"/>
      <c r="N14" s="79"/>
      <c r="V14" s="587"/>
    </row>
    <row r="15" spans="2:22">
      <c r="K15" s="2598"/>
      <c r="L15" s="2380"/>
      <c r="M15" s="79"/>
      <c r="N15" s="79"/>
    </row>
    <row r="16" spans="2:22">
      <c r="B16" s="8" t="s">
        <v>730</v>
      </c>
      <c r="K16" s="2598"/>
      <c r="L16" s="2380"/>
      <c r="M16" s="79"/>
      <c r="N16" s="79"/>
    </row>
    <row r="17" spans="2:14" ht="17">
      <c r="B17" s="3" t="s">
        <v>847</v>
      </c>
      <c r="G17" s="562"/>
      <c r="H17" s="562"/>
      <c r="I17" s="562"/>
      <c r="J17" s="562"/>
      <c r="K17" s="2598"/>
      <c r="L17" s="2380"/>
      <c r="M17" s="79"/>
      <c r="N17" s="79"/>
    </row>
    <row r="18" spans="2:14" ht="17">
      <c r="C18" t="s">
        <v>1866</v>
      </c>
      <c r="G18" s="562"/>
      <c r="H18" s="562"/>
      <c r="I18" s="562"/>
      <c r="J18" s="562"/>
      <c r="K18" s="2598"/>
      <c r="L18" s="2380"/>
      <c r="M18" s="79"/>
      <c r="N18" s="79"/>
    </row>
    <row r="19" spans="2:14" ht="17">
      <c r="C19" t="s">
        <v>2037</v>
      </c>
      <c r="G19" s="562"/>
      <c r="H19" s="562"/>
      <c r="I19" s="562"/>
      <c r="J19" s="562"/>
      <c r="K19" s="2598"/>
      <c r="L19" s="2380"/>
      <c r="M19" s="79"/>
      <c r="N19" s="79"/>
    </row>
    <row r="20" spans="2:14">
      <c r="C20" t="s">
        <v>2038</v>
      </c>
      <c r="G20" s="692"/>
      <c r="H20" s="692"/>
      <c r="I20" s="692"/>
      <c r="J20" s="692"/>
      <c r="K20" s="2598"/>
      <c r="L20" s="2380"/>
      <c r="M20" s="79"/>
      <c r="N20" s="79"/>
    </row>
    <row r="21" spans="2:14">
      <c r="C21" s="2" t="s">
        <v>2039</v>
      </c>
      <c r="G21" s="692"/>
      <c r="H21" s="692"/>
      <c r="I21" s="692"/>
      <c r="J21" s="692"/>
      <c r="K21" s="79"/>
      <c r="L21" s="79"/>
      <c r="M21" s="79"/>
      <c r="N21" s="79"/>
    </row>
    <row r="22" spans="2:14">
      <c r="C22" s="514" t="s">
        <v>2036</v>
      </c>
      <c r="G22" s="692"/>
      <c r="H22" s="692"/>
      <c r="I22" s="692"/>
      <c r="J22" s="692"/>
      <c r="K22" s="79"/>
      <c r="L22" s="79"/>
      <c r="M22" s="79"/>
      <c r="N22" s="79"/>
    </row>
    <row r="23" spans="2:14" ht="17">
      <c r="C23" t="s">
        <v>843</v>
      </c>
      <c r="G23" s="562"/>
      <c r="H23" s="562"/>
      <c r="I23" s="562"/>
      <c r="J23" s="562"/>
      <c r="K23" s="79"/>
      <c r="L23" s="79"/>
      <c r="M23" s="79"/>
      <c r="N23" s="79"/>
    </row>
    <row r="24" spans="2:14" ht="17">
      <c r="C24" t="s">
        <v>867</v>
      </c>
      <c r="D24" s="31"/>
      <c r="G24" s="562"/>
      <c r="H24" s="562"/>
      <c r="I24" s="562"/>
      <c r="J24" s="562"/>
    </row>
    <row r="25" spans="2:14" ht="17">
      <c r="C25" t="s">
        <v>805</v>
      </c>
      <c r="D25" s="31"/>
      <c r="G25" s="562"/>
      <c r="H25" s="562"/>
      <c r="I25" s="562"/>
      <c r="J25" s="562"/>
    </row>
    <row r="26" spans="2:14" ht="17">
      <c r="D26" s="31"/>
      <c r="G26" s="562"/>
      <c r="H26" s="562"/>
      <c r="I26" s="562"/>
      <c r="J26" s="562"/>
    </row>
    <row r="27" spans="2:14" ht="17">
      <c r="D27" s="31"/>
      <c r="G27" s="562"/>
      <c r="H27" s="562"/>
      <c r="I27" s="562"/>
      <c r="J27" s="562"/>
    </row>
    <row r="28" spans="2:14" ht="17">
      <c r="B28" s="3" t="s">
        <v>846</v>
      </c>
      <c r="G28" s="562"/>
      <c r="H28" s="562"/>
      <c r="I28" s="562"/>
      <c r="J28" s="562"/>
    </row>
    <row r="29" spans="2:14" ht="17">
      <c r="C29" s="2681" t="s">
        <v>2035</v>
      </c>
      <c r="G29" s="562"/>
      <c r="H29" s="562"/>
      <c r="I29" s="562"/>
      <c r="J29" s="562"/>
    </row>
    <row r="30" spans="2:14" ht="17">
      <c r="C30" s="2681" t="s">
        <v>2044</v>
      </c>
      <c r="D30" s="31"/>
      <c r="G30" s="562"/>
      <c r="H30" s="562"/>
      <c r="I30" s="562"/>
      <c r="J30" s="562"/>
    </row>
    <row r="31" spans="2:14">
      <c r="C31" s="693" t="s">
        <v>2043</v>
      </c>
      <c r="G31" s="692"/>
      <c r="H31" s="692"/>
      <c r="I31" s="692"/>
      <c r="J31" s="692"/>
    </row>
    <row r="32" spans="2:14">
      <c r="C32" t="s">
        <v>836</v>
      </c>
      <c r="G32" s="692"/>
      <c r="H32" s="692"/>
      <c r="I32" s="692"/>
      <c r="J32" s="692"/>
    </row>
    <row r="33" spans="2:23">
      <c r="D33" t="s">
        <v>2370</v>
      </c>
      <c r="G33" s="692"/>
      <c r="H33" s="692"/>
      <c r="I33" s="692"/>
      <c r="J33" s="692"/>
    </row>
    <row r="34" spans="2:23">
      <c r="C34" t="s">
        <v>835</v>
      </c>
      <c r="H34" s="692"/>
      <c r="I34" s="692"/>
      <c r="J34" s="692"/>
      <c r="K34" s="692"/>
      <c r="L34" s="692"/>
      <c r="M34" s="692"/>
    </row>
    <row r="35" spans="2:23">
      <c r="D35" t="s">
        <v>834</v>
      </c>
      <c r="H35" s="692"/>
      <c r="I35" s="692"/>
      <c r="J35" s="692"/>
      <c r="K35" s="692"/>
      <c r="L35" s="692"/>
      <c r="M35" s="692"/>
    </row>
    <row r="36" spans="2:23">
      <c r="G36" s="692"/>
      <c r="H36" s="692"/>
      <c r="I36" s="692"/>
      <c r="J36" s="692"/>
    </row>
    <row r="37" spans="2:23">
      <c r="G37" s="692"/>
      <c r="H37" s="692"/>
      <c r="I37" s="692"/>
      <c r="J37" s="692"/>
    </row>
    <row r="38" spans="2:23">
      <c r="C38" s="1"/>
      <c r="G38" s="692"/>
      <c r="H38" s="692"/>
      <c r="I38" s="692"/>
      <c r="J38" s="692"/>
    </row>
    <row r="39" spans="2:23">
      <c r="G39" s="692"/>
      <c r="H39" s="692"/>
      <c r="I39" s="692"/>
      <c r="J39" s="692"/>
    </row>
    <row r="40" spans="2:23">
      <c r="G40" s="692"/>
      <c r="H40" s="692"/>
      <c r="I40" s="692"/>
      <c r="J40" s="692"/>
    </row>
    <row r="41" spans="2:23">
      <c r="G41" s="692"/>
      <c r="H41" s="692"/>
      <c r="I41" s="692"/>
      <c r="J41" s="692"/>
    </row>
    <row r="42" spans="2:23">
      <c r="G42" s="692"/>
      <c r="H42" s="692"/>
      <c r="I42" s="692"/>
      <c r="J42" s="692"/>
    </row>
    <row r="43" spans="2:23">
      <c r="G43" s="692"/>
      <c r="H43" s="692"/>
      <c r="I43" s="692"/>
      <c r="J43" s="692"/>
    </row>
    <row r="44" spans="2:23">
      <c r="G44" s="692"/>
      <c r="H44" s="692"/>
      <c r="I44" s="692"/>
      <c r="J44" s="692"/>
    </row>
    <row r="45" spans="2:23">
      <c r="G45" s="692"/>
      <c r="H45" s="692"/>
      <c r="I45" s="692"/>
      <c r="J45" s="692"/>
    </row>
    <row r="46" spans="2:23">
      <c r="G46" s="692"/>
      <c r="H46" s="692"/>
      <c r="I46" s="692"/>
      <c r="J46" s="692"/>
    </row>
    <row r="47" spans="2:23">
      <c r="B47" s="1"/>
      <c r="C47" s="360"/>
      <c r="V47" s="587"/>
    </row>
    <row r="48" spans="2:23">
      <c r="B48" s="8" t="s">
        <v>1036</v>
      </c>
      <c r="C48" s="100"/>
      <c r="F48" s="3881" t="s">
        <v>2042</v>
      </c>
      <c r="G48" s="3881"/>
      <c r="H48" s="3881"/>
      <c r="J48" s="1" t="s">
        <v>1049</v>
      </c>
      <c r="K48" s="1" t="s">
        <v>1430</v>
      </c>
      <c r="L48" s="1"/>
      <c r="M48" s="1"/>
      <c r="W48" s="587"/>
    </row>
    <row r="49" spans="2:24">
      <c r="B49" t="s">
        <v>841</v>
      </c>
      <c r="O49" t="s">
        <v>1053</v>
      </c>
      <c r="W49" s="587"/>
    </row>
    <row r="50" spans="2:24">
      <c r="C50" t="s">
        <v>829</v>
      </c>
      <c r="J50" s="259">
        <f>'Overall Assumptions'!$C$186</f>
        <v>1241</v>
      </c>
      <c r="K50" s="259">
        <f>'Overall Assumptions'!$C$179</f>
        <v>208.4</v>
      </c>
      <c r="W50" s="587"/>
    </row>
    <row r="51" spans="2:24">
      <c r="C51" s="360" t="s">
        <v>1052</v>
      </c>
      <c r="D51" s="1"/>
      <c r="E51" s="1"/>
      <c r="K51" s="3882"/>
      <c r="L51" s="3882"/>
      <c r="M51" s="3882"/>
      <c r="W51" s="587"/>
    </row>
    <row r="52" spans="2:24">
      <c r="C52" s="4" t="s">
        <v>730</v>
      </c>
      <c r="D52" s="593" t="s">
        <v>832</v>
      </c>
      <c r="F52" s="3741" t="s">
        <v>1869</v>
      </c>
      <c r="G52" s="3742"/>
      <c r="H52" s="3743"/>
      <c r="I52" s="2678"/>
      <c r="J52" s="1389" t="s">
        <v>1885</v>
      </c>
      <c r="K52" s="3744" t="s">
        <v>1870</v>
      </c>
      <c r="L52" s="3744"/>
      <c r="M52" s="3740"/>
      <c r="O52">
        <v>0</v>
      </c>
      <c r="P52">
        <v>1</v>
      </c>
      <c r="Q52">
        <v>2</v>
      </c>
      <c r="R52">
        <v>3</v>
      </c>
      <c r="X52" s="587"/>
    </row>
    <row r="53" spans="2:24" ht="16" customHeight="1">
      <c r="C53" s="480" t="s">
        <v>819</v>
      </c>
      <c r="D53" s="3828" t="s">
        <v>801</v>
      </c>
      <c r="F53" s="3883"/>
      <c r="G53" s="3884"/>
      <c r="H53" s="3885"/>
      <c r="I53" s="2100"/>
      <c r="J53" s="591"/>
      <c r="K53" s="3887"/>
      <c r="L53" s="3887"/>
      <c r="M53" s="3888"/>
      <c r="O53" s="402" t="s">
        <v>821</v>
      </c>
      <c r="P53" s="255"/>
      <c r="Q53" s="255"/>
      <c r="R53" s="161"/>
      <c r="X53" s="587"/>
    </row>
    <row r="54" spans="2:24" ht="16" customHeight="1">
      <c r="C54" s="591"/>
      <c r="D54" s="3829"/>
      <c r="F54" s="3889"/>
      <c r="G54" s="3890"/>
      <c r="H54" s="3891"/>
      <c r="I54" s="2676"/>
      <c r="J54" s="591"/>
      <c r="K54" s="3887"/>
      <c r="L54" s="3887"/>
      <c r="M54" s="3888"/>
      <c r="O54" s="480" t="s">
        <v>3</v>
      </c>
      <c r="P54" s="161" t="s">
        <v>132</v>
      </c>
      <c r="Q54" s="161" t="s">
        <v>4</v>
      </c>
      <c r="R54" s="161" t="s">
        <v>21</v>
      </c>
      <c r="X54" s="587"/>
    </row>
    <row r="55" spans="2:24" ht="16" customHeight="1">
      <c r="C55" s="591"/>
      <c r="D55" s="3829"/>
      <c r="F55" s="3895" t="s">
        <v>796</v>
      </c>
      <c r="G55" s="3896"/>
      <c r="H55" s="3897"/>
      <c r="I55" s="2676"/>
      <c r="J55" s="2673"/>
      <c r="K55" s="3896" t="s">
        <v>796</v>
      </c>
      <c r="L55" s="3896"/>
      <c r="M55" s="3897"/>
      <c r="O55" s="2672"/>
      <c r="P55" s="2677"/>
      <c r="Q55" s="2677"/>
      <c r="R55" s="246"/>
      <c r="X55" s="587"/>
    </row>
    <row r="56" spans="2:24">
      <c r="B56" s="79"/>
      <c r="C56" s="481"/>
      <c r="D56" s="3830"/>
      <c r="F56" s="404" t="s">
        <v>802</v>
      </c>
      <c r="G56" s="79" t="s">
        <v>803</v>
      </c>
      <c r="H56" s="246" t="s">
        <v>733</v>
      </c>
      <c r="I56" s="79"/>
      <c r="J56" s="2532"/>
      <c r="K56" s="439" t="s">
        <v>802</v>
      </c>
      <c r="L56" s="439" t="s">
        <v>803</v>
      </c>
      <c r="M56" s="162" t="s">
        <v>733</v>
      </c>
      <c r="O56" s="481"/>
      <c r="P56" s="162"/>
      <c r="Q56" s="162"/>
      <c r="R56" s="162"/>
      <c r="X56" s="587"/>
    </row>
    <row r="57" spans="2:24">
      <c r="B57" s="480" t="s">
        <v>862</v>
      </c>
      <c r="C57" s="161" t="s">
        <v>57</v>
      </c>
      <c r="D57" s="749"/>
      <c r="F57" s="1181">
        <f>'Forestry Management'!$AB$23</f>
        <v>18.479089883450342</v>
      </c>
      <c r="G57" s="1182">
        <f>'Forestry Management'!$AB$23</f>
        <v>18.479089883450342</v>
      </c>
      <c r="H57" s="1183">
        <f>'Forestry Management'!$AB$23</f>
        <v>18.479089883450342</v>
      </c>
      <c r="I57" s="384"/>
      <c r="J57" s="2108"/>
      <c r="K57" s="2097"/>
      <c r="L57" s="2097"/>
      <c r="M57" s="2098"/>
      <c r="O57" s="1208">
        <f ca="1">OFFSET('Forestry Management'!$AC$23,O$52+$S57,0)</f>
        <v>1</v>
      </c>
      <c r="P57" s="1208" t="str">
        <f ca="1">OFFSET('Forestry Management'!$AC$23,P$52+$S57,0)</f>
        <v/>
      </c>
      <c r="Q57" s="1208" t="str">
        <f ca="1">OFFSET('Forestry Management'!$AC$23,Q$52+$S57,0)</f>
        <v/>
      </c>
      <c r="R57" s="1208" t="str">
        <f ca="1">OFFSET('Forestry Management'!$AC$23,R$52+$S57,0)</f>
        <v/>
      </c>
      <c r="S57" s="587">
        <v>0</v>
      </c>
      <c r="T57" s="578">
        <f t="shared" ref="T57:T62" ca="1" si="0">SUM(O57:R57)</f>
        <v>1</v>
      </c>
      <c r="X57" s="587"/>
    </row>
    <row r="58" spans="2:24">
      <c r="B58" s="591" t="s">
        <v>862</v>
      </c>
      <c r="C58" s="109" t="s">
        <v>2013</v>
      </c>
      <c r="D58" s="606"/>
      <c r="F58" s="841">
        <f>'Forestry Management'!$AB$27</f>
        <v>4.2242856593237992</v>
      </c>
      <c r="G58" s="337">
        <f>'Forestry Management'!$AB$27</f>
        <v>4.2242856593237992</v>
      </c>
      <c r="H58" s="842">
        <f>'Forestry Management'!$AB$27</f>
        <v>4.2242856593237992</v>
      </c>
      <c r="I58" s="384"/>
      <c r="J58" s="3001">
        <f>'Forestry Management'!$S$28</f>
        <v>0.2159876091279169</v>
      </c>
      <c r="K58" s="3147"/>
      <c r="L58" s="3147"/>
      <c r="M58" s="3144"/>
      <c r="O58" s="751">
        <f ca="1">OFFSET('Forestry Management'!$AC$23,O$52+$S58,0)</f>
        <v>4.3869516310461196E-2</v>
      </c>
      <c r="P58" s="751">
        <f ca="1">OFFSET('Forestry Management'!$AC$23,P$52+$S58,0)</f>
        <v>0.95613048368953868</v>
      </c>
      <c r="Q58" s="751">
        <f ca="1">OFFSET('Forestry Management'!$AC$23,Q$52+$S58,0)</f>
        <v>0</v>
      </c>
      <c r="R58" s="751">
        <f ca="1">OFFSET('Forestry Management'!$AC$23,R$52+$S58,0)</f>
        <v>0</v>
      </c>
      <c r="S58" s="587">
        <v>4</v>
      </c>
      <c r="T58" s="578">
        <f t="shared" ca="1" si="0"/>
        <v>0.99999999999999989</v>
      </c>
      <c r="X58" s="587"/>
    </row>
    <row r="59" spans="2:24" ht="16" customHeight="1">
      <c r="B59" s="591" t="s">
        <v>863</v>
      </c>
      <c r="C59" s="109" t="s">
        <v>2015</v>
      </c>
      <c r="D59" s="606"/>
      <c r="F59" s="841">
        <f>'Forestry Management'!$AB$31</f>
        <v>40.98126941695606</v>
      </c>
      <c r="G59" s="337">
        <f>'Forestry Management'!$AB$35</f>
        <v>48.931172159585188</v>
      </c>
      <c r="H59" s="842">
        <f>'Forestry Management'!$AB$39</f>
        <v>64.830977644843429</v>
      </c>
      <c r="I59" s="384"/>
      <c r="J59" s="3143"/>
      <c r="K59" s="2333">
        <f>'Forestry Management'!$S$32</f>
        <v>0.2159876091279169</v>
      </c>
      <c r="L59" s="2333">
        <f>'Forestry Management'!$S$36</f>
        <v>0.2159876091279169</v>
      </c>
      <c r="M59" s="3104">
        <f>'Forestry Management'!$S$40</f>
        <v>0.2159876091279169</v>
      </c>
      <c r="O59" s="751">
        <f ca="1">OFFSET('Forestry Management'!$AC$23,O$52+$S59,0)</f>
        <v>0.45956785255615878</v>
      </c>
      <c r="P59" s="751">
        <f ca="1">OFFSET('Forestry Management'!$AC$23,P$52+$S59,0)</f>
        <v>0.2238920307324877</v>
      </c>
      <c r="Q59" s="751">
        <f ca="1">OFFSET('Forestry Management'!$AC$23,Q$52+$S59,0)</f>
        <v>0.31654011671135346</v>
      </c>
      <c r="R59" s="751">
        <f ca="1">OFFSET('Forestry Management'!$AC$23,R$52+$S59,0)</f>
        <v>0</v>
      </c>
      <c r="S59" s="587">
        <v>8</v>
      </c>
      <c r="T59" s="578">
        <f t="shared" ca="1" si="0"/>
        <v>1</v>
      </c>
      <c r="X59" s="587"/>
    </row>
    <row r="60" spans="2:24" ht="16" customHeight="1">
      <c r="B60" s="591" t="s">
        <v>862</v>
      </c>
      <c r="C60" s="109" t="s">
        <v>2045</v>
      </c>
      <c r="D60" s="2683">
        <f>'Forestry Management'!$AB$43</f>
        <v>32851.715348356156</v>
      </c>
      <c r="F60" s="2714"/>
      <c r="G60" s="2589"/>
      <c r="H60" s="2590"/>
      <c r="I60" s="384"/>
      <c r="J60" s="3143"/>
      <c r="K60" s="3192"/>
      <c r="L60" s="3192"/>
      <c r="M60" s="3193"/>
      <c r="O60" s="751">
        <f ca="1">OFFSET('Forestry Management'!$AC$23,O$52+$S60,0)</f>
        <v>1</v>
      </c>
      <c r="P60" s="751" t="str">
        <f ca="1">OFFSET('Forestry Management'!$AC$23,P$52+$S60,0)</f>
        <v/>
      </c>
      <c r="Q60" s="751" t="str">
        <f ca="1">OFFSET('Forestry Management'!$AC$23,Q$52+$S60,0)</f>
        <v/>
      </c>
      <c r="R60" s="751" t="str">
        <f ca="1">OFFSET('Forestry Management'!$AC$23,R$52+$S60,0)</f>
        <v/>
      </c>
      <c r="S60" s="587">
        <v>20</v>
      </c>
      <c r="T60" s="578">
        <f t="shared" ca="1" si="0"/>
        <v>1</v>
      </c>
      <c r="X60" s="587"/>
    </row>
    <row r="61" spans="2:24" ht="16" customHeight="1">
      <c r="B61" s="591" t="s">
        <v>862</v>
      </c>
      <c r="C61" s="109" t="s">
        <v>2040</v>
      </c>
      <c r="D61" s="2683">
        <f>'Forestry Management'!$AB$47</f>
        <v>1566629.9999999986</v>
      </c>
      <c r="F61" s="2714"/>
      <c r="G61" s="2589"/>
      <c r="H61" s="2590"/>
      <c r="I61" s="384"/>
      <c r="J61" s="3143"/>
      <c r="K61" s="3192"/>
      <c r="L61" s="3192"/>
      <c r="M61" s="3193"/>
      <c r="O61" s="751">
        <f ca="1">OFFSET('Forestry Management'!$AC$23,O$52+$S61,0)</f>
        <v>1</v>
      </c>
      <c r="P61" s="751" t="str">
        <f ca="1">OFFSET('Forestry Management'!$AC$23,P$52+$S61,0)</f>
        <v/>
      </c>
      <c r="Q61" s="751" t="str">
        <f ca="1">OFFSET('Forestry Management'!$AC$23,Q$52+$S61,0)</f>
        <v/>
      </c>
      <c r="R61" s="751" t="str">
        <f ca="1">OFFSET('Forestry Management'!$AC$23,R$52+$S61,0)</f>
        <v/>
      </c>
      <c r="S61" s="587">
        <v>24</v>
      </c>
      <c r="T61" s="578">
        <f t="shared" ca="1" si="0"/>
        <v>1</v>
      </c>
      <c r="X61" s="587"/>
    </row>
    <row r="62" spans="2:24" ht="16" customHeight="1">
      <c r="B62" s="481" t="s">
        <v>862</v>
      </c>
      <c r="C62" s="109" t="s">
        <v>2041</v>
      </c>
      <c r="D62" s="606"/>
      <c r="F62" s="841">
        <f>'Forestry Management'!$AB$55</f>
        <v>85.55624999999992</v>
      </c>
      <c r="G62" s="337">
        <f>'Forestry Management'!$AB$55</f>
        <v>85.55624999999992</v>
      </c>
      <c r="H62" s="842">
        <f>'Forestry Management'!$AB$55</f>
        <v>85.55624999999992</v>
      </c>
      <c r="I62" s="384"/>
      <c r="J62" s="3143"/>
      <c r="K62" s="2333">
        <f>'Forestry Management'!$S$52</f>
        <v>0.99999999999999911</v>
      </c>
      <c r="L62" s="2333">
        <f>'Forestry Management'!$S$52</f>
        <v>0.99999999999999911</v>
      </c>
      <c r="M62" s="3104">
        <f>'Forestry Management'!$S$52</f>
        <v>0.99999999999999911</v>
      </c>
      <c r="O62" s="751">
        <f ca="1">OFFSET('Forestry Management'!$AC$23,O$52+$S62,0)</f>
        <v>0.45348837209302328</v>
      </c>
      <c r="P62" s="751">
        <f ca="1">OFFSET('Forestry Management'!$AC$23,P$52+$S62,0)</f>
        <v>0.22093023255813954</v>
      </c>
      <c r="Q62" s="751">
        <f ca="1">OFFSET('Forestry Management'!$AC$23,Q$52+$S62,0)</f>
        <v>0.32558139534883712</v>
      </c>
      <c r="R62" s="751">
        <f ca="1">OFFSET('Forestry Management'!$AC$23,R$52+$S62,0)</f>
        <v>0</v>
      </c>
      <c r="S62" s="587">
        <v>28</v>
      </c>
      <c r="T62" s="578">
        <f t="shared" ca="1" si="0"/>
        <v>1</v>
      </c>
      <c r="X62" s="587"/>
    </row>
    <row r="63" spans="2:24">
      <c r="C63" s="771" t="s">
        <v>833</v>
      </c>
      <c r="D63" s="778">
        <f>SUM(D57:D62)</f>
        <v>1599481.7153483548</v>
      </c>
      <c r="E63" s="2089" t="s">
        <v>826</v>
      </c>
      <c r="F63" s="1265">
        <f>SUM(F57:F62)</f>
        <v>149.24089495973013</v>
      </c>
      <c r="G63" s="1260">
        <f>SUM(G57:G62)</f>
        <v>157.19079770235925</v>
      </c>
      <c r="H63" s="1266">
        <f>SUM(H57:H62)</f>
        <v>173.09060318761749</v>
      </c>
      <c r="I63" s="2531" t="s">
        <v>2226</v>
      </c>
      <c r="J63" s="3007">
        <f>SUM(J57:J62)</f>
        <v>0.2159876091279169</v>
      </c>
      <c r="K63" s="3135">
        <f>SUM(K57:K62)</f>
        <v>1.215987609127916</v>
      </c>
      <c r="L63" s="3135">
        <f>SUM(L57:L62)</f>
        <v>1.215987609127916</v>
      </c>
      <c r="M63" s="3008">
        <f>SUM(M57:M62)</f>
        <v>1.215987609127916</v>
      </c>
      <c r="O63" s="609"/>
      <c r="P63" s="609"/>
      <c r="Q63" s="609"/>
      <c r="R63" s="1"/>
      <c r="S63" s="1"/>
    </row>
    <row r="64" spans="2:24">
      <c r="B64" s="811"/>
      <c r="E64" s="16"/>
      <c r="G64" s="1"/>
      <c r="J64" s="122"/>
      <c r="R64" s="609"/>
      <c r="S64" s="609"/>
      <c r="T64" s="609"/>
    </row>
    <row r="65" spans="2:22">
      <c r="B65" s="811"/>
      <c r="C65" s="16"/>
      <c r="D65" s="16"/>
      <c r="J65" s="122"/>
      <c r="M65" s="543"/>
      <c r="O65" s="609"/>
    </row>
    <row r="66" spans="2:22">
      <c r="B66" s="811"/>
      <c r="C66" s="28" t="s">
        <v>822</v>
      </c>
      <c r="D66" s="28"/>
      <c r="E66" s="3"/>
      <c r="F66" s="3"/>
      <c r="G66" s="3"/>
      <c r="H66" s="3"/>
      <c r="I66" s="3"/>
      <c r="J66" s="122"/>
      <c r="M66" s="543"/>
      <c r="O66" s="609"/>
    </row>
    <row r="67" spans="2:22" ht="15" customHeight="1">
      <c r="B67" s="480" t="s">
        <v>862</v>
      </c>
      <c r="C67" s="161" t="s">
        <v>57</v>
      </c>
      <c r="D67" s="749"/>
      <c r="F67" s="1181">
        <f>'Forestry Management'!$Z$23</f>
        <v>7.5447171713495473</v>
      </c>
      <c r="G67" s="1182">
        <f>'Forestry Management'!$Z$23</f>
        <v>7.5447171713495473</v>
      </c>
      <c r="H67" s="1183">
        <f>'Forestry Management'!$Z$23</f>
        <v>7.5447171713495473</v>
      </c>
      <c r="I67" s="768"/>
      <c r="J67" s="122"/>
      <c r="K67" s="748"/>
      <c r="L67" s="748"/>
      <c r="M67" s="748"/>
      <c r="O67" s="609"/>
    </row>
    <row r="68" spans="2:22">
      <c r="B68" s="591" t="s">
        <v>862</v>
      </c>
      <c r="C68" s="109" t="s">
        <v>2013</v>
      </c>
      <c r="D68" s="606"/>
      <c r="F68" s="841">
        <f>'Forestry Management'!$Z$27</f>
        <v>1.3001457203612317</v>
      </c>
      <c r="G68" s="337">
        <f>'Forestry Management'!$Z$27</f>
        <v>1.3001457203612317</v>
      </c>
      <c r="H68" s="842">
        <f>'Forestry Management'!$Z$27</f>
        <v>1.3001457203612317</v>
      </c>
      <c r="I68" s="779"/>
      <c r="J68" s="620"/>
      <c r="K68" s="79"/>
      <c r="L68" s="79"/>
      <c r="M68" s="79"/>
      <c r="O68" s="609"/>
    </row>
    <row r="69" spans="2:22" ht="16" customHeight="1">
      <c r="B69" s="591" t="s">
        <v>863</v>
      </c>
      <c r="C69" s="109" t="s">
        <v>2015</v>
      </c>
      <c r="D69" s="606"/>
      <c r="F69" s="841">
        <f>'Forestry Management'!$Z$31</f>
        <v>15.362362452055514</v>
      </c>
      <c r="G69" s="337">
        <f>'Forestry Management'!$Z$35</f>
        <v>18.334025228004776</v>
      </c>
      <c r="H69" s="842">
        <f>'Forestry Management'!$Z$39</f>
        <v>24.277350779903287</v>
      </c>
      <c r="I69" s="779"/>
      <c r="J69" s="79"/>
      <c r="K69" s="79"/>
      <c r="L69" s="79"/>
      <c r="M69" s="79"/>
      <c r="N69" s="609"/>
    </row>
    <row r="70" spans="2:22" ht="16" customHeight="1">
      <c r="B70" s="591" t="s">
        <v>862</v>
      </c>
      <c r="C70" s="109" t="s">
        <v>2045</v>
      </c>
      <c r="D70" s="2683">
        <f>'Forestry Management'!$Z$43</f>
        <v>13412.830526843638</v>
      </c>
      <c r="F70" s="2714"/>
      <c r="G70" s="2589"/>
      <c r="H70" s="2590"/>
      <c r="I70" s="779"/>
      <c r="J70" s="79"/>
      <c r="K70" s="79"/>
      <c r="L70" s="79"/>
      <c r="M70" s="79"/>
      <c r="N70" s="609"/>
    </row>
    <row r="71" spans="2:22" ht="16" customHeight="1">
      <c r="B71" s="591" t="s">
        <v>862</v>
      </c>
      <c r="C71" s="109" t="s">
        <v>2040</v>
      </c>
      <c r="D71" s="2683">
        <f>'Forestry Management'!$Z$47</f>
        <v>639629.99999999953</v>
      </c>
      <c r="F71" s="2714"/>
      <c r="G71" s="2589"/>
      <c r="H71" s="2590"/>
      <c r="I71" s="779"/>
      <c r="J71" s="79"/>
      <c r="K71" s="79"/>
      <c r="L71" s="79"/>
      <c r="M71" s="79"/>
      <c r="N71" s="609"/>
    </row>
    <row r="72" spans="2:22">
      <c r="B72" s="481" t="s">
        <v>862</v>
      </c>
      <c r="C72" s="109" t="s">
        <v>2041</v>
      </c>
      <c r="D72" s="606"/>
      <c r="F72" s="841">
        <f>'Forestry Management'!$Z$55</f>
        <v>34.931249999999963</v>
      </c>
      <c r="G72" s="337">
        <f>'Forestry Management'!$Z$55</f>
        <v>34.931249999999963</v>
      </c>
      <c r="H72" s="842">
        <f>'Forestry Management'!$Z$55</f>
        <v>34.931249999999963</v>
      </c>
      <c r="I72" s="779"/>
      <c r="L72" s="543"/>
      <c r="M72" s="543"/>
      <c r="N72" s="609"/>
    </row>
    <row r="73" spans="2:22">
      <c r="C73" s="771" t="s">
        <v>833</v>
      </c>
      <c r="D73" s="778">
        <f>SUM(D67:D72)</f>
        <v>653042.8305268432</v>
      </c>
      <c r="E73" s="2089" t="s">
        <v>826</v>
      </c>
      <c r="F73" s="1265">
        <f>SUM(F67:F72)</f>
        <v>59.13847534376626</v>
      </c>
      <c r="G73" s="1260">
        <f>SUM(G67:G72)</f>
        <v>62.110138119715515</v>
      </c>
      <c r="H73" s="1266">
        <f>SUM(H67:H72)</f>
        <v>68.053463671614026</v>
      </c>
    </row>
    <row r="75" spans="2:22">
      <c r="V75" s="587"/>
    </row>
    <row r="80" spans="2:22">
      <c r="G80">
        <v>100</v>
      </c>
    </row>
  </sheetData>
  <mergeCells count="11">
    <mergeCell ref="F48:H48"/>
    <mergeCell ref="K51:M51"/>
    <mergeCell ref="F52:H52"/>
    <mergeCell ref="K52:M52"/>
    <mergeCell ref="D53:D56"/>
    <mergeCell ref="F53:H53"/>
    <mergeCell ref="K53:M53"/>
    <mergeCell ref="F54:H54"/>
    <mergeCell ref="K54:M54"/>
    <mergeCell ref="F55:H55"/>
    <mergeCell ref="K55:M55"/>
  </mergeCells>
  <hyperlinks>
    <hyperlink ref="C22" r:id="rId1" display="https://www.agriculture.gov.au/sites/default/files/abares/forestsaustralia/documents/sofr_2018/maps%20and%20other%20graphics/c2/SOFR_2018_Fig_2_1_Native_forest_commerciality.pdf" xr:uid="{00000000-0004-0000-1400-000000000000}"/>
  </hyperlinks>
  <pageMargins left="0.7" right="0.7" top="0.75" bottom="0.75" header="0.3" footer="0.3"/>
  <pageSetup paperSize="9" orientation="portrait" horizontalDpi="0" verticalDpi="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P805"/>
  <sheetViews>
    <sheetView showGridLines="0" zoomScaleNormal="100" workbookViewId="0">
      <selection activeCell="H36" sqref="H36"/>
    </sheetView>
  </sheetViews>
  <sheetFormatPr baseColWidth="10" defaultColWidth="11" defaultRowHeight="16"/>
  <cols>
    <col min="1" max="1" width="2.6640625" customWidth="1"/>
    <col min="2" max="2" width="4.83203125" customWidth="1"/>
    <col min="3" max="3" width="37.1640625" customWidth="1"/>
    <col min="4" max="4" width="23.6640625" style="24" customWidth="1"/>
    <col min="5" max="5" width="12.5" style="16" customWidth="1"/>
    <col min="6" max="6" width="14.33203125" customWidth="1"/>
    <col min="7" max="7" width="17.1640625" style="359" customWidth="1"/>
    <col min="8" max="8" width="11.6640625" customWidth="1"/>
    <col min="9" max="9" width="31.6640625" customWidth="1"/>
    <col min="10" max="10" width="18.6640625" customWidth="1"/>
    <col min="11" max="11" width="6.5" customWidth="1"/>
    <col min="12" max="12" width="12.1640625" customWidth="1"/>
    <col min="13" max="14" width="10.6640625" customWidth="1"/>
    <col min="15" max="15" width="13.6640625" customWidth="1"/>
    <col min="16" max="16" width="15.1640625" customWidth="1"/>
    <col min="17" max="19" width="15.1640625" style="2791" customWidth="1"/>
    <col min="20" max="20" width="2.6640625" customWidth="1"/>
    <col min="21" max="21" width="11.1640625" customWidth="1"/>
    <col min="22" max="24" width="11.6640625" customWidth="1"/>
    <col min="25" max="26" width="18.83203125" customWidth="1"/>
    <col min="27" max="27" width="19.33203125" customWidth="1"/>
    <col min="28" max="29" width="16.6640625" customWidth="1"/>
    <col min="30" max="30" width="21" customWidth="1"/>
    <col min="31" max="31" width="23.5" customWidth="1"/>
    <col min="32" max="32" width="37.5" customWidth="1"/>
    <col min="34" max="34" width="14.33203125" customWidth="1"/>
    <col min="35" max="35" width="12.6640625" bestFit="1" customWidth="1"/>
    <col min="36" max="37" width="12.83203125" customWidth="1"/>
    <col min="42" max="42" width="12.5" bestFit="1" customWidth="1"/>
  </cols>
  <sheetData>
    <row r="1" spans="2:35">
      <c r="B1" s="3" t="s">
        <v>19</v>
      </c>
      <c r="C1" s="24"/>
      <c r="D1" s="16" t="s">
        <v>1276</v>
      </c>
      <c r="E1"/>
      <c r="F1" s="359"/>
      <c r="G1"/>
      <c r="H1" s="359"/>
    </row>
    <row r="2" spans="2:35">
      <c r="C2" s="24" t="s">
        <v>10</v>
      </c>
      <c r="D2" s="16" t="s">
        <v>1277</v>
      </c>
      <c r="E2"/>
      <c r="F2" s="359"/>
      <c r="G2"/>
      <c r="H2" s="359"/>
    </row>
    <row r="3" spans="2:35">
      <c r="C3" s="24" t="s">
        <v>0</v>
      </c>
      <c r="D3" s="627" t="s">
        <v>1278</v>
      </c>
      <c r="E3"/>
      <c r="F3" s="359"/>
      <c r="G3"/>
      <c r="H3" s="359"/>
    </row>
    <row r="4" spans="2:35">
      <c r="B4" s="3"/>
      <c r="C4" s="24" t="s">
        <v>1</v>
      </c>
      <c r="D4" s="239" t="s">
        <v>1279</v>
      </c>
      <c r="E4"/>
      <c r="F4" s="359"/>
      <c r="G4"/>
      <c r="H4" s="359"/>
    </row>
    <row r="5" spans="2:35">
      <c r="B5" s="3" t="s">
        <v>20</v>
      </c>
      <c r="C5" s="24"/>
      <c r="D5" s="16"/>
      <c r="E5"/>
      <c r="F5" s="359"/>
      <c r="H5" s="1"/>
      <c r="I5" s="359"/>
    </row>
    <row r="6" spans="2:35">
      <c r="C6" s="24" t="s">
        <v>2</v>
      </c>
      <c r="D6" s="239" t="s">
        <v>729</v>
      </c>
      <c r="E6"/>
      <c r="F6" s="359"/>
      <c r="H6" s="6"/>
      <c r="I6" s="359"/>
      <c r="T6" s="15"/>
    </row>
    <row r="7" spans="2:35">
      <c r="C7" s="24" t="s">
        <v>22</v>
      </c>
      <c r="D7" s="16" t="s">
        <v>1281</v>
      </c>
      <c r="E7"/>
      <c r="F7" s="359"/>
      <c r="H7" s="6"/>
      <c r="I7" s="359"/>
    </row>
    <row r="8" spans="2:35">
      <c r="C8" s="24" t="s">
        <v>7</v>
      </c>
      <c r="D8" s="627" t="s">
        <v>1280</v>
      </c>
      <c r="E8"/>
      <c r="F8" s="359"/>
      <c r="H8" s="6"/>
      <c r="I8" s="359"/>
      <c r="W8" s="15"/>
    </row>
    <row r="9" spans="2:35">
      <c r="C9" s="24" t="s">
        <v>8</v>
      </c>
      <c r="D9" s="238" t="s">
        <v>583</v>
      </c>
      <c r="E9"/>
      <c r="F9" s="359"/>
      <c r="H9" s="6"/>
      <c r="I9" s="359"/>
      <c r="U9" s="5"/>
    </row>
    <row r="10" spans="2:35" ht="19">
      <c r="C10" s="24"/>
      <c r="D10" s="16"/>
      <c r="F10" s="359"/>
      <c r="I10" s="359"/>
      <c r="AC10" s="1526"/>
      <c r="AF10" s="1527"/>
    </row>
    <row r="11" spans="2:35" ht="19">
      <c r="B11" s="904" t="s">
        <v>140</v>
      </c>
      <c r="C11" s="113"/>
      <c r="D11" s="16"/>
      <c r="F11" s="359"/>
      <c r="I11" s="359"/>
      <c r="AA11" s="2953" t="s">
        <v>2305</v>
      </c>
      <c r="AB11" s="2953"/>
      <c r="AC11" s="1526"/>
      <c r="AF11" s="1527"/>
    </row>
    <row r="12" spans="2:35" ht="19">
      <c r="C12" s="31" t="s">
        <v>960</v>
      </c>
      <c r="D12" s="16"/>
      <c r="F12" s="359"/>
      <c r="I12" s="359"/>
      <c r="AA12" s="204">
        <f>SUMIF(T23:T104,"L",AA23:AA104)-AA13-AA15</f>
        <v>595.78895038348355</v>
      </c>
      <c r="AB12" s="2953" t="s">
        <v>2303</v>
      </c>
      <c r="AC12" s="1526"/>
      <c r="AF12" s="1527"/>
    </row>
    <row r="13" spans="2:35" ht="19">
      <c r="C13" s="955" t="s">
        <v>961</v>
      </c>
      <c r="D13" s="16"/>
      <c r="F13" s="359"/>
      <c r="I13" s="359"/>
      <c r="AA13" s="454">
        <f>AA43</f>
        <v>1566629.9999999986</v>
      </c>
      <c r="AB13" s="2953" t="s">
        <v>2304</v>
      </c>
      <c r="AC13" s="1526"/>
      <c r="AF13" s="1527"/>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16</v>
      </c>
      <c r="U15" t="s">
        <v>954</v>
      </c>
      <c r="V15" t="s">
        <v>906</v>
      </c>
      <c r="AA15" s="454">
        <f>SUM(AA35,AA39,,AA59,AA63,AA75,AA79)</f>
        <v>1370.447814699442</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1528"/>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1525"/>
      <c r="AG21" s="1525"/>
      <c r="AH21" s="909" t="s">
        <v>66</v>
      </c>
      <c r="AI21" s="895"/>
      <c r="AJ21" s="3748" t="s">
        <v>190</v>
      </c>
      <c r="AK21" s="3748" t="s">
        <v>181</v>
      </c>
    </row>
    <row r="22" spans="1:37" s="893" customFormat="1" ht="38" customHeight="1">
      <c r="B22" s="1529"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1525"/>
      <c r="AG22" s="893" t="s">
        <v>732</v>
      </c>
      <c r="AH22" s="1530" t="s">
        <v>17</v>
      </c>
      <c r="AI22" s="898" t="s">
        <v>18</v>
      </c>
      <c r="AJ22" s="3749"/>
      <c r="AK22" s="3749"/>
    </row>
    <row r="23" spans="1:37" ht="19" customHeight="1">
      <c r="B23" s="260">
        <v>1.1000000000000001</v>
      </c>
      <c r="C23" s="3844" t="s">
        <v>201</v>
      </c>
      <c r="D23" s="3847" t="s">
        <v>131</v>
      </c>
      <c r="E23" s="12" t="s">
        <v>3</v>
      </c>
      <c r="F23" s="1172">
        <v>0</v>
      </c>
      <c r="G23" s="1172">
        <f>$E$121</f>
        <v>15</v>
      </c>
      <c r="H23" s="188">
        <f>F121</f>
        <v>5062.5</v>
      </c>
      <c r="I23" s="921" t="s">
        <v>407</v>
      </c>
      <c r="J23" s="377" t="str">
        <f>IF(K23=1,"Annual","Done every "&amp;K23&amp;" years")</f>
        <v>Annual</v>
      </c>
      <c r="K23" s="11">
        <f>$D$108</f>
        <v>1</v>
      </c>
      <c r="L23" s="1043">
        <f>$L$16/K23</f>
        <v>80</v>
      </c>
      <c r="M23" s="171">
        <f>$L$16/L23</f>
        <v>1</v>
      </c>
      <c r="N23" s="240">
        <f>$H23*(1-(1+$L$15)^-(L23*M23))/((1+$L$15)^M23-1)*(1+((1+$L$15)^M23-1))</f>
        <v>125914.53807358607</v>
      </c>
      <c r="O23" s="191">
        <f t="shared" ref="O23:O54" si="0">N23/(1+$L$15)*($L$15)/(1-(1+$L$15)^-$L$16)</f>
        <v>5062.4999999999955</v>
      </c>
      <c r="P23" s="195">
        <f>SUM(O23:O26)</f>
        <v>5062.4999999999955</v>
      </c>
      <c r="Q23" s="3016"/>
      <c r="R23" s="3016"/>
      <c r="S23" s="3016"/>
      <c r="T23" s="1031" t="s">
        <v>808</v>
      </c>
      <c r="U23" s="583">
        <f>O23/$U$16</f>
        <v>50.624999999999957</v>
      </c>
      <c r="V23" s="583">
        <f>IF($T23="L",SUM($U23:U23)*V$16,"")</f>
        <v>15.187499999999986</v>
      </c>
      <c r="W23" s="1474"/>
      <c r="X23" s="583">
        <f>IF($U23="","",SUM($U23:W23)*X$16)</f>
        <v>19.743749999999981</v>
      </c>
      <c r="Y23" s="240">
        <f t="shared" ref="Y23:Y29" si="1">IF($U23="","",SUM(V23:X23))</f>
        <v>34.931249999999963</v>
      </c>
      <c r="Z23" s="240">
        <f>SUM(V23:X26)</f>
        <v>34.931249999999963</v>
      </c>
      <c r="AA23" s="191">
        <f t="shared" ref="AA23:AA29" si="2">IF($U23="","",SUM(U23,Y23))</f>
        <v>85.55624999999992</v>
      </c>
      <c r="AB23" s="195">
        <f>SUM(AA23:AA26)</f>
        <v>85.55624999999992</v>
      </c>
      <c r="AC23" s="889">
        <f t="shared" ref="AC23:AC29" ca="1" si="3">IF(AA23="","",AA23/OFFSET($AB$23,AF23,0))</f>
        <v>1</v>
      </c>
      <c r="AD23" s="941"/>
      <c r="AE23" s="1063"/>
      <c r="AF23" s="587">
        <v>0</v>
      </c>
      <c r="AG23" s="816">
        <f ca="1">SUM(AC23:AC26)-1</f>
        <v>0</v>
      </c>
      <c r="AH23" s="13">
        <f>$AH$16/K23</f>
        <v>5</v>
      </c>
      <c r="AI23" s="13">
        <f>$AH$16/AH23</f>
        <v>1</v>
      </c>
      <c r="AJ23" s="14">
        <f>$H23*(1-(1+$L$15)^-(AH23*AI23))/((1+$L$15)^AI23-1)*(1+((1+$L$15)^AI23-1))</f>
        <v>23438.844572800335</v>
      </c>
      <c r="AK23" s="191">
        <f>SUM(AJ23:AJ26)</f>
        <v>23438.844572800335</v>
      </c>
    </row>
    <row r="24" spans="1:37" ht="19" customHeight="1">
      <c r="B24" s="261"/>
      <c r="C24" s="3845"/>
      <c r="D24" s="3848"/>
      <c r="E24" s="12" t="s">
        <v>308</v>
      </c>
      <c r="F24" s="1172"/>
      <c r="G24" s="1172"/>
      <c r="H24" s="188"/>
      <c r="I24" s="921"/>
      <c r="J24" s="377"/>
      <c r="K24" s="11"/>
      <c r="L24" s="1044"/>
      <c r="M24" s="944"/>
      <c r="N24" s="241"/>
      <c r="O24" s="342">
        <f t="shared" si="0"/>
        <v>0</v>
      </c>
      <c r="P24" s="193"/>
      <c r="Q24" s="3017">
        <v>0</v>
      </c>
      <c r="R24" s="3017">
        <v>0</v>
      </c>
      <c r="S24" s="3017">
        <v>0</v>
      </c>
      <c r="T24" s="1032" t="s">
        <v>809</v>
      </c>
      <c r="U24" s="585"/>
      <c r="V24" s="585" t="str">
        <f>IF($T24="L",SUM($U24:U24)*V$16,"")</f>
        <v/>
      </c>
      <c r="W24" s="1475"/>
      <c r="X24" s="585" t="str">
        <f>IF($U24="","",SUM($U24:W24)*X$16)</f>
        <v/>
      </c>
      <c r="Y24" s="242" t="str">
        <f t="shared" si="1"/>
        <v/>
      </c>
      <c r="Z24" s="242"/>
      <c r="AA24" s="342" t="str">
        <f t="shared" si="2"/>
        <v/>
      </c>
      <c r="AB24" s="193"/>
      <c r="AC24" s="890" t="str">
        <f t="shared" ca="1" si="3"/>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f t="shared" si="0"/>
        <v>0</v>
      </c>
      <c r="P25" s="193"/>
      <c r="Q25" s="3017"/>
      <c r="R25" s="3017"/>
      <c r="S25" s="3017"/>
      <c r="T25" s="1032" t="s">
        <v>810</v>
      </c>
      <c r="U25" s="585"/>
      <c r="V25" s="585" t="str">
        <f>IF($T25="L",SUM($U25:U25)*V$16,"")</f>
        <v/>
      </c>
      <c r="W25" s="1475"/>
      <c r="X25" s="585" t="str">
        <f>IF($U25="","",SUM($U25:W25)*X$16)</f>
        <v/>
      </c>
      <c r="Y25" s="242" t="str">
        <f t="shared" si="1"/>
        <v/>
      </c>
      <c r="Z25" s="242"/>
      <c r="AA25" s="342" t="str">
        <f t="shared" si="2"/>
        <v/>
      </c>
      <c r="AB25" s="193"/>
      <c r="AC25" s="890" t="str">
        <f t="shared" ca="1" si="3"/>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f t="shared" si="0"/>
        <v>0</v>
      </c>
      <c r="P26" s="196"/>
      <c r="Q26" s="3018"/>
      <c r="R26" s="3018"/>
      <c r="S26" s="3018"/>
      <c r="T26" s="1033" t="s">
        <v>811</v>
      </c>
      <c r="U26" s="891"/>
      <c r="V26" s="891" t="str">
        <f>IF($T26="L",SUM($U26:U26)*V$16,"")</f>
        <v/>
      </c>
      <c r="W26" s="1478"/>
      <c r="X26" s="891" t="str">
        <f>IF($U26="","",SUM($U26:W26)*X$16)</f>
        <v/>
      </c>
      <c r="Y26" s="244" t="str">
        <f t="shared" si="1"/>
        <v/>
      </c>
      <c r="Z26" s="244"/>
      <c r="AA26" s="343" t="str">
        <f t="shared" si="2"/>
        <v/>
      </c>
      <c r="AB26" s="196"/>
      <c r="AC26" s="892" t="str">
        <f t="shared" ca="1" si="3"/>
        <v/>
      </c>
      <c r="AD26" s="942"/>
      <c r="AE26" s="1065"/>
      <c r="AF26" s="587">
        <f>AF25</f>
        <v>0</v>
      </c>
      <c r="AG26" s="587"/>
      <c r="AH26" s="13"/>
      <c r="AI26" s="13"/>
      <c r="AJ26" s="189"/>
      <c r="AK26" s="342"/>
    </row>
    <row r="27" spans="1:37" s="9" customFormat="1" ht="18" customHeight="1">
      <c r="B27" s="986">
        <f>B23+0.1</f>
        <v>1.2000000000000002</v>
      </c>
      <c r="C27" s="1531" t="s">
        <v>1006</v>
      </c>
      <c r="D27" s="3929" t="s">
        <v>493</v>
      </c>
      <c r="E27" s="987" t="s">
        <v>3</v>
      </c>
      <c r="F27" s="1173">
        <v>0</v>
      </c>
      <c r="G27" s="3550">
        <f>$D$162</f>
        <v>0.20512820512820515</v>
      </c>
      <c r="H27" s="988">
        <f>H211</f>
        <v>46.15384615384616</v>
      </c>
      <c r="I27" s="989" t="s">
        <v>475</v>
      </c>
      <c r="J27" s="990" t="str">
        <f>IF(K27=1,"Annual","Done every "&amp;K27&amp;" years")</f>
        <v>Annual</v>
      </c>
      <c r="K27" s="991">
        <f>J211</f>
        <v>1</v>
      </c>
      <c r="L27" s="992">
        <f t="shared" ref="L27:M29" si="4">$L$16/K27</f>
        <v>80</v>
      </c>
      <c r="M27" s="991">
        <f t="shared" si="4"/>
        <v>1</v>
      </c>
      <c r="N27" s="988">
        <f>$H27*(1-(1+$L$15)^-(L27*M27))/((1+$L$15)^M27-1)*(1+((1+$L$15)^M27-1))</f>
        <v>1147.9388086480785</v>
      </c>
      <c r="O27" s="847">
        <f t="shared" si="0"/>
        <v>46.153846153846125</v>
      </c>
      <c r="P27" s="382">
        <f>SUM(O27:O30)</f>
        <v>1353.8461538461524</v>
      </c>
      <c r="Q27" s="3019"/>
      <c r="R27" s="3019"/>
      <c r="S27" s="3019"/>
      <c r="T27" s="1076" t="s">
        <v>808</v>
      </c>
      <c r="U27" s="919">
        <f>O27/$U$16</f>
        <v>0.46153846153846123</v>
      </c>
      <c r="V27" s="993">
        <f>IF($T27="L",SUM($U27:U27)*V$16,"")</f>
        <v>0.13846153846153836</v>
      </c>
      <c r="W27" s="993">
        <f>IF($U27="","",IF(OR($T27="L",$T27="T",$T27="C"),SUM($U27:V27)*W$16,""))</f>
        <v>5.999999999999997E-2</v>
      </c>
      <c r="X27" s="993">
        <f>IF($U27="","",SUM($U27:W27)*X$16)</f>
        <v>0.19799999999999987</v>
      </c>
      <c r="Y27" s="384">
        <f t="shared" si="1"/>
        <v>0.3964615384615382</v>
      </c>
      <c r="Z27" s="382">
        <f>SUM(V27:X30)</f>
        <v>6.0195384615384553</v>
      </c>
      <c r="AA27" s="920">
        <f t="shared" si="2"/>
        <v>0.85799999999999943</v>
      </c>
      <c r="AB27" s="382">
        <f>SUM(AA27:AA30)</f>
        <v>19.557999999999982</v>
      </c>
      <c r="AC27" s="994">
        <f t="shared" ca="1" si="3"/>
        <v>4.3869516310461203E-2</v>
      </c>
      <c r="AD27" s="589"/>
      <c r="AE27" s="1075"/>
      <c r="AF27" s="587">
        <f>AF19+4</f>
        <v>4</v>
      </c>
      <c r="AG27" s="995">
        <f ca="1">SUM(AC27:AC30)-1</f>
        <v>0</v>
      </c>
      <c r="AH27" s="380">
        <f>$AH$16/K27</f>
        <v>5</v>
      </c>
      <c r="AI27" s="380">
        <f>$AH$16/AH27</f>
        <v>1</v>
      </c>
      <c r="AJ27" s="150">
        <f>$H27*(1-(1+$L$15)^-(AH27*AI27))/((1+$L$15)^AI27-1)*(1+((1+$L$15)^AI27-1))</f>
        <v>213.68747188877799</v>
      </c>
      <c r="AK27" s="1165">
        <f>SUM(AJ27:AJ30)</f>
        <v>6268.1658420708209</v>
      </c>
    </row>
    <row r="28" spans="1:37" s="9" customFormat="1" ht="19" customHeight="1">
      <c r="B28" s="986"/>
      <c r="C28" s="1531"/>
      <c r="D28" s="3930"/>
      <c r="E28" s="148" t="s">
        <v>308</v>
      </c>
      <c r="F28" s="1174">
        <f>$D$198</f>
        <v>1</v>
      </c>
      <c r="G28" s="2109">
        <f>$D$197</f>
        <v>0.20512820512820515</v>
      </c>
      <c r="H28" s="988">
        <f>H212</f>
        <v>1307.6923076923076</v>
      </c>
      <c r="I28" s="996" t="s">
        <v>797</v>
      </c>
      <c r="J28" s="376" t="str">
        <f>IF(K28=1,"Annual","Done every "&amp;K28&amp;" years")</f>
        <v>Annual</v>
      </c>
      <c r="K28" s="272">
        <f>J212</f>
        <v>1</v>
      </c>
      <c r="L28" s="379">
        <f t="shared" si="4"/>
        <v>80</v>
      </c>
      <c r="M28" s="272">
        <f t="shared" si="4"/>
        <v>1</v>
      </c>
      <c r="N28" s="150">
        <f>$H28*(1-(1+$L$15)^-(L28*M28))/((1+$L$15)^M28-1)*(1+((1+$L$15)^M28-1))</f>
        <v>32524.932911695545</v>
      </c>
      <c r="O28" s="915">
        <f t="shared" si="0"/>
        <v>1307.6923076923063</v>
      </c>
      <c r="P28" s="382"/>
      <c r="Q28" s="3019">
        <f>1*(1-(1+$L$15)^-(L28*M28))/((1+$L$15)^M28-1)*(1+((1+$L$15)^M28-1))</f>
        <v>24.872007520708362</v>
      </c>
      <c r="R28" s="3019">
        <f>Q28/(1+$L$15)*($L$15)/(1-(1+$L$15)^-$L$16)</f>
        <v>0.99999999999999911</v>
      </c>
      <c r="S28" s="3019">
        <f>F28*R28</f>
        <v>0.99999999999999911</v>
      </c>
      <c r="T28" s="1076" t="s">
        <v>809</v>
      </c>
      <c r="U28" s="588">
        <f>O28/$U$16</f>
        <v>13.076923076923062</v>
      </c>
      <c r="V28" s="993" t="str">
        <f>IF($T28="L",SUM($U28:U28)*V$16,"")</f>
        <v/>
      </c>
      <c r="W28" s="993">
        <f>IF($U28="","",IF(OR($T28="L",$T28="T",$T28="C"),SUM($U28:V28)*W$16,""))</f>
        <v>1.3076923076923064</v>
      </c>
      <c r="X28" s="993">
        <f>IF($U28="","",SUM($U28:W28)*X$16)</f>
        <v>4.3153846153846107</v>
      </c>
      <c r="Y28" s="250">
        <f t="shared" si="1"/>
        <v>5.6230769230769173</v>
      </c>
      <c r="Z28" s="382"/>
      <c r="AA28" s="920">
        <f t="shared" si="2"/>
        <v>18.699999999999982</v>
      </c>
      <c r="AB28" s="382"/>
      <c r="AC28" s="918">
        <f t="shared" ca="1" si="3"/>
        <v>0.95613048368953879</v>
      </c>
      <c r="AD28" s="589"/>
      <c r="AE28" s="1075"/>
      <c r="AF28" s="587">
        <f>AF27</f>
        <v>4</v>
      </c>
      <c r="AG28" s="587"/>
      <c r="AH28" s="380">
        <f>$AH$16/K28</f>
        <v>5</v>
      </c>
      <c r="AI28" s="380">
        <f>$AH$16/AH28</f>
        <v>1</v>
      </c>
      <c r="AJ28" s="150">
        <f>$H28*(1-(1+$L$15)^-(AH28*AI28))/((1+$L$15)^AI28-1)*(1+((1+$L$15)^AI28-1))</f>
        <v>6054.4783701820425</v>
      </c>
      <c r="AK28" s="715"/>
    </row>
    <row r="29" spans="1:37" s="9" customFormat="1" ht="19" customHeight="1">
      <c r="B29" s="986"/>
      <c r="C29" s="1531"/>
      <c r="D29" s="3930"/>
      <c r="E29" s="148" t="s">
        <v>4</v>
      </c>
      <c r="F29" s="1174"/>
      <c r="G29" s="1174"/>
      <c r="H29" s="988">
        <f>H213</f>
        <v>0</v>
      </c>
      <c r="I29" s="996" t="s">
        <v>70</v>
      </c>
      <c r="J29" s="376" t="str">
        <f>IF(K29=1,"Annual","Done every "&amp;K29&amp;" years")</f>
        <v>Annual</v>
      </c>
      <c r="K29" s="272">
        <f>J213</f>
        <v>1</v>
      </c>
      <c r="L29" s="379">
        <f t="shared" si="4"/>
        <v>80</v>
      </c>
      <c r="M29" s="272">
        <f t="shared" si="4"/>
        <v>1</v>
      </c>
      <c r="N29" s="150">
        <f>$H29*(1-(1+$L$15)^-(L29*M29))/((1+$L$15)^M29-1)*(1+((1+$L$15)^M29-1))</f>
        <v>0</v>
      </c>
      <c r="O29" s="915">
        <f t="shared" si="0"/>
        <v>0</v>
      </c>
      <c r="P29" s="998"/>
      <c r="Q29" s="3019"/>
      <c r="R29" s="3019"/>
      <c r="S29" s="3019"/>
      <c r="T29" s="1076" t="s">
        <v>810</v>
      </c>
      <c r="U29" s="588">
        <f>O29/$U$16</f>
        <v>0</v>
      </c>
      <c r="V29" s="993" t="str">
        <f>IF($T29="L",SUM($U29:U29)*V$16,"")</f>
        <v/>
      </c>
      <c r="W29" s="993">
        <f>IF($U29="","",IF(OR($T29="L",$T29="T",$T29="C"),SUM($U29:V29)*W$16,""))</f>
        <v>0</v>
      </c>
      <c r="X29" s="993">
        <f>IF($U29="","",SUM($U29:W29)*X$16)</f>
        <v>0</v>
      </c>
      <c r="Y29" s="250">
        <f t="shared" si="1"/>
        <v>0</v>
      </c>
      <c r="Z29" s="998"/>
      <c r="AA29" s="999">
        <f t="shared" si="2"/>
        <v>0</v>
      </c>
      <c r="AB29" s="998"/>
      <c r="AC29" s="918">
        <f t="shared" ca="1" si="3"/>
        <v>0</v>
      </c>
      <c r="AD29" s="997"/>
      <c r="AE29" s="1075"/>
      <c r="AF29" s="587">
        <f>AF28</f>
        <v>4</v>
      </c>
      <c r="AG29" s="587"/>
      <c r="AH29" s="380">
        <f>$AH$16/K29</f>
        <v>5</v>
      </c>
      <c r="AI29" s="380">
        <f>$AH$16/AH29</f>
        <v>1</v>
      </c>
      <c r="AJ29" s="150">
        <f>$H29*(1-(1+$L$15)^-(AH29*AI29))/((1+$L$15)^AI29-1)*(1+((1+$L$15)^AI29-1))</f>
        <v>0</v>
      </c>
      <c r="AK29" s="1214"/>
    </row>
    <row r="30" spans="1:37" s="9" customFormat="1" ht="19" customHeight="1">
      <c r="B30" s="986"/>
      <c r="C30" s="1531"/>
      <c r="D30" s="3930"/>
      <c r="E30" s="1163"/>
      <c r="F30" s="1175"/>
      <c r="G30" s="1175"/>
      <c r="H30" s="1165"/>
      <c r="I30" s="1164"/>
      <c r="J30" s="1166"/>
      <c r="K30" s="1167"/>
      <c r="L30" s="1168"/>
      <c r="M30" s="1167"/>
      <c r="N30" s="1165"/>
      <c r="O30" s="1169">
        <f t="shared" si="0"/>
        <v>0</v>
      </c>
      <c r="P30" s="998"/>
      <c r="Q30" s="3019"/>
      <c r="R30" s="3019"/>
      <c r="S30" s="3019"/>
      <c r="T30" s="1076" t="s">
        <v>811</v>
      </c>
      <c r="U30" s="588"/>
      <c r="V30" s="993" t="str">
        <f>IF($T30="L",SUM($U30:U30)*V$16,"")</f>
        <v/>
      </c>
      <c r="W30" s="993" t="str">
        <f>IF($U30="","",IF(OR($T30="L",$T30="T",$T30="C"),SUM($U30:V30)*W$16,""))</f>
        <v/>
      </c>
      <c r="X30" s="993" t="str">
        <f>IF($U30="","",SUM($U30:W30)*X$16)</f>
        <v/>
      </c>
      <c r="Y30" s="250"/>
      <c r="Z30" s="998"/>
      <c r="AA30" s="999"/>
      <c r="AB30" s="998"/>
      <c r="AC30" s="918"/>
      <c r="AD30" s="997"/>
      <c r="AE30" s="1075"/>
      <c r="AF30" s="587">
        <f>AF29</f>
        <v>4</v>
      </c>
      <c r="AG30" s="587"/>
      <c r="AH30" s="380"/>
      <c r="AI30" s="380"/>
      <c r="AJ30" s="150"/>
      <c r="AK30" s="1214"/>
    </row>
    <row r="31" spans="1:37" ht="18" customHeight="1">
      <c r="A31" s="390"/>
      <c r="B31" s="710">
        <f>B27+0.11</f>
        <v>1.3100000000000003</v>
      </c>
      <c r="C31" s="1520" t="s">
        <v>1005</v>
      </c>
      <c r="D31" s="3850" t="s">
        <v>1282</v>
      </c>
      <c r="E31" s="373" t="s">
        <v>3</v>
      </c>
      <c r="F31" s="1176"/>
      <c r="G31" s="1176">
        <f>$D$280</f>
        <v>6.2541106128550075</v>
      </c>
      <c r="H31" s="370">
        <f>H326</f>
        <v>1407.1748878923768</v>
      </c>
      <c r="I31" s="613" t="s">
        <v>475</v>
      </c>
      <c r="J31" s="375" t="str">
        <f>IF(K31=1,"Annual","Done every "&amp;K31&amp;" years")</f>
        <v>Annual</v>
      </c>
      <c r="K31" s="371">
        <f>L326</f>
        <v>1</v>
      </c>
      <c r="L31" s="386">
        <f t="shared" ref="L31:M33" si="5">$L$16/K31</f>
        <v>80</v>
      </c>
      <c r="M31" s="371">
        <f t="shared" si="5"/>
        <v>1</v>
      </c>
      <c r="N31" s="370">
        <f>$H31*(1-(1+$L$15)^-(L31*M31))/((1+$L$15)^M31-1)*(1+((1+$L$15)^M31-1))</f>
        <v>34999.264394611135</v>
      </c>
      <c r="O31" s="640">
        <f t="shared" si="0"/>
        <v>1407.1748878923752</v>
      </c>
      <c r="P31" s="980">
        <f>SUM(O31:O34)</f>
        <v>3558.3856502242124</v>
      </c>
      <c r="Q31" s="3020"/>
      <c r="R31" s="3020"/>
      <c r="S31" s="3020"/>
      <c r="T31" s="1034" t="s">
        <v>808</v>
      </c>
      <c r="U31" s="642">
        <f t="shared" ref="U31:U37" si="6">O31/$U$16</f>
        <v>14.071748878923751</v>
      </c>
      <c r="V31" s="644">
        <f>IF($T31="L",SUM($U31:U31)*V$16,"")</f>
        <v>4.2215246636771253</v>
      </c>
      <c r="W31" s="644">
        <f>IF($U31="","",IF(OR($T31="L",$T31="T",$T31="C"),SUM($U31:V31)*W$16,""))</f>
        <v>1.8293273542600876</v>
      </c>
      <c r="X31" s="644">
        <f>IF($U31="","",SUM($U31:W31)*X$16)</f>
        <v>6.0367802690582888</v>
      </c>
      <c r="Y31" s="388">
        <f>IF($U31="","",SUM(V31:X31))</f>
        <v>12.087632286995502</v>
      </c>
      <c r="Z31" s="392">
        <f>SUM(V31:X34)</f>
        <v>21.337838565022402</v>
      </c>
      <c r="AA31" s="734">
        <f>IF($U31="","",SUM(U31,Y31))</f>
        <v>26.159381165919253</v>
      </c>
      <c r="AB31" s="392">
        <f>SUM(AA31:AA34)</f>
        <v>56.921695067264523</v>
      </c>
      <c r="AC31" s="888">
        <f ca="1">IF(AA31="","",AA31/OFFSET($AB$23,AF31,0))</f>
        <v>0.45956785255615878</v>
      </c>
      <c r="AD31" s="641"/>
      <c r="AE31" s="1066"/>
      <c r="AF31" s="587">
        <f>AF27+4</f>
        <v>8</v>
      </c>
      <c r="AG31" s="816">
        <f ca="1">SUM(AC31:AC34)-1</f>
        <v>0</v>
      </c>
      <c r="AH31" s="387">
        <f>$AH$16/K31</f>
        <v>5</v>
      </c>
      <c r="AI31" s="387">
        <f>$AH$16/AH31</f>
        <v>1</v>
      </c>
      <c r="AJ31" s="370">
        <f>$H31*(1-(1+$L$15)^-(AH31*AI31))/((1+$L$15)^AI31-1)*(1+((1+$L$15)^AI31-1))</f>
        <v>6515.0722931470918</v>
      </c>
      <c r="AK31" s="980">
        <f>SUM(AJ31:AJ34)</f>
        <v>16474.95272803722</v>
      </c>
    </row>
    <row r="32" spans="1:37" ht="19" customHeight="1">
      <c r="A32" s="390"/>
      <c r="B32" s="710"/>
      <c r="C32" s="1521" t="s">
        <v>749</v>
      </c>
      <c r="D32" s="3851"/>
      <c r="E32" s="373" t="s">
        <v>308</v>
      </c>
      <c r="F32" s="1176">
        <f>$D$312</f>
        <v>1</v>
      </c>
      <c r="G32" s="1176">
        <f>$D$311</f>
        <v>3.1270553064275037</v>
      </c>
      <c r="H32" s="882">
        <f>H327</f>
        <v>891.21076233183862</v>
      </c>
      <c r="I32" s="613" t="s">
        <v>797</v>
      </c>
      <c r="J32" s="375" t="str">
        <f>IF(K32=1,"Annual","Done every "&amp;K32&amp;" years")</f>
        <v>Annual</v>
      </c>
      <c r="K32" s="371">
        <f>L327</f>
        <v>1</v>
      </c>
      <c r="L32" s="386">
        <f t="shared" si="5"/>
        <v>80</v>
      </c>
      <c r="M32" s="371">
        <f t="shared" si="5"/>
        <v>1</v>
      </c>
      <c r="N32" s="370">
        <f>$H32*(1-(1+$L$15)^-(L32*M32))/((1+$L$15)^M32-1)*(1+((1+$L$15)^M32-1))</f>
        <v>22166.200783253724</v>
      </c>
      <c r="O32" s="640">
        <f t="shared" si="0"/>
        <v>891.21076233183794</v>
      </c>
      <c r="P32" s="981"/>
      <c r="Q32" s="2955">
        <f>1*(1-(1+$L$15)^-(L32*M32))/((1+$L$15)^M32-1)*(1+((1+$L$15)^M32-1))</f>
        <v>24.872007520708362</v>
      </c>
      <c r="R32" s="2955">
        <f>Q32/(1+$L$15)*($L$15)/(1-(1+$L$15)^-$L$16)</f>
        <v>0.99999999999999911</v>
      </c>
      <c r="S32" s="2955">
        <f>F32*R32</f>
        <v>0.99999999999999911</v>
      </c>
      <c r="T32" s="1034" t="s">
        <v>809</v>
      </c>
      <c r="U32" s="639">
        <f t="shared" si="6"/>
        <v>8.9121076233183789</v>
      </c>
      <c r="V32" s="644" t="str">
        <f>IF($T32="L",SUM($U32:U32)*V$16,"")</f>
        <v/>
      </c>
      <c r="W32" s="644">
        <f>IF($U32="","",IF(OR($T32="L",$T32="T",$T32="C"),SUM($U32:V32)*W$16,""))</f>
        <v>0.89121076233183794</v>
      </c>
      <c r="X32" s="644">
        <f>IF($U32="","",SUM($U32:W32)*X$16)</f>
        <v>2.9409955156950649</v>
      </c>
      <c r="Y32" s="394">
        <f>IF($U32="","",SUM(V32:X32))</f>
        <v>3.8322062780269031</v>
      </c>
      <c r="Z32" s="392"/>
      <c r="AA32" s="734">
        <f>IF($U32="","",SUM(U32,Y32))</f>
        <v>12.744313901345283</v>
      </c>
      <c r="AB32" s="392"/>
      <c r="AC32" s="729">
        <f ca="1">IF(AA32="","",AA32/OFFSET($AB$23,AF32,0))</f>
        <v>0.2238920307324877</v>
      </c>
      <c r="AD32" s="641"/>
      <c r="AE32" s="1066"/>
      <c r="AF32" s="587">
        <f>AF31</f>
        <v>8</v>
      </c>
      <c r="AG32" s="587"/>
      <c r="AH32" s="387">
        <f>$AH$16/K32</f>
        <v>5</v>
      </c>
      <c r="AI32" s="387">
        <f>$AH$16/AH32</f>
        <v>1</v>
      </c>
      <c r="AJ32" s="370">
        <f>$H32*(1-(1+$L$15)^-(AH32*AI32))/((1+$L$15)^AI32-1)*(1+((1+$L$15)^AI32-1))</f>
        <v>4126.212452326492</v>
      </c>
      <c r="AK32" s="981"/>
    </row>
    <row r="33" spans="1:37" ht="19" customHeight="1">
      <c r="A33" s="390"/>
      <c r="B33" s="710"/>
      <c r="C33" s="1521"/>
      <c r="D33" s="3851"/>
      <c r="E33" s="373" t="s">
        <v>4</v>
      </c>
      <c r="F33" s="1176"/>
      <c r="G33" s="1176">
        <f>$D$321</f>
        <v>6</v>
      </c>
      <c r="H33" s="882">
        <f>H328</f>
        <v>1260</v>
      </c>
      <c r="I33" s="613" t="s">
        <v>70</v>
      </c>
      <c r="J33" s="375" t="str">
        <f>IF(K33=1,"Annual","Done every "&amp;K33&amp;" years")</f>
        <v>Annual</v>
      </c>
      <c r="K33" s="371">
        <f>L328</f>
        <v>1</v>
      </c>
      <c r="L33" s="386">
        <f t="shared" si="5"/>
        <v>80</v>
      </c>
      <c r="M33" s="371">
        <f t="shared" si="5"/>
        <v>1</v>
      </c>
      <c r="N33" s="370">
        <f>$H33*(1-(1+$L$15)^-(L33*M33))/((1+$L$15)^M33-1)*(1+((1+$L$15)^M33-1))</f>
        <v>31338.729476092536</v>
      </c>
      <c r="O33" s="640">
        <f t="shared" si="0"/>
        <v>1259.9999999999991</v>
      </c>
      <c r="P33" s="982"/>
      <c r="Q33" s="2955"/>
      <c r="R33" s="2955"/>
      <c r="S33" s="2955"/>
      <c r="T33" s="1034" t="s">
        <v>810</v>
      </c>
      <c r="U33" s="639">
        <f t="shared" si="6"/>
        <v>12.599999999999991</v>
      </c>
      <c r="V33" s="644" t="str">
        <f>IF($T33="L",SUM($U33:U33)*V$16,"")</f>
        <v/>
      </c>
      <c r="W33" s="644">
        <f>IF($U33="","",IF(OR($T33="L",$T33="T",$T33="C"),SUM($U33:V33)*W$16,""))</f>
        <v>1.2599999999999991</v>
      </c>
      <c r="X33" s="644">
        <f>IF($U33="","",SUM($U33:W33)*X$16)</f>
        <v>4.1579999999999968</v>
      </c>
      <c r="Y33" s="394">
        <f>IF($U33="","",SUM(V33:X33))</f>
        <v>5.4179999999999957</v>
      </c>
      <c r="Z33" s="393"/>
      <c r="AA33" s="735">
        <f>IF($U33="","",SUM(U33,Y33))</f>
        <v>18.017999999999986</v>
      </c>
      <c r="AB33" s="393"/>
      <c r="AC33" s="729">
        <f ca="1">IF(AA33="","",AA33/OFFSET($AB$23,AF33,0))</f>
        <v>0.31654011671135351</v>
      </c>
      <c r="AD33" s="643"/>
      <c r="AE33" s="1066"/>
      <c r="AF33" s="587">
        <f>AF32</f>
        <v>8</v>
      </c>
      <c r="AG33" s="587"/>
      <c r="AH33" s="387">
        <f>$AH$16/K33</f>
        <v>5</v>
      </c>
      <c r="AI33" s="387">
        <f>$AH$16/AH33</f>
        <v>1</v>
      </c>
      <c r="AJ33" s="370">
        <f>$H33*(1-(1+$L$15)^-(AH33*AI33))/((1+$L$15)^AI33-1)*(1+((1+$L$15)^AI33-1))</f>
        <v>5833.6679825636384</v>
      </c>
      <c r="AK33" s="982"/>
    </row>
    <row r="34" spans="1:37" ht="19" customHeight="1">
      <c r="A34" s="390"/>
      <c r="B34" s="710"/>
      <c r="C34" s="1521"/>
      <c r="D34" s="3851"/>
      <c r="E34" s="373" t="s">
        <v>21</v>
      </c>
      <c r="F34" s="1176"/>
      <c r="G34" s="1176"/>
      <c r="H34" s="370"/>
      <c r="I34" s="1086"/>
      <c r="J34" s="375"/>
      <c r="K34" s="371"/>
      <c r="L34" s="386"/>
      <c r="M34" s="371"/>
      <c r="N34" s="370"/>
      <c r="O34" s="640">
        <f t="shared" si="0"/>
        <v>0</v>
      </c>
      <c r="P34" s="982"/>
      <c r="Q34" s="2955"/>
      <c r="R34" s="2955"/>
      <c r="S34" s="2955"/>
      <c r="T34" s="1034" t="s">
        <v>811</v>
      </c>
      <c r="U34" s="639">
        <f t="shared" si="6"/>
        <v>0</v>
      </c>
      <c r="V34" s="644" t="str">
        <f>IF($T34="L",SUM($U34:U34)*V$16,"")</f>
        <v/>
      </c>
      <c r="W34" s="644" t="str">
        <f>IF($U34="","",IF(OR($T34="L",$T34="T",$T34="C"),SUM($U34:V34)*W$16,""))</f>
        <v/>
      </c>
      <c r="X34" s="644">
        <f>IF($U34="","",SUM($U34:W34)*X$16)</f>
        <v>0</v>
      </c>
      <c r="Y34" s="394"/>
      <c r="Z34" s="393"/>
      <c r="AA34" s="735"/>
      <c r="AB34" s="393"/>
      <c r="AC34" s="729"/>
      <c r="AD34" s="643"/>
      <c r="AE34" s="1066"/>
      <c r="AF34" s="587">
        <f>AF33</f>
        <v>8</v>
      </c>
      <c r="AG34" s="587"/>
      <c r="AH34" s="387"/>
      <c r="AI34" s="387"/>
      <c r="AJ34" s="370"/>
      <c r="AK34" s="982"/>
    </row>
    <row r="35" spans="1:37" ht="18" customHeight="1">
      <c r="A35" s="676"/>
      <c r="B35" s="711">
        <f>B23+0.12</f>
        <v>1.2200000000000002</v>
      </c>
      <c r="C35" s="1515" t="s">
        <v>202</v>
      </c>
      <c r="D35" s="3852" t="str">
        <f>D31</f>
        <v>This involves surveying a representative area (30% of management area) for general observations.</v>
      </c>
      <c r="E35" s="685" t="s">
        <v>3</v>
      </c>
      <c r="F35" s="1177"/>
      <c r="G35" s="1177">
        <f>$E$280</f>
        <v>7.449925261584454</v>
      </c>
      <c r="H35" s="665">
        <f>I326</f>
        <v>1676.2331838565024</v>
      </c>
      <c r="I35" s="818" t="str">
        <f>I31</f>
        <v xml:space="preserve">Labour to get tracking done, cameras, sandpads and collars. </v>
      </c>
      <c r="J35" s="666" t="str">
        <f>IF(K35=1,"Annual","Done every "&amp;K35&amp;" years")</f>
        <v>Annual</v>
      </c>
      <c r="K35" s="667">
        <f>L326</f>
        <v>1</v>
      </c>
      <c r="L35" s="671">
        <f t="shared" ref="L35:M37" si="7">$L$16/K35</f>
        <v>80</v>
      </c>
      <c r="M35" s="880">
        <f t="shared" si="7"/>
        <v>1</v>
      </c>
      <c r="N35" s="883">
        <f>$H35*(1-(1+$L$15)^-(L35*M35))/((1+$L$15)^M35-1)*(1+((1+$L$15)^M35-1))</f>
        <v>41691.284355339849</v>
      </c>
      <c r="O35" s="673">
        <f t="shared" si="0"/>
        <v>1676.233183856501</v>
      </c>
      <c r="P35" s="983">
        <f>SUM(O35:O38)</f>
        <v>3997.847533632284</v>
      </c>
      <c r="Q35" s="3021"/>
      <c r="R35" s="3021"/>
      <c r="S35" s="3021"/>
      <c r="T35" s="1035" t="s">
        <v>808</v>
      </c>
      <c r="U35" s="675">
        <f t="shared" si="6"/>
        <v>16.762331838565011</v>
      </c>
      <c r="V35" s="675">
        <f>IF($T35="L",SUM($U35:U35)*V$16,"")</f>
        <v>5.0286995515695034</v>
      </c>
      <c r="W35" s="675">
        <f>IF($U35="","",IF(OR($T35="L",$T35="T",$T35="C"),SUM($U35:V35)*W$16,""))</f>
        <v>2.1791031390134514</v>
      </c>
      <c r="X35" s="675">
        <f>IF($U35="","",SUM($U35:W35)*X$16)</f>
        <v>7.1910403587443898</v>
      </c>
      <c r="Y35" s="670">
        <f>IF($U35="","",SUM(V35:X35))</f>
        <v>14.398843049327345</v>
      </c>
      <c r="Z35" s="716">
        <f>SUM(V35:X38)</f>
        <v>24.381784753363213</v>
      </c>
      <c r="AA35" s="736">
        <f>IF($U35="","",SUM(U35,Y35))</f>
        <v>31.161174887892358</v>
      </c>
      <c r="AB35" s="716">
        <f>SUM(AA35:AA38)</f>
        <v>64.360260089686051</v>
      </c>
      <c r="AC35" s="730">
        <f ca="1">IF(AA35="","",AA35/OFFSET($AB$23,AF35,0))</f>
        <v>0.48416794532012841</v>
      </c>
      <c r="AD35" s="674"/>
      <c r="AE35" s="1067"/>
      <c r="AF35" s="587">
        <f>AF31+4</f>
        <v>12</v>
      </c>
      <c r="AG35" s="816">
        <f ca="1">SUM(AC35:AC38)-1</f>
        <v>0</v>
      </c>
      <c r="AH35" s="669">
        <f>$AH$16/K35</f>
        <v>5</v>
      </c>
      <c r="AI35" s="669">
        <f>$AH$16/AH35</f>
        <v>1</v>
      </c>
      <c r="AJ35" s="665">
        <f>$H35*(1-(1+$L$15)^-(AH35*AI35))/((1+$L$15)^AI35-1)*(1+((1+$L$15)^AI35-1))</f>
        <v>7760.7840126780848</v>
      </c>
      <c r="AK35" s="983">
        <f>SUM(AJ35:AJ38)</f>
        <v>18509.615203271176</v>
      </c>
    </row>
    <row r="36" spans="1:37" ht="18" customHeight="1">
      <c r="A36" s="676"/>
      <c r="B36" s="712"/>
      <c r="C36" s="1516" t="s">
        <v>779</v>
      </c>
      <c r="D36" s="3853"/>
      <c r="E36" s="685" t="s">
        <v>308</v>
      </c>
      <c r="F36" s="1177">
        <f>$E$312</f>
        <v>1</v>
      </c>
      <c r="G36" s="1177">
        <f>$E$311</f>
        <v>3.724962630792227</v>
      </c>
      <c r="H36" s="665">
        <f>I327</f>
        <v>1061.6143497757848</v>
      </c>
      <c r="I36" s="818" t="str">
        <f>I32</f>
        <v>Transport at site</v>
      </c>
      <c r="J36" s="666" t="str">
        <f>IF(K36=1,"Annual","Done every "&amp;K36&amp;" years")</f>
        <v>Annual</v>
      </c>
      <c r="K36" s="667">
        <f>L327</f>
        <v>1</v>
      </c>
      <c r="L36" s="668">
        <f t="shared" si="7"/>
        <v>80</v>
      </c>
      <c r="M36" s="667">
        <f t="shared" si="7"/>
        <v>1</v>
      </c>
      <c r="N36" s="665">
        <f>$H36*(1-(1+$L$15)^-(L36*M36))/((1+$L$15)^M36-1)*(1+((1+$L$15)^M36-1))</f>
        <v>26404.480091715235</v>
      </c>
      <c r="O36" s="680">
        <f t="shared" si="0"/>
        <v>1061.6143497757839</v>
      </c>
      <c r="P36" s="984"/>
      <c r="Q36" s="3022">
        <f>1*(1-(1+$L$15)^-(L36*M36))/((1+$L$15)^M36-1)*(1+((1+$L$15)^M36-1))</f>
        <v>24.872007520708362</v>
      </c>
      <c r="R36" s="3022">
        <f>Q36/(1+$L$15)*($L$15)/(1-(1+$L$15)^-$L$16)</f>
        <v>0.99999999999999911</v>
      </c>
      <c r="S36" s="3022">
        <f>F36*R36</f>
        <v>0.99999999999999911</v>
      </c>
      <c r="T36" s="1036" t="s">
        <v>809</v>
      </c>
      <c r="U36" s="675">
        <f t="shared" si="6"/>
        <v>10.616143497757839</v>
      </c>
      <c r="V36" s="682" t="str">
        <f>IF($T36="L",SUM($U36:U36)*V$16,"")</f>
        <v/>
      </c>
      <c r="W36" s="682">
        <f>IF($U36="","",IF(OR($T36="L",$T36="T",$T36="C"),SUM($U36:V36)*W$16,""))</f>
        <v>1.0616143497757839</v>
      </c>
      <c r="X36" s="682">
        <f>IF($U36="","",SUM($U36:W36)*X$16)</f>
        <v>3.5033273542600871</v>
      </c>
      <c r="Y36" s="679">
        <f>IF($U36="","",SUM(V36:X36))</f>
        <v>4.5649417040358706</v>
      </c>
      <c r="Z36" s="720"/>
      <c r="AA36" s="737">
        <f>IF($U36="","",SUM(U36,Y36))</f>
        <v>15.18108520179371</v>
      </c>
      <c r="AB36" s="720"/>
      <c r="AC36" s="730">
        <f ca="1">IF(AA36="","",AA36/OFFSET($AB$23,AF36,0))</f>
        <v>0.2358766913098061</v>
      </c>
      <c r="AD36" s="681"/>
      <c r="AE36" s="1067"/>
      <c r="AF36" s="587">
        <f>AF35</f>
        <v>12</v>
      </c>
      <c r="AG36" s="587"/>
      <c r="AH36" s="669">
        <f>$AH$16/K36</f>
        <v>5</v>
      </c>
      <c r="AI36" s="669">
        <f>$AH$16/AH36</f>
        <v>1</v>
      </c>
      <c r="AJ36" s="665">
        <f>$H36*(1-(1+$L$15)^-(AH36*AI36))/((1+$L$15)^AI36-1)*(1+((1+$L$15)^AI36-1))</f>
        <v>4915.163208029453</v>
      </c>
      <c r="AK36" s="984"/>
    </row>
    <row r="37" spans="1:37" ht="18" customHeight="1">
      <c r="A37" s="676"/>
      <c r="B37" s="712"/>
      <c r="C37" s="1516"/>
      <c r="D37" s="3853"/>
      <c r="E37" s="685" t="s">
        <v>4</v>
      </c>
      <c r="F37" s="1177"/>
      <c r="G37" s="1177">
        <f>$E$321</f>
        <v>6</v>
      </c>
      <c r="H37" s="665">
        <f>I328</f>
        <v>1260</v>
      </c>
      <c r="I37" s="818" t="str">
        <f>I33</f>
        <v>Accomodation</v>
      </c>
      <c r="J37" s="666" t="str">
        <f>IF(K37=1,"Annual","Done every "&amp;K37&amp;" years")</f>
        <v>Annual</v>
      </c>
      <c r="K37" s="667">
        <f>L328</f>
        <v>1</v>
      </c>
      <c r="L37" s="668">
        <f t="shared" si="7"/>
        <v>80</v>
      </c>
      <c r="M37" s="667">
        <f t="shared" si="7"/>
        <v>1</v>
      </c>
      <c r="N37" s="665">
        <f>$H37*(1-(1+$L$15)^-(L37*M37))/((1+$L$15)^M37-1)*(1+((1+$L$15)^M37-1))</f>
        <v>31338.729476092536</v>
      </c>
      <c r="O37" s="680">
        <f t="shared" si="0"/>
        <v>1259.9999999999991</v>
      </c>
      <c r="P37" s="985"/>
      <c r="Q37" s="3022"/>
      <c r="R37" s="3022"/>
      <c r="S37" s="3022"/>
      <c r="T37" s="1036" t="s">
        <v>810</v>
      </c>
      <c r="U37" s="675">
        <f t="shared" si="6"/>
        <v>12.599999999999991</v>
      </c>
      <c r="V37" s="684" t="str">
        <f>IF($T37="L",SUM($U37:U37)*V$16,"")</f>
        <v/>
      </c>
      <c r="W37" s="684">
        <f>IF($U37="","",IF(OR($T37="L",$T37="T",$T37="C"),SUM($U37:V37)*W$16,""))</f>
        <v>1.2599999999999991</v>
      </c>
      <c r="X37" s="684">
        <f>IF($U37="","",SUM($U37:W37)*X$16)</f>
        <v>4.1579999999999968</v>
      </c>
      <c r="Y37" s="1024">
        <f>IF($U37="","",SUM(V37:X37))</f>
        <v>5.4179999999999957</v>
      </c>
      <c r="Z37" s="721"/>
      <c r="AA37" s="738">
        <f>IF($U37="","",SUM(U37,Y37))</f>
        <v>18.017999999999986</v>
      </c>
      <c r="AB37" s="721"/>
      <c r="AC37" s="730">
        <f ca="1">IF(AA37="","",AA37/OFFSET($AB$23,AF37,0))</f>
        <v>0.27995536337006555</v>
      </c>
      <c r="AD37" s="683"/>
      <c r="AE37" s="1067"/>
      <c r="AF37" s="587">
        <f>AF36</f>
        <v>12</v>
      </c>
      <c r="AG37" s="587"/>
      <c r="AH37" s="669">
        <f>$AH$16/K37</f>
        <v>5</v>
      </c>
      <c r="AI37" s="669">
        <f>$AH$16/AH37</f>
        <v>1</v>
      </c>
      <c r="AJ37" s="665">
        <f>$H37*(1-(1+$L$15)^-(AH37*AI37))/((1+$L$15)^AI37-1)*(1+((1+$L$15)^AI37-1))</f>
        <v>5833.6679825636384</v>
      </c>
      <c r="AK37" s="985"/>
    </row>
    <row r="38" spans="1:37" ht="18" customHeight="1">
      <c r="A38" s="676"/>
      <c r="B38" s="712"/>
      <c r="C38" s="1516"/>
      <c r="D38" s="3854"/>
      <c r="E38" s="1082" t="s">
        <v>21</v>
      </c>
      <c r="F38" s="1177"/>
      <c r="G38" s="1177"/>
      <c r="H38" s="665"/>
      <c r="I38" s="818"/>
      <c r="J38" s="666"/>
      <c r="K38" s="667"/>
      <c r="L38" s="668"/>
      <c r="M38" s="667"/>
      <c r="N38" s="665"/>
      <c r="O38" s="680">
        <f t="shared" si="0"/>
        <v>0</v>
      </c>
      <c r="P38" s="985"/>
      <c r="Q38" s="3022"/>
      <c r="R38" s="3022"/>
      <c r="S38" s="3022"/>
      <c r="T38" s="1036" t="s">
        <v>811</v>
      </c>
      <c r="U38" s="675"/>
      <c r="V38" s="684" t="str">
        <f>IF($T38="L",SUM($U38:U38)*V$16,"")</f>
        <v/>
      </c>
      <c r="W38" s="684" t="str">
        <f>IF($U38="","",IF(OR($T38="L",$T38="T",$T38="C"),SUM($U38:V38)*W$16,""))</f>
        <v/>
      </c>
      <c r="X38" s="684" t="str">
        <f>IF($U38="","",SUM($U38:W38)*X$16)</f>
        <v/>
      </c>
      <c r="Y38" s="1024"/>
      <c r="Z38" s="721"/>
      <c r="AA38" s="738"/>
      <c r="AB38" s="721"/>
      <c r="AC38" s="730"/>
      <c r="AD38" s="683"/>
      <c r="AE38" s="1067"/>
      <c r="AF38" s="587">
        <f>AF37</f>
        <v>12</v>
      </c>
      <c r="AG38" s="587"/>
      <c r="AH38" s="669"/>
      <c r="AI38" s="669"/>
      <c r="AJ38" s="665"/>
      <c r="AK38" s="985"/>
    </row>
    <row r="39" spans="1:37" ht="18" customHeight="1">
      <c r="A39" s="656"/>
      <c r="B39" s="713">
        <f>$B$23+0.13</f>
        <v>1.23</v>
      </c>
      <c r="C39" s="1517" t="s">
        <v>202</v>
      </c>
      <c r="D39" s="3852" t="str">
        <f>D35</f>
        <v>This involves surveying a representative area (30% of management area) for general observations.</v>
      </c>
      <c r="E39" s="686" t="s">
        <v>3</v>
      </c>
      <c r="F39" s="1178"/>
      <c r="G39" s="1178">
        <f>$F$280</f>
        <v>9.8415545590433489</v>
      </c>
      <c r="H39" s="645">
        <f>J326</f>
        <v>2214.3497757847535</v>
      </c>
      <c r="I39" s="820" t="s">
        <v>475</v>
      </c>
      <c r="J39" s="646" t="str">
        <f>IF(K39=1,"Annual","Done every "&amp;K39&amp;" years")</f>
        <v>Annual</v>
      </c>
      <c r="K39" s="647">
        <f>L326</f>
        <v>1</v>
      </c>
      <c r="L39" s="651">
        <f t="shared" ref="L39:M41" si="8">$L$16/K39</f>
        <v>80</v>
      </c>
      <c r="M39" s="881">
        <f t="shared" si="8"/>
        <v>1</v>
      </c>
      <c r="N39" s="884">
        <f>$H39*(1-(1+$L$15)^-(L39*M39))/((1+$L$15)^M39-1)*(1+((1+$L$15)^M39-1))</f>
        <v>55075.324276797262</v>
      </c>
      <c r="O39" s="653">
        <f t="shared" si="0"/>
        <v>2214.3497757847517</v>
      </c>
      <c r="P39" s="931">
        <f>SUM(O39:O42)</f>
        <v>5296.7713004484267</v>
      </c>
      <c r="Q39" s="3023"/>
      <c r="R39" s="3023"/>
      <c r="S39" s="3023"/>
      <c r="T39" s="1037" t="s">
        <v>808</v>
      </c>
      <c r="U39" s="655">
        <f>O39/$U$16</f>
        <v>22.143497757847516</v>
      </c>
      <c r="V39" s="655">
        <f>IF($T39="L",SUM($U39:U39)*V$16,"")</f>
        <v>6.6430493273542544</v>
      </c>
      <c r="W39" s="655">
        <f>IF($U39="","",IF(OR($T39="L",$T39="T",$T39="C"),SUM($U39:V39)*W$16,""))</f>
        <v>2.8786547085201772</v>
      </c>
      <c r="X39" s="655">
        <f>IF($U39="","",SUM($U39:W39)*X$16)</f>
        <v>9.4995605381165849</v>
      </c>
      <c r="Y39" s="650">
        <f>IF($U39="","",SUM(V39:X39))</f>
        <v>19.021264573991019</v>
      </c>
      <c r="Z39" s="717">
        <f>SUM(V39:X42)</f>
        <v>32.275677130044819</v>
      </c>
      <c r="AA39" s="739">
        <f>IF($U39="","",SUM(U39,Y39))</f>
        <v>41.164762331838531</v>
      </c>
      <c r="AB39" s="717">
        <f>SUM(AA39:AA42)</f>
        <v>85.243390134529079</v>
      </c>
      <c r="AC39" s="731">
        <f ca="1">IF(AA39="","",AA39/OFFSET($AB$23,AF39,0))</f>
        <v>0.48290855474979688</v>
      </c>
      <c r="AD39" s="654"/>
      <c r="AE39" s="1068"/>
      <c r="AF39" s="587">
        <f>AF35+4</f>
        <v>16</v>
      </c>
      <c r="AG39" s="816">
        <f ca="1">SUM(AC39:AC42)-1</f>
        <v>0</v>
      </c>
      <c r="AH39" s="649">
        <f>$AH$16/K39</f>
        <v>5</v>
      </c>
      <c r="AI39" s="649">
        <f>$AH$16/AH39</f>
        <v>1</v>
      </c>
      <c r="AJ39" s="645">
        <f>$H39*(1-(1+$L$15)^-(AH39*AI39))/((1+$L$15)^AI39-1)*(1+((1+$L$15)^AI39-1))</f>
        <v>10252.207451740071</v>
      </c>
      <c r="AK39" s="931">
        <f>SUM(AJ39:AJ42)</f>
        <v>24523.496147926966</v>
      </c>
    </row>
    <row r="40" spans="1:37" ht="19" customHeight="1">
      <c r="A40" s="656"/>
      <c r="B40" s="714"/>
      <c r="C40" s="1518" t="s">
        <v>789</v>
      </c>
      <c r="D40" s="3853"/>
      <c r="E40" s="686" t="s">
        <v>308</v>
      </c>
      <c r="F40" s="1178">
        <f>$F$312</f>
        <v>1</v>
      </c>
      <c r="G40" s="1178">
        <f>$F$311</f>
        <v>4.9207772795216744</v>
      </c>
      <c r="H40" s="645">
        <f>J327</f>
        <v>1402.4215246636772</v>
      </c>
      <c r="I40" s="820" t="s">
        <v>797</v>
      </c>
      <c r="J40" s="646" t="str">
        <f>IF(K40=1,"Annual","Done every "&amp;K40&amp;" years")</f>
        <v>Annual</v>
      </c>
      <c r="K40" s="1691">
        <f>L327</f>
        <v>1</v>
      </c>
      <c r="L40" s="648">
        <f t="shared" si="8"/>
        <v>80</v>
      </c>
      <c r="M40" s="647">
        <f t="shared" si="8"/>
        <v>1</v>
      </c>
      <c r="N40" s="645">
        <f>$H40*(1-(1+$L$15)^-(L40*M40))/((1+$L$15)^M40-1)*(1+((1+$L$15)^M40-1))</f>
        <v>34881.038708638262</v>
      </c>
      <c r="O40" s="660">
        <f t="shared" si="0"/>
        <v>1402.4215246636759</v>
      </c>
      <c r="P40" s="932"/>
      <c r="Q40" s="3024">
        <f>1*(1-(1+$L$15)^-(L40*M40))/((1+$L$15)^M40-1)*(1+((1+$L$15)^M40-1))</f>
        <v>24.872007520708362</v>
      </c>
      <c r="R40" s="3024">
        <f>Q40/(1+$L$15)*($L$15)/(1-(1+$L$15)^-$L$16)</f>
        <v>0.99999999999999911</v>
      </c>
      <c r="S40" s="3024">
        <f>F40*R40</f>
        <v>0.99999999999999911</v>
      </c>
      <c r="T40" s="1038" t="s">
        <v>809</v>
      </c>
      <c r="U40" s="655">
        <f>O40/$U$16</f>
        <v>14.024215246636759</v>
      </c>
      <c r="V40" s="662" t="str">
        <f>IF($T40="L",SUM($U40:U40)*V$16,"")</f>
        <v/>
      </c>
      <c r="W40" s="662">
        <f>IF($U40="","",IF(OR($T40="L",$T40="T",$T40="C"),SUM($U40:V40)*W$16,""))</f>
        <v>1.402421524663676</v>
      </c>
      <c r="X40" s="662">
        <f>IF($U40="","",SUM($U40:W40)*X$16)</f>
        <v>4.6279910313901302</v>
      </c>
      <c r="Y40" s="659">
        <f>IF($U40="","",SUM(V40:X40))</f>
        <v>6.0304125560538058</v>
      </c>
      <c r="Z40" s="722"/>
      <c r="AA40" s="740">
        <f>IF($U40="","",SUM(U40,Y40))</f>
        <v>20.054627802690565</v>
      </c>
      <c r="AB40" s="722"/>
      <c r="AC40" s="731">
        <f ca="1">IF(AA40="","",AA40/OFFSET($AB$23,AF40,0))</f>
        <v>0.23526314205759333</v>
      </c>
      <c r="AD40" s="661"/>
      <c r="AE40" s="1068"/>
      <c r="AF40" s="587">
        <f>AF39</f>
        <v>16</v>
      </c>
      <c r="AG40" s="587"/>
      <c r="AH40" s="649">
        <f>$AH$16/K40</f>
        <v>5</v>
      </c>
      <c r="AI40" s="649">
        <f>$AH$16/AH40</f>
        <v>1</v>
      </c>
      <c r="AJ40" s="645">
        <f>$H40*(1-(1+$L$15)^-(AH40*AI40))/((1+$L$15)^AI40-1)*(1+((1+$L$15)^AI40-1))</f>
        <v>6493.0647194353778</v>
      </c>
      <c r="AK40" s="932"/>
    </row>
    <row r="41" spans="1:37" ht="19" customHeight="1">
      <c r="A41" s="656"/>
      <c r="B41" s="714"/>
      <c r="C41" s="1518"/>
      <c r="D41" s="3853"/>
      <c r="E41" s="686" t="s">
        <v>4</v>
      </c>
      <c r="F41" s="1178"/>
      <c r="G41" s="1178">
        <f>$F$321</f>
        <v>8</v>
      </c>
      <c r="H41" s="645">
        <f>J328</f>
        <v>1680</v>
      </c>
      <c r="I41" s="820" t="s">
        <v>70</v>
      </c>
      <c r="J41" s="646" t="str">
        <f>IF(K41=1,"Annual","Done every "&amp;K41&amp;" years")</f>
        <v>Annual</v>
      </c>
      <c r="K41" s="1691">
        <f>L328</f>
        <v>1</v>
      </c>
      <c r="L41" s="648">
        <f t="shared" si="8"/>
        <v>80</v>
      </c>
      <c r="M41" s="647">
        <f t="shared" si="8"/>
        <v>1</v>
      </c>
      <c r="N41" s="645">
        <f>$H41*(1-(1+$L$15)^-(L41*M41))/((1+$L$15)^M41-1)*(1+((1+$L$15)^M41-1))</f>
        <v>41784.972634790051</v>
      </c>
      <c r="O41" s="660">
        <f t="shared" si="0"/>
        <v>1679.9999999999986</v>
      </c>
      <c r="P41" s="933"/>
      <c r="Q41" s="3024"/>
      <c r="R41" s="3024"/>
      <c r="S41" s="3024"/>
      <c r="T41" s="1038" t="s">
        <v>810</v>
      </c>
      <c r="U41" s="655">
        <f>O41/$U$16</f>
        <v>16.799999999999986</v>
      </c>
      <c r="V41" s="664" t="str">
        <f>IF($T41="L",SUM($U41:U41)*V$16,"")</f>
        <v/>
      </c>
      <c r="W41" s="664">
        <f>IF($U41="","",IF(OR($T41="L",$T41="T",$T41="C"),SUM($U41:V41)*W$16,""))</f>
        <v>1.6799999999999988</v>
      </c>
      <c r="X41" s="664">
        <f>IF($U41="","",SUM($U41:W41)*X$16)</f>
        <v>5.543999999999996</v>
      </c>
      <c r="Y41" s="1025">
        <f>IF($U41="","",SUM(V41:X41))</f>
        <v>7.2239999999999949</v>
      </c>
      <c r="Z41" s="723"/>
      <c r="AA41" s="741">
        <f>IF($U41="","",SUM(U41,Y41))</f>
        <v>24.02399999999998</v>
      </c>
      <c r="AB41" s="723"/>
      <c r="AC41" s="731">
        <f ca="1">IF(AA41="","",AA41/OFFSET($AB$23,AF41,0))</f>
        <v>0.28182830319260976</v>
      </c>
      <c r="AD41" s="663"/>
      <c r="AE41" s="1068"/>
      <c r="AF41" s="587">
        <f>AF40</f>
        <v>16</v>
      </c>
      <c r="AG41" s="587"/>
      <c r="AH41" s="649">
        <f>$AH$16/K41</f>
        <v>5</v>
      </c>
      <c r="AI41" s="649">
        <f>$AH$16/AH41</f>
        <v>1</v>
      </c>
      <c r="AJ41" s="645">
        <f>$H41*(1-(1+$L$15)^-(AH41*AI41))/((1+$L$15)^AI41-1)*(1+((1+$L$15)^AI41-1))</f>
        <v>7778.2239767515175</v>
      </c>
      <c r="AK41" s="933"/>
    </row>
    <row r="42" spans="1:37" ht="19" customHeight="1">
      <c r="A42" s="656"/>
      <c r="B42" s="714"/>
      <c r="C42" s="1519"/>
      <c r="D42" s="3854"/>
      <c r="E42" s="686" t="s">
        <v>21</v>
      </c>
      <c r="F42" s="1178"/>
      <c r="G42" s="1178"/>
      <c r="H42" s="645"/>
      <c r="I42" s="1087"/>
      <c r="J42" s="646"/>
      <c r="K42" s="1691"/>
      <c r="L42" s="648"/>
      <c r="M42" s="647"/>
      <c r="N42" s="645"/>
      <c r="O42" s="660">
        <f t="shared" si="0"/>
        <v>0</v>
      </c>
      <c r="P42" s="934"/>
      <c r="Q42" s="3025"/>
      <c r="R42" s="3025"/>
      <c r="S42" s="3025"/>
      <c r="T42" s="1038"/>
      <c r="U42" s="655"/>
      <c r="V42" s="664" t="str">
        <f>IF($T42="L",SUM($U42:U42)*V$16,"")</f>
        <v/>
      </c>
      <c r="W42" s="664" t="str">
        <f>IF($U42="","",IF(OR($T42="L",$T42="T",$T42="C"),SUM($U42:V42)*W$16,""))</f>
        <v/>
      </c>
      <c r="X42" s="664" t="str">
        <f>IF($U42="","",SUM($U42:W42)*X$16)</f>
        <v/>
      </c>
      <c r="Y42" s="1025"/>
      <c r="Z42" s="723"/>
      <c r="AA42" s="741"/>
      <c r="AB42" s="723"/>
      <c r="AC42" s="731"/>
      <c r="AD42" s="663"/>
      <c r="AE42" s="1068"/>
      <c r="AF42" s="587">
        <f>AF41</f>
        <v>16</v>
      </c>
      <c r="AG42" s="587"/>
      <c r="AH42" s="649"/>
      <c r="AI42" s="649"/>
      <c r="AJ42" s="645"/>
      <c r="AK42" s="933"/>
    </row>
    <row r="43" spans="1:37" ht="19" customHeight="1">
      <c r="B43" s="26">
        <f>B23+0.2</f>
        <v>1.3</v>
      </c>
      <c r="C43" s="3898" t="s">
        <v>316</v>
      </c>
      <c r="D43" s="3964" t="s">
        <v>1337</v>
      </c>
      <c r="E43" s="593" t="s">
        <v>3</v>
      </c>
      <c r="F43" s="1174">
        <v>0</v>
      </c>
      <c r="G43" s="1174">
        <f>$E$359</f>
        <v>2640</v>
      </c>
      <c r="H43" s="150">
        <f>F359</f>
        <v>927000</v>
      </c>
      <c r="I43" s="150" t="str">
        <f>G359</f>
        <v>Cost for liaison officers</v>
      </c>
      <c r="J43" s="376" t="str">
        <f t="shared" ref="J43:J49" si="9">IF(K43=1,"Annual","Done every "&amp;K43&amp;" years")</f>
        <v>Annual</v>
      </c>
      <c r="K43" s="1692">
        <f>$D$344</f>
        <v>1</v>
      </c>
      <c r="L43" s="379">
        <f t="shared" ref="L43:M49" si="10">$L$16/K43</f>
        <v>80</v>
      </c>
      <c r="M43" s="272">
        <f t="shared" si="10"/>
        <v>1</v>
      </c>
      <c r="N43" s="150">
        <f t="shared" ref="N43:N49" si="11">$H43*(1-(1+$L$15)^-(L43*M43))/((1+$L$15)^M43-1)*(1+((1+$L$15)^M43-1))</f>
        <v>23056350.971696652</v>
      </c>
      <c r="O43" s="915">
        <f t="shared" si="0"/>
        <v>926999.99999999919</v>
      </c>
      <c r="P43" s="245">
        <f>SUM(O43:O46)</f>
        <v>926999.99999999919</v>
      </c>
      <c r="Q43" s="3039"/>
      <c r="R43" s="3039"/>
      <c r="S43" s="3039"/>
      <c r="T43" s="1031" t="s">
        <v>808</v>
      </c>
      <c r="U43" s="2529">
        <f>O43</f>
        <v>926999.99999999919</v>
      </c>
      <c r="V43" s="588">
        <f>IF($T43="L",SUM($U43:U43)*V$16,"")</f>
        <v>278099.99999999977</v>
      </c>
      <c r="W43" s="1474"/>
      <c r="X43" s="588">
        <f>IF($U43="","",SUM($U43:W43)*X$16)</f>
        <v>361529.99999999971</v>
      </c>
      <c r="Y43" s="383">
        <f t="shared" ref="Y43:Y86" si="12">IF($U43="","",SUM(V43:X43))</f>
        <v>639629.99999999953</v>
      </c>
      <c r="Z43" s="245">
        <f>SUM(V43:X46)</f>
        <v>639629.99999999953</v>
      </c>
      <c r="AA43" s="917">
        <f t="shared" ref="AA43:AA86" si="13">IF($U43="","",SUM(U43,Y43))</f>
        <v>1566629.9999999986</v>
      </c>
      <c r="AB43" s="2530">
        <f>SUM(AA43:AA46)</f>
        <v>1566629.9999999986</v>
      </c>
      <c r="AC43" s="918">
        <f t="shared" ref="AC43:AC86" ca="1" si="14">IF(AA43="","",AA43/OFFSET($AB$23,AF43,0))</f>
        <v>1</v>
      </c>
      <c r="AD43" s="589"/>
      <c r="AE43" s="573"/>
      <c r="AF43" s="587">
        <f>AF39+4</f>
        <v>20</v>
      </c>
      <c r="AG43" s="816">
        <f ca="1">SUM(AC43:AC46)-1</f>
        <v>0</v>
      </c>
      <c r="AH43" s="13">
        <f t="shared" ref="AH43:AH49" si="15">$AH$16/K43</f>
        <v>5</v>
      </c>
      <c r="AI43" s="13">
        <f t="shared" ref="AI43:AI49" si="16">$AH$16/AH43</f>
        <v>1</v>
      </c>
      <c r="AJ43" s="188">
        <f t="shared" ref="AJ43:AJ49" si="17">$H43*(1-(1+$L$15)^-(AH43*AI43))/((1+$L$15)^AI43-1)*(1+((1+$L$15)^AI43-1))</f>
        <v>4291912.8728861054</v>
      </c>
      <c r="AK43" s="191">
        <f>SUM(AJ43:AJ46)</f>
        <v>4291912.8728861054</v>
      </c>
    </row>
    <row r="44" spans="1:37" ht="19" customHeight="1">
      <c r="B44" s="612"/>
      <c r="C44" s="3899"/>
      <c r="D44" s="3965"/>
      <c r="E44" s="593" t="s">
        <v>308</v>
      </c>
      <c r="F44" s="1174"/>
      <c r="G44" s="1174"/>
      <c r="H44" s="150"/>
      <c r="I44" s="1085"/>
      <c r="J44" s="376"/>
      <c r="K44" s="1692"/>
      <c r="L44" s="379"/>
      <c r="M44" s="272"/>
      <c r="N44" s="150"/>
      <c r="O44" s="915">
        <f t="shared" si="0"/>
        <v>0</v>
      </c>
      <c r="P44" s="382"/>
      <c r="Q44" s="3019">
        <v>0</v>
      </c>
      <c r="R44" s="3019">
        <v>0</v>
      </c>
      <c r="S44" s="3019">
        <v>0</v>
      </c>
      <c r="T44" s="1032" t="s">
        <v>809</v>
      </c>
      <c r="U44" s="588"/>
      <c r="V44" s="919" t="str">
        <f>IF($T44="L",SUM($U44:U44)*V$16,"")</f>
        <v/>
      </c>
      <c r="W44" s="1475"/>
      <c r="X44" s="919"/>
      <c r="Y44" s="384"/>
      <c r="Z44" s="382"/>
      <c r="AA44" s="920" t="str">
        <f t="shared" si="13"/>
        <v/>
      </c>
      <c r="AB44" s="382"/>
      <c r="AC44" s="918" t="str">
        <f t="shared" ca="1" si="14"/>
        <v/>
      </c>
      <c r="AD44" s="590"/>
      <c r="AE44" s="573"/>
      <c r="AF44" s="587">
        <f>AF43</f>
        <v>20</v>
      </c>
      <c r="AG44" s="587"/>
      <c r="AH44" s="13"/>
      <c r="AI44" s="13"/>
      <c r="AJ44" s="188"/>
      <c r="AK44" s="342"/>
    </row>
    <row r="45" spans="1:37" ht="16" customHeight="1">
      <c r="B45" s="612"/>
      <c r="C45" s="3899"/>
      <c r="D45" s="3965"/>
      <c r="E45" s="593" t="s">
        <v>4</v>
      </c>
      <c r="F45" s="1174"/>
      <c r="G45" s="1174"/>
      <c r="H45" s="150"/>
      <c r="I45" s="1085"/>
      <c r="J45" s="376"/>
      <c r="K45" s="1692"/>
      <c r="L45" s="379"/>
      <c r="M45" s="272"/>
      <c r="N45" s="150"/>
      <c r="O45" s="915">
        <f t="shared" si="0"/>
        <v>0</v>
      </c>
      <c r="P45" s="382"/>
      <c r="Q45" s="3019"/>
      <c r="R45" s="3019"/>
      <c r="S45" s="3019"/>
      <c r="T45" s="1032" t="s">
        <v>810</v>
      </c>
      <c r="U45" s="588"/>
      <c r="V45" s="919" t="str">
        <f>IF($T45="L",SUM($U45:U45)*V$16,"")</f>
        <v/>
      </c>
      <c r="W45" s="1475"/>
      <c r="X45" s="919"/>
      <c r="Y45" s="384"/>
      <c r="Z45" s="382"/>
      <c r="AA45" s="920" t="str">
        <f t="shared" si="13"/>
        <v/>
      </c>
      <c r="AB45" s="382"/>
      <c r="AC45" s="918" t="str">
        <f t="shared" ca="1" si="14"/>
        <v/>
      </c>
      <c r="AD45" s="589"/>
      <c r="AE45" s="573"/>
      <c r="AF45" s="587">
        <f>AF44</f>
        <v>20</v>
      </c>
      <c r="AG45" s="587"/>
      <c r="AH45" s="13"/>
      <c r="AI45" s="13"/>
      <c r="AJ45" s="188"/>
      <c r="AK45" s="342"/>
    </row>
    <row r="46" spans="1:37" ht="19" customHeight="1">
      <c r="B46" s="612"/>
      <c r="C46" s="3900"/>
      <c r="D46" s="3966"/>
      <c r="E46" s="593" t="s">
        <v>21</v>
      </c>
      <c r="F46" s="1174"/>
      <c r="G46" s="1174"/>
      <c r="H46" s="150"/>
      <c r="I46" s="1085"/>
      <c r="J46" s="376"/>
      <c r="K46" s="1692"/>
      <c r="L46" s="379"/>
      <c r="M46" s="272"/>
      <c r="N46" s="150"/>
      <c r="O46" s="915">
        <f t="shared" si="0"/>
        <v>0</v>
      </c>
      <c r="P46" s="382"/>
      <c r="Q46" s="3019"/>
      <c r="R46" s="3019"/>
      <c r="S46" s="3019"/>
      <c r="T46" s="1033" t="s">
        <v>811</v>
      </c>
      <c r="U46" s="588"/>
      <c r="V46" s="919" t="str">
        <f>IF($T46="L",SUM($U46:U46)*V$16,"")</f>
        <v/>
      </c>
      <c r="W46" s="1478"/>
      <c r="X46" s="919"/>
      <c r="Y46" s="384"/>
      <c r="Z46" s="382"/>
      <c r="AA46" s="920" t="str">
        <f t="shared" si="13"/>
        <v/>
      </c>
      <c r="AB46" s="382"/>
      <c r="AC46" s="918" t="str">
        <f t="shared" ca="1" si="14"/>
        <v/>
      </c>
      <c r="AD46" s="589"/>
      <c r="AE46" s="573"/>
      <c r="AF46" s="587">
        <f>AF45</f>
        <v>20</v>
      </c>
      <c r="AG46" s="587"/>
      <c r="AH46" s="13"/>
      <c r="AI46" s="13"/>
      <c r="AJ46" s="188"/>
      <c r="AK46" s="342"/>
    </row>
    <row r="47" spans="1:37" s="1699" customFormat="1" ht="19" customHeight="1">
      <c r="B47" s="1700">
        <f>B27+0.2</f>
        <v>1.4000000000000001</v>
      </c>
      <c r="C47" s="3967" t="s">
        <v>654</v>
      </c>
      <c r="D47" s="3970" t="s">
        <v>1938</v>
      </c>
      <c r="E47" s="1701" t="s">
        <v>3</v>
      </c>
      <c r="F47" s="1702"/>
      <c r="G47" s="1702">
        <f>$D$394</f>
        <v>30</v>
      </c>
      <c r="H47" s="1703">
        <f t="shared" ref="H47:I49" si="18">G432</f>
        <v>6750</v>
      </c>
      <c r="I47" s="1703" t="str">
        <f t="shared" si="18"/>
        <v>Cost for labour</v>
      </c>
      <c r="J47" s="1704" t="str">
        <f t="shared" si="9"/>
        <v>Annual</v>
      </c>
      <c r="K47" s="1705">
        <f>I432</f>
        <v>1</v>
      </c>
      <c r="L47" s="1706">
        <f t="shared" si="10"/>
        <v>80</v>
      </c>
      <c r="M47" s="1707">
        <f t="shared" si="10"/>
        <v>1</v>
      </c>
      <c r="N47" s="1703">
        <f t="shared" si="11"/>
        <v>167886.05076478145</v>
      </c>
      <c r="O47" s="1708">
        <f t="shared" si="0"/>
        <v>6749.9999999999945</v>
      </c>
      <c r="P47" s="1709">
        <f>SUM(O47:O50)</f>
        <v>17324.999999999985</v>
      </c>
      <c r="Q47" s="2985"/>
      <c r="R47" s="2985"/>
      <c r="S47" s="2985"/>
      <c r="T47" s="1710" t="s">
        <v>808</v>
      </c>
      <c r="U47" s="1711">
        <f t="shared" ref="U47:U73" si="19">O47/$U$16</f>
        <v>67.499999999999943</v>
      </c>
      <c r="V47" s="1712">
        <f>IF($T47="L",SUM($U47:U47)*V$16,"")</f>
        <v>20.249999999999982</v>
      </c>
      <c r="W47" s="1712">
        <f>IF($U47="","",IF(OR($T47="L",$T47="T",$T47="C"),SUM($U47:V47)*W$16,""))</f>
        <v>8.7749999999999932</v>
      </c>
      <c r="X47" s="1712">
        <f>IF($U47="","",SUM($U47:W47)*X$16)</f>
        <v>28.957499999999975</v>
      </c>
      <c r="Y47" s="1713">
        <f t="shared" si="12"/>
        <v>57.982499999999952</v>
      </c>
      <c r="Z47" s="1709">
        <f>SUM(V47:X50)</f>
        <v>103.45499999999991</v>
      </c>
      <c r="AA47" s="1714">
        <f t="shared" si="13"/>
        <v>125.4824999999999</v>
      </c>
      <c r="AB47" s="1709">
        <f>SUM(AA47:AA50)</f>
        <v>276.70499999999976</v>
      </c>
      <c r="AC47" s="1730">
        <f t="shared" ca="1" si="14"/>
        <v>0.45348837209302328</v>
      </c>
      <c r="AD47" s="1731"/>
      <c r="AE47" s="1732"/>
      <c r="AF47" s="1715">
        <f>AF43+4</f>
        <v>24</v>
      </c>
      <c r="AG47" s="1716">
        <f ca="1">SUM(AC47:AC50)-1</f>
        <v>0</v>
      </c>
      <c r="AH47" s="1717">
        <f t="shared" si="15"/>
        <v>5</v>
      </c>
      <c r="AI47" s="1717">
        <f t="shared" si="16"/>
        <v>1</v>
      </c>
      <c r="AJ47" s="1703">
        <f t="shared" si="17"/>
        <v>31251.792763733778</v>
      </c>
      <c r="AK47" s="1718">
        <f>SUM(AJ47:AJ50)</f>
        <v>80212.934760250035</v>
      </c>
    </row>
    <row r="48" spans="1:37" s="1699" customFormat="1" ht="19" customHeight="1">
      <c r="B48" s="1719"/>
      <c r="C48" s="3968"/>
      <c r="D48" s="3971"/>
      <c r="E48" s="1701" t="s">
        <v>308</v>
      </c>
      <c r="F48" s="1702">
        <f>$D$417</f>
        <v>1</v>
      </c>
      <c r="G48" s="1702">
        <f>$D$418</f>
        <v>15</v>
      </c>
      <c r="H48" s="1703">
        <f t="shared" si="18"/>
        <v>4275</v>
      </c>
      <c r="I48" s="1703" t="str">
        <f t="shared" si="18"/>
        <v>Cost for ute hire for the whole activity</v>
      </c>
      <c r="J48" s="1704" t="str">
        <f t="shared" si="9"/>
        <v>Annual</v>
      </c>
      <c r="K48" s="1705">
        <f>I433</f>
        <v>1</v>
      </c>
      <c r="L48" s="1706">
        <f t="shared" si="10"/>
        <v>80</v>
      </c>
      <c r="M48" s="1707">
        <f t="shared" si="10"/>
        <v>1</v>
      </c>
      <c r="N48" s="1703">
        <f t="shared" si="11"/>
        <v>106327.83215102824</v>
      </c>
      <c r="O48" s="1708">
        <f t="shared" si="0"/>
        <v>4274.9999999999964</v>
      </c>
      <c r="P48" s="1720"/>
      <c r="Q48" s="2986">
        <f>1*(1-(1+$L$15)^-(L48*M48))/((1+$L$15)^M48-1)*(1+((1+$L$15)^M48-1))</f>
        <v>24.872007520708362</v>
      </c>
      <c r="R48" s="2986">
        <f>Q48/(1+$L$15)*($L$15)/(1-(1+$L$15)^-$L$16)</f>
        <v>0.99999999999999911</v>
      </c>
      <c r="S48" s="2986">
        <f>F48*R48</f>
        <v>0.99999999999999911</v>
      </c>
      <c r="T48" s="1721" t="s">
        <v>809</v>
      </c>
      <c r="U48" s="1712">
        <f t="shared" si="19"/>
        <v>42.749999999999964</v>
      </c>
      <c r="V48" s="1722" t="str">
        <f>IF($T48="L",SUM($U48:U48)*V$16,"")</f>
        <v/>
      </c>
      <c r="W48" s="1722">
        <f>IF($U48="","",IF(OR($T48="L",$T48="T",$T48="C"),SUM($U48:V48)*W$16,""))</f>
        <v>4.2749999999999968</v>
      </c>
      <c r="X48" s="1722">
        <f>IF($U48="","",SUM($U48:W48)*X$16)</f>
        <v>14.107499999999989</v>
      </c>
      <c r="Y48" s="1723">
        <f t="shared" si="12"/>
        <v>18.382499999999986</v>
      </c>
      <c r="Z48" s="1720"/>
      <c r="AA48" s="1724">
        <f t="shared" si="13"/>
        <v>61.132499999999951</v>
      </c>
      <c r="AB48" s="1720"/>
      <c r="AC48" s="1730">
        <f t="shared" ca="1" si="14"/>
        <v>0.22093023255813954</v>
      </c>
      <c r="AD48" s="1733"/>
      <c r="AE48" s="1734"/>
      <c r="AF48" s="1715">
        <f>AF47</f>
        <v>24</v>
      </c>
      <c r="AG48" s="1715"/>
      <c r="AH48" s="1717">
        <f t="shared" si="15"/>
        <v>5</v>
      </c>
      <c r="AI48" s="1717">
        <f t="shared" si="16"/>
        <v>1</v>
      </c>
      <c r="AJ48" s="1703">
        <f t="shared" si="17"/>
        <v>19792.802083698061</v>
      </c>
      <c r="AK48" s="1725"/>
    </row>
    <row r="49" spans="2:37" s="1699" customFormat="1" ht="16" customHeight="1">
      <c r="B49" s="1719"/>
      <c r="C49" s="3968"/>
      <c r="D49" s="3971"/>
      <c r="E49" s="1701" t="s">
        <v>4</v>
      </c>
      <c r="F49" s="1702"/>
      <c r="G49" s="1702">
        <f>$D$425</f>
        <v>30</v>
      </c>
      <c r="H49" s="1703">
        <f t="shared" si="18"/>
        <v>6300</v>
      </c>
      <c r="I49" s="1703" t="str">
        <f t="shared" si="18"/>
        <v>Accomodation + Food Cost</v>
      </c>
      <c r="J49" s="1704" t="str">
        <f t="shared" si="9"/>
        <v>Annual</v>
      </c>
      <c r="K49" s="1705">
        <f>I434</f>
        <v>1</v>
      </c>
      <c r="L49" s="1706">
        <f t="shared" si="10"/>
        <v>80</v>
      </c>
      <c r="M49" s="1707">
        <f t="shared" si="10"/>
        <v>1</v>
      </c>
      <c r="N49" s="1703">
        <f t="shared" si="11"/>
        <v>156693.64738046264</v>
      </c>
      <c r="O49" s="1708">
        <f t="shared" si="0"/>
        <v>6299.9999999999936</v>
      </c>
      <c r="P49" s="1720"/>
      <c r="Q49" s="2986"/>
      <c r="R49" s="2986"/>
      <c r="S49" s="2986"/>
      <c r="T49" s="1721" t="s">
        <v>810</v>
      </c>
      <c r="U49" s="1712">
        <f t="shared" si="19"/>
        <v>62.999999999999936</v>
      </c>
      <c r="V49" s="1722" t="str">
        <f>IF($T49="L",SUM($U49:U49)*V$16,"")</f>
        <v/>
      </c>
      <c r="W49" s="1722">
        <f>IF($U49="","",IF(OR($T49="L",$T49="T",$T49="C"),SUM($U49:V49)*W$16,""))</f>
        <v>6.2999999999999936</v>
      </c>
      <c r="X49" s="1722">
        <f>IF($U49="","",SUM($U49:W49)*X$16)</f>
        <v>20.789999999999978</v>
      </c>
      <c r="Y49" s="1723">
        <f t="shared" si="12"/>
        <v>27.089999999999971</v>
      </c>
      <c r="Z49" s="1720"/>
      <c r="AA49" s="1724">
        <f t="shared" si="13"/>
        <v>90.089999999999904</v>
      </c>
      <c r="AB49" s="1720"/>
      <c r="AC49" s="1730">
        <f t="shared" ca="1" si="14"/>
        <v>0.32558139534883712</v>
      </c>
      <c r="AD49" s="1735"/>
      <c r="AE49" s="1734"/>
      <c r="AF49" s="1715">
        <f>AF48</f>
        <v>24</v>
      </c>
      <c r="AG49" s="1715"/>
      <c r="AH49" s="1717">
        <f t="shared" si="15"/>
        <v>5</v>
      </c>
      <c r="AI49" s="1717">
        <f t="shared" si="16"/>
        <v>1</v>
      </c>
      <c r="AJ49" s="1703">
        <f t="shared" si="17"/>
        <v>29168.339912818192</v>
      </c>
      <c r="AK49" s="1725"/>
    </row>
    <row r="50" spans="2:37" s="1699" customFormat="1" ht="19" customHeight="1">
      <c r="B50" s="1719"/>
      <c r="C50" s="3969"/>
      <c r="D50" s="3972"/>
      <c r="E50" s="1701"/>
      <c r="F50" s="1702"/>
      <c r="G50" s="1702"/>
      <c r="H50" s="1703"/>
      <c r="I50" s="1736"/>
      <c r="J50" s="1704"/>
      <c r="K50" s="1726"/>
      <c r="L50" s="1706"/>
      <c r="M50" s="1707"/>
      <c r="N50" s="1703"/>
      <c r="O50" s="1708">
        <f t="shared" si="0"/>
        <v>0</v>
      </c>
      <c r="P50" s="1720"/>
      <c r="Q50" s="2986"/>
      <c r="R50" s="2986"/>
      <c r="S50" s="2986"/>
      <c r="T50" s="1727" t="s">
        <v>811</v>
      </c>
      <c r="U50" s="1712">
        <f t="shared" si="19"/>
        <v>0</v>
      </c>
      <c r="V50" s="1722" t="str">
        <f>IF($T50="L",SUM($U50:U50)*V$16,"")</f>
        <v/>
      </c>
      <c r="W50" s="1722" t="str">
        <f>IF($U50="","",IF(OR($T50="L",$T50="T",$T50="C"),SUM($U50:V50)*W$16,""))</f>
        <v/>
      </c>
      <c r="X50" s="1722">
        <f>IF($U50="","",SUM($U50:W50)*X$16)</f>
        <v>0</v>
      </c>
      <c r="Y50" s="1723">
        <f t="shared" si="12"/>
        <v>0</v>
      </c>
      <c r="Z50" s="1720"/>
      <c r="AA50" s="1724">
        <f t="shared" si="13"/>
        <v>0</v>
      </c>
      <c r="AB50" s="1720"/>
      <c r="AC50" s="1730">
        <f t="shared" ca="1" si="14"/>
        <v>0</v>
      </c>
      <c r="AD50" s="1737"/>
      <c r="AE50" s="1738"/>
      <c r="AF50" s="1715">
        <f>AF49</f>
        <v>24</v>
      </c>
      <c r="AG50" s="1715"/>
      <c r="AH50" s="1717"/>
      <c r="AI50" s="1717"/>
      <c r="AJ50" s="1703"/>
      <c r="AK50" s="1725"/>
    </row>
    <row r="51" spans="2:37" s="1349" customFormat="1" ht="19" customHeight="1">
      <c r="B51" s="167">
        <f>B31+0.2</f>
        <v>1.5100000000000002</v>
      </c>
      <c r="C51" s="3961" t="s">
        <v>570</v>
      </c>
      <c r="D51" s="3973" t="s">
        <v>1348</v>
      </c>
      <c r="E51" s="168" t="s">
        <v>3</v>
      </c>
      <c r="F51" s="1350"/>
      <c r="G51" s="1350">
        <f>$D$504</f>
        <v>466.66666666666669</v>
      </c>
      <c r="H51" s="169">
        <f>G549</f>
        <v>105000</v>
      </c>
      <c r="I51" s="169" t="str">
        <f>H549</f>
        <v>Cost for labour</v>
      </c>
      <c r="J51" s="1351" t="str">
        <f t="shared" ref="J51:J57" si="20">IF(K51=1,"Annual","Done every "&amp;K51&amp;" years")</f>
        <v>Done every 20 years</v>
      </c>
      <c r="K51" s="1695">
        <f>I549</f>
        <v>20</v>
      </c>
      <c r="L51" s="1353">
        <f t="shared" ref="L51:M53" si="21">$L$16/K51</f>
        <v>4</v>
      </c>
      <c r="M51" s="1354">
        <f t="shared" si="21"/>
        <v>20</v>
      </c>
      <c r="N51" s="169">
        <f>$H51*(1-(1+$L$15)^-(L51*M51))/((1+$L$15)^M51-1)*(1+((1+$L$15)^M51-1))</f>
        <v>184772.32114793939</v>
      </c>
      <c r="O51" s="1355">
        <f t="shared" si="0"/>
        <v>7428.9267158711791</v>
      </c>
      <c r="P51" s="1356">
        <f>SUM(O51:O54)</f>
        <v>40053.63442676625</v>
      </c>
      <c r="Q51" s="3028"/>
      <c r="R51" s="3028"/>
      <c r="S51" s="3028"/>
      <c r="T51" s="1357" t="s">
        <v>808</v>
      </c>
      <c r="U51" s="1358">
        <f t="shared" si="19"/>
        <v>74.289267158711795</v>
      </c>
      <c r="V51" s="1359">
        <f>IF($T51="L",SUM($U51:U51)*V$16,"")</f>
        <v>22.286780147613538</v>
      </c>
      <c r="W51" s="1359">
        <f>IF($U51="","",IF(OR($T51="L",$T51="T",$T51="C"),SUM($U51:V51)*W$16,""))</f>
        <v>9.657604730632535</v>
      </c>
      <c r="X51" s="1359">
        <f>IF($U51="","",SUM($U51:W51)*X$16)</f>
        <v>31.870095611087358</v>
      </c>
      <c r="Y51" s="1360">
        <f t="shared" si="12"/>
        <v>63.814480489333434</v>
      </c>
      <c r="Z51" s="1356">
        <f>SUM(V51:X54)</f>
        <v>202.55958684205552</v>
      </c>
      <c r="AA51" s="1361">
        <f t="shared" si="13"/>
        <v>138.10374764804521</v>
      </c>
      <c r="AB51" s="1356">
        <f>SUM(AA51:AA54)</f>
        <v>603.09593110971787</v>
      </c>
      <c r="AC51" s="1630">
        <f t="shared" ca="1" si="14"/>
        <v>0.22899134370535285</v>
      </c>
      <c r="AD51" s="1631"/>
      <c r="AE51" s="1632"/>
      <c r="AF51" s="1365">
        <f>AF47+4</f>
        <v>28</v>
      </c>
      <c r="AG51" s="1366">
        <f ca="1">SUM(AC51:AC54)-1</f>
        <v>0</v>
      </c>
      <c r="AH51" s="1367">
        <f>$AH$16/K51</f>
        <v>0.25</v>
      </c>
      <c r="AI51" s="1367">
        <f>$AH$16/AH51</f>
        <v>20</v>
      </c>
      <c r="AJ51" s="169">
        <f>$H51*(1-(1+$L$15)^-(AH51*AI51))/((1+$L$15)^AI51-1)*(1+((1+$L$15)^AI51-1))</f>
        <v>34395.15232316617</v>
      </c>
      <c r="AK51" s="1368">
        <f>SUM(AJ51:AJ54)</f>
        <v>179955.43695480539</v>
      </c>
    </row>
    <row r="52" spans="2:37" s="1349" customFormat="1" ht="19" customHeight="1">
      <c r="B52" s="170"/>
      <c r="C52" s="3962"/>
      <c r="D52" s="3974"/>
      <c r="E52" s="168" t="s">
        <v>308</v>
      </c>
      <c r="F52" s="1350">
        <f>D527</f>
        <v>12</v>
      </c>
      <c r="G52" s="1350">
        <f>D528</f>
        <v>233.33333333333334</v>
      </c>
      <c r="H52" s="169">
        <f t="shared" ref="H52:I54" si="22">G550</f>
        <v>66500</v>
      </c>
      <c r="I52" s="169" t="str">
        <f t="shared" si="22"/>
        <v>Cost for ute hire for the whole activity</v>
      </c>
      <c r="J52" s="1351" t="str">
        <f t="shared" si="20"/>
        <v>Done every 20 years</v>
      </c>
      <c r="K52" s="1695">
        <f>I550</f>
        <v>20</v>
      </c>
      <c r="L52" s="1353">
        <f t="shared" si="21"/>
        <v>4</v>
      </c>
      <c r="M52" s="1354">
        <f t="shared" si="21"/>
        <v>20</v>
      </c>
      <c r="N52" s="169">
        <f>$H52*(1-(1+$L$15)^-(L52*M52))/((1+$L$15)^M52-1)*(1+((1+$L$15)^M52-1))</f>
        <v>117022.47006036162</v>
      </c>
      <c r="O52" s="1355">
        <f t="shared" si="0"/>
        <v>4704.9869200517469</v>
      </c>
      <c r="P52" s="1369"/>
      <c r="Q52" s="3029">
        <f>1*(1-(1+$L$15)^-(L52*M52))/((1+$L$15)^M52-1)*(1+((1+$L$15)^M52-1))</f>
        <v>1.7597363918851372</v>
      </c>
      <c r="R52" s="3029">
        <f>Q52/(1+$L$15)*($L$15)/(1-(1+$L$15)^-$L$16)</f>
        <v>7.0751683008296956E-2</v>
      </c>
      <c r="S52" s="3029">
        <f>F52*R52</f>
        <v>0.84902019609956347</v>
      </c>
      <c r="T52" s="1370" t="s">
        <v>809</v>
      </c>
      <c r="U52" s="1359">
        <f t="shared" si="19"/>
        <v>47.04986920051747</v>
      </c>
      <c r="V52" s="1371" t="str">
        <f>IF($T52="L",SUM($U52:U52)*V$16,"")</f>
        <v/>
      </c>
      <c r="W52" s="1371">
        <f>IF($U52="","",IF(OR($T52="L",$T52="T",$T52="C"),SUM($U52:V52)*W$16,""))</f>
        <v>4.7049869200517476</v>
      </c>
      <c r="X52" s="1371">
        <f>IF($U52="","",SUM($U52:W52)*X$16)</f>
        <v>15.526456836170764</v>
      </c>
      <c r="Y52" s="1372">
        <f t="shared" si="12"/>
        <v>20.231443756222511</v>
      </c>
      <c r="Z52" s="1369"/>
      <c r="AA52" s="1373">
        <f t="shared" si="13"/>
        <v>67.281312956739981</v>
      </c>
      <c r="AB52" s="1369"/>
      <c r="AC52" s="1630">
        <f t="shared" ca="1" si="14"/>
        <v>0.1115598853949155</v>
      </c>
      <c r="AD52" s="1633"/>
      <c r="AE52" s="1632"/>
      <c r="AF52" s="1365">
        <f>AF51</f>
        <v>28</v>
      </c>
      <c r="AG52" s="1365"/>
      <c r="AH52" s="1367">
        <f>$AH$16/K52</f>
        <v>0.25</v>
      </c>
      <c r="AI52" s="1367">
        <f>$AH$16/AH52</f>
        <v>20</v>
      </c>
      <c r="AJ52" s="169">
        <f>$H52*(1-(1+$L$15)^-(AH52*AI52))/((1+$L$15)^AI52-1)*(1+((1+$L$15)^AI52-1))</f>
        <v>21783.596471338577</v>
      </c>
      <c r="AK52" s="1376"/>
    </row>
    <row r="53" spans="2:37" s="1349" customFormat="1" ht="16" customHeight="1">
      <c r="B53" s="170"/>
      <c r="C53" s="3962"/>
      <c r="D53" s="3974"/>
      <c r="E53" s="168" t="s">
        <v>4</v>
      </c>
      <c r="F53" s="1350"/>
      <c r="G53" s="1350">
        <f>$D$535</f>
        <v>466</v>
      </c>
      <c r="H53" s="169">
        <f t="shared" si="22"/>
        <v>377860</v>
      </c>
      <c r="I53" s="169" t="str">
        <f t="shared" si="22"/>
        <v>Accomodation/food + Fence Materials</v>
      </c>
      <c r="J53" s="1351" t="str">
        <f t="shared" si="20"/>
        <v>Done every 20 years</v>
      </c>
      <c r="K53" s="1695">
        <f>I551</f>
        <v>20</v>
      </c>
      <c r="L53" s="1353">
        <f t="shared" si="21"/>
        <v>4</v>
      </c>
      <c r="M53" s="1354">
        <f t="shared" si="21"/>
        <v>20</v>
      </c>
      <c r="N53" s="169">
        <f>$H53*(1-(1+$L$15)^-(L53*M53))/((1+$L$15)^M53-1)*(1+((1+$L$15)^M53-1))</f>
        <v>664933.993037718</v>
      </c>
      <c r="O53" s="1355">
        <f t="shared" si="0"/>
        <v>26734.230941515085</v>
      </c>
      <c r="P53" s="1369"/>
      <c r="Q53" s="3029"/>
      <c r="R53" s="3029"/>
      <c r="S53" s="3029"/>
      <c r="T53" s="1370" t="s">
        <v>810</v>
      </c>
      <c r="U53" s="1359">
        <f t="shared" si="19"/>
        <v>267.34230941515085</v>
      </c>
      <c r="V53" s="1371" t="str">
        <f>IF($T53="L",SUM($U53:U53)*V$16,"")</f>
        <v/>
      </c>
      <c r="W53" s="1371">
        <f>IF($U53="","",IF(OR($T53="L",$T53="T",$T53="C"),SUM($U53:V53)*W$16,""))</f>
        <v>26.734230941515086</v>
      </c>
      <c r="X53" s="1371">
        <f>IF($U53="","",SUM($U53:W53)*X$16)</f>
        <v>88.222962106999773</v>
      </c>
      <c r="Y53" s="1372">
        <f t="shared" si="12"/>
        <v>114.95719304851485</v>
      </c>
      <c r="Z53" s="1369"/>
      <c r="AA53" s="1373">
        <f t="shared" si="13"/>
        <v>382.2995024636657</v>
      </c>
      <c r="AB53" s="1369"/>
      <c r="AC53" s="1630">
        <f t="shared" ca="1" si="14"/>
        <v>0.63389501195974096</v>
      </c>
      <c r="AD53" s="1631"/>
      <c r="AE53" s="1632"/>
      <c r="AF53" s="1365">
        <f>AF52</f>
        <v>28</v>
      </c>
      <c r="AG53" s="1365"/>
      <c r="AH53" s="1367">
        <f>$AH$16/K53</f>
        <v>0.25</v>
      </c>
      <c r="AI53" s="1367">
        <f>$AH$16/AH53</f>
        <v>20</v>
      </c>
      <c r="AJ53" s="169">
        <f>$H53*(1-(1+$L$15)^-(AH53*AI53))/((1+$L$15)^AI53-1)*(1+((1+$L$15)^AI53-1))</f>
        <v>123776.68816030066</v>
      </c>
      <c r="AK53" s="1376"/>
    </row>
    <row r="54" spans="2:37" s="1349" customFormat="1" ht="19" customHeight="1">
      <c r="B54" s="170"/>
      <c r="C54" s="3963"/>
      <c r="D54" s="3975"/>
      <c r="E54" s="168" t="s">
        <v>21</v>
      </c>
      <c r="F54" s="1350"/>
      <c r="G54" s="1350"/>
      <c r="H54" s="169">
        <f t="shared" si="22"/>
        <v>10000</v>
      </c>
      <c r="I54" s="169" t="str">
        <f t="shared" si="22"/>
        <v>Equipment</v>
      </c>
      <c r="J54" s="1351" t="str">
        <f t="shared" si="20"/>
        <v>Done every 10 years</v>
      </c>
      <c r="K54" s="1696">
        <f>I552</f>
        <v>10</v>
      </c>
      <c r="L54" s="1353">
        <f t="shared" ref="L54:M57" si="23">$L$16/K54</f>
        <v>8</v>
      </c>
      <c r="M54" s="1354">
        <f t="shared" si="23"/>
        <v>10</v>
      </c>
      <c r="N54" s="169">
        <f>$H54*(1-(1+$L$15)^-(L54*M54))/((1+$L$15)^M54-1)*(1+((1+$L$15)^M54-1))</f>
        <v>29485.512448215297</v>
      </c>
      <c r="O54" s="1355">
        <f t="shared" si="0"/>
        <v>1185.4898493282344</v>
      </c>
      <c r="P54" s="1369"/>
      <c r="Q54" s="3029"/>
      <c r="R54" s="3029"/>
      <c r="S54" s="3029"/>
      <c r="T54" s="1378" t="s">
        <v>811</v>
      </c>
      <c r="U54" s="1359">
        <f t="shared" si="19"/>
        <v>11.854898493282343</v>
      </c>
      <c r="V54" s="1371" t="str">
        <f>IF($T54="L",SUM($U54:U54)*V$16,"")</f>
        <v/>
      </c>
      <c r="W54" s="1371" t="str">
        <f>IF($U54="","",IF(OR($T54="L",$T54="T",$T54="C"),SUM($U54:V54)*W$16,""))</f>
        <v/>
      </c>
      <c r="X54" s="1371">
        <f>IF($U54="","",SUM($U54:W54)*X$16)</f>
        <v>3.5564695479847028</v>
      </c>
      <c r="Y54" s="1372">
        <f t="shared" si="12"/>
        <v>3.5564695479847028</v>
      </c>
      <c r="Z54" s="1369"/>
      <c r="AA54" s="1373">
        <f t="shared" si="13"/>
        <v>15.411368041267046</v>
      </c>
      <c r="AB54" s="1369"/>
      <c r="AC54" s="1630">
        <f t="shared" ca="1" si="14"/>
        <v>2.5553758939990828E-2</v>
      </c>
      <c r="AD54" s="1631"/>
      <c r="AE54" s="1632"/>
      <c r="AF54" s="1365">
        <f>AF53</f>
        <v>28</v>
      </c>
      <c r="AG54" s="1365"/>
      <c r="AH54" s="1367"/>
      <c r="AI54" s="1367"/>
      <c r="AJ54" s="169"/>
      <c r="AK54" s="1376"/>
    </row>
    <row r="55" spans="2:37" s="1414" customFormat="1" ht="19" customHeight="1">
      <c r="B55" s="1634">
        <f>B35+0.2</f>
        <v>1.4200000000000002</v>
      </c>
      <c r="C55" s="3919" t="s">
        <v>1349</v>
      </c>
      <c r="D55" s="3922" t="s">
        <v>1350</v>
      </c>
      <c r="E55" s="1635" t="s">
        <v>3</v>
      </c>
      <c r="F55" s="1636"/>
      <c r="G55" s="1636">
        <f>$E$504</f>
        <v>26.666666666666668</v>
      </c>
      <c r="H55" s="1637">
        <f>J549</f>
        <v>6000</v>
      </c>
      <c r="I55" s="1637" t="str">
        <f>H553</f>
        <v>Total cost</v>
      </c>
      <c r="J55" s="1638" t="str">
        <f t="shared" si="20"/>
        <v>Annual</v>
      </c>
      <c r="K55" s="1697">
        <f>L549</f>
        <v>1</v>
      </c>
      <c r="L55" s="177">
        <f t="shared" si="23"/>
        <v>80</v>
      </c>
      <c r="M55" s="178">
        <f t="shared" si="23"/>
        <v>1</v>
      </c>
      <c r="N55" s="2272">
        <f>$H55*(1-(1+$L$15)^-(L55*M55))/((1+$L$15)^M55-1)*(1+((1+$L$15)^M55-1))-H55</f>
        <v>143232.04512425014</v>
      </c>
      <c r="O55" s="1639">
        <f t="shared" ref="O55:O83" si="24">N55/(1+$L$15)*($L$15)/(1-(1+$L$15)^-$L$16)</f>
        <v>5758.7649491097736</v>
      </c>
      <c r="P55" s="1640">
        <f>SUM(O55:O58)</f>
        <v>41520.695283081484</v>
      </c>
      <c r="Q55" s="3030"/>
      <c r="R55" s="3030"/>
      <c r="S55" s="3030"/>
      <c r="T55" s="1641" t="s">
        <v>808</v>
      </c>
      <c r="U55" s="1642">
        <f>O55/$U$16</f>
        <v>57.587649491097736</v>
      </c>
      <c r="V55" s="1643">
        <f>IF($T55="L",SUM($U55:U55)*V$16,"")</f>
        <v>17.276294847329321</v>
      </c>
      <c r="W55" s="1643">
        <f>IF($U55="","",IF(OR($T55="L",$T55="T",$T55="C"),SUM($U55:V55)*W$16,""))</f>
        <v>7.4863944338427064</v>
      </c>
      <c r="X55" s="1643">
        <f>IF($U55="","",SUM($U55:W55)*X$16)</f>
        <v>24.705101631680929</v>
      </c>
      <c r="Y55" s="1644">
        <f t="shared" ref="Y55:Y62" si="25">IF($U55="","",SUM(V55:X55))</f>
        <v>49.467790912852962</v>
      </c>
      <c r="Z55" s="1640">
        <f>SUM(V55:X58)</f>
        <v>203.24409134893131</v>
      </c>
      <c r="AA55" s="1645">
        <f t="shared" ref="AA55:AA62" si="26">IF($U55="","",SUM(U55,Y55))</f>
        <v>107.0554404039507</v>
      </c>
      <c r="AB55" s="1640">
        <f>SUM(AA55:AA58)</f>
        <v>618.45104417974608</v>
      </c>
      <c r="AC55" s="1646">
        <f t="shared" ref="AC55:AC62" ca="1" si="27">IF(AA55="","",AA55/OFFSET($AB$23,AF55,0))</f>
        <v>0.17310252996005324</v>
      </c>
      <c r="AD55" s="1415"/>
      <c r="AE55" s="181"/>
      <c r="AF55" s="1647">
        <f>AF51+4</f>
        <v>32</v>
      </c>
      <c r="AG55" s="1648">
        <f ca="1">SUM(AC55:AC58)-1</f>
        <v>0</v>
      </c>
      <c r="AH55" s="1649">
        <f>$AH$16/K55</f>
        <v>5</v>
      </c>
      <c r="AI55" s="1649">
        <f>$AH$16/AH55</f>
        <v>1</v>
      </c>
      <c r="AJ55" s="1637">
        <f>$H55*(1-(1+$L$15)^-(AH55*AI55))/((1+$L$15)^AI55-1)*(1+((1+$L$15)^AI55-1))</f>
        <v>27779.371345541134</v>
      </c>
      <c r="AK55" s="1650">
        <f>SUM(AJ55:AJ58)</f>
        <v>200289.26740135159</v>
      </c>
    </row>
    <row r="56" spans="2:37" s="1414" customFormat="1" ht="19" customHeight="1">
      <c r="B56" s="1651"/>
      <c r="C56" s="3920"/>
      <c r="D56" s="3923"/>
      <c r="E56" s="1635" t="s">
        <v>308</v>
      </c>
      <c r="F56" s="1636">
        <f>E527</f>
        <v>1</v>
      </c>
      <c r="G56" s="1636">
        <f>E528</f>
        <v>13.333333333333334</v>
      </c>
      <c r="H56" s="1637">
        <f>J550</f>
        <v>3800</v>
      </c>
      <c r="I56" s="1637" t="str">
        <f>H555</f>
        <v>Accomodation + Food Cost</v>
      </c>
      <c r="J56" s="1638" t="str">
        <f t="shared" si="20"/>
        <v>Annual</v>
      </c>
      <c r="K56" s="1697">
        <f>L550</f>
        <v>1</v>
      </c>
      <c r="L56" s="177">
        <f t="shared" si="23"/>
        <v>80</v>
      </c>
      <c r="M56" s="178">
        <f t="shared" si="23"/>
        <v>1</v>
      </c>
      <c r="N56" s="2272">
        <f>$H56*(1-(1+$L$15)^-(L56*M56))/((1+$L$15)^M56-1)*(1+((1+$L$15)^M56-1))-H56</f>
        <v>90713.628578691772</v>
      </c>
      <c r="O56" s="1639">
        <f t="shared" si="24"/>
        <v>3647.2178011028582</v>
      </c>
      <c r="P56" s="1652"/>
      <c r="Q56" s="2982">
        <f>1*(1-(1+$L$15)^-(L56*M56))/((1+$L$15)^M56-1)*(1+((1+$L$15)^M56-1))</f>
        <v>24.872007520708362</v>
      </c>
      <c r="R56" s="2982">
        <f>Q56/(1+$L$15)*($L$15)/(1-(1+$L$15)^-$L$16)</f>
        <v>0.99999999999999911</v>
      </c>
      <c r="S56" s="2982">
        <f>F56*R56</f>
        <v>0.99999999999999911</v>
      </c>
      <c r="T56" s="1653" t="s">
        <v>809</v>
      </c>
      <c r="U56" s="1643">
        <f>O56/$U$16</f>
        <v>36.472178011028582</v>
      </c>
      <c r="V56" s="205" t="str">
        <f>IF($T56="L",SUM($U56:U56)*V$16,"")</f>
        <v/>
      </c>
      <c r="W56" s="205">
        <f>IF($U56="","",IF(OR($T56="L",$T56="T",$T56="C"),SUM($U56:V56)*W$16,""))</f>
        <v>3.6472178011028582</v>
      </c>
      <c r="X56" s="205">
        <f>IF($U56="","",SUM($U56:W56)*X$16)</f>
        <v>12.035818743639433</v>
      </c>
      <c r="Y56" s="180">
        <f t="shared" si="25"/>
        <v>15.683036544742292</v>
      </c>
      <c r="Z56" s="1652"/>
      <c r="AA56" s="1654">
        <f t="shared" si="26"/>
        <v>52.155214555770876</v>
      </c>
      <c r="AB56" s="1652"/>
      <c r="AC56" s="1646">
        <f t="shared" ca="1" si="27"/>
        <v>8.4332001775410587E-2</v>
      </c>
      <c r="AD56" s="1655"/>
      <c r="AE56" s="181"/>
      <c r="AF56" s="1647">
        <f>AF55</f>
        <v>32</v>
      </c>
      <c r="AG56" s="1647"/>
      <c r="AH56" s="1649">
        <f>$AH$16/K56</f>
        <v>5</v>
      </c>
      <c r="AI56" s="1649">
        <f>$AH$16/AH56</f>
        <v>1</v>
      </c>
      <c r="AJ56" s="1637">
        <f>$H56*(1-(1+$L$15)^-(AH56*AI56))/((1+$L$15)^AI56-1)*(1+((1+$L$15)^AI56-1))</f>
        <v>17593.601852176052</v>
      </c>
      <c r="AK56" s="1656"/>
    </row>
    <row r="57" spans="2:37" s="1414" customFormat="1" ht="16" customHeight="1">
      <c r="B57" s="1651"/>
      <c r="C57" s="3920"/>
      <c r="D57" s="3923"/>
      <c r="E57" s="1635" t="s">
        <v>4</v>
      </c>
      <c r="F57" s="1636"/>
      <c r="G57" s="1636">
        <f>$E$535</f>
        <v>26</v>
      </c>
      <c r="H57" s="1637">
        <f>J551</f>
        <v>33460</v>
      </c>
      <c r="I57" s="1637" t="str">
        <f>H556</f>
        <v>Fence Materials</v>
      </c>
      <c r="J57" s="1638" t="str">
        <f t="shared" si="20"/>
        <v>Annual</v>
      </c>
      <c r="K57" s="1697">
        <f>L551</f>
        <v>1</v>
      </c>
      <c r="L57" s="177">
        <f t="shared" si="23"/>
        <v>80</v>
      </c>
      <c r="M57" s="178">
        <f t="shared" si="23"/>
        <v>1</v>
      </c>
      <c r="N57" s="2272">
        <f>$H57*(1-(1+$L$15)^-(L57*M57))/((1+$L$15)^M57-1)*(1+((1+$L$15)^M57-1))-H57</f>
        <v>798757.37164290179</v>
      </c>
      <c r="O57" s="1639">
        <f t="shared" si="24"/>
        <v>32114.712532868853</v>
      </c>
      <c r="P57" s="1652"/>
      <c r="Q57" s="2982"/>
      <c r="R57" s="2982"/>
      <c r="S57" s="2982"/>
      <c r="T57" s="1653" t="s">
        <v>810</v>
      </c>
      <c r="U57" s="1643">
        <f>O57/$U$16</f>
        <v>321.1471253286885</v>
      </c>
      <c r="V57" s="205" t="str">
        <f>IF($T57="L",SUM($U57:U57)*V$16,"")</f>
        <v/>
      </c>
      <c r="W57" s="205">
        <f>IF($U57="","",IF(OR($T57="L",$T57="T",$T57="C"),SUM($U57:V57)*W$16,""))</f>
        <v>32.11471253286885</v>
      </c>
      <c r="X57" s="205">
        <f>IF($U57="","",SUM($U57:W57)*X$16)</f>
        <v>105.9785513584672</v>
      </c>
      <c r="Y57" s="180">
        <f t="shared" si="25"/>
        <v>138.09326389133605</v>
      </c>
      <c r="Z57" s="1652"/>
      <c r="AA57" s="1654">
        <f t="shared" si="26"/>
        <v>459.24038922002455</v>
      </c>
      <c r="AB57" s="1652"/>
      <c r="AC57" s="1646">
        <f t="shared" ca="1" si="27"/>
        <v>0.74256546826453629</v>
      </c>
      <c r="AD57" s="1415"/>
      <c r="AE57" s="181"/>
      <c r="AF57" s="1647">
        <f>AF56</f>
        <v>32</v>
      </c>
      <c r="AG57" s="1647"/>
      <c r="AH57" s="1649">
        <f>$AH$16/K57</f>
        <v>5</v>
      </c>
      <c r="AI57" s="1649">
        <f>$AH$16/AH57</f>
        <v>1</v>
      </c>
      <c r="AJ57" s="1637">
        <f>$H57*(1-(1+$L$15)^-(AH57*AI57))/((1+$L$15)^AI57-1)*(1+((1+$L$15)^AI57-1))</f>
        <v>154916.2942036344</v>
      </c>
      <c r="AK57" s="1656"/>
    </row>
    <row r="58" spans="2:37" s="1414" customFormat="1" ht="19" customHeight="1">
      <c r="B58" s="1651"/>
      <c r="C58" s="3921"/>
      <c r="D58" s="3924"/>
      <c r="E58" s="1635" t="s">
        <v>21</v>
      </c>
      <c r="F58" s="1636"/>
      <c r="G58" s="1636"/>
      <c r="H58" s="1637"/>
      <c r="I58" s="1637"/>
      <c r="J58" s="1638"/>
      <c r="K58" s="1698"/>
      <c r="L58" s="177"/>
      <c r="M58" s="178"/>
      <c r="N58" s="1637"/>
      <c r="O58" s="1639">
        <f t="shared" si="24"/>
        <v>0</v>
      </c>
      <c r="P58" s="1652"/>
      <c r="Q58" s="2982"/>
      <c r="R58" s="2982"/>
      <c r="S58" s="2982"/>
      <c r="T58" s="1657" t="s">
        <v>811</v>
      </c>
      <c r="U58" s="1643"/>
      <c r="V58" s="205" t="str">
        <f>IF($T58="L",SUM($U58:U58)*V$16,"")</f>
        <v/>
      </c>
      <c r="W58" s="205" t="str">
        <f>IF($U58="","",IF(OR($T58="L",$T58="T",$T58="C"),SUM($U58:V58)*W$16,""))</f>
        <v/>
      </c>
      <c r="X58" s="205" t="str">
        <f>IF($U58="","",SUM($U58:W58)*X$16)</f>
        <v/>
      </c>
      <c r="Y58" s="180" t="str">
        <f t="shared" si="25"/>
        <v/>
      </c>
      <c r="Z58" s="1652"/>
      <c r="AA58" s="1654" t="str">
        <f t="shared" si="26"/>
        <v/>
      </c>
      <c r="AB58" s="1652"/>
      <c r="AC58" s="1646" t="str">
        <f t="shared" ca="1" si="27"/>
        <v/>
      </c>
      <c r="AD58" s="1415"/>
      <c r="AE58" s="181"/>
      <c r="AF58" s="1647">
        <f>AF57</f>
        <v>32</v>
      </c>
      <c r="AG58" s="1647"/>
      <c r="AH58" s="1649"/>
      <c r="AI58" s="1649"/>
      <c r="AJ58" s="1637"/>
      <c r="AK58" s="1656"/>
    </row>
    <row r="59" spans="2:37" s="1144" customFormat="1" ht="19" customHeight="1">
      <c r="B59" s="260">
        <f>B39+0.2</f>
        <v>1.43</v>
      </c>
      <c r="C59" s="3844" t="s">
        <v>655</v>
      </c>
      <c r="D59" s="3847" t="s">
        <v>1351</v>
      </c>
      <c r="E59" s="12" t="s">
        <v>3</v>
      </c>
      <c r="F59" s="1172"/>
      <c r="G59" s="1172">
        <f>$D$621</f>
        <v>2333.3333333333335</v>
      </c>
      <c r="H59" s="188">
        <f t="shared" ref="H59:I62" si="28">G666</f>
        <v>525000</v>
      </c>
      <c r="I59" s="188" t="str">
        <f t="shared" si="28"/>
        <v>Cost for labour</v>
      </c>
      <c r="J59" s="377" t="str">
        <f t="shared" ref="J59:J65" si="29">IF(K59=1,"Annual","Done every "&amp;K59&amp;" years")</f>
        <v>Done every 20 years</v>
      </c>
      <c r="K59" s="1693">
        <f>I666</f>
        <v>20</v>
      </c>
      <c r="L59" s="158">
        <f t="shared" ref="L59:L65" si="30">$L$16/K59</f>
        <v>4</v>
      </c>
      <c r="M59" s="586">
        <f t="shared" ref="M59:M65" si="31">$L$16/L59</f>
        <v>20</v>
      </c>
      <c r="N59" s="188">
        <f>$H59*(1-(1+$L$15)^-(L59*M59))/((1+$L$15)^M59-1)*(1+((1+$L$15)^M59-1))</f>
        <v>923861.605739697</v>
      </c>
      <c r="O59" s="1147">
        <f t="shared" si="24"/>
        <v>37144.633579355905</v>
      </c>
      <c r="P59" s="192">
        <f>SUM(O59:O62)</f>
        <v>195555.92844338177</v>
      </c>
      <c r="Q59" s="3036"/>
      <c r="R59" s="3036"/>
      <c r="S59" s="3036"/>
      <c r="T59" s="1148" t="s">
        <v>808</v>
      </c>
      <c r="U59" s="1149">
        <f t="shared" ref="U59:U65" si="32">O59/$U$16</f>
        <v>371.44633579355906</v>
      </c>
      <c r="V59" s="583">
        <f>IF($T59="L",SUM($U59:U59)*V$16,"")</f>
        <v>111.43390073806772</v>
      </c>
      <c r="W59" s="583">
        <f>IF($U59="","",IF(OR($T59="L",$T59="T",$T59="C"),SUM($U59:V59)*W$16,""))</f>
        <v>48.288023653162682</v>
      </c>
      <c r="X59" s="583">
        <f>IF($U59="","",SUM($U59:W59)*X$16)</f>
        <v>159.35047805543684</v>
      </c>
      <c r="Y59" s="240">
        <f t="shared" si="25"/>
        <v>319.07240244666724</v>
      </c>
      <c r="Z59" s="192">
        <f>SUM(V59:X62)</f>
        <v>998.69983355785178</v>
      </c>
      <c r="AA59" s="742">
        <f t="shared" si="26"/>
        <v>690.5187382402263</v>
      </c>
      <c r="AB59" s="192">
        <f>SUM(AA59:AA62)</f>
        <v>2954.2591179916694</v>
      </c>
      <c r="AC59" s="727">
        <f t="shared" ca="1" si="27"/>
        <v>0.23373668681765694</v>
      </c>
      <c r="AD59" s="1436"/>
      <c r="AE59" s="1437"/>
      <c r="AF59" s="1438">
        <f>AF55+4</f>
        <v>36</v>
      </c>
      <c r="AG59" s="1439">
        <f ca="1">SUM(AC59:AC62)-1</f>
        <v>0</v>
      </c>
      <c r="AH59" s="13">
        <f>$AH$16/K59</f>
        <v>0.25</v>
      </c>
      <c r="AI59" s="13">
        <f>$AH$16/AH59</f>
        <v>20</v>
      </c>
      <c r="AJ59" s="188">
        <f>$H59*(1-(1+$L$15)^-(AH59*AI59))/((1+$L$15)^AI59-1)*(1+((1+$L$15)^AI59-1))</f>
        <v>171975.76161583088</v>
      </c>
      <c r="AK59" s="191">
        <f>SUM(AJ59:AJ62)</f>
        <v>899914.76538331993</v>
      </c>
    </row>
    <row r="60" spans="2:37" s="1144" customFormat="1" ht="19" customHeight="1">
      <c r="B60" s="261"/>
      <c r="C60" s="3845"/>
      <c r="D60" s="3848"/>
      <c r="E60" s="12" t="s">
        <v>308</v>
      </c>
      <c r="F60" s="1172">
        <f>$D$644</f>
        <v>56</v>
      </c>
      <c r="G60" s="1172">
        <f>$D$645</f>
        <v>1166.6666666666667</v>
      </c>
      <c r="H60" s="188">
        <f t="shared" si="28"/>
        <v>332500</v>
      </c>
      <c r="I60" s="188" t="str">
        <f t="shared" si="28"/>
        <v>Cost for ute hire for the whole activity</v>
      </c>
      <c r="J60" s="377" t="str">
        <f t="shared" si="29"/>
        <v>Done every 20 years</v>
      </c>
      <c r="K60" s="1693">
        <f>I667</f>
        <v>20</v>
      </c>
      <c r="L60" s="158">
        <f t="shared" si="30"/>
        <v>4</v>
      </c>
      <c r="M60" s="586">
        <f t="shared" si="31"/>
        <v>20</v>
      </c>
      <c r="N60" s="188">
        <f>$H60*(1-(1+$L$15)^-(L60*M60))/((1+$L$15)^M60-1)*(1+((1+$L$15)^M60-1))</f>
        <v>585112.3503018081</v>
      </c>
      <c r="O60" s="1147">
        <f t="shared" si="24"/>
        <v>23524.934600258734</v>
      </c>
      <c r="P60" s="194"/>
      <c r="Q60" s="3037">
        <f>1*(1-(1+$L$15)^-(L60*M60))/((1+$L$15)^M60-1)*(1+((1+$L$15)^M60-1))</f>
        <v>1.7597363918851372</v>
      </c>
      <c r="R60" s="3037">
        <f>Q60/(1+$L$15)*($L$15)/(1-(1+$L$15)^-$L$16)</f>
        <v>7.0751683008296956E-2</v>
      </c>
      <c r="S60" s="3037">
        <f>F60*R60</f>
        <v>3.9620942484646298</v>
      </c>
      <c r="T60" s="1152" t="s">
        <v>809</v>
      </c>
      <c r="U60" s="583">
        <f t="shared" si="32"/>
        <v>235.24934600258734</v>
      </c>
      <c r="V60" s="585" t="str">
        <f>IF($T60="L",SUM($U60:U60)*V$16,"")</f>
        <v/>
      </c>
      <c r="W60" s="585">
        <f>IF($U60="","",IF(OR($T60="L",$T60="T",$T60="C"),SUM($U60:V60)*W$16,""))</f>
        <v>23.524934600258735</v>
      </c>
      <c r="X60" s="585">
        <f>IF($U60="","",SUM($U60:W60)*X$16)</f>
        <v>77.63228418085383</v>
      </c>
      <c r="Y60" s="242">
        <f t="shared" si="25"/>
        <v>101.15721878111256</v>
      </c>
      <c r="Z60" s="194"/>
      <c r="AA60" s="733">
        <f t="shared" si="26"/>
        <v>336.40656478369988</v>
      </c>
      <c r="AB60" s="194"/>
      <c r="AC60" s="727">
        <f t="shared" ca="1" si="27"/>
        <v>0.11387171921885848</v>
      </c>
      <c r="AD60" s="1440"/>
      <c r="AE60" s="1437"/>
      <c r="AF60" s="1438">
        <f>AF59</f>
        <v>36</v>
      </c>
      <c r="AG60" s="1438"/>
      <c r="AH60" s="13">
        <f>$AH$16/K60</f>
        <v>0.25</v>
      </c>
      <c r="AI60" s="13">
        <f>$AH$16/AH60</f>
        <v>20</v>
      </c>
      <c r="AJ60" s="188">
        <f>$H60*(1-(1+$L$15)^-(AH60*AI60))/((1+$L$15)^AI60-1)*(1+((1+$L$15)^AI60-1))</f>
        <v>108917.9823566929</v>
      </c>
      <c r="AK60" s="342"/>
    </row>
    <row r="61" spans="2:37" s="1144" customFormat="1" ht="16" customHeight="1">
      <c r="B61" s="261"/>
      <c r="C61" s="3845"/>
      <c r="D61" s="3848"/>
      <c r="E61" s="12" t="s">
        <v>4</v>
      </c>
      <c r="F61" s="1172"/>
      <c r="G61" s="1172">
        <f>$D$652</f>
        <v>2332</v>
      </c>
      <c r="H61" s="188">
        <f t="shared" si="28"/>
        <v>1889720</v>
      </c>
      <c r="I61" s="188" t="str">
        <f t="shared" si="28"/>
        <v>Accomodation/food + Fence Materials</v>
      </c>
      <c r="J61" s="377" t="str">
        <f t="shared" si="29"/>
        <v>Done every 20 years</v>
      </c>
      <c r="K61" s="1693">
        <f>I668</f>
        <v>20</v>
      </c>
      <c r="L61" s="158">
        <f t="shared" si="30"/>
        <v>4</v>
      </c>
      <c r="M61" s="586">
        <f t="shared" si="31"/>
        <v>20</v>
      </c>
      <c r="N61" s="188">
        <f>$H61*(1-(1+$L$15)^-(L61*M61))/((1+$L$15)^M61-1)*(1+((1+$L$15)^M61-1))</f>
        <v>3325409.0544731813</v>
      </c>
      <c r="O61" s="1147">
        <f t="shared" si="24"/>
        <v>133700.87041443889</v>
      </c>
      <c r="P61" s="194"/>
      <c r="Q61" s="3037"/>
      <c r="R61" s="3037"/>
      <c r="S61" s="3037"/>
      <c r="T61" s="1152" t="s">
        <v>810</v>
      </c>
      <c r="U61" s="583">
        <f t="shared" si="32"/>
        <v>1337.008704144389</v>
      </c>
      <c r="V61" s="585" t="str">
        <f>IF($T61="L",SUM($U61:U61)*V$16,"")</f>
        <v/>
      </c>
      <c r="W61" s="585">
        <f>IF($U61="","",IF(OR($T61="L",$T61="T",$T61="C"),SUM($U61:V61)*W$16,""))</f>
        <v>133.7008704144389</v>
      </c>
      <c r="X61" s="585">
        <f>IF($U61="","",SUM($U61:W61)*X$16)</f>
        <v>441.21287236764834</v>
      </c>
      <c r="Y61" s="242">
        <f t="shared" si="25"/>
        <v>574.91374278208718</v>
      </c>
      <c r="Z61" s="194"/>
      <c r="AA61" s="733">
        <f t="shared" si="26"/>
        <v>1911.9224469264761</v>
      </c>
      <c r="AB61" s="194"/>
      <c r="AC61" s="727">
        <f t="shared" ca="1" si="27"/>
        <v>0.6471749330594323</v>
      </c>
      <c r="AD61" s="1436"/>
      <c r="AE61" s="1437"/>
      <c r="AF61" s="1438">
        <f>AF60</f>
        <v>36</v>
      </c>
      <c r="AG61" s="1438"/>
      <c r="AH61" s="13">
        <f>$AH$16/K61</f>
        <v>0.25</v>
      </c>
      <c r="AI61" s="13">
        <f>$AH$16/AH61</f>
        <v>20</v>
      </c>
      <c r="AJ61" s="188">
        <f>$H61*(1-(1+$L$15)^-(AH61*AI61))/((1+$L$15)^AI61-1)*(1+((1+$L$15)^AI61-1))</f>
        <v>619021.02141079609</v>
      </c>
      <c r="AK61" s="342"/>
    </row>
    <row r="62" spans="2:37" s="1144" customFormat="1" ht="19" customHeight="1">
      <c r="B62" s="261"/>
      <c r="C62" s="3846"/>
      <c r="D62" s="3849"/>
      <c r="E62" s="12" t="s">
        <v>21</v>
      </c>
      <c r="F62" s="1172"/>
      <c r="G62" s="1172"/>
      <c r="H62" s="188">
        <f t="shared" si="28"/>
        <v>10000</v>
      </c>
      <c r="I62" s="188" t="str">
        <f t="shared" si="28"/>
        <v>Equipment</v>
      </c>
      <c r="J62" s="377" t="str">
        <f t="shared" si="29"/>
        <v>Done every 10 years</v>
      </c>
      <c r="K62" s="1694">
        <f>I669</f>
        <v>10</v>
      </c>
      <c r="L62" s="158">
        <f t="shared" si="30"/>
        <v>8</v>
      </c>
      <c r="M62" s="586">
        <f t="shared" si="31"/>
        <v>10</v>
      </c>
      <c r="N62" s="188">
        <f>$H62*(1-(1+$L$15)^-(L62*M62))/((1+$L$15)^M62-1)*(1+((1+$L$15)^M62-1))</f>
        <v>29485.512448215297</v>
      </c>
      <c r="O62" s="1147">
        <f t="shared" si="24"/>
        <v>1185.4898493282344</v>
      </c>
      <c r="P62" s="194"/>
      <c r="Q62" s="3037"/>
      <c r="R62" s="3037"/>
      <c r="S62" s="3037"/>
      <c r="T62" s="1156" t="s">
        <v>811</v>
      </c>
      <c r="U62" s="583">
        <f t="shared" si="32"/>
        <v>11.854898493282343</v>
      </c>
      <c r="V62" s="585" t="str">
        <f>IF($T62="L",SUM($U62:U62)*V$16,"")</f>
        <v/>
      </c>
      <c r="W62" s="585" t="str">
        <f>IF($U62="","",IF(OR($T62="L",$T62="T",$T62="C"),SUM($U62:V62)*W$16,""))</f>
        <v/>
      </c>
      <c r="X62" s="585">
        <f>IF($U62="","",SUM($U62:W62)*X$16)</f>
        <v>3.5564695479847028</v>
      </c>
      <c r="Y62" s="242">
        <f t="shared" si="25"/>
        <v>3.5564695479847028</v>
      </c>
      <c r="Z62" s="194"/>
      <c r="AA62" s="733">
        <f t="shared" si="26"/>
        <v>15.411368041267046</v>
      </c>
      <c r="AB62" s="194"/>
      <c r="AC62" s="727">
        <f t="shared" ca="1" si="27"/>
        <v>5.2166609040522572E-3</v>
      </c>
      <c r="AD62" s="1436"/>
      <c r="AE62" s="1437"/>
      <c r="AF62" s="1438">
        <f>AF61</f>
        <v>36</v>
      </c>
      <c r="AG62" s="1438"/>
      <c r="AH62" s="13"/>
      <c r="AI62" s="13"/>
      <c r="AJ62" s="188"/>
      <c r="AK62" s="342"/>
    </row>
    <row r="63" spans="2:37" s="1550" customFormat="1" ht="19" customHeight="1">
      <c r="B63" s="1551">
        <f>B43+0.2</f>
        <v>1.5</v>
      </c>
      <c r="C63" s="3750" t="s">
        <v>1270</v>
      </c>
      <c r="D63" s="3753" t="s">
        <v>1352</v>
      </c>
      <c r="E63" s="1552" t="s">
        <v>3</v>
      </c>
      <c r="F63" s="1553"/>
      <c r="G63" s="1553">
        <f>$E$621</f>
        <v>133.33333333333334</v>
      </c>
      <c r="H63" s="1554">
        <f t="shared" ref="H63:I65" si="33">J666</f>
        <v>30000.000000000004</v>
      </c>
      <c r="I63" s="1554" t="str">
        <f t="shared" si="33"/>
        <v>Cost for labour</v>
      </c>
      <c r="J63" s="1555" t="str">
        <f t="shared" si="29"/>
        <v>Annual</v>
      </c>
      <c r="K63" s="1728">
        <f>L666</f>
        <v>1</v>
      </c>
      <c r="L63" s="1557">
        <f t="shared" si="30"/>
        <v>80</v>
      </c>
      <c r="M63" s="1558">
        <f t="shared" si="31"/>
        <v>1</v>
      </c>
      <c r="N63" s="2272">
        <f>$H63*(1-(1+$L$15)^-(L63*M63))/((1+$L$15)^M63-1)*(1+((1+$L$15)^M63-1))-H63</f>
        <v>716160.22562125092</v>
      </c>
      <c r="O63" s="1559">
        <f t="shared" si="24"/>
        <v>28793.824745548882</v>
      </c>
      <c r="P63" s="1560">
        <f>SUM(O63:O66)</f>
        <v>208006.58996184508</v>
      </c>
      <c r="Q63" s="3072"/>
      <c r="R63" s="3072"/>
      <c r="S63" s="3072"/>
      <c r="T63" s="1561" t="s">
        <v>808</v>
      </c>
      <c r="U63" s="1562">
        <f t="shared" si="32"/>
        <v>287.93824745548881</v>
      </c>
      <c r="V63" s="1563">
        <f>IF($T63="L",SUM($U63:U63)*V$16,"")</f>
        <v>86.381474236646639</v>
      </c>
      <c r="W63" s="1563">
        <f>IF($U63="","",IF(OR($T63="L",$T63="T",$T63="C"),SUM($U63:V63)*W$16,""))</f>
        <v>37.431972169213545</v>
      </c>
      <c r="X63" s="1563">
        <f>IF($U63="","",SUM($U63:W63)*X$16)</f>
        <v>123.52550815840469</v>
      </c>
      <c r="Y63" s="1564">
        <f>IF($U63="","",SUM(V63:X63))</f>
        <v>247.3389545642649</v>
      </c>
      <c r="Z63" s="1560">
        <f>SUM(V63:X66)</f>
        <v>1017.9538449943385</v>
      </c>
      <c r="AA63" s="1565">
        <f>IF($U63="","",SUM(U63,Y63))</f>
        <v>535.27720201975376</v>
      </c>
      <c r="AB63" s="1560">
        <f>SUM(AA63:AA66)</f>
        <v>3098.0197446127891</v>
      </c>
      <c r="AC63" s="1566">
        <f ca="1">IF(AA63="","",AA63/OFFSET($AB$23,AF63,0))</f>
        <v>0.17278043593833073</v>
      </c>
      <c r="AD63" s="1567"/>
      <c r="AE63" s="1568"/>
      <c r="AF63" s="1569">
        <f>AF59+4</f>
        <v>40</v>
      </c>
      <c r="AG63" s="1570">
        <f ca="1">SUM(AC63:AC66)-1</f>
        <v>0</v>
      </c>
      <c r="AH63" s="1571">
        <f>$AH$16/K63</f>
        <v>5</v>
      </c>
      <c r="AI63" s="1571">
        <f>$AH$16/AH63</f>
        <v>1</v>
      </c>
      <c r="AJ63" s="1554">
        <f>$H63*(1-(1+$L$15)^-(AH63*AI63))/((1+$L$15)^AI63-1)*(1+((1+$L$15)^AI63-1))</f>
        <v>138896.85672770569</v>
      </c>
      <c r="AK63" s="1572">
        <f>SUM(AJ63:AJ66)</f>
        <v>1003390.8930009458</v>
      </c>
    </row>
    <row r="64" spans="2:37" s="1550" customFormat="1" ht="19" customHeight="1">
      <c r="B64" s="1573"/>
      <c r="C64" s="3751"/>
      <c r="D64" s="3754"/>
      <c r="E64" s="1552" t="s">
        <v>308</v>
      </c>
      <c r="F64" s="1553">
        <f>$E$644</f>
        <v>4</v>
      </c>
      <c r="G64" s="1553">
        <f>$E$645</f>
        <v>66.666666666666671</v>
      </c>
      <c r="H64" s="1554">
        <f t="shared" si="33"/>
        <v>19000</v>
      </c>
      <c r="I64" s="1554" t="str">
        <f t="shared" si="33"/>
        <v>Cost for ute hire for the whole activity</v>
      </c>
      <c r="J64" s="1555" t="str">
        <f t="shared" si="29"/>
        <v>Annual</v>
      </c>
      <c r="K64" s="1728">
        <f>L667</f>
        <v>1</v>
      </c>
      <c r="L64" s="1557">
        <f t="shared" si="30"/>
        <v>80</v>
      </c>
      <c r="M64" s="1558">
        <f t="shared" si="31"/>
        <v>1</v>
      </c>
      <c r="N64" s="2272">
        <f>$H64*(1-(1+$L$15)^-(L64*M64))/((1+$L$15)^M64-1)*(1+((1+$L$15)^M64-1))-H64</f>
        <v>453568.14289345883</v>
      </c>
      <c r="O64" s="1559">
        <f t="shared" si="24"/>
        <v>18236.089005514292</v>
      </c>
      <c r="P64" s="1574"/>
      <c r="Q64" s="3073">
        <f>1*(1-(1+$L$15)^-(L64*M64))/((1+$L$15)^M64-1)*(1+((1+$L$15)^M64-1))</f>
        <v>24.872007520708362</v>
      </c>
      <c r="R64" s="3073">
        <f>Q64/(1+$L$15)*($L$15)/(1-(1+$L$15)^-$L$16)</f>
        <v>0.99999999999999911</v>
      </c>
      <c r="S64" s="3073">
        <f>F64*R64</f>
        <v>3.9999999999999964</v>
      </c>
      <c r="T64" s="1575" t="s">
        <v>809</v>
      </c>
      <c r="U64" s="1563">
        <f t="shared" si="32"/>
        <v>182.36089005514293</v>
      </c>
      <c r="V64" s="1576" t="str">
        <f>IF($T64="L",SUM($U64:U64)*V$16,"")</f>
        <v/>
      </c>
      <c r="W64" s="1576">
        <f>IF($U64="","",IF(OR($T64="L",$T64="T",$T64="C"),SUM($U64:V64)*W$16,""))</f>
        <v>18.236089005514295</v>
      </c>
      <c r="X64" s="1576">
        <f>IF($U64="","",SUM($U64:W64)*X$16)</f>
        <v>60.179093718197166</v>
      </c>
      <c r="Y64" s="1577">
        <f>IF($U64="","",SUM(V64:X64))</f>
        <v>78.415182723711467</v>
      </c>
      <c r="Z64" s="1574"/>
      <c r="AA64" s="1578">
        <f>IF($U64="","",SUM(U64,Y64))</f>
        <v>260.77607277885443</v>
      </c>
      <c r="AB64" s="1574"/>
      <c r="AC64" s="1566">
        <f ca="1">IF(AA64="","",AA64/OFFSET($AB$23,AF64,0))</f>
        <v>8.4175084175084222E-2</v>
      </c>
      <c r="AD64" s="1579"/>
      <c r="AE64" s="1568"/>
      <c r="AF64" s="1569">
        <f>AF63</f>
        <v>40</v>
      </c>
      <c r="AG64" s="1569"/>
      <c r="AH64" s="1571">
        <f>$AH$16/K64</f>
        <v>5</v>
      </c>
      <c r="AI64" s="1571">
        <f>$AH$16/AH64</f>
        <v>1</v>
      </c>
      <c r="AJ64" s="1554">
        <f>$H64*(1-(1+$L$15)^-(AH64*AI64))/((1+$L$15)^AI64-1)*(1+((1+$L$15)^AI64-1))</f>
        <v>87968.009260880266</v>
      </c>
      <c r="AK64" s="1580"/>
    </row>
    <row r="65" spans="1:37" s="1550" customFormat="1" ht="16" customHeight="1">
      <c r="B65" s="1573"/>
      <c r="C65" s="3751"/>
      <c r="D65" s="3754"/>
      <c r="E65" s="1552" t="s">
        <v>4</v>
      </c>
      <c r="F65" s="1553"/>
      <c r="G65" s="1553">
        <f>$E$652</f>
        <v>132</v>
      </c>
      <c r="H65" s="1554">
        <f t="shared" si="33"/>
        <v>167720</v>
      </c>
      <c r="I65" s="1554" t="str">
        <f t="shared" si="33"/>
        <v>Accomodation/food + Fence Materials</v>
      </c>
      <c r="J65" s="1555" t="str">
        <f t="shared" si="29"/>
        <v>Annual</v>
      </c>
      <c r="K65" s="1728">
        <f>L668</f>
        <v>1</v>
      </c>
      <c r="L65" s="1557">
        <f t="shared" si="30"/>
        <v>80</v>
      </c>
      <c r="M65" s="1558">
        <f t="shared" si="31"/>
        <v>1</v>
      </c>
      <c r="N65" s="2272">
        <f>$H65*(1-(1+$L$15)^-(L65*M65))/((1+$L$15)^M65-1)*(1+((1+$L$15)^M65-1))-H65</f>
        <v>4003813.1013732059</v>
      </c>
      <c r="O65" s="1559">
        <f t="shared" si="24"/>
        <v>160976.67621078191</v>
      </c>
      <c r="P65" s="1574"/>
      <c r="Q65" s="3073"/>
      <c r="R65" s="3073"/>
      <c r="S65" s="3073"/>
      <c r="T65" s="1575" t="s">
        <v>810</v>
      </c>
      <c r="U65" s="1563">
        <f t="shared" si="32"/>
        <v>1609.766762107819</v>
      </c>
      <c r="V65" s="1576" t="str">
        <f>IF($T65="L",SUM($U65:U65)*V$16,"")</f>
        <v/>
      </c>
      <c r="W65" s="1576">
        <f>IF($U65="","",IF(OR($T65="L",$T65="T",$T65="C"),SUM($U65:V65)*W$16,""))</f>
        <v>160.9766762107819</v>
      </c>
      <c r="X65" s="1576">
        <f>IF($U65="","",SUM($U65:W65)*X$16)</f>
        <v>531.22303149558024</v>
      </c>
      <c r="Y65" s="1577">
        <f>IF($U65="","",SUM(V65:X65))</f>
        <v>692.19970770636212</v>
      </c>
      <c r="Z65" s="1574"/>
      <c r="AA65" s="1578">
        <f>IF($U65="","",SUM(U65,Y65))</f>
        <v>2301.966469814181</v>
      </c>
      <c r="AB65" s="1574"/>
      <c r="AC65" s="1566">
        <f ca="1">IF(AA65="","",AA65/OFFSET($AB$23,AF65,0))</f>
        <v>0.74304447988658506</v>
      </c>
      <c r="AD65" s="1567"/>
      <c r="AE65" s="1568"/>
      <c r="AF65" s="1569">
        <f>AF64</f>
        <v>40</v>
      </c>
      <c r="AG65" s="1569"/>
      <c r="AH65" s="1571">
        <f>$AH$16/K65</f>
        <v>5</v>
      </c>
      <c r="AI65" s="1571">
        <f>$AH$16/AH65</f>
        <v>1</v>
      </c>
      <c r="AJ65" s="1554">
        <f>$H65*(1-(1+$L$15)^-(AH65*AI65))/((1+$L$15)^AI65-1)*(1+((1+$L$15)^AI65-1))</f>
        <v>776526.02701235982</v>
      </c>
      <c r="AK65" s="1580"/>
    </row>
    <row r="66" spans="1:37" s="1550" customFormat="1" ht="19" customHeight="1">
      <c r="B66" s="1573"/>
      <c r="C66" s="3752"/>
      <c r="D66" s="3755"/>
      <c r="E66" s="1552" t="s">
        <v>21</v>
      </c>
      <c r="F66" s="1553"/>
      <c r="G66" s="1553"/>
      <c r="H66" s="1554"/>
      <c r="I66" s="1554"/>
      <c r="J66" s="1555"/>
      <c r="K66" s="1729"/>
      <c r="L66" s="1557"/>
      <c r="M66" s="1558"/>
      <c r="N66" s="1554"/>
      <c r="O66" s="1559">
        <f t="shared" si="24"/>
        <v>0</v>
      </c>
      <c r="P66" s="1574"/>
      <c r="Q66" s="3073"/>
      <c r="R66" s="3073"/>
      <c r="S66" s="3073"/>
      <c r="T66" s="1581" t="s">
        <v>811</v>
      </c>
      <c r="U66" s="1563"/>
      <c r="V66" s="1576" t="str">
        <f>IF($T66="L",SUM($U66:U66)*V$16,"")</f>
        <v/>
      </c>
      <c r="W66" s="1576" t="str">
        <f>IF($U66="","",IF(OR($T66="L",$T66="T",$T66="C"),SUM($U66:V66)*W$16,""))</f>
        <v/>
      </c>
      <c r="X66" s="1576" t="str">
        <f>IF($U66="","",SUM($U66:W66)*X$16)</f>
        <v/>
      </c>
      <c r="Y66" s="1577" t="str">
        <f>IF($U66="","",SUM(V66:X66))</f>
        <v/>
      </c>
      <c r="Z66" s="1574"/>
      <c r="AA66" s="1578" t="str">
        <f>IF($U66="","",SUM(U66,Y66))</f>
        <v/>
      </c>
      <c r="AB66" s="1574"/>
      <c r="AC66" s="1566" t="str">
        <f ca="1">IF(AA66="","",AA66/OFFSET($AB$23,AF66,0))</f>
        <v/>
      </c>
      <c r="AD66" s="1567"/>
      <c r="AE66" s="1568"/>
      <c r="AF66" s="1569">
        <f>AF65</f>
        <v>40</v>
      </c>
      <c r="AG66" s="1569"/>
      <c r="AH66" s="1571"/>
      <c r="AI66" s="1571"/>
      <c r="AJ66" s="1554"/>
      <c r="AK66" s="1580"/>
    </row>
    <row r="67" spans="1:37" ht="19" customHeight="1">
      <c r="B67" s="26">
        <f>B47+0.2</f>
        <v>1.6</v>
      </c>
      <c r="C67" s="3898" t="s">
        <v>1009</v>
      </c>
      <c r="D67" s="3901" t="s">
        <v>1353</v>
      </c>
      <c r="E67" s="593" t="s">
        <v>3</v>
      </c>
      <c r="F67" s="1174"/>
      <c r="G67" s="2109">
        <f t="shared" ref="G67:G69" si="34">E692</f>
        <v>0.20512820512820515</v>
      </c>
      <c r="H67" s="150">
        <f t="shared" ref="H67:I69" si="35">H692</f>
        <v>46.15384615384616</v>
      </c>
      <c r="I67" s="1085" t="str">
        <f t="shared" si="35"/>
        <v>Cost for labour</v>
      </c>
      <c r="J67" s="376" t="str">
        <f t="shared" ref="J67:J73" si="36">IF(K67=1,"Annual","Done every "&amp;K67&amp;" years")</f>
        <v>Annual</v>
      </c>
      <c r="K67" s="117">
        <f>J692</f>
        <v>1</v>
      </c>
      <c r="L67" s="379">
        <f t="shared" ref="L67:M69" si="37">$L$16/K67</f>
        <v>80</v>
      </c>
      <c r="M67" s="272">
        <f t="shared" si="37"/>
        <v>1</v>
      </c>
      <c r="N67" s="150">
        <f>$H67*(1-(1+$L$15)^-(L67*M67))/((1+$L$15)^M67-1)*(1+((1+$L$15)^M67-1))</f>
        <v>1147.9388086480785</v>
      </c>
      <c r="O67" s="915">
        <f t="shared" si="24"/>
        <v>46.153846153846125</v>
      </c>
      <c r="P67" s="245">
        <f>SUM(O67:O70)</f>
        <v>1353.8461538461524</v>
      </c>
      <c r="Q67" s="3039"/>
      <c r="R67" s="3039"/>
      <c r="S67" s="3039"/>
      <c r="T67" s="1031" t="s">
        <v>808</v>
      </c>
      <c r="U67" s="916">
        <f t="shared" si="19"/>
        <v>0.46153846153846123</v>
      </c>
      <c r="V67" s="588">
        <f>IF($T67="L",SUM($U67:U67)*V$16,"")</f>
        <v>0.13846153846153836</v>
      </c>
      <c r="W67" s="588">
        <f>IF($U67="","",IF(OR($T67="L",$T67="T",$T67="C"),SUM($U67:V67)*W$16,""))</f>
        <v>5.999999999999997E-2</v>
      </c>
      <c r="X67" s="588">
        <f>IF($U67="","",SUM($U67:W67)*X$16)</f>
        <v>0.19799999999999987</v>
      </c>
      <c r="Y67" s="383">
        <f t="shared" si="12"/>
        <v>0.3964615384615382</v>
      </c>
      <c r="Z67" s="245">
        <f>SUM(V67:X70)</f>
        <v>6.0195384615384553</v>
      </c>
      <c r="AA67" s="917">
        <f t="shared" si="13"/>
        <v>0.85799999999999943</v>
      </c>
      <c r="AB67" s="245">
        <f>SUM(AA67:AA70)</f>
        <v>19.557999999999982</v>
      </c>
      <c r="AC67" s="918">
        <f t="shared" ca="1" si="14"/>
        <v>4.3869516310461203E-2</v>
      </c>
      <c r="AD67" s="589"/>
      <c r="AE67" s="573"/>
      <c r="AF67" s="587">
        <f>AF63+4</f>
        <v>44</v>
      </c>
      <c r="AG67" s="816">
        <f ca="1">SUM(AC67:AC70)-1</f>
        <v>0</v>
      </c>
      <c r="AH67" s="13">
        <f>$AH$16/K67</f>
        <v>5</v>
      </c>
      <c r="AI67" s="13">
        <f>$AH$16/AH67</f>
        <v>1</v>
      </c>
      <c r="AJ67" s="188">
        <f>$H67*(1-(1+$L$15)^-(AH67*AI67))/((1+$L$15)^AI67-1)*(1+((1+$L$15)^AI67-1))</f>
        <v>213.68747188877799</v>
      </c>
      <c r="AK67" s="191">
        <f>SUM(AJ67:AJ70)</f>
        <v>6268.1658420708209</v>
      </c>
    </row>
    <row r="68" spans="1:37" ht="19" customHeight="1">
      <c r="B68" s="612"/>
      <c r="C68" s="3899"/>
      <c r="D68" s="3902"/>
      <c r="E68" s="593" t="s">
        <v>308</v>
      </c>
      <c r="F68" s="1174">
        <f>$F$28</f>
        <v>1</v>
      </c>
      <c r="G68" s="2109">
        <f t="shared" si="34"/>
        <v>0.20512820512820515</v>
      </c>
      <c r="H68" s="150">
        <f t="shared" si="35"/>
        <v>1307.6923076923076</v>
      </c>
      <c r="I68" s="1085" t="str">
        <f t="shared" si="35"/>
        <v xml:space="preserve">Cost for transport </v>
      </c>
      <c r="J68" s="376" t="str">
        <f t="shared" si="36"/>
        <v>Annual</v>
      </c>
      <c r="K68" s="117">
        <f>J693</f>
        <v>1</v>
      </c>
      <c r="L68" s="379">
        <f t="shared" si="37"/>
        <v>80</v>
      </c>
      <c r="M68" s="272">
        <f t="shared" si="37"/>
        <v>1</v>
      </c>
      <c r="N68" s="150">
        <f>$H68*(1-(1+$L$15)^-(L68*M68))/((1+$L$15)^M68-1)*(1+((1+$L$15)^M68-1))</f>
        <v>32524.932911695545</v>
      </c>
      <c r="O68" s="915">
        <f t="shared" si="24"/>
        <v>1307.6923076923063</v>
      </c>
      <c r="P68" s="382"/>
      <c r="Q68" s="3019">
        <f>1*(1-(1+$L$15)^-(L68*M68))/((1+$L$15)^M68-1)*(1+((1+$L$15)^M68-1))</f>
        <v>24.872007520708362</v>
      </c>
      <c r="R68" s="3019">
        <f>Q68/(1+$L$15)*($L$15)/(1-(1+$L$15)^-$L$16)</f>
        <v>0.99999999999999911</v>
      </c>
      <c r="S68" s="3019">
        <f>F68*R68</f>
        <v>0.99999999999999911</v>
      </c>
      <c r="T68" s="1032" t="s">
        <v>809</v>
      </c>
      <c r="U68" s="588">
        <f t="shared" si="19"/>
        <v>13.076923076923062</v>
      </c>
      <c r="V68" s="919" t="str">
        <f>IF($T68="L",SUM($U68:U68)*V$16,"")</f>
        <v/>
      </c>
      <c r="W68" s="919">
        <f>IF($U68="","",IF(OR($T68="L",$T68="T",$T68="C"),SUM($U68:V68)*W$16,""))</f>
        <v>1.3076923076923064</v>
      </c>
      <c r="X68" s="919">
        <f>IF($U68="","",SUM($U68:W68)*X$16)</f>
        <v>4.3153846153846107</v>
      </c>
      <c r="Y68" s="384">
        <f t="shared" si="12"/>
        <v>5.6230769230769173</v>
      </c>
      <c r="Z68" s="382"/>
      <c r="AA68" s="920">
        <f t="shared" si="13"/>
        <v>18.699999999999982</v>
      </c>
      <c r="AB68" s="382"/>
      <c r="AC68" s="918">
        <f t="shared" ca="1" si="14"/>
        <v>0.95613048368953879</v>
      </c>
      <c r="AD68" s="590"/>
      <c r="AE68" s="573"/>
      <c r="AF68" s="587">
        <f>AF67</f>
        <v>44</v>
      </c>
      <c r="AG68" s="587"/>
      <c r="AH68" s="13">
        <f>$AH$16/K68</f>
        <v>5</v>
      </c>
      <c r="AI68" s="13">
        <f>$AH$16/AH68</f>
        <v>1</v>
      </c>
      <c r="AJ68" s="188">
        <f>$H68*(1-(1+$L$15)^-(AH68*AI68))/((1+$L$15)^AI68-1)*(1+((1+$L$15)^AI68-1))</f>
        <v>6054.4783701820425</v>
      </c>
      <c r="AK68" s="342"/>
    </row>
    <row r="69" spans="1:37" ht="16" customHeight="1">
      <c r="B69" s="612"/>
      <c r="C69" s="3899"/>
      <c r="D69" s="3902"/>
      <c r="E69" s="593" t="s">
        <v>4</v>
      </c>
      <c r="F69" s="1174"/>
      <c r="G69" s="1174">
        <f t="shared" si="34"/>
        <v>0</v>
      </c>
      <c r="H69" s="150">
        <f t="shared" si="35"/>
        <v>0</v>
      </c>
      <c r="I69" s="1085" t="str">
        <f t="shared" si="35"/>
        <v>cost for accommodation and meals</v>
      </c>
      <c r="J69" s="376" t="str">
        <f t="shared" si="36"/>
        <v>Annual</v>
      </c>
      <c r="K69" s="117">
        <f>J694</f>
        <v>1</v>
      </c>
      <c r="L69" s="379">
        <f t="shared" si="37"/>
        <v>80</v>
      </c>
      <c r="M69" s="272">
        <f t="shared" si="37"/>
        <v>1</v>
      </c>
      <c r="N69" s="150">
        <f>$H69*(1-(1+$L$15)^-(L69*M69))/((1+$L$15)^M69-1)*(1+((1+$L$15)^M69-1))</f>
        <v>0</v>
      </c>
      <c r="O69" s="915">
        <f t="shared" si="24"/>
        <v>0</v>
      </c>
      <c r="P69" s="382"/>
      <c r="Q69" s="3019"/>
      <c r="R69" s="3019"/>
      <c r="S69" s="3019"/>
      <c r="T69" s="1032" t="s">
        <v>810</v>
      </c>
      <c r="U69" s="588">
        <f t="shared" si="19"/>
        <v>0</v>
      </c>
      <c r="V69" s="919" t="str">
        <f>IF($T69="L",SUM($U69:U69)*V$16,"")</f>
        <v/>
      </c>
      <c r="W69" s="919">
        <f>IF($U69="","",IF(OR($T69="L",$T69="T",$T69="C"),SUM($U69:V69)*W$16,""))</f>
        <v>0</v>
      </c>
      <c r="X69" s="919">
        <f>IF($U69="","",SUM($U69:W69)*X$16)</f>
        <v>0</v>
      </c>
      <c r="Y69" s="384">
        <f t="shared" si="12"/>
        <v>0</v>
      </c>
      <c r="Z69" s="382"/>
      <c r="AA69" s="920">
        <f t="shared" si="13"/>
        <v>0</v>
      </c>
      <c r="AB69" s="382"/>
      <c r="AC69" s="918">
        <f t="shared" ca="1" si="14"/>
        <v>0</v>
      </c>
      <c r="AD69" s="589"/>
      <c r="AE69" s="573"/>
      <c r="AF69" s="587">
        <f>AF68</f>
        <v>44</v>
      </c>
      <c r="AG69" s="587"/>
      <c r="AH69" s="13">
        <f>$AH$16/K69</f>
        <v>5</v>
      </c>
      <c r="AI69" s="13">
        <f>$AH$16/AH69</f>
        <v>1</v>
      </c>
      <c r="AJ69" s="188">
        <f>$H69*(1-(1+$L$15)^-(AH69*AI69))/((1+$L$15)^AI69-1)*(1+((1+$L$15)^AI69-1))</f>
        <v>0</v>
      </c>
      <c r="AK69" s="342"/>
    </row>
    <row r="70" spans="1:37" ht="19" customHeight="1">
      <c r="B70" s="612"/>
      <c r="C70" s="3900"/>
      <c r="D70" s="3903"/>
      <c r="E70" s="593" t="s">
        <v>21</v>
      </c>
      <c r="F70" s="1174"/>
      <c r="G70" s="1174"/>
      <c r="H70" s="150"/>
      <c r="I70" s="479"/>
      <c r="J70" s="376"/>
      <c r="K70" s="272"/>
      <c r="L70" s="379"/>
      <c r="M70" s="272"/>
      <c r="N70" s="150"/>
      <c r="O70" s="915">
        <f t="shared" si="24"/>
        <v>0</v>
      </c>
      <c r="P70" s="382"/>
      <c r="Q70" s="3019"/>
      <c r="R70" s="3019"/>
      <c r="S70" s="3019"/>
      <c r="T70" s="1033" t="s">
        <v>811</v>
      </c>
      <c r="U70" s="588">
        <f t="shared" si="19"/>
        <v>0</v>
      </c>
      <c r="V70" s="919" t="str">
        <f>IF($T70="L",SUM($U70:U70)*V$16,"")</f>
        <v/>
      </c>
      <c r="W70" s="919" t="str">
        <f>IF($U70="","",IF(OR($T70="L",$T70="T",$T70="C"),SUM($U70:V70)*W$16,""))</f>
        <v/>
      </c>
      <c r="X70" s="919">
        <f>IF($U70="","",SUM($U70:W70)*X$16)</f>
        <v>0</v>
      </c>
      <c r="Y70" s="384">
        <f t="shared" si="12"/>
        <v>0</v>
      </c>
      <c r="Z70" s="382"/>
      <c r="AA70" s="920">
        <f t="shared" si="13"/>
        <v>0</v>
      </c>
      <c r="AB70" s="382"/>
      <c r="AC70" s="918">
        <f t="shared" ca="1" si="14"/>
        <v>0</v>
      </c>
      <c r="AD70" s="589"/>
      <c r="AE70" s="573"/>
      <c r="AF70" s="587">
        <f>AF69</f>
        <v>44</v>
      </c>
      <c r="AG70" s="587"/>
      <c r="AH70" s="13"/>
      <c r="AI70" s="13"/>
      <c r="AJ70" s="188"/>
      <c r="AK70" s="342"/>
    </row>
    <row r="71" spans="1:37" ht="19" customHeight="1">
      <c r="A71" s="390"/>
      <c r="B71" s="709">
        <v>1.51</v>
      </c>
      <c r="C71" s="3859" t="s">
        <v>1008</v>
      </c>
      <c r="D71" s="3850" t="s">
        <v>1550</v>
      </c>
      <c r="E71" s="373" t="s">
        <v>3</v>
      </c>
      <c r="F71" s="1176"/>
      <c r="G71" s="1176">
        <f>G31</f>
        <v>6.2541106128550075</v>
      </c>
      <c r="H71" s="370">
        <f>H709</f>
        <v>1407.1748878923768</v>
      </c>
      <c r="I71" s="613" t="s">
        <v>474</v>
      </c>
      <c r="J71" s="375" t="str">
        <f t="shared" si="36"/>
        <v>Annual</v>
      </c>
      <c r="K71" s="374">
        <f>L709</f>
        <v>1</v>
      </c>
      <c r="L71" s="386">
        <f t="shared" ref="L71:M73" si="38">$L$16/K71</f>
        <v>80</v>
      </c>
      <c r="M71" s="371">
        <f t="shared" si="38"/>
        <v>1</v>
      </c>
      <c r="N71" s="370">
        <f>$H71*(1-(1+$L$15)^-(L71*M71))/((1+$L$15)^M71-1)*(1+((1+$L$15)^M71-1))</f>
        <v>34999.264394611135</v>
      </c>
      <c r="O71" s="640">
        <f t="shared" si="24"/>
        <v>1407.1748878923752</v>
      </c>
      <c r="P71" s="392">
        <f>SUM(O71:O74)</f>
        <v>3558.3856502242124</v>
      </c>
      <c r="Q71" s="2980"/>
      <c r="R71" s="2980"/>
      <c r="S71" s="2980"/>
      <c r="T71" s="1039" t="s">
        <v>808</v>
      </c>
      <c r="U71" s="639">
        <f t="shared" si="19"/>
        <v>14.071748878923751</v>
      </c>
      <c r="V71" s="639">
        <f>IF($T71="L",SUM($U71:U71)*V$16,"")</f>
        <v>4.2215246636771253</v>
      </c>
      <c r="W71" s="639">
        <f>IF($U71="","",IF(OR($T71="L",$T71="T",$T71="C"),SUM($U71:V71)*W$16,""))</f>
        <v>1.8293273542600876</v>
      </c>
      <c r="X71" s="639">
        <f>IF($U71="","",SUM($U71:W71)*X$16)</f>
        <v>6.0367802690582888</v>
      </c>
      <c r="Y71" s="388">
        <f t="shared" si="12"/>
        <v>12.087632286995502</v>
      </c>
      <c r="Z71" s="392">
        <f>SUM(V71:X74)</f>
        <v>21.337838565022402</v>
      </c>
      <c r="AA71" s="734">
        <f t="shared" si="13"/>
        <v>26.159381165919253</v>
      </c>
      <c r="AB71" s="391">
        <f>SUM(AA71:AA74)</f>
        <v>56.921695067264523</v>
      </c>
      <c r="AC71" s="936">
        <f t="shared" ca="1" si="14"/>
        <v>0.45956785255615878</v>
      </c>
      <c r="AD71" s="638"/>
      <c r="AE71" s="1069"/>
      <c r="AF71" s="587">
        <f>AF67+4</f>
        <v>48</v>
      </c>
      <c r="AG71" s="816">
        <f ca="1">SUM(AC71:AC74)-1</f>
        <v>0</v>
      </c>
      <c r="AH71" s="387">
        <f>$AH$16/K71</f>
        <v>5</v>
      </c>
      <c r="AI71" s="387">
        <f>$AH$16/AH71</f>
        <v>1</v>
      </c>
      <c r="AJ71" s="370">
        <f>$H71*(1-(1+$L$15)^-(AH71*AI71))/((1+$L$15)^AI71-1)*(1+((1+$L$15)^AI71-1))</f>
        <v>6515.0722931470918</v>
      </c>
      <c r="AK71" s="981">
        <f>SUM(AJ71:AJ74)</f>
        <v>16474.95272803722</v>
      </c>
    </row>
    <row r="72" spans="1:37" ht="19" customHeight="1">
      <c r="A72" s="390"/>
      <c r="B72" s="372"/>
      <c r="C72" s="3860"/>
      <c r="D72" s="3851"/>
      <c r="E72" s="373" t="s">
        <v>308</v>
      </c>
      <c r="F72" s="1176">
        <f>$F$32</f>
        <v>1</v>
      </c>
      <c r="G72" s="1176">
        <f t="shared" ref="G72:G73" si="39">G32</f>
        <v>3.1270553064275037</v>
      </c>
      <c r="H72" s="370">
        <f>H710</f>
        <v>891.21076233183862</v>
      </c>
      <c r="I72" s="613" t="s">
        <v>65</v>
      </c>
      <c r="J72" s="375" t="str">
        <f t="shared" si="36"/>
        <v>Annual</v>
      </c>
      <c r="K72" s="374">
        <f>L710</f>
        <v>1</v>
      </c>
      <c r="L72" s="386">
        <f t="shared" si="38"/>
        <v>80</v>
      </c>
      <c r="M72" s="371">
        <f t="shared" si="38"/>
        <v>1</v>
      </c>
      <c r="N72" s="370">
        <f>$H72*(1-(1+$L$15)^-(L72*M72))/((1+$L$15)^M72-1)*(1+((1+$L$15)^M72-1))</f>
        <v>22166.200783253724</v>
      </c>
      <c r="O72" s="640">
        <f t="shared" si="24"/>
        <v>891.21076233183794</v>
      </c>
      <c r="P72" s="392"/>
      <c r="Q72" s="2980">
        <f>1*(1-(1+$L$15)^-(L72*M72))/((1+$L$15)^M72-1)*(1+((1+$L$15)^M72-1))</f>
        <v>24.872007520708362</v>
      </c>
      <c r="R72" s="2980">
        <f>Q72/(1+$L$15)*($L$15)/(1-(1+$L$15)^-$L$16)</f>
        <v>0.99999999999999911</v>
      </c>
      <c r="S72" s="2980">
        <f>F72*R72</f>
        <v>0.99999999999999911</v>
      </c>
      <c r="T72" s="1034" t="s">
        <v>809</v>
      </c>
      <c r="U72" s="639">
        <f t="shared" si="19"/>
        <v>8.9121076233183789</v>
      </c>
      <c r="V72" s="642" t="str">
        <f>IF($T72="L",SUM($U72:U72)*V$16,"")</f>
        <v/>
      </c>
      <c r="W72" s="642">
        <f>IF($U72="","",IF(OR($T72="L",$T72="T",$T72="C"),SUM($U72:V72)*W$16,""))</f>
        <v>0.89121076233183794</v>
      </c>
      <c r="X72" s="642">
        <f>IF($U72="","",SUM($U72:W72)*X$16)</f>
        <v>2.9409955156950649</v>
      </c>
      <c r="Y72" s="388">
        <f t="shared" si="12"/>
        <v>3.8322062780269031</v>
      </c>
      <c r="Z72" s="392"/>
      <c r="AA72" s="734">
        <f t="shared" si="13"/>
        <v>12.744313901345283</v>
      </c>
      <c r="AB72" s="391"/>
      <c r="AC72" s="936">
        <f t="shared" ca="1" si="14"/>
        <v>0.2238920307324877</v>
      </c>
      <c r="AD72" s="641"/>
      <c r="AE72" s="1069"/>
      <c r="AF72" s="587">
        <f>AF71</f>
        <v>48</v>
      </c>
      <c r="AG72" s="587"/>
      <c r="AH72" s="387">
        <f>$AH$16/K72</f>
        <v>5</v>
      </c>
      <c r="AI72" s="387">
        <f>$AH$16/AH72</f>
        <v>1</v>
      </c>
      <c r="AJ72" s="370">
        <f>$H72*(1-(1+$L$15)^-(AH72*AI72))/((1+$L$15)^AI72-1)*(1+((1+$L$15)^AI72-1))</f>
        <v>4126.212452326492</v>
      </c>
      <c r="AK72" s="981"/>
    </row>
    <row r="73" spans="1:37" ht="19" customHeight="1">
      <c r="A73" s="390"/>
      <c r="B73" s="372"/>
      <c r="C73" s="3860"/>
      <c r="D73" s="3851"/>
      <c r="E73" s="373" t="s">
        <v>4</v>
      </c>
      <c r="F73" s="1176"/>
      <c r="G73" s="1176">
        <f t="shared" si="39"/>
        <v>6</v>
      </c>
      <c r="H73" s="370">
        <f>H711</f>
        <v>1260</v>
      </c>
      <c r="I73" s="613" t="s">
        <v>70</v>
      </c>
      <c r="J73" s="375" t="str">
        <f t="shared" si="36"/>
        <v>Annual</v>
      </c>
      <c r="K73" s="374">
        <f>L711</f>
        <v>1</v>
      </c>
      <c r="L73" s="386">
        <f t="shared" si="38"/>
        <v>80</v>
      </c>
      <c r="M73" s="371">
        <f t="shared" si="38"/>
        <v>1</v>
      </c>
      <c r="N73" s="370">
        <f>$H73*(1-(1+$L$15)^-(L73*M73))/((1+$L$15)^M73-1)*(1+((1+$L$15)^M73-1))</f>
        <v>31338.729476092536</v>
      </c>
      <c r="O73" s="640">
        <f t="shared" si="24"/>
        <v>1259.9999999999991</v>
      </c>
      <c r="P73" s="392"/>
      <c r="Q73" s="2980"/>
      <c r="R73" s="2980"/>
      <c r="S73" s="2980"/>
      <c r="T73" s="1034" t="s">
        <v>810</v>
      </c>
      <c r="U73" s="639">
        <f t="shared" si="19"/>
        <v>12.599999999999991</v>
      </c>
      <c r="V73" s="642" t="str">
        <f>IF($T73="L",SUM($U73:U73)*V$16,"")</f>
        <v/>
      </c>
      <c r="W73" s="642">
        <f>IF($U73="","",IF(OR($T73="L",$T73="T",$T73="C"),SUM($U73:V73)*W$16,""))</f>
        <v>1.2599999999999991</v>
      </c>
      <c r="X73" s="642">
        <f>IF($U73="","",SUM($U73:W73)*X$16)</f>
        <v>4.1579999999999968</v>
      </c>
      <c r="Y73" s="388">
        <f t="shared" si="12"/>
        <v>5.4179999999999957</v>
      </c>
      <c r="Z73" s="392"/>
      <c r="AA73" s="734">
        <f t="shared" si="13"/>
        <v>18.017999999999986</v>
      </c>
      <c r="AB73" s="391"/>
      <c r="AC73" s="936">
        <f t="shared" ca="1" si="14"/>
        <v>0.31654011671135351</v>
      </c>
      <c r="AD73" s="641"/>
      <c r="AE73" s="1069"/>
      <c r="AF73" s="587">
        <f>AF72</f>
        <v>48</v>
      </c>
      <c r="AG73" s="587"/>
      <c r="AH73" s="387">
        <f>$AH$16/K73</f>
        <v>5</v>
      </c>
      <c r="AI73" s="387">
        <f>$AH$16/AH73</f>
        <v>1</v>
      </c>
      <c r="AJ73" s="370">
        <f>$H73*(1-(1+$L$15)^-(AH73*AI73))/((1+$L$15)^AI73-1)*(1+((1+$L$15)^AI73-1))</f>
        <v>5833.6679825636384</v>
      </c>
      <c r="AK73" s="981"/>
    </row>
    <row r="74" spans="1:37" ht="19" customHeight="1">
      <c r="A74" s="390"/>
      <c r="B74" s="698"/>
      <c r="C74" s="3861"/>
      <c r="D74" s="3862"/>
      <c r="E74" s="373" t="s">
        <v>21</v>
      </c>
      <c r="F74" s="1176"/>
      <c r="G74" s="1176"/>
      <c r="H74" s="370"/>
      <c r="I74" s="613"/>
      <c r="J74" s="375"/>
      <c r="K74" s="374"/>
      <c r="L74" s="386"/>
      <c r="M74" s="371"/>
      <c r="N74" s="370"/>
      <c r="O74" s="699">
        <f t="shared" si="24"/>
        <v>0</v>
      </c>
      <c r="P74" s="396"/>
      <c r="Q74" s="3031"/>
      <c r="R74" s="3031"/>
      <c r="S74" s="3031"/>
      <c r="T74" s="1040" t="s">
        <v>811</v>
      </c>
      <c r="U74" s="700"/>
      <c r="V74" s="700" t="str">
        <f>IF($T74="L",SUM($U74:U74)*V$16,"")</f>
        <v/>
      </c>
      <c r="W74" s="700" t="str">
        <f>IF($U74="","",IF(OR($T74="L",$T74="T",$T74="C"),SUM($U74:V74)*W$16,""))</f>
        <v/>
      </c>
      <c r="X74" s="700" t="str">
        <f>IF($U74="","",SUM($U74:W74)*X$16)</f>
        <v/>
      </c>
      <c r="Y74" s="699" t="str">
        <f t="shared" si="12"/>
        <v/>
      </c>
      <c r="Z74" s="396"/>
      <c r="AA74" s="743" t="str">
        <f t="shared" si="13"/>
        <v/>
      </c>
      <c r="AB74" s="395"/>
      <c r="AC74" s="937" t="str">
        <f t="shared" ca="1" si="14"/>
        <v/>
      </c>
      <c r="AD74" s="822"/>
      <c r="AE74" s="1069"/>
      <c r="AF74" s="587">
        <f>AF73</f>
        <v>48</v>
      </c>
      <c r="AG74" s="587"/>
      <c r="AH74" s="387"/>
      <c r="AI74" s="387"/>
      <c r="AJ74" s="370"/>
      <c r="AK74" s="882"/>
    </row>
    <row r="75" spans="1:37" ht="19" customHeight="1">
      <c r="A75" s="676"/>
      <c r="B75" s="711">
        <f>B71+0.01</f>
        <v>1.52</v>
      </c>
      <c r="C75" s="3875" t="s">
        <v>203</v>
      </c>
      <c r="D75" s="3852" t="s">
        <v>1550</v>
      </c>
      <c r="E75" s="685" t="s">
        <v>3</v>
      </c>
      <c r="F75" s="1177"/>
      <c r="G75" s="1177">
        <f>G35</f>
        <v>7.449925261584454</v>
      </c>
      <c r="H75" s="665">
        <f>I709</f>
        <v>1676.2331838565024</v>
      </c>
      <c r="I75" s="818" t="s">
        <v>474</v>
      </c>
      <c r="J75" s="666" t="str">
        <f>IF(K75=1,"Annual","Done every "&amp;K75&amp;" years")</f>
        <v>Annual</v>
      </c>
      <c r="K75" s="701">
        <f>K71</f>
        <v>1</v>
      </c>
      <c r="L75" s="668">
        <f t="shared" ref="L75:M77" si="40">$L$16/K75</f>
        <v>80</v>
      </c>
      <c r="M75" s="667">
        <f t="shared" si="40"/>
        <v>1</v>
      </c>
      <c r="N75" s="665">
        <f>$H75*(1-(1+$L$15)^-(L75*M75))/((1+$L$15)^M75-1)*(1+((1+$L$15)^M75-1))</f>
        <v>41691.284355339849</v>
      </c>
      <c r="O75" s="680">
        <f t="shared" si="24"/>
        <v>1676.233183856501</v>
      </c>
      <c r="P75" s="720">
        <f>SUM(O75:O78)</f>
        <v>3997.847533632284</v>
      </c>
      <c r="Q75" s="3032"/>
      <c r="R75" s="3032"/>
      <c r="S75" s="3032"/>
      <c r="T75" s="1035" t="s">
        <v>808</v>
      </c>
      <c r="U75" s="675">
        <f>O75/$U$16</f>
        <v>16.762331838565011</v>
      </c>
      <c r="V75" s="675">
        <f>IF($T75="L",SUM($U75:U75)*V$16,"")</f>
        <v>5.0286995515695034</v>
      </c>
      <c r="W75" s="675">
        <f>IF($U75="","",IF(OR($T75="L",$T75="T",$T75="C"),SUM($U75:V75)*W$16,""))</f>
        <v>2.1791031390134514</v>
      </c>
      <c r="X75" s="675">
        <f>IF($U75="","",SUM($U75:W75)*X$16)</f>
        <v>7.1910403587443898</v>
      </c>
      <c r="Y75" s="679">
        <f t="shared" si="12"/>
        <v>14.398843049327345</v>
      </c>
      <c r="Z75" s="720">
        <f>SUM(V75:X78)</f>
        <v>24.381784753363213</v>
      </c>
      <c r="AA75" s="737">
        <f t="shared" si="13"/>
        <v>31.161174887892358</v>
      </c>
      <c r="AB75" s="678">
        <f>SUM(AA75:AA78)</f>
        <v>64.360260089686051</v>
      </c>
      <c r="AC75" s="935">
        <f t="shared" ca="1" si="14"/>
        <v>0.48416794532012841</v>
      </c>
      <c r="AD75" s="674"/>
      <c r="AE75" s="1070"/>
      <c r="AF75" s="587">
        <f>AF71+4</f>
        <v>52</v>
      </c>
      <c r="AG75" s="816">
        <f ca="1">SUM(AC75:AC78)-1</f>
        <v>0</v>
      </c>
      <c r="AH75" s="669">
        <f>$AH$16/K75</f>
        <v>5</v>
      </c>
      <c r="AI75" s="669">
        <f>$AH$16/AH75</f>
        <v>1</v>
      </c>
      <c r="AJ75" s="665">
        <f>$H75*(1-(1+$L$15)^-(AH75*AI75))/((1+$L$15)^AI75-1)*(1+((1+$L$15)^AI75-1))</f>
        <v>7760.7840126780848</v>
      </c>
      <c r="AK75" s="984">
        <f>SUM(AJ75:AJ78)</f>
        <v>18509.615203271176</v>
      </c>
    </row>
    <row r="76" spans="1:37" ht="19" customHeight="1">
      <c r="A76" s="676"/>
      <c r="B76" s="677"/>
      <c r="C76" s="3876"/>
      <c r="D76" s="3853"/>
      <c r="E76" s="685" t="s">
        <v>308</v>
      </c>
      <c r="F76" s="1177">
        <f>$F$36</f>
        <v>1</v>
      </c>
      <c r="G76" s="1177">
        <f t="shared" ref="G76:G77" si="41">G36</f>
        <v>3.724962630792227</v>
      </c>
      <c r="H76" s="665">
        <f>I710</f>
        <v>1061.6143497757848</v>
      </c>
      <c r="I76" s="818" t="s">
        <v>65</v>
      </c>
      <c r="J76" s="666" t="str">
        <f>IF(K76=1,"Annual","Done every "&amp;K76&amp;" years")</f>
        <v>Annual</v>
      </c>
      <c r="K76" s="701">
        <f>K72</f>
        <v>1</v>
      </c>
      <c r="L76" s="668">
        <f t="shared" si="40"/>
        <v>80</v>
      </c>
      <c r="M76" s="667">
        <f t="shared" si="40"/>
        <v>1</v>
      </c>
      <c r="N76" s="665">
        <f>$H76*(1-(1+$L$15)^-(L76*M76))/((1+$L$15)^M76-1)*(1+((1+$L$15)^M76-1))</f>
        <v>26404.480091715235</v>
      </c>
      <c r="O76" s="680">
        <f t="shared" si="24"/>
        <v>1061.6143497757839</v>
      </c>
      <c r="P76" s="720"/>
      <c r="Q76" s="3032">
        <f>1*(1-(1+$L$15)^-(L76*M76))/((1+$L$15)^M76-1)*(1+((1+$L$15)^M76-1))</f>
        <v>24.872007520708362</v>
      </c>
      <c r="R76" s="3032">
        <f>Q76/(1+$L$15)*($L$15)/(1-(1+$L$15)^-$L$16)</f>
        <v>0.99999999999999911</v>
      </c>
      <c r="S76" s="3032">
        <f>F76*R76</f>
        <v>0.99999999999999911</v>
      </c>
      <c r="T76" s="1036" t="s">
        <v>809</v>
      </c>
      <c r="U76" s="675">
        <f>O76/$U$16</f>
        <v>10.616143497757839</v>
      </c>
      <c r="V76" s="682" t="str">
        <f>IF($T76="L",SUM($U76:U76)*V$16,"")</f>
        <v/>
      </c>
      <c r="W76" s="682">
        <f>IF($U76="","",IF(OR($T76="L",$T76="T",$T76="C"),SUM($U76:V76)*W$16,""))</f>
        <v>1.0616143497757839</v>
      </c>
      <c r="X76" s="682">
        <f>IF($U76="","",SUM($U76:W76)*X$16)</f>
        <v>3.5033273542600871</v>
      </c>
      <c r="Y76" s="679">
        <f t="shared" si="12"/>
        <v>4.5649417040358706</v>
      </c>
      <c r="Z76" s="720"/>
      <c r="AA76" s="737">
        <f t="shared" si="13"/>
        <v>15.18108520179371</v>
      </c>
      <c r="AB76" s="678"/>
      <c r="AC76" s="935">
        <f t="shared" ca="1" si="14"/>
        <v>0.2358766913098061</v>
      </c>
      <c r="AD76" s="681"/>
      <c r="AE76" s="1070"/>
      <c r="AF76" s="587">
        <f>AF75</f>
        <v>52</v>
      </c>
      <c r="AG76" s="587"/>
      <c r="AH76" s="669">
        <f>$AH$16/K76</f>
        <v>5</v>
      </c>
      <c r="AI76" s="669">
        <f>$AH$16/AH76</f>
        <v>1</v>
      </c>
      <c r="AJ76" s="665">
        <f>$H76*(1-(1+$L$15)^-(AH76*AI76))/((1+$L$15)^AI76-1)*(1+((1+$L$15)^AI76-1))</f>
        <v>4915.163208029453</v>
      </c>
      <c r="AK76" s="984"/>
    </row>
    <row r="77" spans="1:37" ht="19" customHeight="1">
      <c r="A77" s="676"/>
      <c r="B77" s="677"/>
      <c r="C77" s="3876"/>
      <c r="D77" s="3853"/>
      <c r="E77" s="685" t="s">
        <v>4</v>
      </c>
      <c r="F77" s="1177"/>
      <c r="G77" s="1177">
        <f t="shared" si="41"/>
        <v>6</v>
      </c>
      <c r="H77" s="665">
        <f>I711</f>
        <v>1260</v>
      </c>
      <c r="I77" s="818" t="s">
        <v>70</v>
      </c>
      <c r="J77" s="666" t="str">
        <f>IF(K77=1,"Annual","Done every "&amp;K77&amp;" years")</f>
        <v>Annual</v>
      </c>
      <c r="K77" s="701">
        <f>K73</f>
        <v>1</v>
      </c>
      <c r="L77" s="668">
        <f t="shared" si="40"/>
        <v>80</v>
      </c>
      <c r="M77" s="667">
        <f t="shared" si="40"/>
        <v>1</v>
      </c>
      <c r="N77" s="665">
        <f>$H77*(1-(1+$L$15)^-(L77*M77))/((1+$L$15)^M77-1)*(1+((1+$L$15)^M77-1))</f>
        <v>31338.729476092536</v>
      </c>
      <c r="O77" s="680">
        <f t="shared" si="24"/>
        <v>1259.9999999999991</v>
      </c>
      <c r="P77" s="720"/>
      <c r="Q77" s="3032"/>
      <c r="R77" s="3032"/>
      <c r="S77" s="3032"/>
      <c r="T77" s="1036" t="s">
        <v>810</v>
      </c>
      <c r="U77" s="675">
        <f>O77/$U$16</f>
        <v>12.599999999999991</v>
      </c>
      <c r="V77" s="682" t="str">
        <f>IF($T77="L",SUM($U77:U77)*V$16,"")</f>
        <v/>
      </c>
      <c r="W77" s="682">
        <f>IF($U77="","",IF(OR($T77="L",$T77="T",$T77="C"),SUM($U77:V77)*W$16,""))</f>
        <v>1.2599999999999991</v>
      </c>
      <c r="X77" s="682">
        <f>IF($U77="","",SUM($U77:W77)*X$16)</f>
        <v>4.1579999999999968</v>
      </c>
      <c r="Y77" s="679">
        <f t="shared" si="12"/>
        <v>5.4179999999999957</v>
      </c>
      <c r="Z77" s="720"/>
      <c r="AA77" s="737">
        <f t="shared" si="13"/>
        <v>18.017999999999986</v>
      </c>
      <c r="AB77" s="678"/>
      <c r="AC77" s="935">
        <f t="shared" ca="1" si="14"/>
        <v>0.27995536337006555</v>
      </c>
      <c r="AD77" s="681"/>
      <c r="AE77" s="1070"/>
      <c r="AF77" s="587">
        <f>AF76</f>
        <v>52</v>
      </c>
      <c r="AG77" s="587"/>
      <c r="AH77" s="669">
        <f>$AH$16/K77</f>
        <v>5</v>
      </c>
      <c r="AI77" s="669">
        <f>$AH$16/AH77</f>
        <v>1</v>
      </c>
      <c r="AJ77" s="665">
        <f>$H77*(1-(1+$L$15)^-(AH77*AI77))/((1+$L$15)^AI77-1)*(1+((1+$L$15)^AI77-1))</f>
        <v>5833.6679825636384</v>
      </c>
      <c r="AK77" s="984"/>
    </row>
    <row r="78" spans="1:37" ht="19" customHeight="1">
      <c r="A78" s="676"/>
      <c r="B78" s="702"/>
      <c r="C78" s="3877"/>
      <c r="D78" s="3854"/>
      <c r="E78" s="685" t="s">
        <v>21</v>
      </c>
      <c r="F78" s="1177"/>
      <c r="G78" s="1177"/>
      <c r="H78" s="665"/>
      <c r="I78" s="818"/>
      <c r="J78" s="666"/>
      <c r="K78" s="701"/>
      <c r="L78" s="668"/>
      <c r="M78" s="667"/>
      <c r="N78" s="665"/>
      <c r="O78" s="703">
        <f t="shared" si="24"/>
        <v>0</v>
      </c>
      <c r="P78" s="718"/>
      <c r="Q78" s="3033"/>
      <c r="R78" s="3033"/>
      <c r="S78" s="3033"/>
      <c r="T78" s="1041" t="s">
        <v>811</v>
      </c>
      <c r="U78" s="704"/>
      <c r="V78" s="704" t="str">
        <f>IF($T78="L",SUM($U78:U78)*V$16,"")</f>
        <v/>
      </c>
      <c r="W78" s="704" t="str">
        <f>IF($U78="","",IF(OR($T78="L",$T78="T",$T78="C"),SUM($U78:V78)*W$16,""))</f>
        <v/>
      </c>
      <c r="X78" s="704" t="str">
        <f>IF($U78="","",SUM($U78:W78)*X$16)</f>
        <v/>
      </c>
      <c r="Y78" s="703" t="str">
        <f t="shared" si="12"/>
        <v/>
      </c>
      <c r="Z78" s="718"/>
      <c r="AA78" s="744" t="str">
        <f t="shared" si="13"/>
        <v/>
      </c>
      <c r="AB78" s="672"/>
      <c r="AC78" s="938" t="str">
        <f t="shared" ca="1" si="14"/>
        <v/>
      </c>
      <c r="AD78" s="823"/>
      <c r="AE78" s="1070"/>
      <c r="AF78" s="587">
        <f>AF77</f>
        <v>52</v>
      </c>
      <c r="AG78" s="587"/>
      <c r="AH78" s="669"/>
      <c r="AI78" s="669"/>
      <c r="AJ78" s="665"/>
      <c r="AK78" s="883"/>
    </row>
    <row r="79" spans="1:37" ht="19" customHeight="1">
      <c r="A79" s="656"/>
      <c r="B79" s="713">
        <f>B75+0.01</f>
        <v>1.53</v>
      </c>
      <c r="C79" s="3878" t="s">
        <v>203</v>
      </c>
      <c r="D79" s="3863" t="s">
        <v>1550</v>
      </c>
      <c r="E79" s="686" t="s">
        <v>3</v>
      </c>
      <c r="F79" s="1178"/>
      <c r="G79" s="1178">
        <f>G39</f>
        <v>9.8415545590433489</v>
      </c>
      <c r="H79" s="645">
        <f>J709</f>
        <v>2214.3497757847535</v>
      </c>
      <c r="I79" s="820" t="s">
        <v>474</v>
      </c>
      <c r="J79" s="646" t="str">
        <f>IF(K79=1,"Annual","Done every "&amp;K79&amp;" years")</f>
        <v>Annual</v>
      </c>
      <c r="K79" s="705">
        <f>K75</f>
        <v>1</v>
      </c>
      <c r="L79" s="648">
        <f t="shared" ref="L79:M81" si="42">$L$16/K79</f>
        <v>80</v>
      </c>
      <c r="M79" s="647">
        <f t="shared" si="42"/>
        <v>1</v>
      </c>
      <c r="N79" s="645">
        <f>$H79*(1-(1+$L$15)^-(L79*M79))/((1+$L$15)^M79-1)*(1+((1+$L$15)^M79-1))</f>
        <v>55075.324276797262</v>
      </c>
      <c r="O79" s="660">
        <f t="shared" si="24"/>
        <v>2214.3497757847517</v>
      </c>
      <c r="P79" s="722">
        <f>SUM(O79:O82)</f>
        <v>5296.7713004484267</v>
      </c>
      <c r="Q79" s="3034"/>
      <c r="R79" s="3034"/>
      <c r="S79" s="3034"/>
      <c r="T79" s="1037" t="s">
        <v>808</v>
      </c>
      <c r="U79" s="655">
        <f>O79/$U$16</f>
        <v>22.143497757847516</v>
      </c>
      <c r="V79" s="655">
        <f>IF($T79="L",SUM($U79:U79)*V$16,"")</f>
        <v>6.6430493273542544</v>
      </c>
      <c r="W79" s="655">
        <f>IF($U79="","",IF(OR($T79="L",$T79="T",$T79="C"),SUM($U79:V79)*W$16,""))</f>
        <v>2.8786547085201772</v>
      </c>
      <c r="X79" s="655">
        <f>IF($U79="","",SUM($U79:W79)*X$16)</f>
        <v>9.4995605381165849</v>
      </c>
      <c r="Y79" s="659">
        <f t="shared" si="12"/>
        <v>19.021264573991019</v>
      </c>
      <c r="Z79" s="722">
        <f>SUM(V79:X82)</f>
        <v>32.275677130044819</v>
      </c>
      <c r="AA79" s="740">
        <f t="shared" si="13"/>
        <v>41.164762331838531</v>
      </c>
      <c r="AB79" s="658">
        <f>SUM(AA79:AA82)</f>
        <v>85.243390134529079</v>
      </c>
      <c r="AC79" s="939">
        <f t="shared" ca="1" si="14"/>
        <v>0.48290855474979688</v>
      </c>
      <c r="AD79" s="654"/>
      <c r="AE79" s="1071"/>
      <c r="AF79" s="587">
        <f>AF75+4</f>
        <v>56</v>
      </c>
      <c r="AG79" s="816">
        <f ca="1">SUM(AC79:AC82)-1</f>
        <v>0</v>
      </c>
      <c r="AH79" s="649">
        <f>$AH$16/K79</f>
        <v>5</v>
      </c>
      <c r="AI79" s="649">
        <f>$AH$16/AH79</f>
        <v>1</v>
      </c>
      <c r="AJ79" s="645">
        <f>$H79*(1-(1+$L$15)^-(AH79*AI79))/((1+$L$15)^AI79-1)*(1+((1+$L$15)^AI79-1))</f>
        <v>10252.207451740071</v>
      </c>
      <c r="AK79" s="932">
        <f>SUM(AJ79:AJ82)</f>
        <v>24523.496147926966</v>
      </c>
    </row>
    <row r="80" spans="1:37" ht="19" customHeight="1">
      <c r="A80" s="656"/>
      <c r="B80" s="657"/>
      <c r="C80" s="3879"/>
      <c r="D80" s="3864"/>
      <c r="E80" s="686" t="s">
        <v>308</v>
      </c>
      <c r="F80" s="1178">
        <f>$F$40</f>
        <v>1</v>
      </c>
      <c r="G80" s="1178">
        <f t="shared" ref="G80:G81" si="43">G40</f>
        <v>4.9207772795216744</v>
      </c>
      <c r="H80" s="645">
        <f>J710</f>
        <v>1402.4215246636772</v>
      </c>
      <c r="I80" s="820" t="s">
        <v>65</v>
      </c>
      <c r="J80" s="646" t="str">
        <f>IF(K80=1,"Annual","Done every "&amp;K80&amp;" years")</f>
        <v>Annual</v>
      </c>
      <c r="K80" s="705">
        <f>K76</f>
        <v>1</v>
      </c>
      <c r="L80" s="648">
        <f t="shared" si="42"/>
        <v>80</v>
      </c>
      <c r="M80" s="647">
        <f t="shared" si="42"/>
        <v>1</v>
      </c>
      <c r="N80" s="645">
        <f>$H80*(1-(1+$L$15)^-(L80*M80))/((1+$L$15)^M80-1)*(1+((1+$L$15)^M80-1))</f>
        <v>34881.038708638262</v>
      </c>
      <c r="O80" s="660">
        <f t="shared" si="24"/>
        <v>1402.4215246636759</v>
      </c>
      <c r="P80" s="722"/>
      <c r="Q80" s="3034">
        <f>1*(1-(1+$L$15)^-(L80*M80))/((1+$L$15)^M80-1)*(1+((1+$L$15)^M80-1))</f>
        <v>24.872007520708362</v>
      </c>
      <c r="R80" s="3034">
        <f>Q80/(1+$L$15)*($L$15)/(1-(1+$L$15)^-$L$16)</f>
        <v>0.99999999999999911</v>
      </c>
      <c r="S80" s="3034">
        <f>F80*R80</f>
        <v>0.99999999999999911</v>
      </c>
      <c r="T80" s="1038" t="s">
        <v>809</v>
      </c>
      <c r="U80" s="655">
        <f>O80/$U$16</f>
        <v>14.024215246636759</v>
      </c>
      <c r="V80" s="662" t="str">
        <f>IF($T80="L",SUM($U80:U80)*V$16,"")</f>
        <v/>
      </c>
      <c r="W80" s="662">
        <f>IF($U80="","",IF(OR($T80="L",$T80="T",$T80="C"),SUM($U80:V80)*W$16,""))</f>
        <v>1.402421524663676</v>
      </c>
      <c r="X80" s="662">
        <f>IF($U80="","",SUM($U80:W80)*X$16)</f>
        <v>4.6279910313901302</v>
      </c>
      <c r="Y80" s="659">
        <f t="shared" si="12"/>
        <v>6.0304125560538058</v>
      </c>
      <c r="Z80" s="722"/>
      <c r="AA80" s="740">
        <f t="shared" si="13"/>
        <v>20.054627802690565</v>
      </c>
      <c r="AB80" s="658"/>
      <c r="AC80" s="939">
        <f t="shared" ca="1" si="14"/>
        <v>0.23526314205759333</v>
      </c>
      <c r="AD80" s="661"/>
      <c r="AE80" s="1071"/>
      <c r="AF80" s="587">
        <f>AF79</f>
        <v>56</v>
      </c>
      <c r="AG80" s="587"/>
      <c r="AH80" s="649">
        <f>$AH$16/K80</f>
        <v>5</v>
      </c>
      <c r="AI80" s="649">
        <f>$AH$16/AH80</f>
        <v>1</v>
      </c>
      <c r="AJ80" s="645">
        <f>$H80*(1-(1+$L$15)^-(AH80*AI80))/((1+$L$15)^AI80-1)*(1+((1+$L$15)^AI80-1))</f>
        <v>6493.0647194353778</v>
      </c>
      <c r="AK80" s="932"/>
    </row>
    <row r="81" spans="1:37" ht="19" customHeight="1">
      <c r="A81" s="656"/>
      <c r="B81" s="657"/>
      <c r="C81" s="3879"/>
      <c r="D81" s="3864"/>
      <c r="E81" s="686" t="s">
        <v>4</v>
      </c>
      <c r="F81" s="1178"/>
      <c r="G81" s="1178">
        <f t="shared" si="43"/>
        <v>8</v>
      </c>
      <c r="H81" s="645">
        <f>J711</f>
        <v>1680</v>
      </c>
      <c r="I81" s="820" t="s">
        <v>70</v>
      </c>
      <c r="J81" s="646" t="str">
        <f>IF(K81=1,"Annual","Done every "&amp;K81&amp;" years")</f>
        <v>Annual</v>
      </c>
      <c r="K81" s="705">
        <f>K77</f>
        <v>1</v>
      </c>
      <c r="L81" s="648">
        <f t="shared" si="42"/>
        <v>80</v>
      </c>
      <c r="M81" s="647">
        <f t="shared" si="42"/>
        <v>1</v>
      </c>
      <c r="N81" s="645">
        <f>$H81*(1-(1+$L$15)^-(L81*M81))/((1+$L$15)^M81-1)*(1+((1+$L$15)^M81-1))</f>
        <v>41784.972634790051</v>
      </c>
      <c r="O81" s="660">
        <f t="shared" si="24"/>
        <v>1679.9999999999986</v>
      </c>
      <c r="P81" s="722"/>
      <c r="Q81" s="3034"/>
      <c r="R81" s="3034"/>
      <c r="S81" s="3034"/>
      <c r="T81" s="1038" t="s">
        <v>810</v>
      </c>
      <c r="U81" s="655">
        <f>O81/$U$16</f>
        <v>16.799999999999986</v>
      </c>
      <c r="V81" s="662" t="str">
        <f>IF($T81="L",SUM($U81:U81)*V$16,"")</f>
        <v/>
      </c>
      <c r="W81" s="662">
        <f>IF($U81="","",IF(OR($T81="L",$T81="T",$T81="C"),SUM($U81:V81)*W$16,""))</f>
        <v>1.6799999999999988</v>
      </c>
      <c r="X81" s="662">
        <f>IF($U81="","",SUM($U81:W81)*X$16)</f>
        <v>5.543999999999996</v>
      </c>
      <c r="Y81" s="659">
        <f t="shared" si="12"/>
        <v>7.2239999999999949</v>
      </c>
      <c r="Z81" s="722"/>
      <c r="AA81" s="740">
        <f t="shared" si="13"/>
        <v>24.02399999999998</v>
      </c>
      <c r="AB81" s="658"/>
      <c r="AC81" s="939">
        <f t="shared" ca="1" si="14"/>
        <v>0.28182830319260976</v>
      </c>
      <c r="AD81" s="661"/>
      <c r="AE81" s="1071"/>
      <c r="AF81" s="587">
        <f>AF80</f>
        <v>56</v>
      </c>
      <c r="AG81" s="587"/>
      <c r="AH81" s="649">
        <f>$AH$16/K81</f>
        <v>5</v>
      </c>
      <c r="AI81" s="649">
        <f>$AH$16/AH81</f>
        <v>1</v>
      </c>
      <c r="AJ81" s="645">
        <f>$H81*(1-(1+$L$15)^-(AH81*AI81))/((1+$L$15)^AI81-1)*(1+((1+$L$15)^AI81-1))</f>
        <v>7778.2239767515175</v>
      </c>
      <c r="AK81" s="932"/>
    </row>
    <row r="82" spans="1:37" ht="19" customHeight="1">
      <c r="A82" s="656"/>
      <c r="B82" s="706"/>
      <c r="C82" s="3880"/>
      <c r="D82" s="3865"/>
      <c r="E82" s="686" t="s">
        <v>21</v>
      </c>
      <c r="F82" s="1178"/>
      <c r="G82" s="1178"/>
      <c r="H82" s="645"/>
      <c r="I82" s="820"/>
      <c r="J82" s="646"/>
      <c r="K82" s="705"/>
      <c r="L82" s="648"/>
      <c r="M82" s="647"/>
      <c r="N82" s="645"/>
      <c r="O82" s="707">
        <f t="shared" si="24"/>
        <v>0</v>
      </c>
      <c r="P82" s="719"/>
      <c r="Q82" s="3035"/>
      <c r="R82" s="3035"/>
      <c r="S82" s="3035"/>
      <c r="T82" s="1042" t="s">
        <v>811</v>
      </c>
      <c r="U82" s="708"/>
      <c r="V82" s="708" t="str">
        <f>IF($T82="L",SUM($U82:U82)*V$16,"")</f>
        <v/>
      </c>
      <c r="W82" s="708" t="str">
        <f>IF($U82="","",IF(OR($T82="L",$T82="T",$T82="C"),SUM($U82:V82)*W$16,""))</f>
        <v/>
      </c>
      <c r="X82" s="708" t="str">
        <f>IF($U82="","",SUM($U82:W82)*X$16)</f>
        <v/>
      </c>
      <c r="Y82" s="707" t="str">
        <f t="shared" si="12"/>
        <v/>
      </c>
      <c r="Z82" s="719"/>
      <c r="AA82" s="745" t="str">
        <f t="shared" si="13"/>
        <v/>
      </c>
      <c r="AB82" s="652"/>
      <c r="AC82" s="940" t="str">
        <f t="shared" ca="1" si="14"/>
        <v/>
      </c>
      <c r="AD82" s="824"/>
      <c r="AE82" s="1071"/>
      <c r="AF82" s="587">
        <f>AF81</f>
        <v>56</v>
      </c>
      <c r="AG82" s="587"/>
      <c r="AH82" s="649"/>
      <c r="AI82" s="649"/>
      <c r="AJ82" s="645"/>
      <c r="AK82" s="884"/>
    </row>
    <row r="83" spans="1:37" ht="19" customHeight="1">
      <c r="B83" s="926">
        <v>1.6</v>
      </c>
      <c r="C83" s="1522" t="s">
        <v>397</v>
      </c>
      <c r="D83" s="3847" t="s">
        <v>192</v>
      </c>
      <c r="E83" s="12" t="s">
        <v>3</v>
      </c>
      <c r="F83" s="1172"/>
      <c r="G83" s="1172">
        <f>$E$739</f>
        <v>15</v>
      </c>
      <c r="H83" s="188">
        <f>F739</f>
        <v>5062.5</v>
      </c>
      <c r="I83" s="1088" t="str">
        <f>G739</f>
        <v>Cost for reporting, analysis and feedback</v>
      </c>
      <c r="J83" s="377" t="str">
        <f>IF(K83=1,"Annual","Done every "&amp;K83&amp;" years")</f>
        <v>Annual</v>
      </c>
      <c r="K83" s="586">
        <f>$D$727</f>
        <v>1</v>
      </c>
      <c r="L83" s="158">
        <f>$L$16/K83</f>
        <v>80</v>
      </c>
      <c r="M83" s="586">
        <f>$L$16/L83</f>
        <v>1</v>
      </c>
      <c r="N83" s="188">
        <f>$H83*(1-(1+$L$15)^-(L83*M83))/((1+$L$15)^M83-1)*(1+((1+$L$15)^M83-1))</f>
        <v>125914.53807358607</v>
      </c>
      <c r="O83" s="242">
        <f t="shared" si="24"/>
        <v>5062.4999999999955</v>
      </c>
      <c r="P83" s="192">
        <f>SUM(O83:O86)</f>
        <v>5062.4999999999955</v>
      </c>
      <c r="Q83" s="3036"/>
      <c r="R83" s="3036"/>
      <c r="S83" s="3036"/>
      <c r="T83" s="1039" t="s">
        <v>808</v>
      </c>
      <c r="U83" s="583">
        <f>O83/$U$16</f>
        <v>50.624999999999957</v>
      </c>
      <c r="V83" s="583">
        <f>IF($T83="L",SUM($U83:U83)*V$16,"")</f>
        <v>15.187499999999986</v>
      </c>
      <c r="W83" s="1474"/>
      <c r="X83" s="583">
        <f>IF($U83="","",SUM($U83:W83)*X$16)</f>
        <v>19.743749999999981</v>
      </c>
      <c r="Y83" s="240">
        <f t="shared" si="12"/>
        <v>34.931249999999963</v>
      </c>
      <c r="Z83" s="192">
        <f>SUM(V83:X86)</f>
        <v>34.931249999999963</v>
      </c>
      <c r="AA83" s="742">
        <f t="shared" si="13"/>
        <v>85.55624999999992</v>
      </c>
      <c r="AB83" s="192">
        <f>SUM(AA83:AA86)</f>
        <v>85.55624999999992</v>
      </c>
      <c r="AC83" s="727">
        <f t="shared" ca="1" si="14"/>
        <v>1</v>
      </c>
      <c r="AD83" s="589"/>
      <c r="AE83" s="573"/>
      <c r="AF83" s="587">
        <f>AF79+4</f>
        <v>60</v>
      </c>
      <c r="AG83" s="816">
        <f ca="1">SUM(AC83:AC86)-1</f>
        <v>0</v>
      </c>
      <c r="AH83" s="13">
        <f>$AH$16/K83</f>
        <v>5</v>
      </c>
      <c r="AI83" s="13">
        <f>$AH$16/AH83</f>
        <v>1</v>
      </c>
      <c r="AJ83" s="188">
        <f>$H83*(1-(1+$L$15)^-(AH83*AI83))/((1+$L$15)^AI83-1)*(1+((1+$L$15)^AI83-1))</f>
        <v>23438.844572800335</v>
      </c>
      <c r="AK83" s="191">
        <f>SUM(AJ83:AJ86)</f>
        <v>23438.844572800335</v>
      </c>
    </row>
    <row r="84" spans="1:37" ht="19" customHeight="1">
      <c r="B84" s="261"/>
      <c r="C84" s="1523"/>
      <c r="D84" s="3848"/>
      <c r="E84" s="12" t="s">
        <v>308</v>
      </c>
      <c r="F84" s="1172"/>
      <c r="G84" s="1172"/>
      <c r="H84" s="188"/>
      <c r="I84" s="921"/>
      <c r="J84" s="377"/>
      <c r="K84" s="586"/>
      <c r="L84" s="158"/>
      <c r="M84" s="586"/>
      <c r="N84" s="188"/>
      <c r="O84" s="242"/>
      <c r="P84" s="194"/>
      <c r="Q84" s="3037">
        <v>0</v>
      </c>
      <c r="R84" s="3037">
        <v>0</v>
      </c>
      <c r="S84" s="3037">
        <v>0</v>
      </c>
      <c r="T84" s="1034" t="s">
        <v>809</v>
      </c>
      <c r="U84" s="585"/>
      <c r="V84" s="585" t="str">
        <f>IF($T84="L",SUM($U84:U84)*V$16,"")</f>
        <v/>
      </c>
      <c r="W84" s="1475"/>
      <c r="X84" s="585" t="str">
        <f>IF($U84="","",SUM($U84:W84)*X$16)</f>
        <v/>
      </c>
      <c r="Y84" s="242" t="str">
        <f t="shared" si="12"/>
        <v/>
      </c>
      <c r="Z84" s="194"/>
      <c r="AA84" s="733" t="str">
        <f t="shared" si="13"/>
        <v/>
      </c>
      <c r="AB84" s="194"/>
      <c r="AC84" s="728" t="str">
        <f t="shared" ca="1" si="14"/>
        <v/>
      </c>
      <c r="AD84" s="589"/>
      <c r="AE84" s="1072"/>
      <c r="AF84" s="587">
        <f>AF83</f>
        <v>60</v>
      </c>
      <c r="AG84" s="587"/>
      <c r="AH84" s="13"/>
      <c r="AI84" s="13"/>
      <c r="AJ84" s="209"/>
      <c r="AK84" s="342"/>
    </row>
    <row r="85" spans="1:37" ht="19" customHeight="1">
      <c r="B85" s="261"/>
      <c r="C85" s="1523"/>
      <c r="D85" s="3848"/>
      <c r="E85" s="12" t="s">
        <v>4</v>
      </c>
      <c r="F85" s="1172"/>
      <c r="G85" s="1172"/>
      <c r="H85" s="188"/>
      <c r="I85" s="921"/>
      <c r="J85" s="377"/>
      <c r="K85" s="586"/>
      <c r="L85" s="158"/>
      <c r="M85" s="586"/>
      <c r="N85" s="188"/>
      <c r="O85" s="241"/>
      <c r="P85" s="210"/>
      <c r="Q85" s="3037"/>
      <c r="R85" s="3037"/>
      <c r="S85" s="3037"/>
      <c r="T85" s="1034" t="s">
        <v>810</v>
      </c>
      <c r="U85" s="584"/>
      <c r="V85" s="584" t="str">
        <f>IF($T85="L",SUM($U85:U85)*V$16,"")</f>
        <v/>
      </c>
      <c r="W85" s="1475"/>
      <c r="X85" s="584" t="str">
        <f>IF($U85="","",SUM($U85:W85)*X$16)</f>
        <v/>
      </c>
      <c r="Y85" s="241" t="str">
        <f t="shared" si="12"/>
        <v/>
      </c>
      <c r="Z85" s="210"/>
      <c r="AA85" s="746" t="str">
        <f t="shared" si="13"/>
        <v/>
      </c>
      <c r="AB85" s="210"/>
      <c r="AC85" s="732" t="str">
        <f t="shared" ca="1" si="14"/>
        <v/>
      </c>
      <c r="AD85" s="815"/>
      <c r="AE85" s="1072"/>
      <c r="AF85" s="587">
        <f>AF84</f>
        <v>60</v>
      </c>
      <c r="AG85" s="587"/>
      <c r="AH85" s="13"/>
      <c r="AI85" s="13"/>
      <c r="AJ85" s="188"/>
      <c r="AK85" s="477"/>
    </row>
    <row r="86" spans="1:37" ht="19" customHeight="1" thickBot="1">
      <c r="B86" s="261"/>
      <c r="C86" s="1524"/>
      <c r="D86" s="3849"/>
      <c r="E86" s="12" t="s">
        <v>21</v>
      </c>
      <c r="F86" s="1172"/>
      <c r="G86" s="1172"/>
      <c r="H86" s="188"/>
      <c r="I86" s="921"/>
      <c r="J86" s="377"/>
      <c r="K86" s="11"/>
      <c r="L86" s="1046"/>
      <c r="M86" s="1047"/>
      <c r="N86" s="1048"/>
      <c r="O86" s="726"/>
      <c r="P86" s="725"/>
      <c r="Q86" s="3038"/>
      <c r="R86" s="3038"/>
      <c r="S86" s="3038"/>
      <c r="T86" s="1040" t="s">
        <v>811</v>
      </c>
      <c r="U86" s="724"/>
      <c r="V86" s="724" t="str">
        <f>IF($T86="L",SUM($U86:U86)*V$16,"")</f>
        <v/>
      </c>
      <c r="W86" s="1478"/>
      <c r="X86" s="724" t="str">
        <f>IF($U86="","",SUM($U86:W86)*X$16)</f>
        <v/>
      </c>
      <c r="Y86" s="726" t="str">
        <f t="shared" si="12"/>
        <v/>
      </c>
      <c r="Z86" s="725"/>
      <c r="AA86" s="747" t="str">
        <f t="shared" si="13"/>
        <v/>
      </c>
      <c r="AB86" s="725"/>
      <c r="AC86" s="767" t="str">
        <f t="shared" ca="1" si="14"/>
        <v/>
      </c>
      <c r="AD86" s="1073"/>
      <c r="AE86" s="1074"/>
      <c r="AF86" s="587">
        <f>AF85</f>
        <v>60</v>
      </c>
      <c r="AG86" s="587"/>
      <c r="AH86" s="13"/>
      <c r="AI86" s="13"/>
      <c r="AJ86" s="188"/>
      <c r="AK86" s="478"/>
    </row>
    <row r="87" spans="1:37">
      <c r="C87" s="24"/>
      <c r="D87" s="238"/>
      <c r="E87"/>
      <c r="F87" s="359"/>
      <c r="H87" s="6"/>
      <c r="I87" s="359"/>
      <c r="Q87" s="3040"/>
      <c r="R87" s="3040"/>
      <c r="S87" s="3040"/>
      <c r="U87" s="5"/>
    </row>
    <row r="88" spans="1:37">
      <c r="C88" s="24"/>
      <c r="D88" s="238"/>
      <c r="E88"/>
      <c r="F88" s="359"/>
      <c r="H88" s="6"/>
      <c r="I88" s="359"/>
      <c r="Q88" s="3040"/>
      <c r="R88" s="3040"/>
      <c r="S88" s="3040"/>
      <c r="U88" s="5"/>
    </row>
    <row r="89" spans="1:37">
      <c r="C89" s="24"/>
      <c r="D89" s="238"/>
      <c r="E89"/>
      <c r="F89" s="359"/>
      <c r="H89" s="6"/>
      <c r="I89" s="359"/>
      <c r="Q89" s="3040"/>
      <c r="R89" s="3040"/>
      <c r="S89" s="3040"/>
      <c r="U89" s="5"/>
    </row>
    <row r="90" spans="1:37">
      <c r="C90" s="24"/>
      <c r="D90" s="238"/>
      <c r="E90"/>
      <c r="F90" s="359"/>
      <c r="H90" s="6"/>
      <c r="I90" s="359"/>
      <c r="Q90" s="3040"/>
      <c r="R90" s="3040"/>
      <c r="S90" s="3040"/>
      <c r="U90" s="5"/>
    </row>
    <row r="91" spans="1:37">
      <c r="C91" s="24"/>
      <c r="D91" s="238"/>
      <c r="E91"/>
      <c r="F91" s="359"/>
      <c r="H91" s="6"/>
      <c r="I91" s="359"/>
      <c r="Q91" s="3040"/>
      <c r="R91" s="3040"/>
      <c r="S91" s="3040"/>
      <c r="U91" s="5"/>
    </row>
    <row r="92" spans="1:37">
      <c r="C92" s="24"/>
      <c r="D92" s="238" t="s">
        <v>299</v>
      </c>
      <c r="E92"/>
      <c r="F92" s="359"/>
      <c r="H92" s="6"/>
      <c r="I92" s="359"/>
      <c r="Q92" s="3040"/>
      <c r="R92" s="3040"/>
      <c r="S92" s="3040"/>
      <c r="U92" s="5"/>
    </row>
    <row r="93" spans="1:37">
      <c r="C93" s="24"/>
      <c r="D93" s="238"/>
      <c r="E93"/>
      <c r="F93" s="359"/>
      <c r="H93" s="6"/>
      <c r="I93" s="359"/>
      <c r="Q93" s="3040"/>
      <c r="R93" s="3040"/>
      <c r="S93" s="3040"/>
      <c r="U93" s="5"/>
    </row>
    <row r="94" spans="1:37">
      <c r="C94" s="24"/>
      <c r="D94" s="238"/>
      <c r="E94"/>
      <c r="F94" s="359"/>
      <c r="H94" s="6"/>
      <c r="I94" s="359"/>
      <c r="Q94" s="3040"/>
      <c r="R94" s="3040"/>
      <c r="S94" s="3040"/>
      <c r="U94" s="5"/>
    </row>
    <row r="95" spans="1:37">
      <c r="C95" s="24"/>
      <c r="D95" s="238"/>
      <c r="E95"/>
      <c r="F95" s="359"/>
      <c r="H95" s="6"/>
      <c r="I95" s="359"/>
      <c r="Q95" s="3040"/>
      <c r="R95" s="3040"/>
      <c r="S95" s="3040"/>
      <c r="U95" s="5"/>
    </row>
    <row r="96" spans="1:37">
      <c r="C96" s="24"/>
      <c r="D96" s="238"/>
      <c r="E96"/>
      <c r="F96" s="359"/>
      <c r="H96" s="6"/>
      <c r="I96" s="359"/>
      <c r="Q96" s="3040"/>
      <c r="R96" s="3040"/>
      <c r="S96" s="3040"/>
      <c r="U96" s="5"/>
    </row>
    <row r="97" spans="3:21">
      <c r="C97" s="24"/>
      <c r="D97" s="238"/>
      <c r="E97"/>
      <c r="F97" s="359"/>
      <c r="H97" s="6"/>
      <c r="I97" s="359"/>
      <c r="Q97" s="3040"/>
      <c r="R97" s="3040"/>
      <c r="S97" s="3040"/>
      <c r="U97" s="5"/>
    </row>
    <row r="98" spans="3:21">
      <c r="C98" s="24"/>
      <c r="D98" s="238"/>
      <c r="E98"/>
      <c r="F98" s="359"/>
      <c r="H98" s="6"/>
      <c r="I98" s="359"/>
      <c r="Q98" s="3040"/>
      <c r="R98" s="3040"/>
      <c r="S98" s="3040"/>
      <c r="U98" s="5"/>
    </row>
    <row r="99" spans="3:21">
      <c r="C99" s="24"/>
      <c r="D99" s="238"/>
      <c r="E99"/>
      <c r="F99" s="359"/>
      <c r="H99" s="6"/>
      <c r="I99" s="359"/>
      <c r="Q99" s="3040"/>
      <c r="R99" s="3040"/>
      <c r="S99" s="3040"/>
      <c r="U99" s="5"/>
    </row>
    <row r="100" spans="3:21" s="7" customFormat="1">
      <c r="E100" s="36"/>
      <c r="G100" s="1089"/>
      <c r="Q100" s="3040"/>
      <c r="R100" s="3040"/>
      <c r="S100" s="3040"/>
    </row>
    <row r="101" spans="3:21" s="9" customFormat="1">
      <c r="C101" s="120" t="s">
        <v>57</v>
      </c>
      <c r="D101" s="34" t="s">
        <v>1054</v>
      </c>
      <c r="E101" s="34"/>
      <c r="G101" s="572"/>
      <c r="Q101" s="3040"/>
      <c r="R101" s="3040"/>
      <c r="S101" s="3040"/>
    </row>
    <row r="102" spans="3:21" s="9" customFormat="1">
      <c r="D102" s="592" t="s">
        <v>237</v>
      </c>
      <c r="E102" s="970"/>
      <c r="G102" s="572"/>
      <c r="Q102" s="3040"/>
      <c r="R102" s="3040"/>
      <c r="S102" s="3040"/>
    </row>
    <row r="103" spans="3:21" s="9" customFormat="1">
      <c r="D103" s="332" t="s">
        <v>91</v>
      </c>
      <c r="E103" s="43"/>
      <c r="F103" s="24"/>
      <c r="G103" s="359"/>
    </row>
    <row r="104" spans="3:21" s="9" customFormat="1">
      <c r="D104" s="135">
        <f>'Overall Assumptions'!$C$6</f>
        <v>100</v>
      </c>
      <c r="E104" s="246" t="s">
        <v>967</v>
      </c>
      <c r="F104"/>
      <c r="G104" s="359"/>
    </row>
    <row r="105" spans="3:21" s="9" customFormat="1">
      <c r="D105" s="332">
        <f>'Overall Assumptions'!$C$115</f>
        <v>3</v>
      </c>
      <c r="E105" s="131" t="str">
        <f>'Overall Assumptions'!$D$115</f>
        <v>weeks</v>
      </c>
      <c r="F105"/>
      <c r="G105" s="359"/>
    </row>
    <row r="106" spans="3:21" s="9" customFormat="1">
      <c r="C106" s="105"/>
      <c r="D106" s="332">
        <f>'Overall Assumptions'!$C$116</f>
        <v>15</v>
      </c>
      <c r="E106" s="131" t="str">
        <f>'Overall Assumptions'!$D$116</f>
        <v>days</v>
      </c>
      <c r="F106"/>
      <c r="G106" s="359"/>
    </row>
    <row r="107" spans="3:21" s="9" customFormat="1">
      <c r="C107" s="105"/>
      <c r="D107" s="332"/>
      <c r="E107" s="43"/>
      <c r="F107"/>
      <c r="G107" s="359"/>
    </row>
    <row r="108" spans="3:21" s="9" customFormat="1">
      <c r="C108" s="105"/>
      <c r="D108" s="268">
        <v>1</v>
      </c>
      <c r="E108" s="43" t="s">
        <v>245</v>
      </c>
      <c r="F108"/>
      <c r="G108" s="359"/>
    </row>
    <row r="109" spans="3:21" s="9" customFormat="1">
      <c r="C109" s="105"/>
      <c r="D109" s="332"/>
      <c r="E109" s="43"/>
      <c r="F109"/>
      <c r="G109" s="359"/>
    </row>
    <row r="110" spans="3:21" s="9" customFormat="1">
      <c r="C110" s="105"/>
      <c r="D110" s="332"/>
      <c r="E110" s="43"/>
      <c r="F110"/>
      <c r="G110" s="359"/>
    </row>
    <row r="111" spans="3:21" s="9" customFormat="1">
      <c r="C111" s="105"/>
      <c r="D111" s="332" t="str">
        <f>'Overall Assumptions'!$D$76</f>
        <v>Daily rate (AUD) for labour assuming 7.5 hours/day</v>
      </c>
      <c r="E111" s="246"/>
      <c r="F111"/>
      <c r="G111" s="359"/>
    </row>
    <row r="112" spans="3:21" s="9" customFormat="1">
      <c r="D112" s="614">
        <f>'Overall Assumptions'!$C$68</f>
        <v>225</v>
      </c>
      <c r="E112" s="246" t="str">
        <f>'Overall Assumptions'!$B$67</f>
        <v>Labour 1- APS Low (Entry lvl)</v>
      </c>
      <c r="F112"/>
      <c r="G112" s="359"/>
    </row>
    <row r="113" spans="3:8" s="9" customFormat="1">
      <c r="D113" s="399">
        <f>'Overall Assumptions'!$C$72</f>
        <v>337.5</v>
      </c>
      <c r="E113" s="530" t="str">
        <f>'Overall Assumptions'!$B$71</f>
        <v>Labour 2 - APS High (Experienced)</v>
      </c>
      <c r="F113"/>
      <c r="G113" s="359"/>
    </row>
    <row r="114" spans="3:8" s="9" customFormat="1">
      <c r="D114" s="112">
        <f>'Overall Assumptions'!$C$76</f>
        <v>487.5</v>
      </c>
      <c r="E114" s="45" t="str">
        <f>'Overall Assumptions'!$B$75</f>
        <v>Labour 3 - EL (Management)</v>
      </c>
      <c r="F114"/>
      <c r="G114" s="359"/>
    </row>
    <row r="115" spans="3:8" s="9" customFormat="1">
      <c r="D115" s="33"/>
      <c r="E115" s="16"/>
      <c r="F115"/>
      <c r="G115" s="359"/>
    </row>
    <row r="116" spans="3:8" s="9" customFormat="1">
      <c r="D116" s="531"/>
      <c r="E116" s="33"/>
      <c r="F116"/>
      <c r="G116" s="359"/>
    </row>
    <row r="117" spans="3:8" s="9" customFormat="1">
      <c r="D117" s="912"/>
      <c r="E117" s="16"/>
      <c r="F117"/>
      <c r="G117" s="359"/>
    </row>
    <row r="118" spans="3:8" s="9" customFormat="1">
      <c r="D118" s="33"/>
      <c r="E118" s="16"/>
      <c r="F118"/>
      <c r="G118" s="359"/>
    </row>
    <row r="119" spans="3:8" s="9" customFormat="1">
      <c r="D119" s="33"/>
      <c r="E119" s="16"/>
      <c r="F119"/>
      <c r="G119" s="359"/>
    </row>
    <row r="120" spans="3:8" s="9" customFormat="1">
      <c r="D120" s="175"/>
      <c r="E120" s="164" t="s">
        <v>155</v>
      </c>
      <c r="F120" s="255" t="s">
        <v>166</v>
      </c>
      <c r="G120" s="1090" t="s">
        <v>69</v>
      </c>
      <c r="H120" s="108"/>
    </row>
    <row r="121" spans="3:8" s="9" customFormat="1">
      <c r="D121" s="405" t="s">
        <v>3</v>
      </c>
      <c r="E121" s="509">
        <f>D106</f>
        <v>15</v>
      </c>
      <c r="F121" s="321">
        <f>D106*D113</f>
        <v>5062.5</v>
      </c>
      <c r="G121" s="1091" t="s">
        <v>162</v>
      </c>
      <c r="H121" s="323"/>
    </row>
    <row r="122" spans="3:8" s="9" customFormat="1">
      <c r="D122" s="105"/>
      <c r="E122" s="34"/>
      <c r="G122" s="572"/>
    </row>
    <row r="123" spans="3:8" s="7" customFormat="1">
      <c r="D123" s="977"/>
      <c r="E123" s="35"/>
      <c r="G123" s="1089"/>
    </row>
    <row r="124" spans="3:8" s="9" customFormat="1">
      <c r="C124" s="120" t="s">
        <v>984</v>
      </c>
      <c r="D124" s="34" t="s">
        <v>163</v>
      </c>
      <c r="E124" s="34"/>
      <c r="G124" s="572"/>
    </row>
    <row r="125" spans="3:8" s="9" customFormat="1">
      <c r="D125" s="9" t="s">
        <v>168</v>
      </c>
      <c r="E125" s="34"/>
      <c r="G125" s="572"/>
    </row>
    <row r="126" spans="3:8" s="9" customFormat="1">
      <c r="D126" s="106" t="s">
        <v>269</v>
      </c>
      <c r="G126" s="572"/>
    </row>
    <row r="127" spans="3:8" s="9" customFormat="1">
      <c r="D127" s="107" t="s">
        <v>91</v>
      </c>
      <c r="E127" s="108"/>
      <c r="G127" s="572"/>
    </row>
    <row r="128" spans="3:8" s="9" customFormat="1">
      <c r="D128" s="199">
        <f>'Overall Assumptions'!$C$6</f>
        <v>100</v>
      </c>
      <c r="E128" s="161" t="s">
        <v>451</v>
      </c>
      <c r="G128" s="572"/>
    </row>
    <row r="129" spans="3:9" s="9" customFormat="1">
      <c r="D129" s="348">
        <f>'Overall Assumptions'!$C$121</f>
        <v>1</v>
      </c>
      <c r="E129" s="269" t="s">
        <v>134</v>
      </c>
      <c r="G129" s="572"/>
    </row>
    <row r="130" spans="3:9" s="9" customFormat="1">
      <c r="D130" s="972">
        <f>D128*D129</f>
        <v>100</v>
      </c>
      <c r="E130" s="109" t="s">
        <v>971</v>
      </c>
      <c r="G130" s="572"/>
    </row>
    <row r="131" spans="3:9" s="9" customFormat="1">
      <c r="D131" s="413">
        <v>1</v>
      </c>
      <c r="E131" s="270" t="s">
        <v>246</v>
      </c>
      <c r="G131" s="572"/>
    </row>
    <row r="132" spans="3:9" s="9" customFormat="1">
      <c r="D132" s="116"/>
      <c r="E132" s="116"/>
      <c r="G132" s="572"/>
    </row>
    <row r="133" spans="3:9" s="9" customFormat="1">
      <c r="E133" s="106"/>
      <c r="F133" s="119"/>
      <c r="G133" s="1092"/>
    </row>
    <row r="134" spans="3:9">
      <c r="C134" t="s">
        <v>266</v>
      </c>
      <c r="D134" s="16"/>
    </row>
    <row r="135" spans="3:9">
      <c r="C135" t="s">
        <v>267</v>
      </c>
    </row>
    <row r="136" spans="3:9" ht="28">
      <c r="D136" s="345" t="s">
        <v>101</v>
      </c>
      <c r="E136" s="147"/>
      <c r="F136" s="122"/>
      <c r="G136" s="1093"/>
      <c r="H136" s="119"/>
      <c r="I136" s="119"/>
    </row>
    <row r="137" spans="3:9">
      <c r="D137" s="346">
        <v>1</v>
      </c>
      <c r="E137" s="147" t="s">
        <v>263</v>
      </c>
      <c r="F137" s="122"/>
      <c r="G137" s="1093"/>
      <c r="H137" s="119"/>
      <c r="I137" s="119"/>
    </row>
    <row r="138" spans="3:9" ht="35">
      <c r="D138" s="17"/>
    </row>
    <row r="139" spans="3:9">
      <c r="D139" s="25"/>
    </row>
    <row r="140" spans="3:9">
      <c r="D140" s="85" t="s">
        <v>91</v>
      </c>
      <c r="E140" s="164"/>
      <c r="F140" s="161"/>
    </row>
    <row r="141" spans="3:9">
      <c r="D141" s="84">
        <f>'Overall Assumptions'!$C$68</f>
        <v>225</v>
      </c>
      <c r="E141" s="284" t="s">
        <v>102</v>
      </c>
      <c r="F141" s="967"/>
    </row>
    <row r="142" spans="3:9">
      <c r="D142" s="84">
        <f>'Overall Assumptions'!$C$81</f>
        <v>210</v>
      </c>
      <c r="E142" s="76" t="s">
        <v>87</v>
      </c>
      <c r="F142" s="246"/>
    </row>
    <row r="143" spans="3:9">
      <c r="D143" s="84">
        <f>'Overall Assumptions'!$C$131</f>
        <v>1</v>
      </c>
      <c r="E143" s="963" t="s">
        <v>84</v>
      </c>
      <c r="F143" s="246"/>
    </row>
    <row r="144" spans="3:9">
      <c r="D144" s="84">
        <f>'Overall Assumptions'!$C$6</f>
        <v>100</v>
      </c>
      <c r="E144" s="963" t="str">
        <f>'Overall Assumptions'!$D$6</f>
        <v>Standardised action area - Planar spatial polygon area of action area (km2)</v>
      </c>
      <c r="F144" s="246"/>
    </row>
    <row r="145" spans="4:8">
      <c r="D145" s="411">
        <f>D144*D129</f>
        <v>100</v>
      </c>
      <c r="E145" s="964" t="s">
        <v>270</v>
      </c>
      <c r="F145" s="246"/>
    </row>
    <row r="146" spans="4:8">
      <c r="D146" s="412">
        <f>'Overall Assumptions'!$C$133</f>
        <v>0.5</v>
      </c>
      <c r="E146" s="965" t="s">
        <v>105</v>
      </c>
      <c r="F146" s="246"/>
    </row>
    <row r="147" spans="4:8">
      <c r="D147" s="84">
        <f>'Overall Assumptions'!C11</f>
        <v>0</v>
      </c>
      <c r="E147" s="283" t="str">
        <f>'Overall Assumptions'!D11</f>
        <v>Distance from mgmt area to closest air base (km) [These steps calculated with GIS layer]</v>
      </c>
      <c r="F147" s="246"/>
    </row>
    <row r="148" spans="4:8">
      <c r="D148" s="84">
        <f>'Overall Assumptions'!$C$97</f>
        <v>250</v>
      </c>
      <c r="E148" s="963" t="s">
        <v>103</v>
      </c>
      <c r="F148" s="246"/>
    </row>
    <row r="149" spans="4:8">
      <c r="D149" s="54">
        <f>'Overall Assumptions'!$C$98</f>
        <v>130</v>
      </c>
      <c r="E149" s="966" t="s">
        <v>104</v>
      </c>
      <c r="F149" s="246"/>
    </row>
    <row r="150" spans="4:8">
      <c r="D150" s="54">
        <f>'Overall Assumptions'!$C$99</f>
        <v>400</v>
      </c>
      <c r="E150" s="76" t="s">
        <v>47</v>
      </c>
      <c r="F150" s="246"/>
    </row>
    <row r="151" spans="4:8">
      <c r="D151" s="968">
        <f>'Overall Assumptions'!$C$100</f>
        <v>50</v>
      </c>
      <c r="E151" s="969" t="s">
        <v>107</v>
      </c>
      <c r="F151" s="162"/>
    </row>
    <row r="152" spans="4:8" ht="18">
      <c r="D152" s="18" t="s">
        <v>108</v>
      </c>
    </row>
    <row r="153" spans="4:8">
      <c r="D153" s="25">
        <f>2*D147/D148/7.5</f>
        <v>0</v>
      </c>
      <c r="E153" s="16" t="s">
        <v>112</v>
      </c>
    </row>
    <row r="154" spans="4:8">
      <c r="D154" s="23" t="s">
        <v>109</v>
      </c>
    </row>
    <row r="155" spans="4:8">
      <c r="D155" s="77">
        <f>D145/D146/D149/7.5</f>
        <v>0.20512820512820515</v>
      </c>
      <c r="E155" s="16" t="s">
        <v>113</v>
      </c>
    </row>
    <row r="156" spans="4:8">
      <c r="D156" s="23" t="s">
        <v>110</v>
      </c>
    </row>
    <row r="157" spans="4:8">
      <c r="D157" s="46">
        <f>FLOOR(D145/D146/D150,1)</f>
        <v>0</v>
      </c>
      <c r="E157" s="16" t="s">
        <v>111</v>
      </c>
      <c r="F157" s="70"/>
      <c r="G157" s="99"/>
      <c r="H157" s="16"/>
    </row>
    <row r="158" spans="4:8">
      <c r="D158" s="25" t="str">
        <f>IF(F157&gt;D150,"YES","NO")</f>
        <v>NO</v>
      </c>
      <c r="E158" s="16" t="s">
        <v>48</v>
      </c>
    </row>
    <row r="159" spans="4:8">
      <c r="D159" s="46">
        <f>2*D151/D148*D157/7.5</f>
        <v>0</v>
      </c>
      <c r="E159" s="16" t="s">
        <v>114</v>
      </c>
    </row>
    <row r="161" spans="3:5">
      <c r="D161" s="25">
        <f>SUM(D153,D155,D159)</f>
        <v>0.20512820512820515</v>
      </c>
      <c r="E161" s="16" t="s">
        <v>115</v>
      </c>
    </row>
    <row r="162" spans="3:5">
      <c r="D162" s="77">
        <f>D143*D161</f>
        <v>0.20512820512820515</v>
      </c>
      <c r="E162" s="16" t="s">
        <v>88</v>
      </c>
    </row>
    <row r="164" spans="3:5">
      <c r="D164" s="62">
        <f>D141*D143*D153</f>
        <v>0</v>
      </c>
      <c r="E164" s="16" t="s">
        <v>36</v>
      </c>
    </row>
    <row r="165" spans="3:5">
      <c r="D165" s="62">
        <f>D141*D143*D155</f>
        <v>46.15384615384616</v>
      </c>
      <c r="E165" s="16" t="s">
        <v>39</v>
      </c>
    </row>
    <row r="166" spans="3:5">
      <c r="D166" s="62">
        <f>D141*D143*D159</f>
        <v>0</v>
      </c>
      <c r="E166" s="16" t="s">
        <v>118</v>
      </c>
    </row>
    <row r="168" spans="3:5">
      <c r="D168" s="72">
        <f>SUM(D164:D166)</f>
        <v>46.15384615384616</v>
      </c>
      <c r="E168" s="47" t="s">
        <v>486</v>
      </c>
    </row>
    <row r="169" spans="3:5">
      <c r="D169" s="104"/>
      <c r="E169" s="66"/>
    </row>
    <row r="170" spans="3:5">
      <c r="C170" t="s">
        <v>55</v>
      </c>
      <c r="D170" s="6" t="s">
        <v>119</v>
      </c>
    </row>
    <row r="171" spans="3:5">
      <c r="D171" s="25"/>
    </row>
    <row r="172" spans="3:5">
      <c r="D172" s="25"/>
    </row>
    <row r="173" spans="3:5">
      <c r="D173" s="25"/>
    </row>
    <row r="175" spans="3:5">
      <c r="D175" s="85" t="s">
        <v>91</v>
      </c>
      <c r="E175" s="41"/>
    </row>
    <row r="176" spans="3:5">
      <c r="D176" s="86">
        <f>'Overall Assumptions'!$C$96</f>
        <v>850</v>
      </c>
      <c r="E176" s="80" t="s">
        <v>120</v>
      </c>
    </row>
    <row r="177" spans="3:10">
      <c r="D177" s="56"/>
      <c r="E177" s="45"/>
    </row>
    <row r="178" spans="3:10">
      <c r="D178" s="23" t="s">
        <v>121</v>
      </c>
      <c r="E178" s="87"/>
      <c r="F178" s="21"/>
    </row>
    <row r="179" spans="3:10">
      <c r="D179" s="23" t="s">
        <v>123</v>
      </c>
      <c r="E179" s="87"/>
      <c r="F179" s="21"/>
    </row>
    <row r="180" spans="3:10">
      <c r="D180" s="22">
        <f>2*D147/D148</f>
        <v>0</v>
      </c>
      <c r="E180" s="21" t="s">
        <v>968</v>
      </c>
      <c r="F180" s="21"/>
    </row>
    <row r="181" spans="3:10">
      <c r="D181" s="23" t="s">
        <v>122</v>
      </c>
      <c r="E181" s="21"/>
      <c r="F181" s="21"/>
    </row>
    <row r="182" spans="3:10">
      <c r="D182" s="23" t="s">
        <v>124</v>
      </c>
      <c r="E182" s="21"/>
      <c r="F182" s="21"/>
    </row>
    <row r="183" spans="3:10">
      <c r="D183" s="22">
        <f>D155</f>
        <v>0.20512820512820515</v>
      </c>
      <c r="E183" s="21" t="s">
        <v>969</v>
      </c>
      <c r="F183" s="21"/>
    </row>
    <row r="184" spans="3:10">
      <c r="D184" s="23" t="s">
        <v>125</v>
      </c>
      <c r="E184" s="21"/>
      <c r="F184" s="21"/>
    </row>
    <row r="185" spans="3:10">
      <c r="D185" s="23" t="s">
        <v>126</v>
      </c>
      <c r="E185" s="21"/>
      <c r="F185" s="21"/>
    </row>
    <row r="186" spans="3:10">
      <c r="D186" s="22">
        <f t="shared" ref="D186:E188" si="44">D157</f>
        <v>0</v>
      </c>
      <c r="E186" s="971" t="str">
        <f t="shared" si="44"/>
        <v>Number of times required to do refuelling</v>
      </c>
      <c r="F186" s="21"/>
    </row>
    <row r="187" spans="3:10">
      <c r="D187" s="22" t="str">
        <f t="shared" si="44"/>
        <v>NO</v>
      </c>
      <c r="E187" s="971" t="str">
        <f t="shared" si="44"/>
        <v>Need to refuel?</v>
      </c>
      <c r="F187" s="21"/>
    </row>
    <row r="188" spans="3:10">
      <c r="D188" s="22">
        <f t="shared" si="44"/>
        <v>0</v>
      </c>
      <c r="E188" s="971" t="str">
        <f t="shared" si="44"/>
        <v>Days required to do refuelling</v>
      </c>
      <c r="F188" s="21"/>
    </row>
    <row r="189" spans="3:10">
      <c r="F189" s="21"/>
      <c r="J189" s="21"/>
    </row>
    <row r="190" spans="3:10">
      <c r="D190" s="20">
        <f>SUM(D180,D183,D188)</f>
        <v>0.20512820512820515</v>
      </c>
      <c r="E190" s="21" t="s">
        <v>177</v>
      </c>
      <c r="F190" s="21"/>
    </row>
    <row r="191" spans="3:10">
      <c r="D191" s="20">
        <f>D190*7.5</f>
        <v>1.5384615384615385</v>
      </c>
      <c r="E191" s="16" t="s">
        <v>970</v>
      </c>
      <c r="F191" s="21"/>
    </row>
    <row r="192" spans="3:10">
      <c r="C192" s="90"/>
      <c r="D192" s="89">
        <f>D176*D180*7.5</f>
        <v>0</v>
      </c>
      <c r="E192" s="21" t="s">
        <v>36</v>
      </c>
      <c r="F192" s="21"/>
    </row>
    <row r="193" spans="3:9">
      <c r="D193" s="73">
        <f>D183*D176*7.5</f>
        <v>1307.6923076923076</v>
      </c>
      <c r="E193" s="16" t="s">
        <v>56</v>
      </c>
    </row>
    <row r="194" spans="3:9">
      <c r="D194" s="73">
        <f>D188*D176*7.5</f>
        <v>0</v>
      </c>
      <c r="E194" s="21" t="s">
        <v>127</v>
      </c>
    </row>
    <row r="195" spans="3:9">
      <c r="D195" s="74">
        <f>SUM(D192:D194)</f>
        <v>1307.6923076923076</v>
      </c>
      <c r="E195" s="47" t="s">
        <v>487</v>
      </c>
    </row>
    <row r="196" spans="3:9">
      <c r="D196" s="91"/>
      <c r="E196" s="66"/>
    </row>
    <row r="197" spans="3:9">
      <c r="D197" s="46">
        <f>D190</f>
        <v>0.20512820512820515</v>
      </c>
      <c r="E197" s="359" t="s">
        <v>795</v>
      </c>
      <c r="F197" s="46"/>
    </row>
    <row r="198" spans="3:9">
      <c r="D198" s="75">
        <f>ROUNDUP((D190/21),0)</f>
        <v>1</v>
      </c>
      <c r="E198" s="99" t="s">
        <v>739</v>
      </c>
      <c r="F198" s="75"/>
    </row>
    <row r="199" spans="3:9">
      <c r="D199" s="104"/>
      <c r="E199" s="66"/>
    </row>
    <row r="200" spans="3:9">
      <c r="C200" t="s">
        <v>70</v>
      </c>
      <c r="D200" s="23" t="s">
        <v>161</v>
      </c>
    </row>
    <row r="204" spans="3:9">
      <c r="D204" s="46">
        <f>SUM(D153,D155,D159)</f>
        <v>0.20512820512820515</v>
      </c>
      <c r="E204" s="16" t="s">
        <v>115</v>
      </c>
    </row>
    <row r="205" spans="3:9">
      <c r="D205" s="23" t="str">
        <f>IF(D161&gt;1,"YES","NO")</f>
        <v>NO</v>
      </c>
      <c r="E205" s="16" t="s">
        <v>72</v>
      </c>
    </row>
    <row r="206" spans="3:9">
      <c r="D206" s="23">
        <f>FLOOR(D161,1)</f>
        <v>0</v>
      </c>
      <c r="E206" s="16" t="s">
        <v>116</v>
      </c>
    </row>
    <row r="207" spans="3:9">
      <c r="D207" s="104"/>
      <c r="E207" s="66"/>
    </row>
    <row r="208" spans="3:9">
      <c r="D208" s="64">
        <f>D142*D143*D206</f>
        <v>0</v>
      </c>
      <c r="E208" s="39" t="s">
        <v>117</v>
      </c>
      <c r="F208" s="255"/>
      <c r="G208" s="1090"/>
      <c r="H208" s="255"/>
      <c r="I208" s="161"/>
    </row>
    <row r="209" spans="3:10">
      <c r="D209" s="400"/>
      <c r="E209" s="164"/>
      <c r="F209" s="255"/>
      <c r="G209" s="1090"/>
      <c r="H209" s="255"/>
      <c r="I209" s="161"/>
    </row>
    <row r="210" spans="3:10">
      <c r="D210" s="143" t="s">
        <v>172</v>
      </c>
      <c r="E210" s="144" t="s">
        <v>155</v>
      </c>
      <c r="F210" s="144" t="s">
        <v>173</v>
      </c>
      <c r="G210" s="1094" t="s">
        <v>174</v>
      </c>
      <c r="H210" s="144" t="s">
        <v>166</v>
      </c>
      <c r="I210" s="145" t="s">
        <v>69</v>
      </c>
    </row>
    <row r="211" spans="3:10">
      <c r="D211" s="135" t="s">
        <v>3</v>
      </c>
      <c r="E211" s="136">
        <f>D162</f>
        <v>0.20512820512820515</v>
      </c>
      <c r="F211" s="141">
        <f>D145</f>
        <v>100</v>
      </c>
      <c r="G211" s="1093"/>
      <c r="H211" s="119">
        <f>D168</f>
        <v>46.15384615384616</v>
      </c>
      <c r="I211" s="358" t="str">
        <f>E168</f>
        <v>Cost for labour</v>
      </c>
      <c r="J211" s="558">
        <f>$D$131</f>
        <v>1</v>
      </c>
    </row>
    <row r="212" spans="3:10">
      <c r="D212" s="135" t="s">
        <v>132</v>
      </c>
      <c r="E212" s="136">
        <f>D190</f>
        <v>0.20512820512820515</v>
      </c>
      <c r="F212" s="141">
        <f>D147*2</f>
        <v>0</v>
      </c>
      <c r="G212" s="1095"/>
      <c r="H212" s="119">
        <f>D195</f>
        <v>1307.6923076923076</v>
      </c>
      <c r="I212" s="358" t="str">
        <f>E195</f>
        <v xml:space="preserve">Cost for transport </v>
      </c>
      <c r="J212" s="558">
        <f>$D$131</f>
        <v>1</v>
      </c>
    </row>
    <row r="213" spans="3:10">
      <c r="D213" s="135" t="s">
        <v>169</v>
      </c>
      <c r="E213" s="136">
        <f>D206</f>
        <v>0</v>
      </c>
      <c r="F213" s="141"/>
      <c r="G213" s="1095"/>
      <c r="H213" s="119">
        <f>D208</f>
        <v>0</v>
      </c>
      <c r="I213" s="358" t="str">
        <f>E208</f>
        <v>cost for accommodation and meals</v>
      </c>
      <c r="J213" s="558">
        <f>$D$131</f>
        <v>1</v>
      </c>
    </row>
    <row r="214" spans="3:10">
      <c r="D214" s="135"/>
      <c r="E214" s="136"/>
      <c r="F214" s="141"/>
      <c r="G214" s="1093"/>
      <c r="H214" s="119"/>
      <c r="I214" s="358"/>
    </row>
    <row r="215" spans="3:10">
      <c r="D215" s="135"/>
      <c r="E215" s="136"/>
      <c r="F215" s="141"/>
      <c r="G215" s="1093"/>
      <c r="H215" s="119"/>
      <c r="I215" s="358"/>
    </row>
    <row r="216" spans="3:10">
      <c r="D216" s="137"/>
      <c r="E216" s="138"/>
      <c r="F216" s="142"/>
      <c r="G216" s="1096"/>
      <c r="H216" s="139">
        <f>SUM(H211:H215)</f>
        <v>1353.8461538461538</v>
      </c>
      <c r="I216" s="140" t="s">
        <v>165</v>
      </c>
    </row>
    <row r="217" spans="3:10">
      <c r="D217" s="122"/>
      <c r="E217" s="147"/>
      <c r="F217" s="122"/>
      <c r="G217" s="1093"/>
      <c r="H217" s="119"/>
      <c r="I217" s="119"/>
    </row>
    <row r="219" spans="3:10" s="7" customFormat="1">
      <c r="D219" s="35"/>
      <c r="E219" s="36"/>
      <c r="G219" s="1089"/>
    </row>
    <row r="220" spans="3:10">
      <c r="C220" s="8" t="s">
        <v>1001</v>
      </c>
      <c r="D220" s="16" t="s">
        <v>163</v>
      </c>
    </row>
    <row r="221" spans="3:10">
      <c r="D221" t="s">
        <v>168</v>
      </c>
    </row>
    <row r="222" spans="3:10">
      <c r="D222"/>
      <c r="E222"/>
    </row>
    <row r="223" spans="3:10">
      <c r="D223"/>
      <c r="E223"/>
    </row>
    <row r="224" spans="3:10">
      <c r="D224" s="455" t="s">
        <v>2330</v>
      </c>
      <c r="E224"/>
    </row>
    <row r="225" spans="4:8" ht="17">
      <c r="D225" s="456"/>
      <c r="E225"/>
    </row>
    <row r="226" spans="4:8">
      <c r="D226" s="455"/>
      <c r="E226"/>
    </row>
    <row r="227" spans="4:8">
      <c r="D227"/>
      <c r="E227"/>
    </row>
    <row r="228" spans="4:8">
      <c r="D228" s="592" t="s">
        <v>179</v>
      </c>
      <c r="E228" s="274"/>
    </row>
    <row r="229" spans="4:8">
      <c r="D229" s="974">
        <f>'Overall Assumptions'!$C$6</f>
        <v>100</v>
      </c>
      <c r="E229" s="246" t="s">
        <v>451</v>
      </c>
    </row>
    <row r="230" spans="4:8">
      <c r="D230" s="408">
        <f>'Overall Assumptions'!$C$120</f>
        <v>0.3</v>
      </c>
      <c r="E230" s="483" t="str">
        <f>'Overall Assumptions'!$D$120</f>
        <v>Percentage of field that needs to be surveyed (ground)</v>
      </c>
    </row>
    <row r="231" spans="4:8">
      <c r="D231" s="332">
        <f>D229*D230</f>
        <v>30</v>
      </c>
      <c r="E231" s="483" t="s">
        <v>450</v>
      </c>
    </row>
    <row r="232" spans="4:8">
      <c r="D232" s="447">
        <v>1</v>
      </c>
      <c r="E232" s="483" t="s">
        <v>246</v>
      </c>
    </row>
    <row r="233" spans="4:8">
      <c r="D233" s="482">
        <f>'Overall Assumptions'!$C$132</f>
        <v>0.5</v>
      </c>
      <c r="E233" s="43" t="s">
        <v>79</v>
      </c>
    </row>
    <row r="234" spans="4:8">
      <c r="D234" s="54">
        <f>D231/D233</f>
        <v>60</v>
      </c>
      <c r="E234" s="483" t="s">
        <v>972</v>
      </c>
    </row>
    <row r="235" spans="4:8">
      <c r="D235" s="42">
        <f>'Overall Assumptions'!$C$53</f>
        <v>4.46</v>
      </c>
      <c r="E235" s="631" t="s">
        <v>780</v>
      </c>
    </row>
    <row r="236" spans="4:8">
      <c r="D236" s="42">
        <f>'Overall Assumptions'!$C$54</f>
        <v>3.3449999999999998</v>
      </c>
      <c r="E236" s="631" t="s">
        <v>781</v>
      </c>
    </row>
    <row r="237" spans="4:8">
      <c r="D237" s="125">
        <f>'Overall Assumptions'!$C$55</f>
        <v>2.23</v>
      </c>
      <c r="E237" s="635" t="s">
        <v>782</v>
      </c>
    </row>
    <row r="239" spans="4:8">
      <c r="D239" s="25"/>
    </row>
    <row r="240" spans="4:8">
      <c r="D240" s="151" t="s">
        <v>179</v>
      </c>
      <c r="E240" s="164"/>
      <c r="F240" s="255"/>
      <c r="G240" s="1090"/>
      <c r="H240" s="161"/>
    </row>
    <row r="241" spans="3:12">
      <c r="D241" s="444">
        <f>10/60</f>
        <v>0.16666666666666666</v>
      </c>
      <c r="E241" s="443" t="s">
        <v>2329</v>
      </c>
      <c r="F241" s="465"/>
      <c r="G241" s="1097"/>
      <c r="H241" s="466"/>
    </row>
    <row r="242" spans="3:12">
      <c r="D242" s="332">
        <f>D231/D233</f>
        <v>60</v>
      </c>
      <c r="E242" s="16" t="s">
        <v>253</v>
      </c>
      <c r="H242" s="246"/>
    </row>
    <row r="243" spans="3:12">
      <c r="D243" s="154">
        <f>D241*D242</f>
        <v>10</v>
      </c>
      <c r="E243" s="333" t="s">
        <v>985</v>
      </c>
      <c r="F243" s="439"/>
      <c r="G243" s="1098"/>
      <c r="H243" s="162"/>
    </row>
    <row r="244" spans="3:12">
      <c r="D244" s="152"/>
      <c r="H244" s="246"/>
    </row>
    <row r="245" spans="3:12">
      <c r="D245"/>
      <c r="E245"/>
    </row>
    <row r="246" spans="3:12">
      <c r="D246"/>
      <c r="E246"/>
    </row>
    <row r="247" spans="3:12">
      <c r="D247"/>
      <c r="K247" s="1514"/>
      <c r="L247" s="1514"/>
    </row>
    <row r="248" spans="3:12">
      <c r="D248" s="825"/>
      <c r="E248" s="825"/>
    </row>
    <row r="249" spans="3:12">
      <c r="D249"/>
      <c r="E249"/>
      <c r="F249" s="432"/>
      <c r="G249" s="1099"/>
    </row>
    <row r="250" spans="3:12" ht="19">
      <c r="C250" t="s">
        <v>50</v>
      </c>
      <c r="D250" s="37" t="s">
        <v>81</v>
      </c>
      <c r="E250" s="24"/>
      <c r="F250" s="1"/>
      <c r="G250" s="1100"/>
      <c r="H250" s="3"/>
      <c r="I250" s="3"/>
      <c r="J250" s="3"/>
    </row>
    <row r="251" spans="3:12">
      <c r="F251" s="1"/>
      <c r="G251" s="1100"/>
      <c r="H251" s="3"/>
      <c r="I251" s="3"/>
      <c r="J251" s="3"/>
    </row>
    <row r="252" spans="3:12">
      <c r="D252" s="160" t="s">
        <v>408</v>
      </c>
    </row>
    <row r="254" spans="3:12">
      <c r="D254" s="50"/>
    </row>
    <row r="255" spans="3:12">
      <c r="D255" s="51" t="s">
        <v>82</v>
      </c>
      <c r="E255" s="273"/>
      <c r="F255" s="274"/>
    </row>
    <row r="256" spans="3:12" ht="19">
      <c r="D256" s="54">
        <f>'Overall Assumptions'!$C$68</f>
        <v>225</v>
      </c>
      <c r="E256" s="1215" t="s">
        <v>99</v>
      </c>
      <c r="F256" s="246"/>
    </row>
    <row r="257" spans="3:10">
      <c r="D257" s="54">
        <f>'Overall Assumptions'!$C$130</f>
        <v>2</v>
      </c>
      <c r="E257" s="76" t="s">
        <v>84</v>
      </c>
      <c r="F257" s="246"/>
    </row>
    <row r="258" spans="3:10">
      <c r="D258" s="152"/>
      <c r="E258" s="76"/>
      <c r="F258" s="246"/>
    </row>
    <row r="259" spans="3:10">
      <c r="D259" s="42">
        <f>'Overall Assumptions'!$C$53</f>
        <v>4.46</v>
      </c>
      <c r="E259" s="629" t="s">
        <v>780</v>
      </c>
      <c r="F259" s="246"/>
    </row>
    <row r="260" spans="3:10">
      <c r="D260" s="42">
        <f>'Overall Assumptions'!$C$54</f>
        <v>3.3449999999999998</v>
      </c>
      <c r="E260" s="629" t="s">
        <v>781</v>
      </c>
      <c r="F260" s="246"/>
    </row>
    <row r="261" spans="3:10">
      <c r="D261" s="42">
        <f>'Overall Assumptions'!$C$55</f>
        <v>2.23</v>
      </c>
      <c r="E261" s="629" t="s">
        <v>782</v>
      </c>
      <c r="F261" s="246"/>
    </row>
    <row r="262" spans="3:10">
      <c r="D262" s="616"/>
      <c r="E262" s="833"/>
      <c r="F262" s="246"/>
    </row>
    <row r="263" spans="3:10">
      <c r="D263" s="467">
        <f>D234</f>
        <v>60</v>
      </c>
      <c r="E263" s="1216" t="str">
        <f>E234</f>
        <v>Effective distance to be walked along</v>
      </c>
      <c r="F263" s="246"/>
    </row>
    <row r="264" spans="3:10">
      <c r="D264" s="467"/>
      <c r="E264" s="76"/>
      <c r="F264" s="246"/>
    </row>
    <row r="265" spans="3:10">
      <c r="D265" s="468">
        <f>D243/7.5</f>
        <v>1.3333333333333333</v>
      </c>
      <c r="E265" s="76" t="s">
        <v>464</v>
      </c>
      <c r="F265" s="246"/>
    </row>
    <row r="266" spans="3:10">
      <c r="D266" s="54">
        <f>'Overall Assumptions'!$C$10</f>
        <v>0</v>
      </c>
      <c r="E266" s="76" t="s">
        <v>85</v>
      </c>
      <c r="F266" s="246"/>
    </row>
    <row r="267" spans="3:10">
      <c r="D267" s="54">
        <f>'Overall Assumptions'!$C$90</f>
        <v>80</v>
      </c>
      <c r="E267" s="76" t="s">
        <v>86</v>
      </c>
      <c r="F267" s="246"/>
    </row>
    <row r="268" spans="3:10">
      <c r="D268" s="56">
        <f>'Overall Assumptions'!$C$81</f>
        <v>210</v>
      </c>
      <c r="E268" s="333" t="s">
        <v>87</v>
      </c>
      <c r="F268" s="162"/>
      <c r="J268" s="578"/>
    </row>
    <row r="269" spans="3:10">
      <c r="D269" s="57"/>
    </row>
    <row r="270" spans="3:10">
      <c r="C270" s="21"/>
      <c r="J270" s="90"/>
    </row>
    <row r="271" spans="3:10">
      <c r="C271" s="21"/>
      <c r="D271" s="59" t="s">
        <v>735</v>
      </c>
      <c r="E271" s="2" t="s">
        <v>218</v>
      </c>
      <c r="F271" s="2" t="s">
        <v>733</v>
      </c>
      <c r="G271" s="359" t="s">
        <v>796</v>
      </c>
    </row>
    <row r="272" spans="3:10">
      <c r="C272" s="21"/>
      <c r="D272" s="46">
        <f>D259</f>
        <v>4.46</v>
      </c>
      <c r="E272" s="46">
        <f>D260</f>
        <v>3.3449999999999998</v>
      </c>
      <c r="F272" s="1219">
        <f>D261</f>
        <v>2.23</v>
      </c>
      <c r="G272" s="359" t="s">
        <v>254</v>
      </c>
      <c r="J272" s="90"/>
    </row>
    <row r="273" spans="3:11">
      <c r="C273" s="21"/>
      <c r="D273" s="77">
        <f>2*D266/D267/7.5</f>
        <v>0</v>
      </c>
      <c r="E273" s="77">
        <f>D273</f>
        <v>0</v>
      </c>
      <c r="F273" s="77">
        <f>E273</f>
        <v>0</v>
      </c>
      <c r="G273" s="59" t="s">
        <v>95</v>
      </c>
      <c r="J273" s="90"/>
    </row>
    <row r="274" spans="3:11">
      <c r="C274" s="21"/>
      <c r="D274" s="77"/>
      <c r="G274" s="16" t="s">
        <v>778</v>
      </c>
      <c r="J274" s="90"/>
    </row>
    <row r="275" spans="3:11">
      <c r="C275" s="21"/>
      <c r="J275" s="90"/>
    </row>
    <row r="276" spans="3:11" ht="18" customHeight="1">
      <c r="C276" s="21"/>
      <c r="D276" s="77">
        <f>$D263/D272/7.5</f>
        <v>1.7937219730941705</v>
      </c>
      <c r="E276" s="77">
        <f>$D263/E272/7.5</f>
        <v>2.391629297458894</v>
      </c>
      <c r="F276" s="77">
        <f>$D263/F272/7.5</f>
        <v>3.5874439461883409</v>
      </c>
      <c r="G276" s="693" t="s">
        <v>96</v>
      </c>
    </row>
    <row r="277" spans="3:11" ht="18" customHeight="1">
      <c r="C277" s="21"/>
      <c r="D277" s="77">
        <f>$D265</f>
        <v>1.3333333333333333</v>
      </c>
      <c r="E277" s="77">
        <f>$D265</f>
        <v>1.3333333333333333</v>
      </c>
      <c r="F277" s="77">
        <f>$D265</f>
        <v>1.3333333333333333</v>
      </c>
      <c r="G277" s="693" t="s">
        <v>786</v>
      </c>
    </row>
    <row r="278" spans="3:11" ht="18" customHeight="1">
      <c r="C278" s="21"/>
      <c r="D278" s="77">
        <f>SUM(D276:D277)</f>
        <v>3.1270553064275037</v>
      </c>
      <c r="E278" s="77">
        <f>SUM(E276:E277)</f>
        <v>3.724962630792227</v>
      </c>
      <c r="F278" s="77">
        <f>SUM(F276:F277)</f>
        <v>4.9207772795216744</v>
      </c>
      <c r="G278" s="693" t="s">
        <v>171</v>
      </c>
    </row>
    <row r="279" spans="3:11" ht="18" customHeight="1">
      <c r="C279" s="21"/>
      <c r="D279" s="16"/>
      <c r="E279"/>
    </row>
    <row r="280" spans="3:11" ht="18" customHeight="1">
      <c r="C280" s="21"/>
      <c r="D280" s="77">
        <f>D278*$D257</f>
        <v>6.2541106128550075</v>
      </c>
      <c r="E280" s="77">
        <f>E278*$D257</f>
        <v>7.449925261584454</v>
      </c>
      <c r="F280" s="77">
        <f>F278*$D257</f>
        <v>9.8415545590433489</v>
      </c>
      <c r="G280" s="99" t="s">
        <v>787</v>
      </c>
    </row>
    <row r="281" spans="3:11">
      <c r="C281" s="21"/>
      <c r="D281" s="16"/>
      <c r="E281"/>
      <c r="G281" s="99"/>
    </row>
    <row r="282" spans="3:11">
      <c r="C282" s="21"/>
      <c r="D282" s="63">
        <f>$D256*$D257*D276</f>
        <v>807.17488789237666</v>
      </c>
      <c r="E282" s="63">
        <f>$D256*$D257*E276</f>
        <v>1076.2331838565024</v>
      </c>
      <c r="F282" s="63">
        <f>$D256*$D257*F276</f>
        <v>1614.3497757847533</v>
      </c>
      <c r="G282" s="99" t="s">
        <v>37</v>
      </c>
      <c r="J282" s="90"/>
    </row>
    <row r="283" spans="3:11">
      <c r="C283" s="21"/>
      <c r="D283" s="63">
        <f>$D256*$D257*D277</f>
        <v>600</v>
      </c>
      <c r="E283" s="63">
        <f>$D256*$D257*E277</f>
        <v>600</v>
      </c>
      <c r="F283" s="63">
        <f>$D256*$D257*F277</f>
        <v>600</v>
      </c>
      <c r="G283" s="99" t="s">
        <v>2331</v>
      </c>
      <c r="J283" s="259"/>
      <c r="K283" s="16"/>
    </row>
    <row r="284" spans="3:11">
      <c r="C284" s="21"/>
      <c r="D284" s="64">
        <f>SUM(D282:D283)</f>
        <v>1407.1748878923768</v>
      </c>
      <c r="E284" s="905">
        <f>SUM(E282:E283)</f>
        <v>1676.2331838565024</v>
      </c>
      <c r="F284" s="905">
        <f>SUM(F282:F283)</f>
        <v>2214.3497757847535</v>
      </c>
      <c r="G284" s="1101" t="s">
        <v>486</v>
      </c>
      <c r="J284" s="259"/>
      <c r="K284" s="16"/>
    </row>
    <row r="285" spans="3:11">
      <c r="F285" s="16"/>
      <c r="G285" s="99"/>
    </row>
    <row r="286" spans="3:11">
      <c r="D286" s="46"/>
      <c r="E286" s="46"/>
      <c r="F286" s="46"/>
      <c r="J286" s="65"/>
      <c r="K286" s="24"/>
    </row>
    <row r="287" spans="3:11">
      <c r="D287" s="75"/>
      <c r="E287" s="75"/>
      <c r="F287" s="75"/>
      <c r="G287" s="99"/>
      <c r="J287" s="65"/>
      <c r="K287" s="24"/>
    </row>
    <row r="288" spans="3:11">
      <c r="D288" s="75"/>
      <c r="E288" s="75"/>
      <c r="F288" s="75"/>
      <c r="G288" s="99"/>
      <c r="J288" s="65"/>
      <c r="K288" s="24"/>
    </row>
    <row r="289" spans="3:11" ht="19">
      <c r="C289" t="s">
        <v>64</v>
      </c>
      <c r="D289" s="37" t="s">
        <v>89</v>
      </c>
    </row>
    <row r="290" spans="3:11">
      <c r="C290" t="s">
        <v>54</v>
      </c>
    </row>
    <row r="292" spans="3:11">
      <c r="D292" s="16"/>
    </row>
    <row r="293" spans="3:11">
      <c r="D293" s="67" t="s">
        <v>91</v>
      </c>
      <c r="E293" s="41"/>
    </row>
    <row r="294" spans="3:11">
      <c r="D294" s="52">
        <f>'Overall Assumptions'!$C$93</f>
        <v>285</v>
      </c>
      <c r="E294" s="41" t="s">
        <v>93</v>
      </c>
    </row>
    <row r="295" spans="3:11">
      <c r="D295" s="54">
        <f>'Overall Assumptions'!$C$10</f>
        <v>0</v>
      </c>
      <c r="E295" s="43" t="s">
        <v>85</v>
      </c>
    </row>
    <row r="296" spans="3:11">
      <c r="D296" s="54"/>
      <c r="E296" s="43"/>
    </row>
    <row r="297" spans="3:11">
      <c r="D297" s="616"/>
      <c r="E297" s="43"/>
    </row>
    <row r="298" spans="3:11">
      <c r="D298" s="56"/>
      <c r="E298" s="45"/>
      <c r="J298" s="578"/>
    </row>
    <row r="299" spans="3:11">
      <c r="D299" s="75"/>
    </row>
    <row r="300" spans="3:11">
      <c r="D300" s="46">
        <f>D273</f>
        <v>0</v>
      </c>
      <c r="E300" s="46">
        <f>D300</f>
        <v>0</v>
      </c>
      <c r="F300" s="46">
        <f>E300</f>
        <v>0</v>
      </c>
      <c r="G300" s="693"/>
      <c r="J300" s="532"/>
      <c r="K300" s="59"/>
    </row>
    <row r="301" spans="3:11">
      <c r="D301" s="46">
        <f t="shared" ref="D301:F302" si="45">D276</f>
        <v>1.7937219730941705</v>
      </c>
      <c r="E301" s="46">
        <f t="shared" si="45"/>
        <v>2.391629297458894</v>
      </c>
      <c r="F301" s="46">
        <f t="shared" si="45"/>
        <v>3.5874439461883409</v>
      </c>
      <c r="G301" s="693" t="s">
        <v>98</v>
      </c>
      <c r="K301" s="59"/>
    </row>
    <row r="302" spans="3:11">
      <c r="D302" s="46">
        <f t="shared" si="45"/>
        <v>1.3333333333333333</v>
      </c>
      <c r="E302" s="46">
        <f t="shared" si="45"/>
        <v>1.3333333333333333</v>
      </c>
      <c r="F302" s="46">
        <f t="shared" si="45"/>
        <v>1.3333333333333333</v>
      </c>
      <c r="G302" s="693" t="str">
        <f>G277</f>
        <v>3rd term is the days required to do all activities (for one person)</v>
      </c>
      <c r="K302" s="59"/>
    </row>
    <row r="303" spans="3:11">
      <c r="D303" s="46"/>
      <c r="E303" s="46"/>
      <c r="F303" s="46"/>
      <c r="G303" s="693"/>
      <c r="K303" s="59"/>
    </row>
    <row r="304" spans="3:11">
      <c r="D304" s="46">
        <f>SUM(D300:D302)</f>
        <v>3.1270553064275037</v>
      </c>
      <c r="E304" s="46">
        <f>SUM(E300:E302)</f>
        <v>3.724962630792227</v>
      </c>
      <c r="F304" s="46">
        <f>SUM(F300:F302)</f>
        <v>4.9207772795216744</v>
      </c>
      <c r="G304" s="693" t="s">
        <v>135</v>
      </c>
      <c r="J304" s="90"/>
    </row>
    <row r="305" spans="3:11">
      <c r="D305" s="46"/>
      <c r="E305" s="59"/>
      <c r="J305" s="90"/>
    </row>
    <row r="306" spans="3:11">
      <c r="D306" s="63"/>
      <c r="E306" s="63"/>
      <c r="F306" s="63"/>
      <c r="G306" s="99"/>
      <c r="J306" s="259"/>
      <c r="K306" s="16"/>
    </row>
    <row r="307" spans="3:11">
      <c r="D307" s="63">
        <f>$D294*D301</f>
        <v>511.21076233183857</v>
      </c>
      <c r="E307" s="63">
        <f>$D294*E301</f>
        <v>681.61434977578483</v>
      </c>
      <c r="F307" s="63">
        <f>$D294*F301</f>
        <v>1022.4215246636771</v>
      </c>
      <c r="G307" s="99" t="s">
        <v>52</v>
      </c>
      <c r="J307" s="259"/>
      <c r="K307" s="16"/>
    </row>
    <row r="308" spans="3:11">
      <c r="D308" s="63">
        <f>$D294*D302</f>
        <v>380</v>
      </c>
      <c r="E308" s="63">
        <f>$D294*E302</f>
        <v>380</v>
      </c>
      <c r="F308" s="63">
        <f>$D294*F302</f>
        <v>380</v>
      </c>
      <c r="G308" s="99" t="s">
        <v>52</v>
      </c>
      <c r="J308" s="259"/>
      <c r="K308" s="16"/>
    </row>
    <row r="309" spans="3:11">
      <c r="D309" s="68">
        <f>SUM(D306:D308)</f>
        <v>891.21076233183862</v>
      </c>
      <c r="E309" s="906">
        <f>SUM(E306:E308)</f>
        <v>1061.6143497757848</v>
      </c>
      <c r="F309" s="906">
        <f>SUM(F306:F308)</f>
        <v>1402.4215246636772</v>
      </c>
      <c r="G309" s="1101" t="s">
        <v>53</v>
      </c>
      <c r="J309" s="65"/>
      <c r="K309" s="24"/>
    </row>
    <row r="310" spans="3:11">
      <c r="D310" s="432"/>
      <c r="J310" s="65"/>
      <c r="K310" s="24"/>
    </row>
    <row r="311" spans="3:11">
      <c r="D311" s="46">
        <f>D304</f>
        <v>3.1270553064275037</v>
      </c>
      <c r="E311" s="46">
        <f>E304</f>
        <v>3.724962630792227</v>
      </c>
      <c r="F311" s="46">
        <f>F304</f>
        <v>4.9207772795216744</v>
      </c>
      <c r="G311" s="359" t="s">
        <v>795</v>
      </c>
      <c r="J311" s="65"/>
      <c r="K311" s="24"/>
    </row>
    <row r="312" spans="3:11">
      <c r="D312" s="75">
        <f>ROUNDUP((D304/21),0)</f>
        <v>1</v>
      </c>
      <c r="E312" s="75">
        <f>ROUNDUP((E304/21),0)</f>
        <v>1</v>
      </c>
      <c r="F312" s="75">
        <f>ROUNDUP((F304/21),0)</f>
        <v>1</v>
      </c>
      <c r="G312" s="99" t="s">
        <v>739</v>
      </c>
      <c r="J312" s="65"/>
      <c r="K312" s="24"/>
    </row>
    <row r="313" spans="3:11">
      <c r="D313" s="432"/>
      <c r="J313" s="65"/>
      <c r="K313" s="24"/>
    </row>
    <row r="314" spans="3:11">
      <c r="D314" s="65"/>
      <c r="E314" s="24"/>
      <c r="J314" s="65"/>
      <c r="K314" s="24"/>
    </row>
    <row r="315" spans="3:11">
      <c r="C315" t="s">
        <v>70</v>
      </c>
      <c r="D315" s="58"/>
      <c r="E315" s="59" t="s">
        <v>156</v>
      </c>
      <c r="J315" s="65"/>
      <c r="K315" s="24"/>
    </row>
    <row r="316" spans="3:11">
      <c r="D316" s="160" t="s">
        <v>238</v>
      </c>
      <c r="E316" s="59"/>
      <c r="J316" s="65"/>
      <c r="K316" s="24"/>
    </row>
    <row r="317" spans="3:11">
      <c r="D317" s="58"/>
      <c r="E317" s="59"/>
      <c r="J317" s="65"/>
      <c r="K317" s="24"/>
    </row>
    <row r="318" spans="3:11">
      <c r="D318" s="25">
        <f>D278</f>
        <v>3.1270553064275037</v>
      </c>
      <c r="E318" s="25">
        <f>E278</f>
        <v>3.724962630792227</v>
      </c>
      <c r="F318" s="25">
        <f>F278</f>
        <v>4.9207772795216744</v>
      </c>
      <c r="G318" s="99" t="s">
        <v>157</v>
      </c>
      <c r="J318" s="65"/>
      <c r="K318" s="24"/>
    </row>
    <row r="319" spans="3:11">
      <c r="D319" s="61">
        <f>FLOOR(D318,1)</f>
        <v>3</v>
      </c>
      <c r="E319" s="61">
        <f>FLOOR(E318,1)</f>
        <v>3</v>
      </c>
      <c r="F319" s="61">
        <f>FLOOR(F318,1)</f>
        <v>4</v>
      </c>
      <c r="G319" s="99" t="s">
        <v>73</v>
      </c>
      <c r="J319" s="65"/>
      <c r="K319" s="24"/>
    </row>
    <row r="320" spans="3:11">
      <c r="D320" s="65"/>
      <c r="G320" s="1102"/>
      <c r="J320" s="65"/>
      <c r="K320" s="24"/>
    </row>
    <row r="321" spans="3:12">
      <c r="D321" s="3552">
        <f>D319*$D257</f>
        <v>6</v>
      </c>
      <c r="E321" s="3552">
        <f>E319*$D257</f>
        <v>6</v>
      </c>
      <c r="F321" s="3552">
        <f>F319*$D257</f>
        <v>8</v>
      </c>
      <c r="G321" s="1102" t="s">
        <v>88</v>
      </c>
      <c r="J321" s="65"/>
      <c r="K321" s="24"/>
    </row>
    <row r="322" spans="3:12">
      <c r="D322" s="102">
        <f>D321*$D268</f>
        <v>1260</v>
      </c>
      <c r="E322" s="907">
        <f>E321*$D268</f>
        <v>1260</v>
      </c>
      <c r="F322" s="907">
        <f>F321*$D268</f>
        <v>1680</v>
      </c>
      <c r="G322" s="1101" t="s">
        <v>74</v>
      </c>
      <c r="J322" s="259"/>
      <c r="K322" s="16"/>
    </row>
    <row r="323" spans="3:12">
      <c r="D323" s="275"/>
      <c r="E323" s="275"/>
      <c r="F323" s="275"/>
      <c r="G323" s="1084"/>
      <c r="J323" s="259"/>
      <c r="K323" s="16"/>
    </row>
    <row r="324" spans="3:12">
      <c r="D324" s="825"/>
      <c r="E324" s="825"/>
      <c r="H324" s="1" t="s">
        <v>788</v>
      </c>
      <c r="I324" s="1" t="s">
        <v>779</v>
      </c>
      <c r="J324" s="1" t="s">
        <v>789</v>
      </c>
    </row>
    <row r="325" spans="3:12">
      <c r="D325" s="617" t="s">
        <v>172</v>
      </c>
      <c r="E325" s="618" t="s">
        <v>155</v>
      </c>
      <c r="F325" s="618" t="s">
        <v>173</v>
      </c>
      <c r="G325" s="1103" t="s">
        <v>174</v>
      </c>
      <c r="H325" s="618" t="s">
        <v>166</v>
      </c>
      <c r="I325" s="618" t="s">
        <v>166</v>
      </c>
      <c r="J325" s="618" t="s">
        <v>166</v>
      </c>
      <c r="K325" s="619" t="s">
        <v>69</v>
      </c>
    </row>
    <row r="326" spans="3:12">
      <c r="D326" s="404" t="s">
        <v>3</v>
      </c>
      <c r="E326" s="90">
        <f>D280</f>
        <v>6.2541106128550075</v>
      </c>
      <c r="F326" s="531">
        <f>D231</f>
        <v>30</v>
      </c>
      <c r="H326" s="432">
        <f>D284</f>
        <v>1407.1748878923768</v>
      </c>
      <c r="I326" s="432">
        <f>E284</f>
        <v>1676.2331838565024</v>
      </c>
      <c r="J326" s="432">
        <f>F284</f>
        <v>2214.3497757847535</v>
      </c>
      <c r="K326" s="830" t="str">
        <f>G284</f>
        <v>Cost for labour</v>
      </c>
      <c r="L326" s="558">
        <f>D232</f>
        <v>1</v>
      </c>
    </row>
    <row r="327" spans="3:12">
      <c r="D327" s="404" t="s">
        <v>490</v>
      </c>
      <c r="E327" s="90">
        <f>D304</f>
        <v>3.1270553064275037</v>
      </c>
      <c r="F327" s="531">
        <f>F328</f>
        <v>30</v>
      </c>
      <c r="G327" s="1104">
        <f>D295</f>
        <v>0</v>
      </c>
      <c r="H327" s="432">
        <f>D309</f>
        <v>891.21076233183862</v>
      </c>
      <c r="I327" s="432">
        <f>E309</f>
        <v>1061.6143497757848</v>
      </c>
      <c r="J327" s="432">
        <f>F309</f>
        <v>1402.4215246636772</v>
      </c>
      <c r="K327" s="830" t="str">
        <f>G309</f>
        <v>Cost for ute hire for the whole activity</v>
      </c>
      <c r="L327" s="558">
        <f>L326</f>
        <v>1</v>
      </c>
    </row>
    <row r="328" spans="3:12">
      <c r="D328" s="404" t="s">
        <v>169</v>
      </c>
      <c r="E328" s="90">
        <f>D321</f>
        <v>6</v>
      </c>
      <c r="F328" s="531">
        <f>F326</f>
        <v>30</v>
      </c>
      <c r="H328" s="432">
        <f>D322</f>
        <v>1260</v>
      </c>
      <c r="I328" s="432">
        <f>E322</f>
        <v>1260</v>
      </c>
      <c r="J328" s="432">
        <f>F322</f>
        <v>1680</v>
      </c>
      <c r="K328" s="830" t="str">
        <f>G322</f>
        <v>Accomodation + Food Cost</v>
      </c>
      <c r="L328" s="558">
        <f>L327</f>
        <v>1</v>
      </c>
    </row>
    <row r="329" spans="3:12">
      <c r="D329" s="404"/>
      <c r="E329" s="90"/>
      <c r="F329" s="531"/>
      <c r="H329" s="432"/>
      <c r="I329" s="259"/>
      <c r="J329" s="259"/>
      <c r="K329" s="830"/>
      <c r="L329" s="558"/>
    </row>
    <row r="330" spans="3:12">
      <c r="D330" s="404"/>
      <c r="E330" s="90"/>
      <c r="F330" s="531"/>
      <c r="H330" s="432"/>
      <c r="I330" s="259"/>
      <c r="J330" s="259"/>
      <c r="K330" s="830"/>
    </row>
    <row r="331" spans="3:12">
      <c r="D331" s="405"/>
      <c r="E331" s="439"/>
      <c r="F331" s="439"/>
      <c r="G331" s="1098"/>
      <c r="H331" s="622">
        <f>SUM(H326:H330)</f>
        <v>3558.3856502242152</v>
      </c>
      <c r="I331" s="622">
        <f>SUM(I326:I330)</f>
        <v>3997.8475336322872</v>
      </c>
      <c r="J331" s="622">
        <f>SUM(J326:J330)</f>
        <v>5296.7713004484303</v>
      </c>
      <c r="K331" s="623" t="s">
        <v>165</v>
      </c>
    </row>
    <row r="332" spans="3:12">
      <c r="D332"/>
      <c r="E332"/>
      <c r="F332" s="432"/>
      <c r="G332" s="1099"/>
    </row>
    <row r="333" spans="3:12">
      <c r="D333" s="25"/>
    </row>
    <row r="334" spans="3:12" s="7" customFormat="1">
      <c r="D334" s="134"/>
      <c r="E334" s="134"/>
      <c r="G334" s="1089"/>
    </row>
    <row r="335" spans="3:12" s="7" customFormat="1">
      <c r="E335" s="36"/>
      <c r="G335" s="1089"/>
    </row>
    <row r="336" spans="3:12" s="9" customFormat="1">
      <c r="C336" s="120" t="s">
        <v>1286</v>
      </c>
      <c r="D336" s="34"/>
      <c r="E336" s="34"/>
      <c r="G336" s="572"/>
    </row>
    <row r="337" spans="3:8" s="9" customFormat="1">
      <c r="C337" s="120"/>
      <c r="D337" s="34" t="s">
        <v>1054</v>
      </c>
      <c r="E337" s="34"/>
      <c r="G337" s="572"/>
    </row>
    <row r="338" spans="3:8" s="9" customFormat="1">
      <c r="D338" s="1598" t="s">
        <v>1285</v>
      </c>
      <c r="E338" s="970"/>
      <c r="G338" s="572"/>
    </row>
    <row r="339" spans="3:8" s="9" customFormat="1">
      <c r="D339" s="332" t="s">
        <v>91</v>
      </c>
      <c r="E339" s="43"/>
      <c r="F339" s="24"/>
      <c r="G339" s="359"/>
    </row>
    <row r="340" spans="3:8" s="9" customFormat="1">
      <c r="D340" s="135"/>
      <c r="E340" s="246"/>
      <c r="F340"/>
      <c r="G340" s="359"/>
    </row>
    <row r="341" spans="3:8" s="9" customFormat="1">
      <c r="D341" s="398">
        <f>'Overall Assumptions'!$C$149</f>
        <v>48</v>
      </c>
      <c r="E341" s="131" t="str">
        <f>'Overall Assumptions'!$D$115</f>
        <v>weeks</v>
      </c>
      <c r="F341"/>
      <c r="G341" s="359"/>
    </row>
    <row r="342" spans="3:8" s="9" customFormat="1">
      <c r="C342" s="105"/>
      <c r="D342" s="332">
        <f>D341*5</f>
        <v>240</v>
      </c>
      <c r="E342" s="131" t="str">
        <f>'Overall Assumptions'!$D$116</f>
        <v>days</v>
      </c>
      <c r="F342"/>
      <c r="G342" s="359"/>
    </row>
    <row r="343" spans="3:8" s="9" customFormat="1">
      <c r="C343" s="105"/>
      <c r="D343" s="332"/>
      <c r="E343" s="43"/>
      <c r="F343"/>
      <c r="G343" s="359"/>
    </row>
    <row r="344" spans="3:8" s="9" customFormat="1">
      <c r="C344" s="105"/>
      <c r="D344" s="398">
        <v>1</v>
      </c>
      <c r="E344" s="43" t="s">
        <v>263</v>
      </c>
      <c r="F344"/>
      <c r="G344" s="359"/>
    </row>
    <row r="345" spans="3:8" s="9" customFormat="1">
      <c r="C345" s="105"/>
      <c r="D345" s="1592"/>
      <c r="E345" s="43"/>
      <c r="F345" s="794"/>
      <c r="G345" s="359" t="s">
        <v>138</v>
      </c>
      <c r="H345" s="9" t="s">
        <v>135</v>
      </c>
    </row>
    <row r="346" spans="3:8" s="9" customFormat="1">
      <c r="C346" s="105"/>
      <c r="D346" s="1592">
        <f>D347*F346</f>
        <v>10</v>
      </c>
      <c r="E346" s="43" t="s">
        <v>1222</v>
      </c>
      <c r="F346" s="794">
        <v>10</v>
      </c>
      <c r="G346" s="359">
        <f>D346*D342</f>
        <v>2400</v>
      </c>
      <c r="H346" s="9">
        <f>SUM(G346:G347)</f>
        <v>2640</v>
      </c>
    </row>
    <row r="347" spans="3:8" s="9" customFormat="1">
      <c r="C347" s="105"/>
      <c r="D347" s="1593">
        <v>1</v>
      </c>
      <c r="E347" s="43" t="s">
        <v>1225</v>
      </c>
      <c r="F347" s="794">
        <v>1</v>
      </c>
      <c r="G347" s="359">
        <f>D347*D342</f>
        <v>240</v>
      </c>
    </row>
    <row r="348" spans="3:8" s="9" customFormat="1">
      <c r="C348" s="105"/>
      <c r="D348" s="332"/>
      <c r="E348" s="43"/>
      <c r="F348"/>
      <c r="G348" s="359"/>
    </row>
    <row r="349" spans="3:8" s="9" customFormat="1">
      <c r="C349" s="105"/>
      <c r="D349" s="332" t="str">
        <f>'Overall Assumptions'!$D$76</f>
        <v>Daily rate (AUD) for labour assuming 7.5 hours/day</v>
      </c>
      <c r="E349" s="246"/>
      <c r="F349"/>
      <c r="G349" s="359"/>
    </row>
    <row r="350" spans="3:8" s="9" customFormat="1">
      <c r="D350" s="614">
        <f>'Overall Assumptions'!$C$68</f>
        <v>225</v>
      </c>
      <c r="E350" s="246" t="str">
        <f>'Overall Assumptions'!$B$67</f>
        <v>Labour 1- APS Low (Entry lvl)</v>
      </c>
      <c r="F350"/>
      <c r="G350" s="359"/>
    </row>
    <row r="351" spans="3:8" s="9" customFormat="1">
      <c r="D351" s="1484">
        <f>'Overall Assumptions'!$C$72</f>
        <v>337.5</v>
      </c>
      <c r="E351" s="530" t="str">
        <f>'Overall Assumptions'!$B$71</f>
        <v>Labour 2 - APS High (Experienced)</v>
      </c>
      <c r="F351"/>
      <c r="G351" s="359"/>
    </row>
    <row r="352" spans="3:8" s="9" customFormat="1">
      <c r="D352" s="1485">
        <f>'Overall Assumptions'!$C$76</f>
        <v>487.5</v>
      </c>
      <c r="E352" s="45" t="str">
        <f>'Overall Assumptions'!$B$75</f>
        <v>Labour 3 - EL (Management)</v>
      </c>
      <c r="F352"/>
      <c r="G352" s="359"/>
    </row>
    <row r="353" spans="3:11" s="9" customFormat="1">
      <c r="D353" s="33"/>
      <c r="E353" s="16"/>
      <c r="F353"/>
      <c r="G353" s="359"/>
    </row>
    <row r="354" spans="3:11" s="9" customFormat="1">
      <c r="D354" s="531"/>
      <c r="E354" s="33"/>
      <c r="F354"/>
      <c r="G354" s="359"/>
    </row>
    <row r="355" spans="3:11" s="9" customFormat="1">
      <c r="D355" s="912"/>
      <c r="E355" s="16"/>
      <c r="F355"/>
      <c r="G355" s="359"/>
    </row>
    <row r="356" spans="3:11" s="9" customFormat="1">
      <c r="D356" s="33"/>
      <c r="E356" s="16"/>
      <c r="F356"/>
      <c r="G356" s="359"/>
    </row>
    <row r="357" spans="3:11" s="9" customFormat="1">
      <c r="D357" s="33"/>
      <c r="E357" s="16"/>
      <c r="F357"/>
      <c r="G357" s="359"/>
    </row>
    <row r="358" spans="3:11" s="9" customFormat="1">
      <c r="D358" s="175"/>
      <c r="E358" s="164" t="s">
        <v>155</v>
      </c>
      <c r="F358" s="255" t="s">
        <v>166</v>
      </c>
      <c r="G358" s="1090" t="s">
        <v>69</v>
      </c>
      <c r="H358" s="108"/>
    </row>
    <row r="359" spans="3:11" s="9" customFormat="1">
      <c r="D359" s="405" t="s">
        <v>3</v>
      </c>
      <c r="E359" s="509">
        <f>H346</f>
        <v>2640</v>
      </c>
      <c r="F359" s="321">
        <f>D342*D351*D346+D342*D347*D352+D342*D345*D350</f>
        <v>927000</v>
      </c>
      <c r="G359" s="1091" t="s">
        <v>1230</v>
      </c>
      <c r="H359" s="323"/>
    </row>
    <row r="360" spans="3:11" s="9" customFormat="1">
      <c r="D360" s="105"/>
      <c r="E360" s="34"/>
      <c r="G360" s="572"/>
    </row>
    <row r="361" spans="3:11" s="7" customFormat="1">
      <c r="D361" s="977"/>
      <c r="E361" s="35"/>
      <c r="G361" s="1089"/>
    </row>
    <row r="362" spans="3:11" s="7" customFormat="1">
      <c r="D362" s="69"/>
      <c r="E362" s="36"/>
      <c r="G362" s="1089"/>
    </row>
    <row r="363" spans="3:11" s="9" customFormat="1">
      <c r="E363" s="34"/>
      <c r="F363" s="34"/>
      <c r="G363" s="572"/>
    </row>
    <row r="364" spans="3:11" s="9" customFormat="1">
      <c r="C364" s="121" t="s">
        <v>226</v>
      </c>
      <c r="D364" s="34" t="s">
        <v>872</v>
      </c>
      <c r="E364" s="34"/>
      <c r="G364" s="572"/>
    </row>
    <row r="365" spans="3:11" s="79" customFormat="1">
      <c r="D365" s="1599" t="s">
        <v>1287</v>
      </c>
      <c r="E365" s="76"/>
      <c r="G365" s="1119"/>
    </row>
    <row r="366" spans="3:11" s="79" customFormat="1">
      <c r="C366" s="233"/>
      <c r="D366" s="475"/>
      <c r="E366" s="76"/>
      <c r="G366" s="1119"/>
      <c r="H366" s="129"/>
      <c r="J366" s="65"/>
      <c r="K366" s="66"/>
    </row>
    <row r="367" spans="3:11" s="79" customFormat="1">
      <c r="D367" s="65"/>
      <c r="E367" s="66"/>
      <c r="G367" s="1119"/>
      <c r="J367" s="65"/>
      <c r="K367" s="66"/>
    </row>
    <row r="368" spans="3:11" s="79" customFormat="1">
      <c r="D368" s="330">
        <v>1</v>
      </c>
      <c r="E368" s="66" t="s">
        <v>263</v>
      </c>
      <c r="G368" s="1120"/>
      <c r="H368" s="324"/>
      <c r="I368" s="325"/>
    </row>
    <row r="369" spans="3:12" s="79" customFormat="1">
      <c r="C369" s="9"/>
      <c r="D369" s="290"/>
      <c r="E369" s="124"/>
      <c r="F369" s="147"/>
      <c r="G369" s="1121"/>
      <c r="H369" s="288"/>
      <c r="I369" s="288"/>
      <c r="J369" s="289"/>
      <c r="K369" s="216"/>
    </row>
    <row r="370" spans="3:12" s="79" customFormat="1" ht="19">
      <c r="C370" t="s">
        <v>50</v>
      </c>
      <c r="D370" s="37" t="s">
        <v>81</v>
      </c>
      <c r="E370" s="24"/>
      <c r="F370" s="1"/>
      <c r="G370" s="1100"/>
      <c r="H370" s="286"/>
      <c r="I370" s="286"/>
      <c r="J370" s="289"/>
      <c r="K370" s="216"/>
    </row>
    <row r="371" spans="3:12" s="79" customFormat="1">
      <c r="C371"/>
      <c r="D371" s="24" t="s">
        <v>250</v>
      </c>
      <c r="E371" s="16"/>
      <c r="F371" s="1"/>
      <c r="G371" s="1100"/>
      <c r="J371" s="248"/>
      <c r="K371" s="248"/>
      <c r="L371" s="122"/>
    </row>
    <row r="372" spans="3:12" s="79" customFormat="1">
      <c r="C372"/>
      <c r="D372" s="160" t="s">
        <v>294</v>
      </c>
      <c r="E372" s="16"/>
      <c r="F372"/>
      <c r="G372" s="359"/>
      <c r="J372" s="248"/>
      <c r="K372" s="288"/>
      <c r="L372" s="122"/>
    </row>
    <row r="373" spans="3:12" s="79" customFormat="1">
      <c r="C373"/>
      <c r="D373" s="50"/>
      <c r="E373" s="16"/>
      <c r="F373"/>
      <c r="G373" s="359"/>
      <c r="J373" s="286"/>
      <c r="K373" s="286"/>
      <c r="L373" s="122"/>
    </row>
    <row r="374" spans="3:12" s="79" customFormat="1">
      <c r="C374"/>
      <c r="D374" s="51" t="s">
        <v>82</v>
      </c>
      <c r="E374" s="39"/>
      <c r="F374"/>
      <c r="G374" s="359"/>
      <c r="H374" s="212"/>
      <c r="I374" s="212"/>
      <c r="J374" s="216"/>
      <c r="K374" s="216"/>
    </row>
    <row r="375" spans="3:12" s="79" customFormat="1" ht="19">
      <c r="C375"/>
      <c r="D375" s="52">
        <f>'Overall Assumptions'!$C$68</f>
        <v>225</v>
      </c>
      <c r="E375" s="53" t="s">
        <v>99</v>
      </c>
      <c r="F375"/>
      <c r="G375" s="359"/>
      <c r="J375" s="65"/>
      <c r="K375" s="66"/>
    </row>
    <row r="376" spans="3:12" s="79" customFormat="1" ht="19">
      <c r="C376"/>
      <c r="D376" s="54">
        <f>'Overall Assumptions'!$C$6</f>
        <v>100</v>
      </c>
      <c r="E376" s="355" t="s">
        <v>80</v>
      </c>
      <c r="F376"/>
      <c r="G376" s="359"/>
      <c r="I376" s="65"/>
      <c r="K376" s="66"/>
    </row>
    <row r="377" spans="3:12" s="79" customFormat="1" ht="19">
      <c r="C377"/>
      <c r="D377" s="54"/>
      <c r="E377" s="355"/>
      <c r="F377"/>
      <c r="G377" s="359"/>
      <c r="I377" s="65"/>
      <c r="K377" s="66"/>
    </row>
    <row r="378" spans="3:12" s="79" customFormat="1">
      <c r="C378"/>
      <c r="D378" s="302">
        <v>3</v>
      </c>
      <c r="E378" s="303" t="s">
        <v>61</v>
      </c>
      <c r="F378"/>
      <c r="G378" s="359"/>
      <c r="I378" s="65"/>
      <c r="K378" s="66"/>
    </row>
    <row r="379" spans="3:12" s="79" customFormat="1">
      <c r="C379"/>
      <c r="D379" s="304">
        <f>D378*5</f>
        <v>15</v>
      </c>
      <c r="E379" s="303" t="s">
        <v>138</v>
      </c>
      <c r="F379"/>
      <c r="G379" s="359"/>
      <c r="I379" s="65"/>
      <c r="K379" s="66"/>
    </row>
    <row r="380" spans="3:12" s="79" customFormat="1" ht="19">
      <c r="C380"/>
      <c r="D380" s="54"/>
      <c r="E380" s="355"/>
      <c r="F380"/>
      <c r="G380" s="359"/>
      <c r="I380" s="65"/>
      <c r="K380" s="66"/>
    </row>
    <row r="381" spans="3:12" s="79" customFormat="1" ht="19">
      <c r="C381"/>
      <c r="D381" s="54"/>
      <c r="E381" s="355"/>
      <c r="F381"/>
      <c r="G381" s="359"/>
      <c r="I381" s="357"/>
      <c r="K381" s="66"/>
    </row>
    <row r="382" spans="3:12" s="79" customFormat="1">
      <c r="C382"/>
      <c r="D382" s="354">
        <v>2</v>
      </c>
      <c r="E382" s="43" t="s">
        <v>1288</v>
      </c>
      <c r="F382"/>
      <c r="G382" s="359"/>
      <c r="H382" s="346"/>
      <c r="J382" s="65"/>
      <c r="K382" s="66"/>
    </row>
    <row r="383" spans="3:12" s="79" customFormat="1">
      <c r="C383"/>
      <c r="D383" s="295">
        <f>D379</f>
        <v>15</v>
      </c>
      <c r="E383" s="43" t="s">
        <v>292</v>
      </c>
      <c r="F383"/>
      <c r="G383" s="359"/>
      <c r="H383" s="346"/>
      <c r="J383" s="65"/>
      <c r="K383" s="66"/>
    </row>
    <row r="384" spans="3:12" s="79" customFormat="1">
      <c r="C384"/>
      <c r="D384" s="54">
        <f>'Overall Assumptions'!$C$10</f>
        <v>0</v>
      </c>
      <c r="E384" s="43" t="s">
        <v>85</v>
      </c>
      <c r="F384"/>
      <c r="G384" s="359"/>
      <c r="I384" s="122"/>
      <c r="J384" s="65"/>
      <c r="K384" s="66"/>
    </row>
    <row r="385" spans="3:11" s="79" customFormat="1">
      <c r="C385"/>
      <c r="D385" s="54">
        <f>'Overall Assumptions'!$C$90</f>
        <v>80</v>
      </c>
      <c r="E385" s="43" t="s">
        <v>86</v>
      </c>
      <c r="F385"/>
      <c r="G385" s="359"/>
      <c r="J385" s="65"/>
      <c r="K385" s="66"/>
    </row>
    <row r="386" spans="3:11" s="79" customFormat="1">
      <c r="C386"/>
      <c r="D386" s="56">
        <f>'Overall Assumptions'!$C$81</f>
        <v>210</v>
      </c>
      <c r="E386" s="45" t="s">
        <v>87</v>
      </c>
      <c r="F386"/>
      <c r="G386" s="359"/>
      <c r="J386" s="65"/>
      <c r="K386" s="66"/>
    </row>
    <row r="387" spans="3:11" s="79" customFormat="1">
      <c r="C387"/>
      <c r="D387" s="57"/>
      <c r="E387" s="16"/>
      <c r="F387"/>
      <c r="G387" s="359"/>
      <c r="J387" s="65"/>
      <c r="K387" s="66"/>
    </row>
    <row r="388" spans="3:11" s="79" customFormat="1">
      <c r="C388" s="21"/>
      <c r="D388" s="296">
        <f>2*D384/D385/7.5</f>
        <v>0</v>
      </c>
      <c r="E388" s="59" t="s">
        <v>95</v>
      </c>
      <c r="F388"/>
      <c r="G388" s="359"/>
      <c r="J388" s="129"/>
      <c r="K388" s="76"/>
    </row>
    <row r="389" spans="3:11" s="79" customFormat="1">
      <c r="C389" s="21"/>
      <c r="D389" s="296"/>
      <c r="E389" s="60" t="s">
        <v>100</v>
      </c>
      <c r="F389"/>
      <c r="G389" s="359"/>
      <c r="J389" s="65"/>
      <c r="K389" s="66"/>
    </row>
    <row r="390" spans="3:11" s="79" customFormat="1">
      <c r="C390" s="21"/>
      <c r="D390" s="296">
        <f>D383</f>
        <v>15</v>
      </c>
      <c r="E390" s="124" t="s">
        <v>295</v>
      </c>
      <c r="F390"/>
      <c r="G390" s="359"/>
    </row>
    <row r="391" spans="3:11" s="79" customFormat="1">
      <c r="C391" s="21"/>
      <c r="D391" s="297"/>
      <c r="E391" s="59"/>
      <c r="G391" s="1119"/>
    </row>
    <row r="392" spans="3:11" s="79" customFormat="1" ht="28">
      <c r="C392" s="21"/>
      <c r="D392" s="296">
        <f>D388+D390+D391</f>
        <v>15</v>
      </c>
      <c r="E392" s="16" t="s">
        <v>157</v>
      </c>
      <c r="F392" s="19"/>
      <c r="G392" s="359"/>
    </row>
    <row r="393" spans="3:11" s="122" customFormat="1">
      <c r="C393" s="9"/>
      <c r="D393" s="105"/>
      <c r="E393" s="34" t="s">
        <v>88</v>
      </c>
      <c r="F393" s="9"/>
      <c r="G393" s="572"/>
    </row>
    <row r="394" spans="3:11" s="79" customFormat="1">
      <c r="C394"/>
      <c r="D394" s="77">
        <f>D392*D382</f>
        <v>30</v>
      </c>
      <c r="E394" s="16" t="s">
        <v>133</v>
      </c>
      <c r="F394"/>
      <c r="G394" s="359"/>
    </row>
    <row r="395" spans="3:11" s="79" customFormat="1">
      <c r="C395"/>
      <c r="D395" s="77"/>
      <c r="E395" s="16"/>
      <c r="F395"/>
      <c r="G395" s="359"/>
    </row>
    <row r="396" spans="3:11" s="79" customFormat="1">
      <c r="C396" s="21"/>
      <c r="D396" s="64">
        <f>D394*D375</f>
        <v>6750</v>
      </c>
      <c r="E396" s="39" t="s">
        <v>486</v>
      </c>
      <c r="F396"/>
      <c r="G396" s="359"/>
      <c r="H396" s="276"/>
      <c r="I396" s="276"/>
    </row>
    <row r="397" spans="3:11" s="79" customFormat="1">
      <c r="C397" s="21"/>
      <c r="G397" s="1119"/>
      <c r="H397" s="119"/>
      <c r="I397" s="119"/>
    </row>
    <row r="398" spans="3:11" s="79" customFormat="1">
      <c r="C398" s="21"/>
      <c r="G398" s="1119"/>
      <c r="H398" s="119"/>
      <c r="I398" s="119"/>
    </row>
    <row r="399" spans="3:11" s="79" customFormat="1" ht="19">
      <c r="C399" s="2" t="s">
        <v>132</v>
      </c>
      <c r="D399" s="37" t="s">
        <v>89</v>
      </c>
      <c r="E399" s="16"/>
      <c r="F399"/>
      <c r="G399" s="359"/>
      <c r="H399"/>
      <c r="I399"/>
    </row>
    <row r="400" spans="3:11" s="79" customFormat="1">
      <c r="C400" t="s">
        <v>54</v>
      </c>
      <c r="D400" s="160" t="s">
        <v>296</v>
      </c>
      <c r="E400" s="16"/>
      <c r="F400"/>
      <c r="G400" s="359"/>
      <c r="H400"/>
      <c r="I400"/>
    </row>
    <row r="401" spans="3:9" s="79" customFormat="1">
      <c r="C401"/>
      <c r="D401" s="160"/>
      <c r="E401" s="16"/>
      <c r="F401"/>
      <c r="G401" s="359"/>
      <c r="H401"/>
      <c r="I401"/>
    </row>
    <row r="402" spans="3:9" s="79" customFormat="1">
      <c r="C402"/>
      <c r="D402" s="16"/>
      <c r="E402" s="16"/>
      <c r="F402"/>
      <c r="G402" s="359"/>
      <c r="H402"/>
      <c r="I402"/>
    </row>
    <row r="403" spans="3:9" s="79" customFormat="1">
      <c r="C403"/>
      <c r="D403" s="67" t="s">
        <v>91</v>
      </c>
      <c r="E403" s="41"/>
      <c r="F403"/>
      <c r="G403" s="359"/>
      <c r="H403"/>
      <c r="I403"/>
    </row>
    <row r="404" spans="3:9" s="79" customFormat="1">
      <c r="C404"/>
      <c r="D404" s="52">
        <f>'Overall Assumptions'!C93</f>
        <v>285</v>
      </c>
      <c r="E404" s="41" t="s">
        <v>93</v>
      </c>
      <c r="F404"/>
      <c r="G404" s="359"/>
      <c r="H404"/>
      <c r="I404"/>
    </row>
    <row r="405" spans="3:9" s="79" customFormat="1">
      <c r="C405"/>
      <c r="D405" s="54"/>
      <c r="E405" s="43"/>
      <c r="F405"/>
      <c r="G405" s="359"/>
      <c r="H405"/>
      <c r="I405"/>
    </row>
    <row r="406" spans="3:9" s="79" customFormat="1">
      <c r="C406"/>
      <c r="D406" s="54"/>
      <c r="E406" s="43"/>
      <c r="F406"/>
      <c r="G406" s="359"/>
      <c r="H406"/>
      <c r="I406"/>
    </row>
    <row r="407" spans="3:9" s="79" customFormat="1">
      <c r="C407"/>
      <c r="D407" s="56"/>
      <c r="E407" s="45"/>
      <c r="F407"/>
      <c r="G407" s="359"/>
      <c r="H407"/>
      <c r="I407"/>
    </row>
    <row r="408" spans="3:9" s="79" customFormat="1">
      <c r="C408"/>
      <c r="D408" s="75"/>
      <c r="E408" s="76"/>
      <c r="F408"/>
      <c r="G408" s="359"/>
      <c r="H408"/>
      <c r="I408"/>
    </row>
    <row r="409" spans="3:9" s="79" customFormat="1">
      <c r="C409"/>
      <c r="D409" s="46">
        <f>D388*D405</f>
        <v>0</v>
      </c>
      <c r="E409" s="59" t="s">
        <v>97</v>
      </c>
      <c r="F409"/>
      <c r="G409" s="359"/>
      <c r="H409"/>
      <c r="I409"/>
    </row>
    <row r="410" spans="3:9" s="79" customFormat="1">
      <c r="C410"/>
      <c r="D410" s="46">
        <f>D390</f>
        <v>15</v>
      </c>
      <c r="E410" s="59" t="s">
        <v>98</v>
      </c>
      <c r="F410"/>
      <c r="G410" s="359"/>
      <c r="H410"/>
      <c r="I410"/>
    </row>
    <row r="411" spans="3:9" s="79" customFormat="1">
      <c r="C411"/>
      <c r="D411" s="46"/>
      <c r="E411" s="59"/>
      <c r="F411"/>
      <c r="G411" s="359"/>
      <c r="H411"/>
      <c r="I411"/>
    </row>
    <row r="412" spans="3:9" s="79" customFormat="1">
      <c r="C412"/>
      <c r="D412" s="46">
        <f>SUM(D409:D411)</f>
        <v>15</v>
      </c>
      <c r="E412" s="59" t="s">
        <v>983</v>
      </c>
      <c r="F412"/>
      <c r="G412" s="359"/>
      <c r="H412"/>
      <c r="I412"/>
    </row>
    <row r="413" spans="3:9" s="79" customFormat="1">
      <c r="C413"/>
      <c r="D413" s="63"/>
      <c r="E413" s="16"/>
      <c r="F413"/>
      <c r="G413" s="359"/>
      <c r="H413"/>
      <c r="I413"/>
    </row>
    <row r="414" spans="3:9" s="79" customFormat="1">
      <c r="C414"/>
      <c r="D414" s="63"/>
      <c r="E414" s="16"/>
      <c r="F414"/>
      <c r="G414" s="359"/>
      <c r="H414"/>
      <c r="I414"/>
    </row>
    <row r="415" spans="3:9" s="79" customFormat="1">
      <c r="C415"/>
      <c r="D415" s="68">
        <f>D412*D404</f>
        <v>4275</v>
      </c>
      <c r="E415" s="47" t="s">
        <v>53</v>
      </c>
      <c r="F415"/>
      <c r="G415" s="359"/>
      <c r="H415"/>
      <c r="I415"/>
    </row>
    <row r="416" spans="3:9" s="79" customFormat="1">
      <c r="G416" s="1119"/>
    </row>
    <row r="417" spans="3:13" s="79" customFormat="1">
      <c r="D417">
        <f>ROUNDUP(D412/21,0)</f>
        <v>1</v>
      </c>
      <c r="E417" s="359" t="s">
        <v>739</v>
      </c>
      <c r="F417"/>
    </row>
    <row r="418" spans="3:13" s="79" customFormat="1">
      <c r="D418" s="532">
        <f>D412</f>
        <v>15</v>
      </c>
      <c r="E418" s="359" t="s">
        <v>793</v>
      </c>
      <c r="F418" s="532"/>
    </row>
    <row r="419" spans="3:13" s="79" customFormat="1">
      <c r="G419" s="1119"/>
    </row>
    <row r="420" spans="3:13" s="79" customFormat="1">
      <c r="C420" s="225" t="s">
        <v>70</v>
      </c>
      <c r="D420" s="230"/>
      <c r="E420" s="224" t="s">
        <v>156</v>
      </c>
      <c r="F420" s="212"/>
      <c r="G420" s="1108"/>
      <c r="H420" s="212"/>
      <c r="I420" s="119"/>
    </row>
    <row r="421" spans="3:13" s="79" customFormat="1">
      <c r="C421" s="212"/>
      <c r="D421" s="230"/>
      <c r="E421" s="224"/>
      <c r="F421" s="212"/>
      <c r="G421" s="1108"/>
      <c r="H421" s="212"/>
      <c r="I421" s="119"/>
    </row>
    <row r="422" spans="3:13" s="79" customFormat="1">
      <c r="C422" s="212"/>
      <c r="D422" s="230"/>
      <c r="E422" s="224"/>
      <c r="F422" s="212"/>
      <c r="G422" s="1108"/>
      <c r="H422" s="212"/>
      <c r="I422" s="119"/>
    </row>
    <row r="423" spans="3:13" s="79" customFormat="1">
      <c r="C423" s="212"/>
      <c r="D423" s="222">
        <f>D392</f>
        <v>15</v>
      </c>
      <c r="E423" s="213" t="s">
        <v>157</v>
      </c>
      <c r="F423" s="212"/>
      <c r="G423" s="1108"/>
      <c r="H423" s="212"/>
      <c r="I423" s="119"/>
    </row>
    <row r="424" spans="3:13" s="79" customFormat="1">
      <c r="C424" s="212"/>
      <c r="D424" s="229">
        <f>FLOOR(D423,1)</f>
        <v>15</v>
      </c>
      <c r="E424" s="213" t="s">
        <v>73</v>
      </c>
      <c r="F424" s="212"/>
      <c r="G424" s="1108"/>
      <c r="H424" s="212"/>
      <c r="I424" s="119"/>
    </row>
    <row r="425" spans="3:13" s="79" customFormat="1">
      <c r="C425" s="212"/>
      <c r="D425" s="228">
        <f>D424*$D$382</f>
        <v>30</v>
      </c>
      <c r="E425" s="214" t="s">
        <v>175</v>
      </c>
      <c r="F425" s="212"/>
      <c r="G425" s="1108"/>
      <c r="H425" s="212"/>
      <c r="I425" s="119"/>
    </row>
    <row r="426" spans="3:13" s="79" customFormat="1">
      <c r="C426" s="212"/>
      <c r="D426" s="227"/>
      <c r="E426" s="214" t="s">
        <v>88</v>
      </c>
      <c r="F426" s="212"/>
      <c r="G426" s="1108"/>
      <c r="H426" s="212"/>
    </row>
    <row r="427" spans="3:13" s="79" customFormat="1">
      <c r="C427" s="212"/>
      <c r="D427" s="226">
        <f>D425*$D$386</f>
        <v>6300</v>
      </c>
      <c r="E427" s="221" t="s">
        <v>74</v>
      </c>
      <c r="F427" s="212"/>
      <c r="G427" s="1108"/>
      <c r="H427" s="212"/>
      <c r="J427" s="276"/>
      <c r="K427" s="276"/>
      <c r="L427" s="276"/>
      <c r="M427" s="276"/>
    </row>
    <row r="428" spans="3:13" s="79" customFormat="1">
      <c r="D428" s="282"/>
      <c r="E428" s="76"/>
      <c r="G428" s="1119"/>
      <c r="J428" s="122"/>
      <c r="K428" s="136"/>
      <c r="L428" s="119"/>
      <c r="M428" s="119"/>
    </row>
    <row r="429" spans="3:13" s="79" customFormat="1">
      <c r="D429" s="283"/>
      <c r="E429" s="284"/>
      <c r="F429" s="78"/>
      <c r="G429" s="1119"/>
      <c r="J429" s="122"/>
      <c r="K429" s="136"/>
      <c r="L429" s="119"/>
      <c r="M429" s="119"/>
    </row>
    <row r="430" spans="3:13" s="79" customFormat="1">
      <c r="D430" s="283"/>
      <c r="E430" s="76"/>
      <c r="G430" s="1119"/>
      <c r="J430" s="122"/>
      <c r="K430" s="136"/>
      <c r="L430" s="119"/>
      <c r="M430" s="119"/>
    </row>
    <row r="431" spans="3:13" s="79" customFormat="1">
      <c r="D431" s="143" t="s">
        <v>172</v>
      </c>
      <c r="E431" s="144" t="s">
        <v>155</v>
      </c>
      <c r="F431" s="144" t="s">
        <v>174</v>
      </c>
      <c r="G431" s="1094" t="s">
        <v>166</v>
      </c>
      <c r="H431" s="145" t="s">
        <v>69</v>
      </c>
      <c r="J431" s="122"/>
      <c r="K431" s="147"/>
      <c r="L431" s="119"/>
      <c r="M431" s="119"/>
    </row>
    <row r="432" spans="3:13" s="79" customFormat="1">
      <c r="D432" s="135" t="s">
        <v>3</v>
      </c>
      <c r="E432" s="136">
        <f>D412</f>
        <v>15</v>
      </c>
      <c r="F432" s="122"/>
      <c r="G432" s="1092">
        <f>D396</f>
        <v>6750</v>
      </c>
      <c r="H432" s="119" t="str">
        <f>E396</f>
        <v>Cost for labour</v>
      </c>
      <c r="I432" s="79">
        <f>D368</f>
        <v>1</v>
      </c>
    </row>
    <row r="433" spans="3:14" s="79" customFormat="1">
      <c r="D433" s="135" t="s">
        <v>132</v>
      </c>
      <c r="E433" s="136">
        <f>D412</f>
        <v>15</v>
      </c>
      <c r="F433" s="141"/>
      <c r="G433" s="1092">
        <f>D415</f>
        <v>4275</v>
      </c>
      <c r="H433" s="119" t="str">
        <f>E415</f>
        <v>Cost for ute hire for the whole activity</v>
      </c>
      <c r="I433" s="79">
        <f>I432</f>
        <v>1</v>
      </c>
    </row>
    <row r="434" spans="3:14" s="79" customFormat="1">
      <c r="D434" s="135" t="s">
        <v>169</v>
      </c>
      <c r="E434" s="136"/>
      <c r="F434" s="141"/>
      <c r="G434" s="1092">
        <f>D427</f>
        <v>6300</v>
      </c>
      <c r="H434" s="119" t="str">
        <f>E427</f>
        <v>Accomodation + Food Cost</v>
      </c>
      <c r="I434" s="79">
        <f>I433</f>
        <v>1</v>
      </c>
    </row>
    <row r="435" spans="3:14" s="79" customFormat="1">
      <c r="D435" s="137"/>
      <c r="E435" s="138"/>
      <c r="F435" s="142"/>
      <c r="G435" s="1116">
        <f>SUM(G432:G434)</f>
        <v>17325</v>
      </c>
      <c r="H435" s="140" t="s">
        <v>165</v>
      </c>
    </row>
    <row r="436" spans="3:14" s="79" customFormat="1">
      <c r="D436" s="122"/>
      <c r="E436" s="147"/>
      <c r="F436" s="122"/>
      <c r="G436" s="1092"/>
      <c r="H436" s="119"/>
    </row>
    <row r="437" spans="3:14" s="351" customFormat="1">
      <c r="D437" s="352"/>
      <c r="E437" s="353"/>
      <c r="G437" s="1122"/>
    </row>
    <row r="438" spans="3:14" s="7" customFormat="1">
      <c r="D438" s="69"/>
      <c r="E438" s="36"/>
      <c r="G438" s="1089"/>
    </row>
    <row r="439" spans="3:14" s="9" customFormat="1">
      <c r="E439" s="34"/>
      <c r="F439" s="34"/>
      <c r="G439" s="572"/>
    </row>
    <row r="440" spans="3:14" s="9" customFormat="1">
      <c r="C440" s="121" t="s">
        <v>1340</v>
      </c>
      <c r="E440" s="34"/>
      <c r="G440" s="572"/>
    </row>
    <row r="441" spans="3:14" s="9" customFormat="1">
      <c r="C441" s="121"/>
      <c r="D441" s="1658">
        <f>'Overall Assumptions'!$C$6</f>
        <v>100</v>
      </c>
      <c r="E441" s="319" t="s">
        <v>451</v>
      </c>
      <c r="F441" s="108"/>
      <c r="G441" s="572"/>
    </row>
    <row r="442" spans="3:14" s="9" customFormat="1">
      <c r="C442" s="121"/>
      <c r="D442" s="527">
        <f>'Overall Assumptions'!$C$9</f>
        <v>40</v>
      </c>
      <c r="E442" s="322" t="s">
        <v>1319</v>
      </c>
      <c r="F442" s="323"/>
      <c r="G442" s="572"/>
    </row>
    <row r="443" spans="3:14" s="9" customFormat="1">
      <c r="C443" s="121"/>
      <c r="E443" s="867" t="s">
        <v>1315</v>
      </c>
      <c r="F443" s="34"/>
    </row>
    <row r="444" spans="3:14" s="9" customFormat="1">
      <c r="C444" s="121"/>
      <c r="E444" s="1604" t="s">
        <v>1316</v>
      </c>
      <c r="F444" s="34"/>
    </row>
    <row r="445" spans="3:14" s="9" customFormat="1">
      <c r="C445" s="121"/>
      <c r="E445" s="9" t="s">
        <v>1317</v>
      </c>
      <c r="F445" s="34"/>
    </row>
    <row r="446" spans="3:14" s="9" customFormat="1">
      <c r="C446" s="121"/>
      <c r="E446" s="9" t="s">
        <v>1318</v>
      </c>
      <c r="F446" s="34"/>
    </row>
    <row r="447" spans="3:14" s="79" customFormat="1">
      <c r="D447" s="34"/>
      <c r="E447" s="76"/>
      <c r="G447" s="1119"/>
    </row>
    <row r="448" spans="3:14" s="79" customFormat="1">
      <c r="C448" s="233"/>
      <c r="D448" s="693" t="s">
        <v>1291</v>
      </c>
      <c r="E448" s="76"/>
      <c r="G448" s="1119"/>
      <c r="H448" s="129"/>
      <c r="J448" s="34" t="s">
        <v>179</v>
      </c>
      <c r="K448" s="34"/>
      <c r="L448" s="34"/>
      <c r="M448" s="34"/>
      <c r="N448" s="34"/>
    </row>
    <row r="449" spans="3:25" s="79" customFormat="1">
      <c r="D449" s="489" t="s">
        <v>1292</v>
      </c>
      <c r="E449" s="66"/>
      <c r="G449" s="1119"/>
      <c r="J449" s="874">
        <f>'Overall Assumptions'!$C$25</f>
        <v>1.4999999999999999E-2</v>
      </c>
      <c r="K449" s="34" t="s">
        <v>881</v>
      </c>
      <c r="L449" s="34"/>
      <c r="M449" s="34"/>
      <c r="N449" s="34"/>
    </row>
    <row r="450" spans="3:25" s="79" customFormat="1">
      <c r="D450" s="444">
        <v>20</v>
      </c>
      <c r="E450" s="164" t="s">
        <v>1289</v>
      </c>
      <c r="F450" s="161"/>
      <c r="G450" s="1120"/>
      <c r="H450" s="324"/>
      <c r="J450" s="34">
        <v>40</v>
      </c>
      <c r="K450" s="34" t="s">
        <v>886</v>
      </c>
      <c r="L450" s="34"/>
      <c r="M450" s="34"/>
      <c r="N450" s="34"/>
      <c r="O450" s="34"/>
      <c r="P450" s="34"/>
      <c r="Q450" s="34"/>
      <c r="R450" s="34"/>
      <c r="S450" s="34"/>
      <c r="T450" s="34"/>
    </row>
    <row r="451" spans="3:25" s="79" customFormat="1">
      <c r="C451" s="9"/>
      <c r="D451" s="1659">
        <v>1</v>
      </c>
      <c r="E451" s="322" t="s">
        <v>1196</v>
      </c>
      <c r="F451" s="1660"/>
      <c r="G451" s="1121"/>
      <c r="H451" s="288"/>
      <c r="J451" s="34"/>
      <c r="K451" s="34"/>
      <c r="L451" s="34"/>
      <c r="M451" s="34"/>
      <c r="N451" s="34"/>
    </row>
    <row r="452" spans="3:25" s="79" customFormat="1">
      <c r="C452" s="9"/>
      <c r="D452" s="1600"/>
      <c r="E452" s="124"/>
      <c r="F452" s="147"/>
      <c r="G452" s="1121"/>
      <c r="H452" s="288"/>
      <c r="J452" s="34"/>
      <c r="K452" s="871" t="s">
        <v>880</v>
      </c>
      <c r="L452" s="34"/>
      <c r="M452" s="34"/>
      <c r="N452" s="34"/>
      <c r="O452" s="872" t="s">
        <v>892</v>
      </c>
      <c r="T452" s="16"/>
    </row>
    <row r="453" spans="3:25" s="79" customFormat="1">
      <c r="C453" s="9"/>
      <c r="D453" s="1602">
        <v>40</v>
      </c>
      <c r="E453" s="1600" t="s">
        <v>1295</v>
      </c>
      <c r="F453" s="147"/>
      <c r="G453" s="1121"/>
      <c r="H453" s="288"/>
      <c r="J453" s="34">
        <v>2500</v>
      </c>
      <c r="K453" s="34" t="s">
        <v>891</v>
      </c>
      <c r="L453" s="34"/>
      <c r="M453" s="34"/>
      <c r="N453" s="34"/>
      <c r="O453" s="16"/>
      <c r="P453" s="24" t="s">
        <v>889</v>
      </c>
      <c r="Q453" s="24"/>
      <c r="R453" s="24"/>
      <c r="S453" s="24"/>
      <c r="T453" s="16"/>
    </row>
    <row r="454" spans="3:25" s="79" customFormat="1">
      <c r="C454" s="9"/>
      <c r="E454" s="1600"/>
      <c r="F454" s="147"/>
      <c r="G454" s="1121"/>
      <c r="H454" s="288"/>
      <c r="J454" s="16">
        <f>J453/J450</f>
        <v>62.5</v>
      </c>
      <c r="K454" s="34" t="s">
        <v>887</v>
      </c>
      <c r="L454" s="34"/>
      <c r="M454" s="34"/>
      <c r="N454" s="16"/>
      <c r="O454" s="63">
        <v>4500</v>
      </c>
      <c r="P454" s="16" t="s">
        <v>890</v>
      </c>
      <c r="Q454" s="16"/>
      <c r="R454" s="16"/>
      <c r="S454" s="16"/>
      <c r="T454" s="16"/>
    </row>
    <row r="455" spans="3:25" s="79" customFormat="1">
      <c r="C455" s="1601" t="s">
        <v>1290</v>
      </c>
      <c r="D455" s="1689" t="s">
        <v>1304</v>
      </c>
      <c r="E455" s="401"/>
      <c r="F455" s="1688"/>
      <c r="G455" s="1121"/>
      <c r="H455" s="288"/>
      <c r="J455" s="34"/>
      <c r="K455" s="34"/>
      <c r="L455" s="34"/>
      <c r="M455" s="34"/>
      <c r="N455" s="16"/>
      <c r="O455" s="267">
        <f>O454*(1+J449)^8</f>
        <v>5069.2166396788753</v>
      </c>
      <c r="P455" s="34" t="s">
        <v>877</v>
      </c>
      <c r="Q455" s="34"/>
      <c r="R455" s="34"/>
      <c r="S455" s="34"/>
      <c r="T455" s="16"/>
    </row>
    <row r="456" spans="3:25" s="79" customFormat="1">
      <c r="C456" s="1601"/>
      <c r="D456" s="1661">
        <v>2500</v>
      </c>
      <c r="E456" s="1678">
        <v>2500</v>
      </c>
      <c r="F456" s="1662">
        <v>2500</v>
      </c>
      <c r="G456" s="79" t="s">
        <v>426</v>
      </c>
      <c r="H456" s="288"/>
      <c r="J456" s="267">
        <v>5800</v>
      </c>
      <c r="K456" s="105" t="s">
        <v>876</v>
      </c>
      <c r="L456" s="34"/>
      <c r="M456" s="34"/>
      <c r="N456" s="16"/>
      <c r="O456" s="63">
        <v>5000</v>
      </c>
      <c r="P456" s="34" t="s">
        <v>1303</v>
      </c>
      <c r="Q456" s="34"/>
      <c r="R456" s="34"/>
      <c r="S456" s="34"/>
      <c r="T456" s="16"/>
      <c r="W456" s="872" t="s">
        <v>894</v>
      </c>
      <c r="X456" s="34"/>
      <c r="Y456" s="34"/>
    </row>
    <row r="457" spans="3:25" s="79" customFormat="1">
      <c r="C457" s="1601"/>
      <c r="D457" s="875">
        <f>D456/$D453</f>
        <v>62.5</v>
      </c>
      <c r="E457" s="875">
        <f t="shared" ref="E457:F457" si="46">E456/$D453</f>
        <v>62.5</v>
      </c>
      <c r="F457" s="875">
        <f t="shared" si="46"/>
        <v>62.5</v>
      </c>
      <c r="G457" s="79" t="s">
        <v>1296</v>
      </c>
      <c r="H457" s="288"/>
      <c r="J457" s="267">
        <f>J456*(1+J449)^8</f>
        <v>6533.6570022527731</v>
      </c>
      <c r="K457" s="34" t="s">
        <v>877</v>
      </c>
      <c r="L457" s="34"/>
      <c r="M457" s="34"/>
      <c r="N457" s="16"/>
      <c r="O457" s="63">
        <v>3000</v>
      </c>
      <c r="P457" s="16" t="s">
        <v>885</v>
      </c>
      <c r="Q457" s="16"/>
      <c r="R457" s="16"/>
      <c r="S457" s="16"/>
      <c r="T457" s="16"/>
      <c r="W457" s="34"/>
      <c r="X457" s="521" t="s">
        <v>893</v>
      </c>
      <c r="Y457" s="16"/>
    </row>
    <row r="458" spans="3:25" s="79" customFormat="1">
      <c r="C458" s="1601"/>
      <c r="D458" s="1689" t="s">
        <v>1294</v>
      </c>
      <c r="E458" s="593"/>
      <c r="F458" s="1688"/>
      <c r="G458" s="1121"/>
      <c r="H458" s="288"/>
      <c r="J458" s="267">
        <v>7000</v>
      </c>
      <c r="K458" s="34" t="s">
        <v>879</v>
      </c>
      <c r="L458" s="34"/>
      <c r="M458" s="34"/>
      <c r="N458" s="16"/>
      <c r="O458" s="432">
        <f>O457/J450</f>
        <v>75</v>
      </c>
      <c r="P458" s="16" t="s">
        <v>888</v>
      </c>
      <c r="Q458" s="16"/>
      <c r="R458" s="16"/>
      <c r="S458" s="16"/>
      <c r="T458" s="16"/>
      <c r="W458" s="16"/>
      <c r="X458" s="105" t="s">
        <v>901</v>
      </c>
      <c r="Y458" s="16"/>
    </row>
    <row r="459" spans="3:25" s="79" customFormat="1">
      <c r="C459" s="9"/>
      <c r="D459" s="1663" t="s">
        <v>1298</v>
      </c>
      <c r="E459" s="1679" t="s">
        <v>1299</v>
      </c>
      <c r="F459" s="485" t="s">
        <v>889</v>
      </c>
      <c r="G459" s="79" t="s">
        <v>1305</v>
      </c>
      <c r="H459" s="288"/>
      <c r="J459" s="267"/>
      <c r="K459" s="34"/>
      <c r="L459" s="34"/>
      <c r="M459" s="34"/>
      <c r="N459" s="16"/>
      <c r="W459" s="16"/>
      <c r="X459" s="16" t="s">
        <v>895</v>
      </c>
      <c r="Y459" s="16"/>
    </row>
    <row r="460" spans="3:25" s="79" customFormat="1">
      <c r="C460" s="9"/>
      <c r="D460" s="1540" t="s">
        <v>1300</v>
      </c>
      <c r="E460" s="591" t="s">
        <v>1302</v>
      </c>
      <c r="F460" s="1664" t="s">
        <v>1306</v>
      </c>
      <c r="G460" s="79" t="s">
        <v>69</v>
      </c>
      <c r="H460" s="288"/>
      <c r="J460" s="267">
        <v>1000</v>
      </c>
      <c r="K460" s="34" t="s">
        <v>885</v>
      </c>
      <c r="L460" s="34"/>
      <c r="M460" s="34"/>
      <c r="N460" s="16"/>
      <c r="W460" s="16">
        <v>0.9</v>
      </c>
      <c r="X460" s="16" t="s">
        <v>896</v>
      </c>
      <c r="Y460" s="16"/>
    </row>
    <row r="461" spans="3:25" s="79" customFormat="1">
      <c r="C461" s="9"/>
      <c r="D461" s="1665">
        <f>J458</f>
        <v>7000</v>
      </c>
      <c r="E461" s="1680">
        <f>J465</f>
        <v>11000</v>
      </c>
      <c r="F461" s="1666">
        <f>O456</f>
        <v>5000</v>
      </c>
      <c r="G461" s="79" t="s">
        <v>1297</v>
      </c>
      <c r="H461" s="288"/>
      <c r="J461" s="432">
        <f>J460/J450</f>
        <v>25</v>
      </c>
      <c r="K461" s="34" t="s">
        <v>887</v>
      </c>
      <c r="L461" s="16"/>
      <c r="M461" s="16"/>
      <c r="N461" s="16"/>
      <c r="O461" s="16"/>
      <c r="P461" s="872" t="s">
        <v>884</v>
      </c>
      <c r="Q461" s="872"/>
      <c r="R461" s="872"/>
      <c r="S461" s="872"/>
      <c r="W461" s="16">
        <f>W460*52</f>
        <v>46.800000000000004</v>
      </c>
      <c r="X461" s="16" t="s">
        <v>897</v>
      </c>
      <c r="Y461" s="16"/>
    </row>
    <row r="462" spans="3:25" s="79" customFormat="1">
      <c r="C462" s="9"/>
      <c r="D462" s="1667"/>
      <c r="E462" s="1078"/>
      <c r="F462" s="552"/>
      <c r="G462" s="1121"/>
      <c r="H462" s="288"/>
      <c r="N462" s="16"/>
      <c r="O462" s="63">
        <v>12500</v>
      </c>
      <c r="P462" s="24" t="s">
        <v>883</v>
      </c>
      <c r="Q462" s="24"/>
      <c r="R462" s="24"/>
      <c r="S462" s="24"/>
      <c r="W462" s="864">
        <f>W461/J469</f>
        <v>0.22023529411764708</v>
      </c>
      <c r="X462" s="16" t="s">
        <v>898</v>
      </c>
      <c r="Y462" s="16"/>
    </row>
    <row r="463" spans="3:25" s="79" customFormat="1">
      <c r="C463" s="9"/>
      <c r="D463" s="535">
        <f>J461</f>
        <v>25</v>
      </c>
      <c r="E463" s="1681">
        <f>J469</f>
        <v>212.5</v>
      </c>
      <c r="F463" s="1668">
        <f>O458</f>
        <v>75</v>
      </c>
      <c r="G463" s="1121" t="s">
        <v>1307</v>
      </c>
      <c r="H463" s="288"/>
      <c r="J463" s="267">
        <v>9600</v>
      </c>
      <c r="K463" s="105" t="s">
        <v>878</v>
      </c>
      <c r="L463" s="34"/>
      <c r="M463" s="16"/>
      <c r="N463" s="16"/>
      <c r="O463" s="267">
        <f>O462*(1+J449)^5</f>
        <v>13466.050048554678</v>
      </c>
      <c r="P463" s="34" t="s">
        <v>877</v>
      </c>
      <c r="Q463" s="34"/>
      <c r="R463" s="34"/>
      <c r="S463" s="34"/>
      <c r="W463" s="825">
        <v>0.2</v>
      </c>
      <c r="X463" s="16" t="s">
        <v>899</v>
      </c>
      <c r="Y463" s="16"/>
    </row>
    <row r="464" spans="3:25" s="79" customFormat="1">
      <c r="C464" s="9"/>
      <c r="D464" s="1245"/>
      <c r="E464" s="1682"/>
      <c r="F464" s="1669"/>
      <c r="G464" s="122" t="s">
        <v>1308</v>
      </c>
      <c r="J464" s="267">
        <f>J463*(1+J449)^8</f>
        <v>10814.328831314935</v>
      </c>
      <c r="K464" s="34" t="s">
        <v>877</v>
      </c>
      <c r="L464" s="34"/>
      <c r="M464" s="16"/>
      <c r="N464" s="16"/>
      <c r="O464" s="63">
        <v>13000</v>
      </c>
      <c r="P464" s="34" t="s">
        <v>882</v>
      </c>
      <c r="Q464" s="34"/>
      <c r="R464" s="34"/>
      <c r="S464" s="34"/>
      <c r="W464" s="16"/>
      <c r="X464" s="16" t="s">
        <v>900</v>
      </c>
      <c r="Y464" s="16"/>
    </row>
    <row r="465" spans="3:25" s="79" customFormat="1">
      <c r="C465" s="1601" t="s">
        <v>1293</v>
      </c>
      <c r="D465" s="1687" t="s">
        <v>1341</v>
      </c>
      <c r="E465" s="865"/>
      <c r="F465" s="1688"/>
      <c r="G465" s="6"/>
      <c r="H465" s="288"/>
      <c r="J465" s="63">
        <v>11000</v>
      </c>
      <c r="K465" s="34" t="s">
        <v>882</v>
      </c>
      <c r="L465" s="16"/>
      <c r="M465" s="16"/>
      <c r="N465" s="16"/>
      <c r="Y465" s="16"/>
    </row>
    <row r="466" spans="3:25" s="79" customFormat="1">
      <c r="C466" s="1601"/>
      <c r="D466" s="1670">
        <v>0.1</v>
      </c>
      <c r="E466" s="1683">
        <v>0.1</v>
      </c>
      <c r="F466" s="1671">
        <v>0.1</v>
      </c>
      <c r="G466" s="6" t="s">
        <v>1311</v>
      </c>
      <c r="H466" s="288"/>
      <c r="J466" s="63"/>
      <c r="K466" s="34"/>
      <c r="L466" s="16"/>
      <c r="M466" s="16"/>
      <c r="N466" s="16"/>
      <c r="Y466" s="16"/>
    </row>
    <row r="467" spans="3:25" s="79" customFormat="1">
      <c r="C467" s="9"/>
      <c r="D467" s="1672">
        <f>D466*D461</f>
        <v>700</v>
      </c>
      <c r="E467" s="1684">
        <f>E466*E461</f>
        <v>1100</v>
      </c>
      <c r="F467" s="1673">
        <f>F466*F461</f>
        <v>500</v>
      </c>
      <c r="G467" s="79" t="s">
        <v>1312</v>
      </c>
      <c r="H467" s="288"/>
      <c r="J467" s="63"/>
      <c r="K467" s="16"/>
      <c r="L467" s="16"/>
      <c r="M467" s="16"/>
      <c r="N467" s="34"/>
      <c r="O467" s="16"/>
      <c r="P467" s="16"/>
      <c r="Q467" s="16"/>
      <c r="R467" s="16"/>
      <c r="S467" s="16"/>
      <c r="T467" s="16"/>
    </row>
    <row r="468" spans="3:25" s="79" customFormat="1">
      <c r="C468" s="9"/>
      <c r="D468" s="1674">
        <v>0.2</v>
      </c>
      <c r="E468" s="1685">
        <v>0.2</v>
      </c>
      <c r="F468" s="1675">
        <v>0.2</v>
      </c>
      <c r="G468" s="1121" t="s">
        <v>1309</v>
      </c>
      <c r="H468" s="288"/>
      <c r="J468" s="63">
        <v>8500</v>
      </c>
      <c r="K468" s="16" t="s">
        <v>885</v>
      </c>
      <c r="L468" s="16"/>
      <c r="M468" s="16"/>
      <c r="N468" s="34"/>
      <c r="Y468" s="16"/>
    </row>
    <row r="469" spans="3:25" s="79" customFormat="1">
      <c r="D469" s="1676">
        <f>D463*D468</f>
        <v>5</v>
      </c>
      <c r="E469" s="1686">
        <f>E463*E468</f>
        <v>42.5</v>
      </c>
      <c r="F469" s="1677">
        <f>F463*F468</f>
        <v>15</v>
      </c>
      <c r="G469" s="1121" t="s">
        <v>1310</v>
      </c>
      <c r="J469" s="432">
        <f>J468/J450</f>
        <v>212.5</v>
      </c>
      <c r="K469" s="16" t="s">
        <v>888</v>
      </c>
      <c r="L469" s="16"/>
      <c r="M469" s="16"/>
      <c r="N469" s="34"/>
      <c r="Y469" s="16"/>
    </row>
    <row r="470" spans="3:25" s="79" customFormat="1">
      <c r="M470" s="16"/>
      <c r="N470" s="34"/>
      <c r="Y470" s="16"/>
    </row>
    <row r="471" spans="3:25" s="79" customFormat="1">
      <c r="M471" s="16"/>
      <c r="N471" s="34"/>
      <c r="Y471" s="16"/>
    </row>
    <row r="472" spans="3:25" s="79" customFormat="1">
      <c r="M472" s="16"/>
      <c r="N472" s="34"/>
      <c r="Y472" s="16"/>
    </row>
    <row r="473" spans="3:25" s="79" customFormat="1" ht="19">
      <c r="C473" t="s">
        <v>50</v>
      </c>
      <c r="D473" s="37" t="s">
        <v>81</v>
      </c>
      <c r="E473" s="24"/>
      <c r="F473" s="1"/>
      <c r="G473" s="1100"/>
      <c r="H473" s="286"/>
      <c r="I473" s="286"/>
      <c r="J473" s="289"/>
      <c r="K473" s="216"/>
    </row>
    <row r="474" spans="3:25" s="79" customFormat="1">
      <c r="C474"/>
      <c r="D474" s="24" t="s">
        <v>250</v>
      </c>
      <c r="E474" s="16"/>
      <c r="F474" s="1"/>
      <c r="G474" s="1100"/>
      <c r="J474" s="248"/>
      <c r="K474" s="248"/>
      <c r="L474" s="122"/>
    </row>
    <row r="475" spans="3:25" s="79" customFormat="1">
      <c r="C475"/>
      <c r="D475" s="160" t="s">
        <v>294</v>
      </c>
      <c r="E475" s="16"/>
      <c r="F475"/>
      <c r="G475" s="359"/>
      <c r="J475" s="248"/>
      <c r="K475" s="288"/>
      <c r="L475" s="122"/>
    </row>
    <row r="476" spans="3:25" s="79" customFormat="1">
      <c r="C476"/>
      <c r="D476" s="50"/>
      <c r="E476" s="16"/>
      <c r="F476"/>
      <c r="G476" s="359"/>
      <c r="J476" s="286"/>
      <c r="K476" s="286"/>
      <c r="L476" s="122"/>
    </row>
    <row r="477" spans="3:25" s="79" customFormat="1">
      <c r="C477"/>
      <c r="D477" s="51" t="s">
        <v>82</v>
      </c>
      <c r="E477" s="39"/>
      <c r="F477"/>
      <c r="G477" s="359"/>
      <c r="H477" s="212"/>
      <c r="I477" s="212"/>
      <c r="J477" s="216"/>
      <c r="K477" s="216"/>
    </row>
    <row r="478" spans="3:25" s="79" customFormat="1" ht="19">
      <c r="C478"/>
      <c r="D478" s="52">
        <f>'Overall Assumptions'!$C$68</f>
        <v>225</v>
      </c>
      <c r="E478" s="53" t="s">
        <v>99</v>
      </c>
      <c r="F478"/>
      <c r="G478" s="359"/>
      <c r="J478" s="65"/>
      <c r="K478" s="66"/>
    </row>
    <row r="479" spans="3:25" s="79" customFormat="1" ht="19">
      <c r="C479"/>
      <c r="D479" s="54">
        <f>D442</f>
        <v>40</v>
      </c>
      <c r="E479" s="355" t="s">
        <v>1321</v>
      </c>
      <c r="F479"/>
      <c r="G479" s="359"/>
      <c r="I479" s="65"/>
      <c r="K479" s="66"/>
    </row>
    <row r="480" spans="3:25" s="79" customFormat="1" ht="19">
      <c r="C480"/>
      <c r="D480" s="54"/>
      <c r="E480" s="355"/>
      <c r="F480"/>
      <c r="G480" s="359"/>
      <c r="H480" s="122"/>
      <c r="I480" s="978"/>
      <c r="K480" s="66"/>
    </row>
    <row r="481" spans="3:11" s="79" customFormat="1">
      <c r="C481"/>
      <c r="D481" s="354">
        <v>2</v>
      </c>
      <c r="E481" s="43" t="s">
        <v>291</v>
      </c>
      <c r="F481"/>
      <c r="G481" s="359"/>
      <c r="H481" s="122"/>
      <c r="I481" s="122"/>
      <c r="J481" s="65"/>
      <c r="K481" s="66"/>
    </row>
    <row r="482" spans="3:11" s="79" customFormat="1">
      <c r="C482"/>
      <c r="D482" s="506"/>
      <c r="E482" s="43" t="s">
        <v>1326</v>
      </c>
      <c r="F482"/>
      <c r="G482" s="359"/>
      <c r="H482" s="122"/>
      <c r="I482" s="122"/>
      <c r="J482" s="65"/>
      <c r="K482" s="66"/>
    </row>
    <row r="483" spans="3:11" s="79" customFormat="1">
      <c r="C483"/>
      <c r="D483" s="1603" t="s">
        <v>1298</v>
      </c>
      <c r="E483" s="43" t="s">
        <v>1313</v>
      </c>
      <c r="F483"/>
      <c r="G483" s="359"/>
      <c r="H483" s="122"/>
      <c r="I483" s="122"/>
      <c r="J483" s="65"/>
      <c r="K483" s="66"/>
    </row>
    <row r="484" spans="3:11" s="79" customFormat="1">
      <c r="C484"/>
      <c r="D484" s="295">
        <f>D457</f>
        <v>62.5</v>
      </c>
      <c r="E484" s="43" t="s">
        <v>1338</v>
      </c>
      <c r="F484"/>
      <c r="G484" s="359"/>
      <c r="H484" s="122"/>
      <c r="I484" s="122"/>
      <c r="J484" s="65"/>
      <c r="K484" s="66"/>
    </row>
    <row r="485" spans="3:11" s="79" customFormat="1">
      <c r="C485"/>
      <c r="D485" s="295">
        <f>D463</f>
        <v>25</v>
      </c>
      <c r="E485" s="43" t="s">
        <v>1339</v>
      </c>
      <c r="F485"/>
      <c r="G485" s="359"/>
      <c r="H485" s="122"/>
      <c r="I485" s="122"/>
      <c r="J485" s="65"/>
      <c r="K485" s="66"/>
    </row>
    <row r="486" spans="3:11" s="79" customFormat="1">
      <c r="C486"/>
      <c r="D486" s="506"/>
      <c r="E486" s="43"/>
      <c r="F486"/>
      <c r="G486" s="359"/>
      <c r="H486" s="122"/>
      <c r="I486" s="122"/>
      <c r="J486" s="65"/>
      <c r="K486" s="66"/>
    </row>
    <row r="487" spans="3:11" s="79" customFormat="1">
      <c r="C487"/>
      <c r="D487" s="295">
        <f>D469</f>
        <v>5</v>
      </c>
      <c r="E487" s="43" t="s">
        <v>1314</v>
      </c>
      <c r="F487"/>
      <c r="G487" s="359"/>
      <c r="H487" s="122"/>
      <c r="I487" s="122"/>
      <c r="J487" s="65"/>
      <c r="K487" s="66"/>
    </row>
    <row r="488" spans="3:11" s="79" customFormat="1">
      <c r="C488"/>
      <c r="D488" s="506"/>
      <c r="E488" s="43"/>
      <c r="F488"/>
      <c r="G488" s="359"/>
      <c r="H488" s="122"/>
      <c r="I488" s="122"/>
      <c r="J488" s="65"/>
      <c r="K488" s="66"/>
    </row>
    <row r="489" spans="3:11" s="79" customFormat="1">
      <c r="C489"/>
      <c r="D489" s="459">
        <f>D461</f>
        <v>7000</v>
      </c>
      <c r="E489" s="43" t="s">
        <v>1887</v>
      </c>
      <c r="F489"/>
      <c r="G489" s="359"/>
      <c r="H489" s="122"/>
      <c r="I489" s="122"/>
      <c r="J489" s="65"/>
      <c r="K489" s="66"/>
    </row>
    <row r="490" spans="3:11" s="79" customFormat="1">
      <c r="C490"/>
      <c r="D490" s="459">
        <f>D467</f>
        <v>700</v>
      </c>
      <c r="E490" s="43" t="s">
        <v>1888</v>
      </c>
      <c r="F490"/>
      <c r="G490" s="359"/>
      <c r="H490" s="122"/>
      <c r="I490" s="122"/>
      <c r="J490" s="65"/>
      <c r="K490" s="66"/>
    </row>
    <row r="491" spans="3:11" s="79" customFormat="1">
      <c r="C491"/>
      <c r="D491" s="506"/>
      <c r="E491" s="43"/>
      <c r="F491"/>
      <c r="G491" s="359"/>
      <c r="H491" s="122"/>
      <c r="I491" s="122"/>
      <c r="J491" s="65"/>
      <c r="K491" s="66"/>
    </row>
    <row r="492" spans="3:11" s="79" customFormat="1">
      <c r="C492"/>
      <c r="D492" s="54">
        <f>'Overall Assumptions'!$C$10</f>
        <v>0</v>
      </c>
      <c r="E492" s="43" t="s">
        <v>85</v>
      </c>
      <c r="F492"/>
      <c r="G492" s="359"/>
      <c r="I492" s="122"/>
      <c r="J492" s="65"/>
      <c r="K492" s="66"/>
    </row>
    <row r="493" spans="3:11" s="79" customFormat="1">
      <c r="C493"/>
      <c r="D493" s="54">
        <f>'Overall Assumptions'!$C$90</f>
        <v>80</v>
      </c>
      <c r="E493" s="43" t="s">
        <v>86</v>
      </c>
      <c r="F493"/>
      <c r="G493" s="359"/>
      <c r="J493" s="65"/>
      <c r="K493" s="66"/>
    </row>
    <row r="494" spans="3:11" s="79" customFormat="1">
      <c r="C494"/>
      <c r="D494" s="56">
        <f>'Overall Assumptions'!$C$81</f>
        <v>210</v>
      </c>
      <c r="E494" s="45" t="s">
        <v>87</v>
      </c>
      <c r="F494"/>
      <c r="G494" s="359"/>
      <c r="J494" s="65"/>
      <c r="K494" s="66"/>
    </row>
    <row r="495" spans="3:11" s="79" customFormat="1">
      <c r="C495"/>
      <c r="D495" s="57"/>
      <c r="E495" s="16"/>
      <c r="F495"/>
      <c r="G495" s="359"/>
      <c r="J495" s="65"/>
      <c r="K495" s="66"/>
    </row>
    <row r="496" spans="3:11" s="79" customFormat="1">
      <c r="C496"/>
      <c r="D496" s="57"/>
      <c r="E496" s="16"/>
      <c r="F496"/>
      <c r="G496" s="359"/>
      <c r="J496" s="65"/>
      <c r="K496" s="66"/>
    </row>
    <row r="497" spans="3:11" s="79" customFormat="1">
      <c r="C497"/>
      <c r="D497" s="57" t="s">
        <v>1322</v>
      </c>
      <c r="E497" s="124" t="s">
        <v>901</v>
      </c>
      <c r="F497"/>
      <c r="G497" s="359"/>
      <c r="J497" s="65"/>
      <c r="K497" s="66"/>
    </row>
    <row r="498" spans="3:11" s="79" customFormat="1">
      <c r="C498" s="21"/>
      <c r="D498" s="296">
        <f>2*D492/D493/7.5</f>
        <v>0</v>
      </c>
      <c r="E498" s="79">
        <f>2*D492/D493/7.5</f>
        <v>0</v>
      </c>
      <c r="F498" s="59" t="s">
        <v>95</v>
      </c>
      <c r="G498"/>
      <c r="J498" s="129"/>
      <c r="K498" s="76"/>
    </row>
    <row r="499" spans="3:11" s="79" customFormat="1">
      <c r="C499" s="21"/>
      <c r="D499" s="296"/>
      <c r="F499" s="60" t="s">
        <v>100</v>
      </c>
      <c r="G499"/>
      <c r="J499" s="65"/>
      <c r="K499" s="66"/>
    </row>
    <row r="500" spans="3:11" s="79" customFormat="1">
      <c r="C500" s="21"/>
      <c r="D500" s="296">
        <f>SUM(D484:D485)*D479/7.5</f>
        <v>466.66666666666669</v>
      </c>
      <c r="E500" s="79">
        <f>D487*D479/7.5</f>
        <v>26.666666666666668</v>
      </c>
      <c r="F500" s="124" t="s">
        <v>1323</v>
      </c>
      <c r="G500"/>
    </row>
    <row r="501" spans="3:11" s="79" customFormat="1">
      <c r="C501" s="21"/>
      <c r="D501" s="297"/>
      <c r="F501" s="59"/>
    </row>
    <row r="502" spans="3:11" s="79" customFormat="1" ht="28">
      <c r="C502" s="21"/>
      <c r="D502" s="296">
        <f>D504/$D481</f>
        <v>233.33333333333334</v>
      </c>
      <c r="E502" s="296">
        <f>E504/$D481</f>
        <v>13.333333333333334</v>
      </c>
      <c r="F502" s="16" t="s">
        <v>1327</v>
      </c>
      <c r="G502" s="19"/>
    </row>
    <row r="503" spans="3:11" s="122" customFormat="1">
      <c r="C503" s="9"/>
      <c r="D503" s="105"/>
      <c r="E503" s="105"/>
      <c r="F503" s="34"/>
      <c r="G503" s="9"/>
    </row>
    <row r="504" spans="3:11" s="79" customFormat="1">
      <c r="C504"/>
      <c r="D504" s="77">
        <f>D498+D500</f>
        <v>466.66666666666669</v>
      </c>
      <c r="E504" s="77">
        <f>E498+E500</f>
        <v>26.666666666666668</v>
      </c>
      <c r="F504" s="16" t="s">
        <v>133</v>
      </c>
      <c r="G504"/>
    </row>
    <row r="505" spans="3:11" s="79" customFormat="1">
      <c r="C505"/>
      <c r="D505" s="77"/>
      <c r="F505" s="16"/>
      <c r="G505"/>
    </row>
    <row r="506" spans="3:11" s="79" customFormat="1">
      <c r="C506" s="21"/>
      <c r="D506" s="64">
        <f>D504*$D478</f>
        <v>105000</v>
      </c>
      <c r="E506" s="64">
        <f>E504*$D478</f>
        <v>6000</v>
      </c>
      <c r="F506" s="39" t="s">
        <v>486</v>
      </c>
      <c r="G506"/>
      <c r="H506" s="276"/>
      <c r="I506" s="276"/>
    </row>
    <row r="507" spans="3:11" s="79" customFormat="1">
      <c r="C507" s="21"/>
      <c r="G507" s="1119"/>
      <c r="H507" s="119"/>
      <c r="I507" s="119"/>
    </row>
    <row r="508" spans="3:11" s="79" customFormat="1">
      <c r="C508" s="21"/>
      <c r="G508" s="1119"/>
      <c r="H508" s="119"/>
      <c r="I508" s="119"/>
    </row>
    <row r="509" spans="3:11" s="79" customFormat="1" ht="19">
      <c r="C509" s="2" t="s">
        <v>132</v>
      </c>
      <c r="D509" s="37" t="s">
        <v>89</v>
      </c>
      <c r="E509" s="16"/>
      <c r="F509"/>
      <c r="G509" s="359"/>
      <c r="H509"/>
      <c r="I509"/>
    </row>
    <row r="510" spans="3:11" s="79" customFormat="1">
      <c r="C510" t="s">
        <v>54</v>
      </c>
      <c r="D510" s="160" t="s">
        <v>296</v>
      </c>
      <c r="E510" s="16"/>
      <c r="F510"/>
      <c r="G510" s="359"/>
      <c r="H510"/>
      <c r="I510"/>
    </row>
    <row r="511" spans="3:11" s="79" customFormat="1">
      <c r="C511"/>
      <c r="D511" s="160"/>
      <c r="E511" s="16"/>
      <c r="F511"/>
      <c r="G511" s="359"/>
      <c r="H511"/>
      <c r="I511"/>
    </row>
    <row r="512" spans="3:11" s="79" customFormat="1">
      <c r="C512"/>
      <c r="D512" s="16"/>
      <c r="E512" s="16"/>
      <c r="F512"/>
      <c r="G512" s="359"/>
      <c r="H512"/>
      <c r="I512"/>
    </row>
    <row r="513" spans="3:9" s="79" customFormat="1">
      <c r="C513"/>
      <c r="D513" s="67" t="s">
        <v>91</v>
      </c>
      <c r="E513" s="41"/>
      <c r="F513"/>
      <c r="G513" s="359"/>
      <c r="H513"/>
      <c r="I513"/>
    </row>
    <row r="514" spans="3:9" s="79" customFormat="1">
      <c r="C514"/>
      <c r="D514" s="52">
        <f>'Overall Assumptions'!$C$93</f>
        <v>285</v>
      </c>
      <c r="E514" s="41" t="s">
        <v>93</v>
      </c>
      <c r="F514"/>
      <c r="G514" s="359"/>
      <c r="H514"/>
      <c r="I514"/>
    </row>
    <row r="515" spans="3:9" s="79" customFormat="1">
      <c r="C515"/>
      <c r="D515" s="54"/>
      <c r="E515" s="43"/>
      <c r="F515"/>
      <c r="G515" s="359"/>
      <c r="H515"/>
      <c r="I515"/>
    </row>
    <row r="516" spans="3:9" s="79" customFormat="1">
      <c r="C516"/>
      <c r="D516" s="54"/>
      <c r="E516" s="43"/>
      <c r="F516"/>
      <c r="G516" s="359"/>
      <c r="H516"/>
      <c r="I516"/>
    </row>
    <row r="517" spans="3:9" s="79" customFormat="1">
      <c r="C517"/>
      <c r="D517" s="56"/>
      <c r="E517" s="45"/>
      <c r="F517"/>
      <c r="G517" s="359"/>
      <c r="H517"/>
      <c r="I517"/>
    </row>
    <row r="518" spans="3:9" s="79" customFormat="1">
      <c r="C518"/>
      <c r="D518" s="75"/>
      <c r="E518" s="76"/>
      <c r="F518"/>
      <c r="G518" s="359"/>
      <c r="H518"/>
      <c r="I518"/>
    </row>
    <row r="519" spans="3:9" s="79" customFormat="1">
      <c r="C519"/>
      <c r="D519" s="46">
        <f>D498</f>
        <v>0</v>
      </c>
      <c r="E519" s="46">
        <f>E498</f>
        <v>0</v>
      </c>
      <c r="F519" s="59" t="s">
        <v>97</v>
      </c>
      <c r="G519" s="359"/>
      <c r="H519"/>
      <c r="I519"/>
    </row>
    <row r="520" spans="3:9" s="79" customFormat="1">
      <c r="C520"/>
      <c r="D520" s="46">
        <f>D502</f>
        <v>233.33333333333334</v>
      </c>
      <c r="E520" s="46">
        <f>E502</f>
        <v>13.333333333333334</v>
      </c>
      <c r="F520" s="59" t="s">
        <v>98</v>
      </c>
      <c r="G520" s="359"/>
      <c r="H520"/>
      <c r="I520"/>
    </row>
    <row r="521" spans="3:9" s="79" customFormat="1">
      <c r="C521"/>
      <c r="D521" s="46"/>
      <c r="E521" s="46"/>
      <c r="F521" s="59"/>
      <c r="G521" s="359"/>
      <c r="H521"/>
      <c r="I521"/>
    </row>
    <row r="522" spans="3:9" s="79" customFormat="1">
      <c r="C522"/>
      <c r="D522" s="46">
        <f>SUM(D519:D521)</f>
        <v>233.33333333333334</v>
      </c>
      <c r="E522" s="46">
        <f>SUM(E519:E521)</f>
        <v>13.333333333333334</v>
      </c>
      <c r="F522" s="59" t="s">
        <v>983</v>
      </c>
      <c r="G522" s="359"/>
      <c r="H522"/>
      <c r="I522"/>
    </row>
    <row r="523" spans="3:9" s="79" customFormat="1">
      <c r="C523"/>
      <c r="D523" s="63"/>
      <c r="F523" s="16"/>
      <c r="G523" s="359"/>
      <c r="H523"/>
      <c r="I523"/>
    </row>
    <row r="524" spans="3:9" s="79" customFormat="1">
      <c r="C524"/>
      <c r="D524" s="63"/>
      <c r="F524" s="16"/>
      <c r="G524" s="359"/>
      <c r="H524"/>
      <c r="I524"/>
    </row>
    <row r="525" spans="3:9" s="79" customFormat="1">
      <c r="C525"/>
      <c r="D525" s="68">
        <f>D522*$D514</f>
        <v>66500</v>
      </c>
      <c r="E525" s="68">
        <f>E522*$D514</f>
        <v>3800</v>
      </c>
      <c r="F525" s="47" t="s">
        <v>53</v>
      </c>
      <c r="G525" s="359"/>
      <c r="H525"/>
      <c r="I525"/>
    </row>
    <row r="526" spans="3:9" s="79" customFormat="1">
      <c r="G526" s="1119"/>
    </row>
    <row r="527" spans="3:9" s="79" customFormat="1">
      <c r="D527">
        <f>ROUNDUP(D528/21,0)</f>
        <v>12</v>
      </c>
      <c r="E527">
        <f>ROUNDUP(E528/21,0)</f>
        <v>1</v>
      </c>
      <c r="F527" s="359" t="s">
        <v>739</v>
      </c>
    </row>
    <row r="528" spans="3:9" s="79" customFormat="1">
      <c r="D528" s="532">
        <f>D522</f>
        <v>233.33333333333334</v>
      </c>
      <c r="E528" s="532">
        <f>E522</f>
        <v>13.333333333333334</v>
      </c>
      <c r="F528" s="359" t="s">
        <v>793</v>
      </c>
    </row>
    <row r="529" spans="3:25" s="79" customFormat="1">
      <c r="G529" s="1119"/>
    </row>
    <row r="530" spans="3:25" s="79" customFormat="1">
      <c r="C530" s="225" t="s">
        <v>70</v>
      </c>
      <c r="D530" s="230"/>
      <c r="E530" s="224" t="s">
        <v>156</v>
      </c>
      <c r="F530" s="212"/>
      <c r="G530" s="1108"/>
      <c r="H530" s="212"/>
      <c r="I530" s="119"/>
    </row>
    <row r="531" spans="3:25" s="79" customFormat="1">
      <c r="C531" s="212"/>
      <c r="D531" s="230"/>
      <c r="E531" s="224"/>
      <c r="F531" s="212"/>
      <c r="G531" s="1108"/>
      <c r="H531" s="212"/>
      <c r="I531" s="119"/>
    </row>
    <row r="532" spans="3:25" s="79" customFormat="1">
      <c r="C532" s="212"/>
      <c r="D532" s="230"/>
      <c r="E532" s="224"/>
      <c r="F532" s="212"/>
      <c r="G532" s="1108"/>
      <c r="H532" s="212"/>
      <c r="I532" s="119"/>
    </row>
    <row r="533" spans="3:25" s="79" customFormat="1">
      <c r="C533" s="212"/>
      <c r="D533" s="222">
        <f>D502</f>
        <v>233.33333333333334</v>
      </c>
      <c r="E533" s="222">
        <f>E502</f>
        <v>13.333333333333334</v>
      </c>
      <c r="F533" s="213" t="s">
        <v>157</v>
      </c>
      <c r="G533" s="1108"/>
      <c r="H533" s="212"/>
      <c r="I533" s="119"/>
    </row>
    <row r="534" spans="3:25" s="79" customFormat="1">
      <c r="C534" s="212"/>
      <c r="D534" s="229">
        <f>FLOOR(D533,1)</f>
        <v>233</v>
      </c>
      <c r="E534" s="229">
        <f>FLOOR(E533,1)</f>
        <v>13</v>
      </c>
      <c r="F534" s="213" t="s">
        <v>73</v>
      </c>
      <c r="G534" s="1108"/>
      <c r="H534" s="212"/>
      <c r="I534" s="119"/>
    </row>
    <row r="535" spans="3:25" s="79" customFormat="1">
      <c r="C535" s="212"/>
      <c r="D535" s="228">
        <f>D534*$D481</f>
        <v>466</v>
      </c>
      <c r="E535" s="228">
        <f>E534*$D481</f>
        <v>26</v>
      </c>
      <c r="F535" s="214" t="s">
        <v>175</v>
      </c>
      <c r="G535" s="1108"/>
      <c r="H535" s="212"/>
      <c r="I535" s="119"/>
    </row>
    <row r="536" spans="3:25" s="79" customFormat="1">
      <c r="C536" s="212"/>
      <c r="D536" s="227"/>
      <c r="F536" s="214" t="s">
        <v>88</v>
      </c>
      <c r="G536" s="1108"/>
      <c r="H536" s="212"/>
    </row>
    <row r="537" spans="3:25" s="79" customFormat="1">
      <c r="C537" s="212"/>
      <c r="D537" s="226">
        <f>D535*$D494</f>
        <v>97860</v>
      </c>
      <c r="E537" s="226">
        <f>E535*$D494</f>
        <v>5460</v>
      </c>
      <c r="F537" s="221" t="s">
        <v>74</v>
      </c>
      <c r="G537" s="1108"/>
      <c r="H537" s="212"/>
      <c r="J537" s="276"/>
      <c r="K537" s="276"/>
      <c r="L537" s="276"/>
      <c r="M537" s="276"/>
    </row>
    <row r="538" spans="3:25" s="79" customFormat="1">
      <c r="D538" s="282"/>
      <c r="E538" s="76"/>
      <c r="G538" s="1119"/>
      <c r="J538" s="122"/>
      <c r="K538" s="136"/>
      <c r="L538" s="119"/>
      <c r="M538" s="119"/>
    </row>
    <row r="539" spans="3:25" s="79" customFormat="1">
      <c r="C539" s="79" t="s">
        <v>4</v>
      </c>
      <c r="D539" s="57" t="s">
        <v>1322</v>
      </c>
      <c r="E539" s="124" t="s">
        <v>901</v>
      </c>
      <c r="M539" s="16"/>
      <c r="N539" s="34"/>
      <c r="Y539" s="16"/>
    </row>
    <row r="540" spans="3:25" s="79" customFormat="1">
      <c r="D540" s="79">
        <f>$D442</f>
        <v>40</v>
      </c>
      <c r="E540" s="79">
        <f>$D442</f>
        <v>40</v>
      </c>
      <c r="F540" s="79" t="s">
        <v>1324</v>
      </c>
      <c r="M540" s="16"/>
      <c r="N540" s="34"/>
      <c r="Y540" s="16"/>
    </row>
    <row r="541" spans="3:25" s="79" customFormat="1">
      <c r="D541" s="129">
        <f>D489</f>
        <v>7000</v>
      </c>
      <c r="E541" s="129">
        <f>D490</f>
        <v>700</v>
      </c>
      <c r="F541" s="79" t="s">
        <v>1325</v>
      </c>
      <c r="M541" s="16"/>
      <c r="N541" s="34"/>
      <c r="Y541" s="16"/>
    </row>
    <row r="542" spans="3:25" s="79" customFormat="1">
      <c r="D542" s="1606">
        <f>D540*D541</f>
        <v>280000</v>
      </c>
      <c r="E542" s="1597">
        <f>E540*E541</f>
        <v>28000</v>
      </c>
      <c r="F542" s="274" t="s">
        <v>1330</v>
      </c>
      <c r="M542" s="16"/>
      <c r="N542" s="34"/>
      <c r="Y542" s="16"/>
    </row>
    <row r="543" spans="3:25" s="79" customFormat="1">
      <c r="M543" s="16"/>
      <c r="N543" s="34"/>
      <c r="Y543" s="16"/>
    </row>
    <row r="544" spans="3:25" s="79" customFormat="1">
      <c r="M544" s="16"/>
      <c r="N544" s="34"/>
      <c r="Y544" s="16"/>
    </row>
    <row r="545" spans="3:25" s="79" customFormat="1">
      <c r="C545" s="79" t="s">
        <v>21</v>
      </c>
      <c r="D545" s="781">
        <v>10000</v>
      </c>
      <c r="E545" s="401"/>
      <c r="F545" s="118" t="s">
        <v>1336</v>
      </c>
      <c r="M545" s="16"/>
      <c r="N545" s="34"/>
      <c r="Y545" s="16"/>
    </row>
    <row r="546" spans="3:25" s="79" customFormat="1">
      <c r="D546" s="1740">
        <v>10</v>
      </c>
      <c r="E546" s="284"/>
      <c r="F546" s="78" t="s">
        <v>1356</v>
      </c>
      <c r="G546" s="1119"/>
      <c r="J546" s="122"/>
      <c r="K546" s="136"/>
      <c r="L546" s="119"/>
      <c r="M546" s="119"/>
    </row>
    <row r="547" spans="3:25" s="79" customFormat="1">
      <c r="D547" s="283"/>
      <c r="E547" s="76"/>
      <c r="G547" s="1119" t="s">
        <v>1328</v>
      </c>
      <c r="I547" s="79" t="s">
        <v>1329</v>
      </c>
      <c r="J547" s="122"/>
      <c r="K547" s="136"/>
      <c r="L547" s="119"/>
      <c r="M547" s="119"/>
    </row>
    <row r="548" spans="3:25" s="79" customFormat="1">
      <c r="D548" s="143" t="s">
        <v>172</v>
      </c>
      <c r="E548" s="144" t="s">
        <v>155</v>
      </c>
      <c r="F548" s="144" t="s">
        <v>174</v>
      </c>
      <c r="G548" s="1622" t="s">
        <v>1333</v>
      </c>
      <c r="H548" s="144" t="s">
        <v>69</v>
      </c>
      <c r="I548" s="144" t="s">
        <v>391</v>
      </c>
      <c r="J548" s="144" t="s">
        <v>1202</v>
      </c>
      <c r="K548" s="144" t="s">
        <v>69</v>
      </c>
      <c r="L548" s="619" t="s">
        <v>391</v>
      </c>
    </row>
    <row r="549" spans="3:25" s="79" customFormat="1">
      <c r="D549" s="135" t="s">
        <v>3</v>
      </c>
      <c r="E549" s="136"/>
      <c r="F549" s="122"/>
      <c r="G549" s="1623">
        <f>D506</f>
        <v>105000</v>
      </c>
      <c r="H549" s="119" t="s">
        <v>486</v>
      </c>
      <c r="I549" s="79">
        <f>D450</f>
        <v>20</v>
      </c>
      <c r="J549" s="1092">
        <f>E506</f>
        <v>6000</v>
      </c>
      <c r="K549" s="119" t="s">
        <v>486</v>
      </c>
      <c r="L549" s="1624">
        <f>D451</f>
        <v>1</v>
      </c>
    </row>
    <row r="550" spans="3:25" s="79" customFormat="1">
      <c r="D550" s="135" t="s">
        <v>132</v>
      </c>
      <c r="E550" s="136"/>
      <c r="F550" s="141"/>
      <c r="G550" s="1623">
        <f>D525</f>
        <v>66500</v>
      </c>
      <c r="H550" s="119" t="s">
        <v>53</v>
      </c>
      <c r="I550" s="79">
        <f>I549</f>
        <v>20</v>
      </c>
      <c r="J550" s="1092">
        <f>E525</f>
        <v>3800</v>
      </c>
      <c r="K550" s="119" t="s">
        <v>53</v>
      </c>
      <c r="L550" s="1624">
        <f>L549</f>
        <v>1</v>
      </c>
    </row>
    <row r="551" spans="3:25" s="79" customFormat="1">
      <c r="D551" s="135" t="s">
        <v>1331</v>
      </c>
      <c r="E551" s="136"/>
      <c r="F551" s="141"/>
      <c r="G551" s="1623">
        <f>SUM(G555:G556)</f>
        <v>377860</v>
      </c>
      <c r="H551" s="119" t="s">
        <v>1334</v>
      </c>
      <c r="I551" s="79">
        <f>I550</f>
        <v>20</v>
      </c>
      <c r="J551" s="1092">
        <f>SUM(J555:J556)</f>
        <v>33460</v>
      </c>
      <c r="K551" s="119" t="s">
        <v>1334</v>
      </c>
      <c r="L551" s="1624">
        <f>L550</f>
        <v>1</v>
      </c>
    </row>
    <row r="552" spans="3:25" s="79" customFormat="1">
      <c r="D552" s="135" t="s">
        <v>21</v>
      </c>
      <c r="E552" s="136"/>
      <c r="F552" s="141"/>
      <c r="G552" s="1623">
        <f>D545</f>
        <v>10000</v>
      </c>
      <c r="H552" s="119" t="s">
        <v>21</v>
      </c>
      <c r="I552" s="336">
        <f>D546</f>
        <v>10</v>
      </c>
      <c r="J552" s="1092" t="s">
        <v>1197</v>
      </c>
      <c r="K552" s="119" t="s">
        <v>21</v>
      </c>
      <c r="L552" s="1624"/>
    </row>
    <row r="553" spans="3:25" s="79" customFormat="1">
      <c r="D553" s="117"/>
      <c r="E553" s="185"/>
      <c r="F553" s="186"/>
      <c r="G553" s="1628">
        <f>SUM(G549:G551)</f>
        <v>549360</v>
      </c>
      <c r="H553" s="1629" t="s">
        <v>165</v>
      </c>
      <c r="I553" s="401"/>
      <c r="J553" s="1620">
        <f>SUM(J549:J551)</f>
        <v>43260</v>
      </c>
      <c r="K553" s="401"/>
      <c r="L553" s="1621" t="s">
        <v>165</v>
      </c>
    </row>
    <row r="554" spans="3:25" s="79" customFormat="1">
      <c r="D554" s="107"/>
      <c r="E554" s="2556"/>
      <c r="F554" s="320"/>
      <c r="G554" s="1623"/>
      <c r="H554" s="119"/>
      <c r="J554" s="1092"/>
      <c r="L554" s="358"/>
    </row>
    <row r="555" spans="3:25" s="79" customFormat="1">
      <c r="D555" s="1611" t="s">
        <v>169</v>
      </c>
      <c r="E555" s="1612"/>
      <c r="F555" s="1613"/>
      <c r="G555" s="1625">
        <f>D537</f>
        <v>97860</v>
      </c>
      <c r="H555" s="1609" t="s">
        <v>74</v>
      </c>
      <c r="I555" s="1209"/>
      <c r="J555" s="1607">
        <f>E537</f>
        <v>5460</v>
      </c>
      <c r="K555" s="1608"/>
      <c r="L555" s="1610" t="s">
        <v>74</v>
      </c>
    </row>
    <row r="556" spans="3:25" s="79" customFormat="1">
      <c r="D556" s="1614" t="s">
        <v>1332</v>
      </c>
      <c r="E556" s="1615"/>
      <c r="F556" s="1616"/>
      <c r="G556" s="1626">
        <f>D542</f>
        <v>280000</v>
      </c>
      <c r="H556" s="1627" t="s">
        <v>1335</v>
      </c>
      <c r="I556" s="812"/>
      <c r="J556" s="1617">
        <f>E542</f>
        <v>28000</v>
      </c>
      <c r="K556" s="1618"/>
      <c r="L556" s="1619" t="s">
        <v>1335</v>
      </c>
    </row>
    <row r="557" spans="3:25" s="79" customFormat="1">
      <c r="D557" s="122"/>
      <c r="E557" s="147"/>
      <c r="F557" s="122"/>
      <c r="G557" s="1092"/>
      <c r="H557" s="119"/>
    </row>
    <row r="558" spans="3:25" s="351" customFormat="1">
      <c r="D558" s="352"/>
      <c r="E558" s="353"/>
      <c r="G558" s="1122"/>
    </row>
    <row r="559" spans="3:25" s="7" customFormat="1">
      <c r="D559" s="69"/>
      <c r="E559" s="36"/>
      <c r="G559" s="1089"/>
    </row>
    <row r="560" spans="3:25" s="9" customFormat="1">
      <c r="E560" s="34"/>
      <c r="F560" s="34"/>
      <c r="G560" s="572"/>
    </row>
    <row r="561" spans="3:20" s="9" customFormat="1">
      <c r="C561" s="121" t="s">
        <v>1340</v>
      </c>
      <c r="E561" s="34"/>
      <c r="G561" s="572"/>
    </row>
    <row r="562" spans="3:20" s="9" customFormat="1">
      <c r="C562" s="121"/>
      <c r="D562" s="1658">
        <f>'Overall Assumptions'!$C$8</f>
        <v>100</v>
      </c>
      <c r="E562" s="319" t="s">
        <v>1343</v>
      </c>
      <c r="F562" s="108"/>
      <c r="G562" s="572"/>
    </row>
    <row r="563" spans="3:20" s="9" customFormat="1">
      <c r="C563" s="121"/>
      <c r="D563" s="527">
        <f>D562*2</f>
        <v>200</v>
      </c>
      <c r="E563" s="322" t="s">
        <v>1346</v>
      </c>
      <c r="F563" s="323"/>
      <c r="G563" s="572"/>
    </row>
    <row r="564" spans="3:20" s="9" customFormat="1">
      <c r="C564" s="121"/>
      <c r="D564" s="117">
        <v>0.5</v>
      </c>
      <c r="E564" s="1690" t="s">
        <v>1347</v>
      </c>
      <c r="F564" s="970"/>
    </row>
    <row r="565" spans="3:20" s="9" customFormat="1">
      <c r="C565" s="121"/>
      <c r="E565" s="1604" t="s">
        <v>1344</v>
      </c>
      <c r="F565" s="34"/>
    </row>
    <row r="566" spans="3:20" s="9" customFormat="1">
      <c r="C566" s="121"/>
      <c r="E566" s="124" t="s">
        <v>1345</v>
      </c>
      <c r="F566" s="34"/>
    </row>
    <row r="567" spans="3:20" s="9" customFormat="1">
      <c r="C567" s="121"/>
      <c r="F567" s="34"/>
    </row>
    <row r="568" spans="3:20" s="79" customFormat="1">
      <c r="D568" s="34"/>
      <c r="E568" s="76"/>
      <c r="G568" s="1119"/>
    </row>
    <row r="569" spans="3:20" s="79" customFormat="1">
      <c r="C569" s="233"/>
      <c r="D569" s="693" t="s">
        <v>1291</v>
      </c>
      <c r="E569" s="76"/>
      <c r="G569" s="1119"/>
      <c r="H569" s="129"/>
      <c r="J569" s="34" t="s">
        <v>179</v>
      </c>
      <c r="K569" s="34"/>
      <c r="L569" s="34"/>
      <c r="M569" s="34"/>
      <c r="N569" s="34"/>
    </row>
    <row r="570" spans="3:20" s="79" customFormat="1">
      <c r="D570" s="489" t="s">
        <v>1292</v>
      </c>
      <c r="E570" s="66"/>
      <c r="G570" s="1119"/>
      <c r="J570" s="874">
        <f>'Overall Assumptions'!$C$25</f>
        <v>1.4999999999999999E-2</v>
      </c>
      <c r="K570" s="34" t="s">
        <v>881</v>
      </c>
      <c r="L570" s="34"/>
      <c r="M570" s="34"/>
      <c r="N570" s="34"/>
    </row>
    <row r="571" spans="3:20" s="79" customFormat="1">
      <c r="D571" s="444">
        <v>20</v>
      </c>
      <c r="E571" s="164" t="s">
        <v>1289</v>
      </c>
      <c r="F571" s="161"/>
      <c r="G571" s="1120"/>
      <c r="H571" s="324"/>
      <c r="J571" s="34">
        <v>40</v>
      </c>
      <c r="K571" s="34" t="s">
        <v>886</v>
      </c>
      <c r="L571" s="34"/>
      <c r="M571" s="34"/>
      <c r="N571" s="34"/>
      <c r="O571" s="34"/>
      <c r="P571" s="34"/>
      <c r="Q571" s="34"/>
      <c r="R571" s="34"/>
      <c r="S571" s="34"/>
      <c r="T571" s="34"/>
    </row>
    <row r="572" spans="3:20" s="79" customFormat="1">
      <c r="C572" s="9"/>
      <c r="D572" s="1659">
        <v>1</v>
      </c>
      <c r="E572" s="322" t="s">
        <v>1196</v>
      </c>
      <c r="F572" s="1660"/>
      <c r="G572" s="1121"/>
      <c r="H572" s="288"/>
      <c r="J572" s="34"/>
      <c r="K572" s="34"/>
      <c r="L572" s="34"/>
      <c r="M572" s="34"/>
      <c r="N572" s="34"/>
    </row>
    <row r="573" spans="3:20" s="79" customFormat="1">
      <c r="C573" s="9"/>
      <c r="D573" s="1600"/>
      <c r="E573" s="124"/>
      <c r="F573" s="147"/>
      <c r="G573" s="1121"/>
      <c r="H573" s="288"/>
      <c r="J573" s="34"/>
      <c r="K573" s="871" t="s">
        <v>880</v>
      </c>
      <c r="L573" s="34"/>
      <c r="M573" s="34"/>
      <c r="N573" s="34"/>
      <c r="O573" s="872" t="s">
        <v>892</v>
      </c>
      <c r="T573" s="16"/>
    </row>
    <row r="574" spans="3:20" s="79" customFormat="1">
      <c r="C574" s="9"/>
      <c r="D574" s="1602">
        <v>40</v>
      </c>
      <c r="E574" s="1600" t="s">
        <v>1295</v>
      </c>
      <c r="F574" s="147"/>
      <c r="G574" s="1121"/>
      <c r="H574" s="288"/>
      <c r="J574" s="34">
        <v>2500</v>
      </c>
      <c r="K574" s="34" t="s">
        <v>891</v>
      </c>
      <c r="L574" s="34"/>
      <c r="M574" s="34"/>
      <c r="N574" s="34"/>
      <c r="O574" s="16"/>
      <c r="P574" s="24" t="s">
        <v>889</v>
      </c>
      <c r="Q574" s="24"/>
      <c r="R574" s="24"/>
      <c r="S574" s="24"/>
      <c r="T574" s="16"/>
    </row>
    <row r="575" spans="3:20" s="79" customFormat="1">
      <c r="C575" s="9"/>
      <c r="E575" s="1600"/>
      <c r="F575" s="147"/>
      <c r="G575" s="1121"/>
      <c r="H575" s="288"/>
      <c r="J575" s="16">
        <f>J574/J450</f>
        <v>62.5</v>
      </c>
      <c r="K575" s="34" t="s">
        <v>887</v>
      </c>
      <c r="L575" s="34"/>
      <c r="M575" s="34"/>
      <c r="N575" s="16"/>
      <c r="O575" s="63">
        <v>4500</v>
      </c>
      <c r="P575" s="16" t="s">
        <v>890</v>
      </c>
      <c r="Q575" s="16"/>
      <c r="R575" s="16"/>
      <c r="S575" s="16"/>
      <c r="T575" s="16"/>
    </row>
    <row r="576" spans="3:20" s="79" customFormat="1">
      <c r="C576" s="1601" t="s">
        <v>1290</v>
      </c>
      <c r="D576" s="1689" t="s">
        <v>1304</v>
      </c>
      <c r="E576" s="401"/>
      <c r="F576" s="1688"/>
      <c r="G576" s="1121"/>
      <c r="H576" s="288"/>
      <c r="J576" s="34"/>
      <c r="K576" s="34"/>
      <c r="L576" s="34"/>
      <c r="M576" s="34"/>
      <c r="N576" s="16"/>
      <c r="O576" s="267">
        <f>O575*(1+J570)^8</f>
        <v>5069.2166396788753</v>
      </c>
      <c r="P576" s="34" t="s">
        <v>877</v>
      </c>
      <c r="Q576" s="34"/>
      <c r="R576" s="34"/>
      <c r="S576" s="34"/>
      <c r="T576" s="16"/>
    </row>
    <row r="577" spans="3:25" s="79" customFormat="1">
      <c r="C577" s="1601"/>
      <c r="D577" s="1661">
        <v>2500</v>
      </c>
      <c r="E577" s="1678">
        <v>2500</v>
      </c>
      <c r="F577" s="1662">
        <v>2500</v>
      </c>
      <c r="G577" s="79" t="s">
        <v>426</v>
      </c>
      <c r="H577" s="288"/>
      <c r="J577" s="267">
        <v>5800</v>
      </c>
      <c r="K577" s="105" t="s">
        <v>876</v>
      </c>
      <c r="L577" s="34"/>
      <c r="M577" s="34"/>
      <c r="N577" s="16"/>
      <c r="O577" s="63">
        <v>5000</v>
      </c>
      <c r="P577" s="34" t="s">
        <v>1303</v>
      </c>
      <c r="Q577" s="34"/>
      <c r="R577" s="34"/>
      <c r="S577" s="34"/>
      <c r="T577" s="16"/>
      <c r="W577" s="872" t="s">
        <v>894</v>
      </c>
      <c r="X577" s="34"/>
      <c r="Y577" s="34"/>
    </row>
    <row r="578" spans="3:25" s="79" customFormat="1">
      <c r="C578" s="1601"/>
      <c r="D578" s="875">
        <f>D577/$D453</f>
        <v>62.5</v>
      </c>
      <c r="E578" s="875">
        <f t="shared" ref="E578:F578" si="47">E577/$D453</f>
        <v>62.5</v>
      </c>
      <c r="F578" s="875">
        <f t="shared" si="47"/>
        <v>62.5</v>
      </c>
      <c r="G578" s="79" t="s">
        <v>1296</v>
      </c>
      <c r="H578" s="288"/>
      <c r="J578" s="267">
        <f>J577*(1+J570)^8</f>
        <v>6533.6570022527731</v>
      </c>
      <c r="K578" s="34" t="s">
        <v>877</v>
      </c>
      <c r="L578" s="34"/>
      <c r="M578" s="34"/>
      <c r="N578" s="16"/>
      <c r="O578" s="63">
        <v>3000</v>
      </c>
      <c r="P578" s="16" t="s">
        <v>885</v>
      </c>
      <c r="Q578" s="16"/>
      <c r="R578" s="16"/>
      <c r="S578" s="16"/>
      <c r="T578" s="16"/>
      <c r="W578" s="34"/>
      <c r="X578" s="521" t="s">
        <v>893</v>
      </c>
      <c r="Y578" s="16"/>
    </row>
    <row r="579" spans="3:25" s="79" customFormat="1">
      <c r="C579" s="1601"/>
      <c r="D579" s="1689" t="s">
        <v>1294</v>
      </c>
      <c r="E579" s="593"/>
      <c r="F579" s="1688"/>
      <c r="G579" s="1121"/>
      <c r="H579" s="288"/>
      <c r="J579" s="267">
        <v>7000</v>
      </c>
      <c r="K579" s="34" t="s">
        <v>879</v>
      </c>
      <c r="L579" s="34"/>
      <c r="M579" s="34"/>
      <c r="N579" s="16"/>
      <c r="O579" s="432">
        <f>O578/J571</f>
        <v>75</v>
      </c>
      <c r="P579" s="16" t="s">
        <v>888</v>
      </c>
      <c r="Q579" s="16"/>
      <c r="R579" s="16"/>
      <c r="S579" s="16"/>
      <c r="T579" s="16"/>
      <c r="W579" s="16"/>
      <c r="X579" s="105" t="s">
        <v>901</v>
      </c>
      <c r="Y579" s="16"/>
    </row>
    <row r="580" spans="3:25" s="79" customFormat="1">
      <c r="C580" s="9"/>
      <c r="D580" s="1663" t="s">
        <v>1298</v>
      </c>
      <c r="E580" s="1679" t="s">
        <v>1299</v>
      </c>
      <c r="F580" s="485" t="s">
        <v>889</v>
      </c>
      <c r="G580" s="79" t="s">
        <v>1305</v>
      </c>
      <c r="H580" s="288"/>
      <c r="J580" s="267"/>
      <c r="K580" s="34"/>
      <c r="L580" s="34"/>
      <c r="M580" s="34"/>
      <c r="N580" s="16"/>
      <c r="W580" s="16"/>
      <c r="X580" s="16" t="s">
        <v>895</v>
      </c>
      <c r="Y580" s="16"/>
    </row>
    <row r="581" spans="3:25" s="79" customFormat="1">
      <c r="C581" s="9"/>
      <c r="D581" s="1540" t="s">
        <v>1300</v>
      </c>
      <c r="E581" s="591" t="s">
        <v>1302</v>
      </c>
      <c r="F581" s="1664" t="s">
        <v>1306</v>
      </c>
      <c r="G581" s="79" t="s">
        <v>69</v>
      </c>
      <c r="H581" s="288"/>
      <c r="J581" s="267">
        <v>1000</v>
      </c>
      <c r="K581" s="34" t="s">
        <v>885</v>
      </c>
      <c r="L581" s="34"/>
      <c r="M581" s="34"/>
      <c r="N581" s="16"/>
      <c r="W581" s="16">
        <v>0.9</v>
      </c>
      <c r="X581" s="16" t="s">
        <v>896</v>
      </c>
      <c r="Y581" s="16"/>
    </row>
    <row r="582" spans="3:25" s="79" customFormat="1">
      <c r="C582" s="9"/>
      <c r="D582" s="1665">
        <f>J579</f>
        <v>7000</v>
      </c>
      <c r="E582" s="1680">
        <f>J586</f>
        <v>11000</v>
      </c>
      <c r="F582" s="1666">
        <f>O577</f>
        <v>5000</v>
      </c>
      <c r="G582" s="79" t="s">
        <v>1297</v>
      </c>
      <c r="H582" s="288"/>
      <c r="J582" s="432">
        <f>J581/J571</f>
        <v>25</v>
      </c>
      <c r="K582" s="34" t="s">
        <v>887</v>
      </c>
      <c r="L582" s="16"/>
      <c r="M582" s="16"/>
      <c r="N582" s="16"/>
      <c r="O582" s="16"/>
      <c r="P582" s="872" t="s">
        <v>884</v>
      </c>
      <c r="Q582" s="872"/>
      <c r="R582" s="872"/>
      <c r="S582" s="872"/>
      <c r="W582" s="16">
        <f>W581*52</f>
        <v>46.800000000000004</v>
      </c>
      <c r="X582" s="16" t="s">
        <v>897</v>
      </c>
      <c r="Y582" s="16"/>
    </row>
    <row r="583" spans="3:25" s="79" customFormat="1">
      <c r="C583" s="9"/>
      <c r="D583" s="1667">
        <f>J581</f>
        <v>1000</v>
      </c>
      <c r="E583" s="1078">
        <f>J589</f>
        <v>8500</v>
      </c>
      <c r="F583" s="552">
        <f>O578</f>
        <v>3000</v>
      </c>
      <c r="G583" s="1121" t="s">
        <v>1301</v>
      </c>
      <c r="H583" s="288"/>
      <c r="N583" s="16"/>
      <c r="O583" s="63">
        <v>12500</v>
      </c>
      <c r="P583" s="24" t="s">
        <v>883</v>
      </c>
      <c r="Q583" s="24"/>
      <c r="R583" s="24"/>
      <c r="S583" s="24"/>
      <c r="W583" s="864">
        <f>W582/J590</f>
        <v>0.22023529411764708</v>
      </c>
      <c r="X583" s="16" t="s">
        <v>898</v>
      </c>
      <c r="Y583" s="16"/>
    </row>
    <row r="584" spans="3:25" s="79" customFormat="1">
      <c r="C584" s="9"/>
      <c r="D584" s="535">
        <f>J582</f>
        <v>25</v>
      </c>
      <c r="E584" s="1681">
        <f>J590</f>
        <v>212.5</v>
      </c>
      <c r="F584" s="1668">
        <f>O579</f>
        <v>75</v>
      </c>
      <c r="G584" s="1121" t="s">
        <v>1307</v>
      </c>
      <c r="H584" s="288"/>
      <c r="J584" s="267">
        <v>9600</v>
      </c>
      <c r="K584" s="105" t="s">
        <v>878</v>
      </c>
      <c r="L584" s="34"/>
      <c r="M584" s="16"/>
      <c r="N584" s="16"/>
      <c r="O584" s="267">
        <f>O583*(1+J570)^5</f>
        <v>13466.050048554678</v>
      </c>
      <c r="P584" s="34" t="s">
        <v>877</v>
      </c>
      <c r="Q584" s="34"/>
      <c r="R584" s="34"/>
      <c r="S584" s="34"/>
      <c r="W584" s="825">
        <v>0.2</v>
      </c>
      <c r="X584" s="16" t="s">
        <v>899</v>
      </c>
      <c r="Y584" s="16"/>
    </row>
    <row r="585" spans="3:25" s="79" customFormat="1">
      <c r="C585" s="9"/>
      <c r="D585" s="1245"/>
      <c r="E585" s="1682"/>
      <c r="F585" s="1669"/>
      <c r="G585" s="122" t="s">
        <v>1308</v>
      </c>
      <c r="J585" s="267">
        <f>J584*(1+J570)^8</f>
        <v>10814.328831314935</v>
      </c>
      <c r="K585" s="34" t="s">
        <v>877</v>
      </c>
      <c r="L585" s="34"/>
      <c r="M585" s="16"/>
      <c r="N585" s="16"/>
      <c r="O585" s="63">
        <v>13000</v>
      </c>
      <c r="P585" s="34" t="s">
        <v>882</v>
      </c>
      <c r="Q585" s="34"/>
      <c r="R585" s="34"/>
      <c r="S585" s="34"/>
      <c r="W585" s="16"/>
      <c r="X585" s="16" t="s">
        <v>900</v>
      </c>
      <c r="Y585" s="16"/>
    </row>
    <row r="586" spans="3:25" s="79" customFormat="1">
      <c r="C586" s="1601" t="s">
        <v>1293</v>
      </c>
      <c r="D586" s="1687" t="s">
        <v>1341</v>
      </c>
      <c r="E586" s="865"/>
      <c r="F586" s="1688"/>
      <c r="G586" s="6"/>
      <c r="H586" s="288"/>
      <c r="J586" s="63">
        <v>11000</v>
      </c>
      <c r="K586" s="34" t="s">
        <v>882</v>
      </c>
      <c r="L586" s="16"/>
      <c r="M586" s="16"/>
      <c r="N586" s="16"/>
      <c r="Y586" s="16"/>
    </row>
    <row r="587" spans="3:25" s="79" customFormat="1">
      <c r="C587" s="1601"/>
      <c r="D587" s="1670">
        <v>0.1</v>
      </c>
      <c r="E587" s="1683">
        <v>0.1</v>
      </c>
      <c r="F587" s="1671">
        <v>0.1</v>
      </c>
      <c r="G587" s="6" t="s">
        <v>1311</v>
      </c>
      <c r="H587" s="288"/>
      <c r="J587" s="63"/>
      <c r="K587" s="34"/>
      <c r="L587" s="16"/>
      <c r="M587" s="16"/>
      <c r="N587" s="16"/>
      <c r="Y587" s="16"/>
    </row>
    <row r="588" spans="3:25" s="79" customFormat="1">
      <c r="C588" s="9"/>
      <c r="D588" s="1672">
        <f>D587*D582</f>
        <v>700</v>
      </c>
      <c r="E588" s="1684">
        <f>E587*E582</f>
        <v>1100</v>
      </c>
      <c r="F588" s="1673">
        <f>F587*F582</f>
        <v>500</v>
      </c>
      <c r="G588" s="79" t="s">
        <v>1312</v>
      </c>
      <c r="H588" s="288"/>
      <c r="J588" s="63"/>
      <c r="K588" s="16"/>
      <c r="L588" s="16"/>
      <c r="M588" s="16"/>
      <c r="N588" s="34"/>
      <c r="O588" s="16"/>
      <c r="P588" s="16"/>
      <c r="Q588" s="16"/>
      <c r="R588" s="16"/>
      <c r="S588" s="16"/>
      <c r="T588" s="16"/>
    </row>
    <row r="589" spans="3:25" s="79" customFormat="1">
      <c r="C589" s="9"/>
      <c r="D589" s="1674">
        <v>0.2</v>
      </c>
      <c r="E589" s="1685">
        <v>0.2</v>
      </c>
      <c r="F589" s="1675">
        <v>0.2</v>
      </c>
      <c r="G589" s="1121" t="s">
        <v>1309</v>
      </c>
      <c r="H589" s="288"/>
      <c r="J589" s="63">
        <v>8500</v>
      </c>
      <c r="K589" s="16" t="s">
        <v>885</v>
      </c>
      <c r="L589" s="16"/>
      <c r="M589" s="16"/>
      <c r="N589" s="34"/>
      <c r="Y589" s="16"/>
    </row>
    <row r="590" spans="3:25" s="79" customFormat="1">
      <c r="D590" s="1676">
        <f>D584*D589</f>
        <v>5</v>
      </c>
      <c r="E590" s="1686">
        <f>E584*E589</f>
        <v>42.5</v>
      </c>
      <c r="F590" s="1677">
        <f>F584*F589</f>
        <v>15</v>
      </c>
      <c r="G590" s="1121" t="s">
        <v>1310</v>
      </c>
      <c r="J590" s="432">
        <f>J589/J571</f>
        <v>212.5</v>
      </c>
      <c r="K590" s="16" t="s">
        <v>888</v>
      </c>
      <c r="L590" s="16"/>
      <c r="M590" s="16"/>
      <c r="N590" s="34"/>
      <c r="Y590" s="16"/>
    </row>
    <row r="591" spans="3:25" s="79" customFormat="1">
      <c r="M591" s="16"/>
      <c r="N591" s="34"/>
      <c r="Y591" s="16"/>
    </row>
    <row r="592" spans="3:25" s="79" customFormat="1">
      <c r="M592" s="16"/>
      <c r="N592" s="34"/>
      <c r="Y592" s="16"/>
    </row>
    <row r="593" spans="3:25" s="79" customFormat="1">
      <c r="M593" s="16"/>
      <c r="N593" s="34"/>
      <c r="Y593" s="16"/>
    </row>
    <row r="594" spans="3:25" s="79" customFormat="1" ht="19">
      <c r="C594" t="s">
        <v>50</v>
      </c>
      <c r="D594" s="37" t="s">
        <v>81</v>
      </c>
      <c r="E594" s="24"/>
      <c r="F594" s="1"/>
      <c r="G594" s="1100"/>
      <c r="H594" s="286"/>
      <c r="I594" s="286"/>
      <c r="J594" s="289"/>
      <c r="K594" s="216"/>
    </row>
    <row r="595" spans="3:25" s="79" customFormat="1">
      <c r="C595"/>
      <c r="D595" s="24" t="s">
        <v>250</v>
      </c>
      <c r="E595" s="16"/>
      <c r="F595" s="1"/>
      <c r="G595" s="1100"/>
      <c r="J595" s="248"/>
      <c r="K595" s="248"/>
      <c r="L595" s="122"/>
    </row>
    <row r="596" spans="3:25" s="79" customFormat="1">
      <c r="C596"/>
      <c r="D596" s="160" t="s">
        <v>294</v>
      </c>
      <c r="E596" s="16"/>
      <c r="F596"/>
      <c r="G596" s="359"/>
      <c r="J596" s="248"/>
      <c r="K596" s="288"/>
      <c r="L596" s="122"/>
    </row>
    <row r="597" spans="3:25" s="79" customFormat="1">
      <c r="C597"/>
      <c r="D597" s="50"/>
      <c r="E597" s="16"/>
      <c r="F597"/>
      <c r="G597" s="359"/>
      <c r="J597" s="286"/>
      <c r="K597" s="286"/>
      <c r="L597" s="122"/>
    </row>
    <row r="598" spans="3:25" s="79" customFormat="1">
      <c r="C598"/>
      <c r="D598" s="51" t="s">
        <v>82</v>
      </c>
      <c r="E598" s="39"/>
      <c r="F598"/>
      <c r="G598" s="359"/>
      <c r="H598" s="212"/>
      <c r="I598" s="212"/>
      <c r="J598" s="216"/>
      <c r="K598" s="216"/>
    </row>
    <row r="599" spans="3:25" s="79" customFormat="1" ht="19">
      <c r="C599"/>
      <c r="D599" s="52">
        <f>'Overall Assumptions'!$C$68</f>
        <v>225</v>
      </c>
      <c r="E599" s="53" t="s">
        <v>99</v>
      </c>
      <c r="F599"/>
      <c r="G599" s="359"/>
      <c r="J599" s="65"/>
      <c r="K599" s="66"/>
    </row>
    <row r="600" spans="3:25" s="79" customFormat="1" ht="19">
      <c r="C600"/>
      <c r="D600" s="54">
        <f>D563</f>
        <v>200</v>
      </c>
      <c r="E600" s="355" t="s">
        <v>1321</v>
      </c>
      <c r="F600"/>
      <c r="G600" s="359"/>
      <c r="I600" s="65"/>
      <c r="K600" s="66"/>
    </row>
    <row r="601" spans="3:25" s="79" customFormat="1" ht="19">
      <c r="C601"/>
      <c r="D601" s="54"/>
      <c r="E601" s="355"/>
      <c r="F601"/>
      <c r="G601" s="359"/>
      <c r="H601" s="122"/>
      <c r="I601" s="978"/>
      <c r="K601" s="66"/>
    </row>
    <row r="602" spans="3:25" s="79" customFormat="1">
      <c r="C602"/>
      <c r="D602" s="354">
        <v>2</v>
      </c>
      <c r="E602" s="43" t="s">
        <v>291</v>
      </c>
      <c r="F602"/>
      <c r="G602" s="359"/>
      <c r="H602" s="122"/>
      <c r="I602" s="122"/>
      <c r="J602" s="65"/>
      <c r="K602" s="66"/>
    </row>
    <row r="603" spans="3:25" s="79" customFormat="1">
      <c r="C603"/>
      <c r="D603" s="506"/>
      <c r="E603" s="43" t="s">
        <v>1326</v>
      </c>
      <c r="F603"/>
      <c r="G603" s="359"/>
      <c r="H603" s="122"/>
      <c r="I603" s="122"/>
      <c r="J603" s="65"/>
      <c r="K603" s="66"/>
    </row>
    <row r="604" spans="3:25" s="79" customFormat="1">
      <c r="C604"/>
      <c r="D604" s="1603" t="s">
        <v>1298</v>
      </c>
      <c r="E604" s="43" t="s">
        <v>1313</v>
      </c>
      <c r="F604"/>
      <c r="G604" s="359"/>
      <c r="H604" s="122"/>
      <c r="I604" s="122"/>
      <c r="J604" s="65"/>
      <c r="K604" s="66"/>
    </row>
    <row r="605" spans="3:25" s="79" customFormat="1">
      <c r="C605"/>
      <c r="D605" s="295">
        <f>D578</f>
        <v>62.5</v>
      </c>
      <c r="E605" s="43" t="s">
        <v>1338</v>
      </c>
      <c r="F605"/>
      <c r="G605" s="359"/>
      <c r="H605" s="122"/>
      <c r="I605" s="122"/>
      <c r="J605" s="65"/>
      <c r="K605" s="66"/>
    </row>
    <row r="606" spans="3:25" s="79" customFormat="1">
      <c r="C606"/>
      <c r="D606" s="295">
        <f>D584</f>
        <v>25</v>
      </c>
      <c r="E606" s="43" t="s">
        <v>1339</v>
      </c>
      <c r="F606"/>
      <c r="G606" s="359"/>
      <c r="H606" s="122"/>
      <c r="I606" s="122"/>
      <c r="J606" s="65"/>
      <c r="K606" s="66"/>
    </row>
    <row r="607" spans="3:25" s="79" customFormat="1">
      <c r="C607"/>
      <c r="D607" s="506"/>
      <c r="E607" s="43"/>
      <c r="F607"/>
      <c r="G607" s="359"/>
      <c r="H607" s="122"/>
      <c r="I607" s="122"/>
      <c r="J607" s="65"/>
      <c r="K607" s="66"/>
    </row>
    <row r="608" spans="3:25" s="79" customFormat="1">
      <c r="C608"/>
      <c r="D608" s="295">
        <f>D590</f>
        <v>5</v>
      </c>
      <c r="E608" s="43" t="s">
        <v>1314</v>
      </c>
      <c r="F608"/>
      <c r="G608" s="359"/>
      <c r="H608" s="122"/>
      <c r="I608" s="122"/>
      <c r="J608" s="65"/>
      <c r="K608" s="66"/>
    </row>
    <row r="609" spans="3:11" s="79" customFormat="1">
      <c r="C609"/>
      <c r="D609" s="54">
        <f>'Overall Assumptions'!$C$10</f>
        <v>0</v>
      </c>
      <c r="E609" s="43" t="s">
        <v>85</v>
      </c>
      <c r="F609"/>
      <c r="G609" s="359"/>
      <c r="I609" s="122"/>
      <c r="J609" s="65"/>
      <c r="K609" s="66"/>
    </row>
    <row r="610" spans="3:11" s="79" customFormat="1">
      <c r="C610"/>
      <c r="D610" s="54">
        <f>'Overall Assumptions'!$C$90</f>
        <v>80</v>
      </c>
      <c r="E610" s="43" t="s">
        <v>86</v>
      </c>
      <c r="F610"/>
      <c r="G610" s="359"/>
      <c r="J610" s="65"/>
      <c r="K610" s="66"/>
    </row>
    <row r="611" spans="3:11" s="79" customFormat="1">
      <c r="C611"/>
      <c r="D611" s="56">
        <f>'Overall Assumptions'!$C$81</f>
        <v>210</v>
      </c>
      <c r="E611" s="45" t="s">
        <v>87</v>
      </c>
      <c r="F611"/>
      <c r="G611" s="359"/>
      <c r="J611" s="65"/>
      <c r="K611" s="66"/>
    </row>
    <row r="612" spans="3:11" s="79" customFormat="1">
      <c r="C612"/>
      <c r="D612" s="57"/>
      <c r="E612" s="16"/>
      <c r="F612"/>
      <c r="G612" s="359"/>
      <c r="J612" s="65"/>
      <c r="K612" s="66"/>
    </row>
    <row r="613" spans="3:11" s="79" customFormat="1">
      <c r="C613"/>
      <c r="D613" s="57"/>
      <c r="E613" s="16"/>
      <c r="F613"/>
      <c r="G613" s="359"/>
      <c r="J613" s="65"/>
      <c r="K613" s="66"/>
    </row>
    <row r="614" spans="3:11" s="79" customFormat="1">
      <c r="C614"/>
      <c r="D614" s="57" t="s">
        <v>1322</v>
      </c>
      <c r="E614" s="124" t="s">
        <v>901</v>
      </c>
      <c r="F614"/>
      <c r="G614" s="359"/>
      <c r="J614" s="65"/>
      <c r="K614" s="66"/>
    </row>
    <row r="615" spans="3:11" s="79" customFormat="1">
      <c r="C615" s="21"/>
      <c r="D615" s="296">
        <f>2*D609/D610/7.5</f>
        <v>0</v>
      </c>
      <c r="E615" s="79">
        <f>2*D609/D610/7.5</f>
        <v>0</v>
      </c>
      <c r="F615" s="59" t="s">
        <v>95</v>
      </c>
      <c r="G615"/>
      <c r="J615" s="129"/>
      <c r="K615" s="76"/>
    </row>
    <row r="616" spans="3:11" s="79" customFormat="1">
      <c r="C616" s="21"/>
      <c r="D616" s="296"/>
      <c r="F616" s="60" t="s">
        <v>100</v>
      </c>
      <c r="G616"/>
      <c r="J616" s="65"/>
      <c r="K616" s="66"/>
    </row>
    <row r="617" spans="3:11" s="79" customFormat="1">
      <c r="C617" s="21"/>
      <c r="D617" s="296">
        <f>SUM(D605:D606)*D600/7.5</f>
        <v>2333.3333333333335</v>
      </c>
      <c r="E617" s="79">
        <f>D608*D600/7.5</f>
        <v>133.33333333333334</v>
      </c>
      <c r="F617" s="124" t="s">
        <v>1323</v>
      </c>
      <c r="G617"/>
    </row>
    <row r="618" spans="3:11" s="79" customFormat="1">
      <c r="C618" s="21"/>
      <c r="D618" s="297"/>
      <c r="F618" s="59"/>
    </row>
    <row r="619" spans="3:11" s="79" customFormat="1" ht="28">
      <c r="C619" s="21"/>
      <c r="D619" s="296">
        <f>D621/$D602</f>
        <v>1166.6666666666667</v>
      </c>
      <c r="E619" s="296">
        <f>E621/$D602</f>
        <v>66.666666666666671</v>
      </c>
      <c r="F619" s="16" t="s">
        <v>1327</v>
      </c>
      <c r="G619" s="19"/>
    </row>
    <row r="620" spans="3:11" s="122" customFormat="1">
      <c r="C620" s="9"/>
      <c r="D620" s="105"/>
      <c r="E620" s="105"/>
      <c r="F620" s="34"/>
      <c r="G620" s="9"/>
    </row>
    <row r="621" spans="3:11" s="79" customFormat="1">
      <c r="C621"/>
      <c r="D621" s="77">
        <f>D615+D617</f>
        <v>2333.3333333333335</v>
      </c>
      <c r="E621" s="77">
        <f>E615+E617</f>
        <v>133.33333333333334</v>
      </c>
      <c r="F621" s="16" t="s">
        <v>133</v>
      </c>
      <c r="G621"/>
    </row>
    <row r="622" spans="3:11" s="79" customFormat="1">
      <c r="C622"/>
      <c r="D622" s="77"/>
      <c r="F622" s="16"/>
      <c r="G622"/>
    </row>
    <row r="623" spans="3:11" s="79" customFormat="1">
      <c r="C623" s="21"/>
      <c r="D623" s="64">
        <f>D621*$D599</f>
        <v>525000</v>
      </c>
      <c r="E623" s="64">
        <f>E621*$D599</f>
        <v>30000.000000000004</v>
      </c>
      <c r="F623" s="39" t="s">
        <v>486</v>
      </c>
      <c r="G623"/>
      <c r="H623" s="276"/>
      <c r="I623" s="276"/>
    </row>
    <row r="624" spans="3:11" s="79" customFormat="1">
      <c r="C624" s="21"/>
      <c r="G624" s="1119"/>
      <c r="H624" s="119"/>
      <c r="I624" s="119"/>
    </row>
    <row r="625" spans="3:9" s="79" customFormat="1">
      <c r="C625" s="21"/>
      <c r="G625" s="1119"/>
      <c r="H625" s="119"/>
      <c r="I625" s="119"/>
    </row>
    <row r="626" spans="3:9" s="79" customFormat="1" ht="19">
      <c r="C626" s="2" t="s">
        <v>132</v>
      </c>
      <c r="D626" s="37" t="s">
        <v>89</v>
      </c>
      <c r="E626" s="16"/>
      <c r="F626"/>
      <c r="G626" s="359"/>
      <c r="H626"/>
      <c r="I626"/>
    </row>
    <row r="627" spans="3:9" s="79" customFormat="1">
      <c r="C627" t="s">
        <v>54</v>
      </c>
      <c r="D627" s="160" t="s">
        <v>296</v>
      </c>
      <c r="E627" s="16"/>
      <c r="F627"/>
      <c r="G627" s="359"/>
      <c r="H627"/>
      <c r="I627"/>
    </row>
    <row r="628" spans="3:9" s="79" customFormat="1">
      <c r="C628"/>
      <c r="D628" s="160"/>
      <c r="E628" s="16"/>
      <c r="F628"/>
      <c r="G628" s="359"/>
      <c r="H628"/>
      <c r="I628"/>
    </row>
    <row r="629" spans="3:9" s="79" customFormat="1">
      <c r="C629"/>
      <c r="D629" s="16"/>
      <c r="E629" s="16"/>
      <c r="F629"/>
      <c r="G629" s="359"/>
      <c r="H629"/>
      <c r="I629"/>
    </row>
    <row r="630" spans="3:9" s="79" customFormat="1">
      <c r="C630"/>
      <c r="D630" s="67" t="s">
        <v>91</v>
      </c>
      <c r="E630" s="41"/>
      <c r="F630"/>
      <c r="G630" s="359"/>
      <c r="H630"/>
      <c r="I630"/>
    </row>
    <row r="631" spans="3:9" s="79" customFormat="1">
      <c r="C631"/>
      <c r="D631" s="52">
        <f>'Overall Assumptions'!$C$93</f>
        <v>285</v>
      </c>
      <c r="E631" s="41" t="s">
        <v>93</v>
      </c>
      <c r="F631"/>
      <c r="G631" s="359"/>
      <c r="H631"/>
      <c r="I631"/>
    </row>
    <row r="632" spans="3:9" s="79" customFormat="1">
      <c r="C632"/>
      <c r="D632" s="54"/>
      <c r="E632" s="43"/>
      <c r="F632"/>
      <c r="G632" s="359"/>
      <c r="H632"/>
      <c r="I632"/>
    </row>
    <row r="633" spans="3:9" s="79" customFormat="1">
      <c r="C633"/>
      <c r="D633" s="54"/>
      <c r="E633" s="43"/>
      <c r="F633"/>
      <c r="G633" s="359"/>
      <c r="H633"/>
      <c r="I633"/>
    </row>
    <row r="634" spans="3:9" s="79" customFormat="1">
      <c r="C634"/>
      <c r="D634" s="56"/>
      <c r="E634" s="45"/>
      <c r="F634"/>
      <c r="G634" s="359"/>
      <c r="H634"/>
      <c r="I634"/>
    </row>
    <row r="635" spans="3:9" s="79" customFormat="1">
      <c r="C635"/>
      <c r="D635" s="75"/>
      <c r="E635" s="76"/>
      <c r="F635"/>
      <c r="G635" s="359"/>
      <c r="H635"/>
      <c r="I635"/>
    </row>
    <row r="636" spans="3:9" s="79" customFormat="1">
      <c r="C636"/>
      <c r="D636" s="46">
        <f>D615</f>
        <v>0</v>
      </c>
      <c r="E636" s="46">
        <f>E615</f>
        <v>0</v>
      </c>
      <c r="F636" s="59" t="s">
        <v>97</v>
      </c>
      <c r="G636" s="359"/>
      <c r="H636"/>
      <c r="I636"/>
    </row>
    <row r="637" spans="3:9" s="79" customFormat="1">
      <c r="C637"/>
      <c r="D637" s="46">
        <f>D619</f>
        <v>1166.6666666666667</v>
      </c>
      <c r="E637" s="46">
        <f>E619</f>
        <v>66.666666666666671</v>
      </c>
      <c r="F637" s="59" t="s">
        <v>98</v>
      </c>
      <c r="G637" s="359"/>
      <c r="H637"/>
      <c r="I637"/>
    </row>
    <row r="638" spans="3:9" s="79" customFormat="1">
      <c r="C638"/>
      <c r="D638" s="46"/>
      <c r="E638" s="46"/>
      <c r="F638" s="59"/>
      <c r="G638" s="359"/>
      <c r="H638"/>
      <c r="I638"/>
    </row>
    <row r="639" spans="3:9" s="79" customFormat="1">
      <c r="C639"/>
      <c r="D639" s="46">
        <f>SUM(D636:D638)</f>
        <v>1166.6666666666667</v>
      </c>
      <c r="E639" s="46">
        <f>SUM(E636:E638)</f>
        <v>66.666666666666671</v>
      </c>
      <c r="F639" s="59" t="s">
        <v>983</v>
      </c>
      <c r="G639" s="359"/>
      <c r="H639"/>
      <c r="I639"/>
    </row>
    <row r="640" spans="3:9" s="79" customFormat="1">
      <c r="C640"/>
      <c r="D640" s="63"/>
      <c r="F640" s="16"/>
      <c r="G640" s="359"/>
      <c r="H640"/>
      <c r="I640"/>
    </row>
    <row r="641" spans="3:25" s="79" customFormat="1">
      <c r="C641"/>
      <c r="D641" s="63"/>
      <c r="F641" s="16"/>
      <c r="G641" s="359"/>
      <c r="H641"/>
      <c r="I641"/>
    </row>
    <row r="642" spans="3:25" s="79" customFormat="1">
      <c r="C642"/>
      <c r="D642" s="68">
        <f>D639*$D631</f>
        <v>332500</v>
      </c>
      <c r="E642" s="68">
        <f>E639*$D631</f>
        <v>19000</v>
      </c>
      <c r="F642" s="47" t="s">
        <v>53</v>
      </c>
      <c r="G642" s="359"/>
      <c r="H642"/>
      <c r="I642"/>
    </row>
    <row r="643" spans="3:25" s="79" customFormat="1">
      <c r="G643" s="1119"/>
    </row>
    <row r="644" spans="3:25" s="79" customFormat="1">
      <c r="D644">
        <f>ROUNDUP(D645/21,0)</f>
        <v>56</v>
      </c>
      <c r="E644">
        <f>ROUNDUP(E645/21,0)</f>
        <v>4</v>
      </c>
      <c r="F644" s="359" t="s">
        <v>739</v>
      </c>
    </row>
    <row r="645" spans="3:25" s="79" customFormat="1">
      <c r="D645" s="532">
        <f>D639</f>
        <v>1166.6666666666667</v>
      </c>
      <c r="E645" s="532">
        <f>E639</f>
        <v>66.666666666666671</v>
      </c>
      <c r="F645" s="359" t="s">
        <v>793</v>
      </c>
    </row>
    <row r="646" spans="3:25" s="79" customFormat="1">
      <c r="G646" s="1119"/>
    </row>
    <row r="647" spans="3:25" s="79" customFormat="1">
      <c r="C647" s="225" t="s">
        <v>70</v>
      </c>
      <c r="D647" s="230"/>
      <c r="E647" s="224" t="s">
        <v>156</v>
      </c>
      <c r="F647" s="212"/>
      <c r="G647" s="1108"/>
      <c r="H647" s="212"/>
      <c r="I647" s="119"/>
    </row>
    <row r="648" spans="3:25" s="79" customFormat="1">
      <c r="C648" s="212"/>
      <c r="D648" s="230"/>
      <c r="E648" s="224"/>
      <c r="F648" s="212"/>
      <c r="G648" s="1108"/>
      <c r="H648" s="212"/>
      <c r="I648" s="119"/>
    </row>
    <row r="649" spans="3:25" s="79" customFormat="1">
      <c r="C649" s="212"/>
      <c r="D649" s="230"/>
      <c r="E649" s="224"/>
      <c r="F649" s="212"/>
      <c r="G649" s="1108"/>
      <c r="H649" s="212"/>
      <c r="I649" s="119"/>
    </row>
    <row r="650" spans="3:25" s="79" customFormat="1">
      <c r="C650" s="212"/>
      <c r="D650" s="222">
        <f>D619</f>
        <v>1166.6666666666667</v>
      </c>
      <c r="E650" s="222">
        <f>E619</f>
        <v>66.666666666666671</v>
      </c>
      <c r="F650" s="213" t="s">
        <v>157</v>
      </c>
      <c r="G650" s="1108"/>
      <c r="H650" s="212"/>
      <c r="I650" s="119"/>
    </row>
    <row r="651" spans="3:25" s="79" customFormat="1">
      <c r="C651" s="212"/>
      <c r="D651" s="229">
        <f>FLOOR(D650,1)</f>
        <v>1166</v>
      </c>
      <c r="E651" s="229">
        <f>FLOOR(E650,1)</f>
        <v>66</v>
      </c>
      <c r="F651" s="213" t="s">
        <v>73</v>
      </c>
      <c r="G651" s="1108"/>
      <c r="H651" s="212"/>
      <c r="I651" s="119"/>
    </row>
    <row r="652" spans="3:25" s="79" customFormat="1">
      <c r="C652" s="212"/>
      <c r="D652" s="228">
        <f>D651*$D$382</f>
        <v>2332</v>
      </c>
      <c r="E652" s="228">
        <f>E651*$D$382</f>
        <v>132</v>
      </c>
      <c r="F652" s="214" t="s">
        <v>175</v>
      </c>
      <c r="G652" s="1108"/>
      <c r="H652" s="212"/>
      <c r="I652" s="119"/>
    </row>
    <row r="653" spans="3:25" s="79" customFormat="1">
      <c r="C653" s="212"/>
      <c r="D653" s="227"/>
      <c r="F653" s="214" t="s">
        <v>88</v>
      </c>
      <c r="G653" s="1108"/>
      <c r="H653" s="212"/>
    </row>
    <row r="654" spans="3:25" s="79" customFormat="1">
      <c r="C654" s="212"/>
      <c r="D654" s="226">
        <f>D652*$D611</f>
        <v>489720</v>
      </c>
      <c r="E654" s="226">
        <f>E652*$D611</f>
        <v>27720</v>
      </c>
      <c r="F654" s="221" t="s">
        <v>74</v>
      </c>
      <c r="G654" s="1108"/>
      <c r="H654" s="212"/>
      <c r="J654" s="276"/>
      <c r="K654" s="276"/>
      <c r="L654" s="276"/>
      <c r="M654" s="276"/>
    </row>
    <row r="655" spans="3:25" s="79" customFormat="1">
      <c r="D655" s="282"/>
      <c r="E655" s="76"/>
      <c r="G655" s="1119"/>
      <c r="J655" s="122"/>
      <c r="K655" s="136"/>
      <c r="L655" s="119"/>
      <c r="M655" s="119"/>
    </row>
    <row r="656" spans="3:25" s="79" customFormat="1">
      <c r="C656" s="79" t="s">
        <v>4</v>
      </c>
      <c r="D656" s="57" t="s">
        <v>1322</v>
      </c>
      <c r="E656" s="124" t="s">
        <v>901</v>
      </c>
      <c r="M656" s="16"/>
      <c r="N656" s="34"/>
      <c r="Y656" s="16"/>
    </row>
    <row r="657" spans="3:25" s="79" customFormat="1">
      <c r="D657" s="79">
        <f>$D563</f>
        <v>200</v>
      </c>
      <c r="E657" s="79">
        <f>$D563</f>
        <v>200</v>
      </c>
      <c r="F657" s="79" t="s">
        <v>1324</v>
      </c>
      <c r="M657" s="16"/>
      <c r="N657" s="34"/>
      <c r="Y657" s="16"/>
    </row>
    <row r="658" spans="3:25" s="79" customFormat="1">
      <c r="D658" s="129">
        <f>D582</f>
        <v>7000</v>
      </c>
      <c r="E658" s="129">
        <f>D588</f>
        <v>700</v>
      </c>
      <c r="F658" s="79" t="s">
        <v>1325</v>
      </c>
      <c r="M658" s="16"/>
      <c r="N658" s="34"/>
      <c r="Y658" s="16"/>
    </row>
    <row r="659" spans="3:25" s="79" customFormat="1">
      <c r="D659" s="1606">
        <f>D657*D658</f>
        <v>1400000</v>
      </c>
      <c r="E659" s="1597">
        <f>E657*E658</f>
        <v>140000</v>
      </c>
      <c r="F659" s="274" t="s">
        <v>1330</v>
      </c>
      <c r="M659" s="16"/>
      <c r="N659" s="34"/>
      <c r="Y659" s="16"/>
    </row>
    <row r="660" spans="3:25" s="79" customFormat="1">
      <c r="M660" s="16"/>
      <c r="N660" s="34"/>
      <c r="Y660" s="16"/>
    </row>
    <row r="661" spans="3:25" s="79" customFormat="1">
      <c r="M661" s="16"/>
      <c r="N661" s="34"/>
      <c r="Y661" s="16"/>
    </row>
    <row r="662" spans="3:25" s="79" customFormat="1">
      <c r="C662" s="79" t="s">
        <v>21</v>
      </c>
      <c r="D662" s="781">
        <v>10000</v>
      </c>
      <c r="E662" s="401"/>
      <c r="F662" s="118" t="s">
        <v>1336</v>
      </c>
      <c r="M662" s="16"/>
      <c r="N662" s="34"/>
      <c r="Y662" s="16"/>
    </row>
    <row r="663" spans="3:25" s="79" customFormat="1">
      <c r="D663" s="1740">
        <v>10</v>
      </c>
      <c r="E663" s="284"/>
      <c r="F663" s="78" t="s">
        <v>1356</v>
      </c>
      <c r="G663" s="1119"/>
      <c r="J663" s="122"/>
      <c r="K663" s="136"/>
      <c r="L663" s="119"/>
      <c r="M663" s="119"/>
    </row>
    <row r="664" spans="3:25" s="79" customFormat="1">
      <c r="D664" s="283"/>
      <c r="E664" s="76"/>
      <c r="G664" s="1119" t="s">
        <v>1328</v>
      </c>
      <c r="I664" s="79" t="s">
        <v>1329</v>
      </c>
      <c r="J664" s="122"/>
      <c r="K664" s="136"/>
      <c r="L664" s="119"/>
      <c r="M664" s="119"/>
    </row>
    <row r="665" spans="3:25" s="79" customFormat="1">
      <c r="D665" s="143" t="s">
        <v>172</v>
      </c>
      <c r="E665" s="144" t="s">
        <v>155</v>
      </c>
      <c r="F665" s="144" t="s">
        <v>174</v>
      </c>
      <c r="G665" s="1622" t="s">
        <v>1333</v>
      </c>
      <c r="H665" s="144" t="s">
        <v>69</v>
      </c>
      <c r="I665" s="144" t="s">
        <v>391</v>
      </c>
      <c r="J665" s="144" t="s">
        <v>1202</v>
      </c>
      <c r="K665" s="144" t="s">
        <v>69</v>
      </c>
      <c r="L665" s="619" t="s">
        <v>391</v>
      </c>
    </row>
    <row r="666" spans="3:25" s="79" customFormat="1">
      <c r="D666" s="135" t="s">
        <v>3</v>
      </c>
      <c r="E666" s="136"/>
      <c r="F666" s="122"/>
      <c r="G666" s="1623">
        <f>D623</f>
        <v>525000</v>
      </c>
      <c r="H666" s="119" t="s">
        <v>486</v>
      </c>
      <c r="I666" s="79">
        <f>D571</f>
        <v>20</v>
      </c>
      <c r="J666" s="1092">
        <f>E623</f>
        <v>30000.000000000004</v>
      </c>
      <c r="K666" s="119" t="s">
        <v>486</v>
      </c>
      <c r="L666" s="1624">
        <f>D572</f>
        <v>1</v>
      </c>
    </row>
    <row r="667" spans="3:25" s="79" customFormat="1">
      <c r="D667" s="135" t="s">
        <v>132</v>
      </c>
      <c r="E667" s="136"/>
      <c r="F667" s="141"/>
      <c r="G667" s="1623">
        <f>D642</f>
        <v>332500</v>
      </c>
      <c r="H667" s="119" t="s">
        <v>53</v>
      </c>
      <c r="I667" s="79">
        <f>I666</f>
        <v>20</v>
      </c>
      <c r="J667" s="1092">
        <f>E642</f>
        <v>19000</v>
      </c>
      <c r="K667" s="119" t="s">
        <v>53</v>
      </c>
      <c r="L667" s="1624">
        <f>L666</f>
        <v>1</v>
      </c>
    </row>
    <row r="668" spans="3:25" s="79" customFormat="1">
      <c r="D668" s="135" t="s">
        <v>1331</v>
      </c>
      <c r="E668" s="136"/>
      <c r="F668" s="141"/>
      <c r="G668" s="1623">
        <f>SUM(G671:G672)</f>
        <v>1889720</v>
      </c>
      <c r="H668" s="119" t="s">
        <v>1334</v>
      </c>
      <c r="I668" s="79">
        <f>I667</f>
        <v>20</v>
      </c>
      <c r="J668" s="1092">
        <f>SUM(J671:J672)</f>
        <v>167720</v>
      </c>
      <c r="K668" s="119" t="s">
        <v>1334</v>
      </c>
      <c r="L668" s="1624">
        <f>L667</f>
        <v>1</v>
      </c>
    </row>
    <row r="669" spans="3:25" s="79" customFormat="1">
      <c r="D669" s="135" t="s">
        <v>21</v>
      </c>
      <c r="E669" s="136"/>
      <c r="F669" s="141"/>
      <c r="G669" s="1623">
        <f>D662</f>
        <v>10000</v>
      </c>
      <c r="H669" s="119" t="s">
        <v>21</v>
      </c>
      <c r="I669" s="336">
        <f>D663</f>
        <v>10</v>
      </c>
      <c r="J669" s="1092" t="s">
        <v>1197</v>
      </c>
      <c r="K669" s="119" t="s">
        <v>21</v>
      </c>
      <c r="L669" s="1624"/>
    </row>
    <row r="670" spans="3:25" s="79" customFormat="1">
      <c r="D670" s="117"/>
      <c r="E670" s="185"/>
      <c r="F670" s="186"/>
      <c r="G670" s="1628">
        <f>SUM(G666:G668)</f>
        <v>2747220</v>
      </c>
      <c r="H670" s="1629" t="s">
        <v>165</v>
      </c>
      <c r="I670" s="401"/>
      <c r="J670" s="1620">
        <f>SUM(J666:J668)</f>
        <v>216720</v>
      </c>
      <c r="K670" s="401"/>
      <c r="L670" s="1621" t="s">
        <v>165</v>
      </c>
    </row>
    <row r="671" spans="3:25" s="79" customFormat="1">
      <c r="D671" s="1611" t="s">
        <v>169</v>
      </c>
      <c r="E671" s="1612"/>
      <c r="F671" s="1613"/>
      <c r="G671" s="1625">
        <f>D654</f>
        <v>489720</v>
      </c>
      <c r="H671" s="1609" t="s">
        <v>74</v>
      </c>
      <c r="I671" s="1209"/>
      <c r="J671" s="1607">
        <f>E654</f>
        <v>27720</v>
      </c>
      <c r="K671" s="1608"/>
      <c r="L671" s="1610" t="s">
        <v>74</v>
      </c>
    </row>
    <row r="672" spans="3:25" s="79" customFormat="1">
      <c r="D672" s="1614" t="s">
        <v>1332</v>
      </c>
      <c r="E672" s="1615"/>
      <c r="F672" s="1616"/>
      <c r="G672" s="1626">
        <f>D659</f>
        <v>1400000</v>
      </c>
      <c r="H672" s="1627" t="s">
        <v>1335</v>
      </c>
      <c r="I672" s="812"/>
      <c r="J672" s="1617">
        <f>E659</f>
        <v>140000</v>
      </c>
      <c r="K672" s="1618"/>
      <c r="L672" s="1619" t="s">
        <v>1335</v>
      </c>
    </row>
    <row r="673" spans="3:9" s="79" customFormat="1">
      <c r="D673" s="122"/>
      <c r="E673" s="147"/>
      <c r="F673" s="122"/>
      <c r="G673" s="1092"/>
      <c r="H673" s="119"/>
    </row>
    <row r="674" spans="3:9" s="351" customFormat="1">
      <c r="D674" s="352"/>
      <c r="E674" s="353"/>
      <c r="G674" s="1122"/>
    </row>
    <row r="675" spans="3:9" s="7" customFormat="1">
      <c r="D675" s="69"/>
      <c r="E675" s="36"/>
      <c r="G675" s="1089"/>
    </row>
    <row r="676" spans="3:9" s="7" customFormat="1">
      <c r="D676" s="69"/>
      <c r="E676" s="36"/>
      <c r="G676" s="1089"/>
    </row>
    <row r="677" spans="3:9">
      <c r="D677" s="25"/>
    </row>
    <row r="679" spans="3:9">
      <c r="C679" s="1" t="s">
        <v>1000</v>
      </c>
      <c r="D679" s="25"/>
    </row>
    <row r="680" spans="3:9">
      <c r="D680" s="66" t="s">
        <v>1003</v>
      </c>
      <c r="E680" s="76"/>
      <c r="F680" s="79"/>
      <c r="G680" s="1119"/>
      <c r="H680" s="79"/>
      <c r="I680" s="79"/>
    </row>
    <row r="681" spans="3:9">
      <c r="D681" s="329"/>
      <c r="E681" s="76"/>
      <c r="F681" s="79"/>
      <c r="G681" s="1119"/>
      <c r="H681" s="79"/>
      <c r="I681" s="79"/>
    </row>
    <row r="682" spans="3:9">
      <c r="D682" s="117" t="s">
        <v>91</v>
      </c>
      <c r="E682" s="118"/>
      <c r="F682" s="9"/>
      <c r="G682" s="1119"/>
      <c r="H682" s="79"/>
      <c r="I682" s="79"/>
    </row>
    <row r="683" spans="3:9">
      <c r="D683" s="114">
        <f>D129</f>
        <v>1</v>
      </c>
      <c r="E683" s="115" t="s">
        <v>262</v>
      </c>
      <c r="F683" s="9"/>
      <c r="G683" s="1119"/>
      <c r="H683" s="79"/>
      <c r="I683" s="79"/>
    </row>
    <row r="684" spans="3:9">
      <c r="D684" s="472">
        <v>1</v>
      </c>
      <c r="E684" s="97" t="s">
        <v>260</v>
      </c>
      <c r="F684" s="9"/>
      <c r="G684" s="1119"/>
      <c r="H684" s="79"/>
      <c r="I684" s="79"/>
    </row>
    <row r="685" spans="3:9">
      <c r="E685" s="76"/>
      <c r="F685" s="79"/>
      <c r="G685" s="1119"/>
      <c r="H685" s="79"/>
      <c r="I685" s="79"/>
    </row>
    <row r="686" spans="3:9">
      <c r="E686" s="124"/>
      <c r="F686" s="79"/>
      <c r="G686" s="1119"/>
      <c r="H686" s="79"/>
      <c r="I686" s="79"/>
    </row>
    <row r="687" spans="3:9">
      <c r="E687" s="66"/>
      <c r="F687" s="79"/>
      <c r="G687" s="1119"/>
      <c r="H687" s="79"/>
      <c r="I687" s="79"/>
    </row>
    <row r="688" spans="3:9">
      <c r="D688" s="329"/>
      <c r="E688" s="66"/>
      <c r="F688" s="79"/>
      <c r="G688" s="1119"/>
      <c r="H688" s="79"/>
      <c r="I688" s="79"/>
    </row>
    <row r="689" spans="3:28">
      <c r="D689" s="66"/>
      <c r="E689" s="76"/>
      <c r="F689" s="79"/>
      <c r="G689" s="1119"/>
      <c r="H689" s="79"/>
      <c r="I689" s="79"/>
    </row>
    <row r="690" spans="3:28">
      <c r="D690" s="64"/>
      <c r="E690" s="39" t="str">
        <f>E208</f>
        <v>cost for accommodation and meals</v>
      </c>
      <c r="F690" s="255"/>
      <c r="G690" s="1090"/>
      <c r="H690" s="255"/>
      <c r="I690" s="161"/>
      <c r="K690" s="3918"/>
      <c r="L690" s="3918"/>
      <c r="M690" s="3918"/>
      <c r="N690" s="3918"/>
    </row>
    <row r="691" spans="3:28">
      <c r="D691" s="143" t="str">
        <f t="shared" ref="D691:I691" si="48">D210</f>
        <v>Component</v>
      </c>
      <c r="E691" s="144" t="str">
        <f t="shared" si="48"/>
        <v>Days</v>
      </c>
      <c r="F691" s="144" t="str">
        <f t="shared" si="48"/>
        <v>Area covered</v>
      </c>
      <c r="G691" s="1094" t="str">
        <f t="shared" si="48"/>
        <v>distance</v>
      </c>
      <c r="H691" s="144" t="str">
        <f t="shared" si="48"/>
        <v>Cost</v>
      </c>
      <c r="I691" s="145" t="str">
        <f t="shared" si="48"/>
        <v>Description</v>
      </c>
      <c r="K691" s="10"/>
      <c r="L691" s="10"/>
      <c r="M691" s="10"/>
      <c r="N691" s="10"/>
      <c r="AB691" s="10"/>
    </row>
    <row r="692" spans="3:28">
      <c r="D692" s="135" t="str">
        <f>D211</f>
        <v>Labour</v>
      </c>
      <c r="E692" s="136">
        <f>E211</f>
        <v>0.20512820512820515</v>
      </c>
      <c r="F692" s="141"/>
      <c r="G692" s="1093"/>
      <c r="H692" s="119">
        <f t="shared" ref="H692:I694" si="49">H211</f>
        <v>46.15384615384616</v>
      </c>
      <c r="I692" s="358" t="str">
        <f t="shared" si="49"/>
        <v>Cost for labour</v>
      </c>
      <c r="J692">
        <f>D684</f>
        <v>1</v>
      </c>
    </row>
    <row r="693" spans="3:28">
      <c r="D693" s="135" t="str">
        <f>D212</f>
        <v>Travel</v>
      </c>
      <c r="E693" s="136">
        <f>E212</f>
        <v>0.20512820512820515</v>
      </c>
      <c r="F693" s="141"/>
      <c r="G693" s="1095"/>
      <c r="H693" s="119">
        <f t="shared" si="49"/>
        <v>1307.6923076923076</v>
      </c>
      <c r="I693" s="358" t="str">
        <f t="shared" si="49"/>
        <v xml:space="preserve">Cost for transport </v>
      </c>
      <c r="J693">
        <f>J692</f>
        <v>1</v>
      </c>
    </row>
    <row r="694" spans="3:28">
      <c r="D694" s="135" t="str">
        <f>D213</f>
        <v>Consumables (Accomodation)</v>
      </c>
      <c r="E694" s="136"/>
      <c r="F694" s="141"/>
      <c r="G694" s="1095"/>
      <c r="H694" s="119">
        <f t="shared" si="49"/>
        <v>0</v>
      </c>
      <c r="I694" s="358" t="str">
        <f t="shared" si="49"/>
        <v>cost for accommodation and meals</v>
      </c>
      <c r="J694">
        <f>J693</f>
        <v>1</v>
      </c>
    </row>
    <row r="695" spans="3:28">
      <c r="D695" s="135"/>
      <c r="E695" s="136"/>
      <c r="F695" s="141"/>
      <c r="G695" s="1093"/>
      <c r="H695" s="119"/>
      <c r="I695" s="358"/>
    </row>
    <row r="696" spans="3:28">
      <c r="D696" s="135"/>
      <c r="E696" s="136"/>
      <c r="F696" s="141"/>
      <c r="G696" s="1093"/>
      <c r="H696" s="119"/>
      <c r="I696" s="358"/>
    </row>
    <row r="697" spans="3:28">
      <c r="D697" s="137"/>
      <c r="E697" s="138"/>
      <c r="F697" s="142"/>
      <c r="G697" s="1096"/>
      <c r="H697" s="139">
        <f>H216</f>
        <v>1353.8461538461538</v>
      </c>
      <c r="I697" s="140" t="str">
        <f>I216</f>
        <v>Total cost</v>
      </c>
    </row>
    <row r="699" spans="3:28" s="7" customFormat="1">
      <c r="D699" s="35"/>
      <c r="E699" s="36"/>
      <c r="G699" s="1089"/>
    </row>
    <row r="700" spans="3:28">
      <c r="C700" t="s">
        <v>1002</v>
      </c>
    </row>
    <row r="702" spans="3:28">
      <c r="D702" s="66" t="s">
        <v>1004</v>
      </c>
      <c r="E702" s="76"/>
      <c r="F702" s="79"/>
      <c r="G702" s="1119"/>
    </row>
    <row r="703" spans="3:28">
      <c r="D703" s="329"/>
      <c r="E703" s="76"/>
      <c r="F703" s="79"/>
      <c r="G703" s="1119"/>
    </row>
    <row r="704" spans="3:28">
      <c r="D704" s="117" t="s">
        <v>91</v>
      </c>
      <c r="E704" s="118"/>
      <c r="F704" s="9"/>
      <c r="G704" s="1119"/>
    </row>
    <row r="705" spans="3:12">
      <c r="D705" s="114">
        <f>D230</f>
        <v>0.3</v>
      </c>
      <c r="E705" s="115" t="s">
        <v>262</v>
      </c>
      <c r="F705" s="9"/>
      <c r="G705" s="1119"/>
    </row>
    <row r="706" spans="3:12">
      <c r="D706" s="472">
        <v>1</v>
      </c>
      <c r="E706" s="97" t="s">
        <v>260</v>
      </c>
      <c r="F706" s="9"/>
      <c r="G706" s="1119"/>
    </row>
    <row r="707" spans="3:12">
      <c r="D707" s="825"/>
      <c r="E707" s="825"/>
      <c r="H707" s="1" t="s">
        <v>788</v>
      </c>
      <c r="I707" s="1" t="s">
        <v>779</v>
      </c>
      <c r="J707" s="1" t="s">
        <v>789</v>
      </c>
    </row>
    <row r="708" spans="3:12">
      <c r="D708" s="617" t="str">
        <f t="shared" ref="D708:K711" si="50">D325</f>
        <v>Component</v>
      </c>
      <c r="E708" s="618" t="str">
        <f t="shared" si="50"/>
        <v>Days</v>
      </c>
      <c r="F708" s="618" t="str">
        <f t="shared" si="50"/>
        <v>Area covered</v>
      </c>
      <c r="G708" s="1103" t="str">
        <f t="shared" si="50"/>
        <v>distance</v>
      </c>
      <c r="H708" s="618" t="str">
        <f t="shared" si="50"/>
        <v>Cost</v>
      </c>
      <c r="I708" s="618" t="str">
        <f t="shared" si="50"/>
        <v>Cost</v>
      </c>
      <c r="J708" s="618" t="str">
        <f t="shared" si="50"/>
        <v>Cost</v>
      </c>
      <c r="K708" s="619" t="str">
        <f t="shared" si="50"/>
        <v>Description</v>
      </c>
    </row>
    <row r="709" spans="3:12">
      <c r="D709" s="404" t="str">
        <f t="shared" si="50"/>
        <v>Labour</v>
      </c>
      <c r="E709" s="90">
        <f t="shared" si="50"/>
        <v>6.2541106128550075</v>
      </c>
      <c r="F709" s="531">
        <f t="shared" si="50"/>
        <v>30</v>
      </c>
      <c r="G709" s="359">
        <f t="shared" si="50"/>
        <v>0</v>
      </c>
      <c r="H709" s="432">
        <f t="shared" si="50"/>
        <v>1407.1748878923768</v>
      </c>
      <c r="I709" s="432">
        <f t="shared" si="50"/>
        <v>1676.2331838565024</v>
      </c>
      <c r="J709" s="432">
        <f t="shared" si="50"/>
        <v>2214.3497757847535</v>
      </c>
      <c r="K709" s="830" t="str">
        <f t="shared" si="50"/>
        <v>Cost for labour</v>
      </c>
      <c r="L709">
        <v>1</v>
      </c>
    </row>
    <row r="710" spans="3:12">
      <c r="D710" s="404" t="str">
        <f t="shared" si="50"/>
        <v>transport</v>
      </c>
      <c r="E710" s="90">
        <f t="shared" si="50"/>
        <v>3.1270553064275037</v>
      </c>
      <c r="F710" s="531">
        <f t="shared" si="50"/>
        <v>30</v>
      </c>
      <c r="G710" s="1104">
        <f t="shared" si="50"/>
        <v>0</v>
      </c>
      <c r="H710" s="432">
        <f t="shared" si="50"/>
        <v>891.21076233183862</v>
      </c>
      <c r="I710" s="432">
        <f t="shared" si="50"/>
        <v>1061.6143497757848</v>
      </c>
      <c r="J710" s="432">
        <f t="shared" si="50"/>
        <v>1402.4215246636772</v>
      </c>
      <c r="K710" s="830" t="str">
        <f t="shared" si="50"/>
        <v>Cost for ute hire for the whole activity</v>
      </c>
      <c r="L710">
        <v>1</v>
      </c>
    </row>
    <row r="711" spans="3:12">
      <c r="D711" s="404" t="str">
        <f t="shared" si="50"/>
        <v>Consumables (Accomodation)</v>
      </c>
      <c r="E711" s="90">
        <f t="shared" si="50"/>
        <v>6</v>
      </c>
      <c r="F711" s="531">
        <f t="shared" si="50"/>
        <v>30</v>
      </c>
      <c r="G711" s="359">
        <f t="shared" si="50"/>
        <v>0</v>
      </c>
      <c r="H711" s="432">
        <f t="shared" si="50"/>
        <v>1260</v>
      </c>
      <c r="I711" s="432">
        <f t="shared" si="50"/>
        <v>1260</v>
      </c>
      <c r="J711" s="432">
        <f t="shared" si="50"/>
        <v>1680</v>
      </c>
      <c r="K711" s="830" t="str">
        <f t="shared" si="50"/>
        <v>Accomodation + Food Cost</v>
      </c>
      <c r="L711">
        <v>1</v>
      </c>
    </row>
    <row r="712" spans="3:12">
      <c r="D712" s="404"/>
      <c r="E712" s="90"/>
      <c r="F712" s="531"/>
      <c r="H712" s="432"/>
      <c r="I712" s="259"/>
      <c r="J712" s="259"/>
      <c r="K712" s="830"/>
      <c r="L712" s="558"/>
    </row>
    <row r="713" spans="3:12">
      <c r="D713" s="404"/>
      <c r="E713" s="90"/>
      <c r="F713" s="531"/>
      <c r="H713" s="432"/>
      <c r="I713" s="259"/>
      <c r="J713" s="259"/>
      <c r="K713" s="830"/>
    </row>
    <row r="714" spans="3:12">
      <c r="D714" s="405"/>
      <c r="E714" s="439"/>
      <c r="F714" s="439"/>
      <c r="G714" s="1098"/>
      <c r="H714" s="622">
        <f>SUM(H709:H713)</f>
        <v>3558.3856502242152</v>
      </c>
      <c r="I714" s="622">
        <f>SUM(I709:I713)</f>
        <v>3997.8475336322872</v>
      </c>
      <c r="J714" s="622">
        <f>SUM(J709:J713)</f>
        <v>5296.7713004484303</v>
      </c>
      <c r="K714" s="623" t="s">
        <v>165</v>
      </c>
    </row>
    <row r="715" spans="3:12">
      <c r="D715"/>
      <c r="E715"/>
      <c r="F715" s="432"/>
      <c r="G715" s="1099"/>
    </row>
    <row r="716" spans="3:12">
      <c r="D716"/>
      <c r="E716"/>
      <c r="F716" s="432"/>
      <c r="G716" s="1099"/>
    </row>
    <row r="718" spans="3:12" s="7" customFormat="1">
      <c r="D718" s="35"/>
      <c r="E718" s="36"/>
      <c r="G718" s="1089"/>
    </row>
    <row r="719" spans="3:12" s="9" customFormat="1">
      <c r="D719" s="105"/>
      <c r="E719" s="34"/>
      <c r="G719" s="572"/>
    </row>
    <row r="720" spans="3:12" s="9" customFormat="1">
      <c r="C720" s="120" t="s">
        <v>247</v>
      </c>
      <c r="D720" s="105"/>
      <c r="E720" s="34"/>
      <c r="G720" s="572"/>
    </row>
    <row r="721" spans="3:10" s="9" customFormat="1">
      <c r="D721" s="34" t="s">
        <v>258</v>
      </c>
      <c r="E721" s="34"/>
      <c r="G721" s="572"/>
    </row>
    <row r="722" spans="3:10" s="9" customFormat="1">
      <c r="D722" s="38" t="s">
        <v>91</v>
      </c>
      <c r="E722" s="39"/>
      <c r="F722" s="105"/>
      <c r="G722" s="572"/>
    </row>
    <row r="723" spans="3:10" s="9" customFormat="1">
      <c r="D723" s="402"/>
      <c r="E723" s="161"/>
      <c r="G723" s="572"/>
    </row>
    <row r="724" spans="3:10" s="9" customFormat="1">
      <c r="D724" s="332">
        <f>'Overall Assumptions'!$C$125</f>
        <v>3</v>
      </c>
      <c r="E724" s="131" t="str">
        <f>'Overall Assumptions'!$D$115</f>
        <v>weeks</v>
      </c>
      <c r="G724" s="572"/>
    </row>
    <row r="725" spans="3:10" s="9" customFormat="1">
      <c r="C725" s="105"/>
      <c r="D725" s="332">
        <f>D724*5</f>
        <v>15</v>
      </c>
      <c r="E725" s="43" t="str">
        <f>'Overall Assumptions'!$D$116</f>
        <v>days</v>
      </c>
      <c r="G725" s="572"/>
    </row>
    <row r="726" spans="3:10" s="9" customFormat="1">
      <c r="C726" s="105"/>
      <c r="D726" s="332"/>
      <c r="E726" s="43"/>
      <c r="G726" s="572"/>
    </row>
    <row r="727" spans="3:10" s="9" customFormat="1">
      <c r="C727" s="105"/>
      <c r="D727" s="268">
        <v>1</v>
      </c>
      <c r="E727" s="43" t="s">
        <v>259</v>
      </c>
      <c r="G727" s="572"/>
    </row>
    <row r="728" spans="3:10" s="9" customFormat="1">
      <c r="C728" s="105"/>
      <c r="D728" s="332"/>
      <c r="E728" s="43"/>
      <c r="G728" s="572"/>
    </row>
    <row r="729" spans="3:10" s="9" customFormat="1">
      <c r="C729" s="105"/>
      <c r="D729" s="332"/>
      <c r="E729" s="246"/>
      <c r="G729" s="572"/>
    </row>
    <row r="730" spans="3:10" s="9" customFormat="1">
      <c r="D730" s="614">
        <f>'Overall Assumptions'!$C$68</f>
        <v>225</v>
      </c>
      <c r="E730" s="246" t="str">
        <f>'Overall Assumptions'!$B$67</f>
        <v>Labour 1- APS Low (Entry lvl)</v>
      </c>
      <c r="G730" s="572"/>
    </row>
    <row r="731" spans="3:10" s="9" customFormat="1">
      <c r="D731" s="399">
        <f>'Overall Assumptions'!$C$72</f>
        <v>337.5</v>
      </c>
      <c r="E731" s="530" t="str">
        <f>'Overall Assumptions'!$B$71</f>
        <v>Labour 2 - APS High (Experienced)</v>
      </c>
      <c r="G731" s="572"/>
    </row>
    <row r="732" spans="3:10" s="9" customFormat="1">
      <c r="D732" s="112">
        <f>'Overall Assumptions'!$C$76</f>
        <v>487.5</v>
      </c>
      <c r="E732" s="45" t="str">
        <f>'Overall Assumptions'!$B$75</f>
        <v>Labour 3 - EL (Management)</v>
      </c>
      <c r="G732" s="572"/>
    </row>
    <row r="733" spans="3:10" s="9" customFormat="1">
      <c r="D733" s="33"/>
      <c r="E733" s="34"/>
      <c r="G733" s="572"/>
    </row>
    <row r="734" spans="3:10">
      <c r="C734" s="9"/>
      <c r="D734" s="247"/>
      <c r="E734" s="33"/>
      <c r="F734" s="9"/>
      <c r="G734" s="572"/>
      <c r="H734" s="9"/>
      <c r="I734" s="9"/>
      <c r="J734" s="9"/>
    </row>
    <row r="735" spans="3:10">
      <c r="C735" s="9"/>
      <c r="D735" s="33"/>
      <c r="E735" s="34"/>
      <c r="F735" s="9"/>
      <c r="G735" s="572"/>
      <c r="H735" s="9"/>
      <c r="I735" s="9"/>
      <c r="J735" s="9"/>
    </row>
    <row r="736" spans="3:10">
      <c r="C736" s="9"/>
      <c r="D736" s="33"/>
      <c r="E736" s="34"/>
      <c r="F736" s="9"/>
      <c r="G736" s="572"/>
      <c r="H736" s="9"/>
      <c r="I736" s="9"/>
      <c r="J736" s="9"/>
    </row>
    <row r="737" spans="3:10">
      <c r="C737" s="9"/>
      <c r="D737" s="33"/>
      <c r="E737" s="34"/>
      <c r="F737" s="9"/>
      <c r="G737" s="572"/>
      <c r="H737" s="9"/>
      <c r="I737" s="9"/>
      <c r="J737" s="9"/>
    </row>
    <row r="738" spans="3:10">
      <c r="C738" s="9"/>
      <c r="D738" s="175"/>
      <c r="E738" s="164" t="s">
        <v>155</v>
      </c>
      <c r="F738" s="255" t="s">
        <v>166</v>
      </c>
      <c r="G738" s="1090" t="s">
        <v>69</v>
      </c>
      <c r="H738" s="161"/>
      <c r="I738" s="9"/>
      <c r="J738" s="9"/>
    </row>
    <row r="739" spans="3:10">
      <c r="C739" s="9"/>
      <c r="D739" s="405" t="s">
        <v>3</v>
      </c>
      <c r="E739" s="1256">
        <f>D725</f>
        <v>15</v>
      </c>
      <c r="F739" s="321">
        <f>D725*D731</f>
        <v>5062.5</v>
      </c>
      <c r="G739" s="1091" t="s">
        <v>182</v>
      </c>
      <c r="H739" s="162"/>
      <c r="I739" s="9"/>
      <c r="J739" s="9"/>
    </row>
    <row r="740" spans="3:10">
      <c r="H740" s="9"/>
    </row>
    <row r="743" spans="3:10" s="182" customFormat="1">
      <c r="D743" s="183"/>
      <c r="E743" s="184"/>
      <c r="G743" s="1131"/>
    </row>
    <row r="744" spans="3:10">
      <c r="C744" s="1" t="s">
        <v>139</v>
      </c>
    </row>
    <row r="745" spans="3:10">
      <c r="C745" s="199"/>
      <c r="D745" s="200"/>
    </row>
    <row r="746" spans="3:10">
      <c r="C746" s="201"/>
      <c r="D746" s="202"/>
    </row>
    <row r="748" spans="3:10">
      <c r="C748" s="198"/>
    </row>
    <row r="750" spans="3:10">
      <c r="C750" s="160"/>
    </row>
    <row r="753" spans="1:42" s="359" customFormat="1">
      <c r="A753"/>
      <c r="B753"/>
      <c r="C753"/>
      <c r="D753" s="1081"/>
      <c r="E753" s="16"/>
      <c r="F753"/>
      <c r="H753"/>
      <c r="I753"/>
      <c r="J753"/>
      <c r="K753"/>
      <c r="L753"/>
      <c r="M753"/>
      <c r="N753"/>
      <c r="O753"/>
      <c r="P753"/>
      <c r="Q753" s="2791"/>
      <c r="R753" s="2791"/>
      <c r="S753" s="2791"/>
      <c r="T753"/>
      <c r="U753"/>
      <c r="V753"/>
      <c r="W753"/>
      <c r="X753"/>
      <c r="Y753"/>
      <c r="Z753"/>
      <c r="AA753"/>
      <c r="AB753"/>
      <c r="AC753"/>
      <c r="AD753"/>
      <c r="AE753"/>
      <c r="AF753"/>
      <c r="AG753"/>
      <c r="AH753"/>
      <c r="AI753"/>
      <c r="AJ753"/>
      <c r="AK753"/>
      <c r="AL753"/>
      <c r="AM753"/>
      <c r="AN753"/>
      <c r="AO753"/>
      <c r="AP753"/>
    </row>
    <row r="754" spans="1:42" s="359" customFormat="1">
      <c r="A754"/>
      <c r="B754"/>
      <c r="C754"/>
      <c r="D754" s="58"/>
      <c r="E754" s="16"/>
      <c r="F754"/>
      <c r="H754"/>
      <c r="I754"/>
      <c r="J754"/>
      <c r="K754"/>
      <c r="L754"/>
      <c r="M754"/>
      <c r="N754"/>
      <c r="O754"/>
      <c r="P754"/>
      <c r="Q754" s="2791"/>
      <c r="R754" s="2791"/>
      <c r="S754" s="2791"/>
      <c r="T754"/>
      <c r="U754"/>
      <c r="V754"/>
      <c r="W754"/>
      <c r="X754"/>
      <c r="Y754"/>
      <c r="Z754"/>
      <c r="AA754"/>
      <c r="AB754"/>
      <c r="AC754"/>
      <c r="AD754"/>
      <c r="AE754"/>
      <c r="AF754"/>
      <c r="AG754"/>
      <c r="AH754"/>
      <c r="AI754"/>
      <c r="AJ754"/>
      <c r="AK754"/>
      <c r="AL754"/>
      <c r="AM754"/>
      <c r="AN754"/>
      <c r="AO754"/>
      <c r="AP754"/>
    </row>
    <row r="756" spans="1:42" s="359" customFormat="1">
      <c r="A756"/>
      <c r="B756"/>
      <c r="C756" s="90"/>
      <c r="D756"/>
      <c r="E756" s="16"/>
      <c r="F756"/>
      <c r="H756"/>
      <c r="I756"/>
      <c r="J756"/>
      <c r="K756"/>
      <c r="L756"/>
      <c r="M756"/>
      <c r="N756"/>
      <c r="O756"/>
      <c r="P756"/>
      <c r="Q756" s="2791"/>
      <c r="R756" s="2791"/>
      <c r="S756" s="2791"/>
      <c r="T756"/>
      <c r="U756"/>
      <c r="V756"/>
      <c r="W756"/>
      <c r="X756"/>
      <c r="Y756"/>
      <c r="Z756"/>
      <c r="AA756"/>
      <c r="AB756"/>
      <c r="AC756"/>
      <c r="AD756"/>
      <c r="AE756"/>
      <c r="AF756"/>
      <c r="AG756"/>
      <c r="AH756"/>
      <c r="AI756"/>
      <c r="AJ756"/>
      <c r="AK756"/>
      <c r="AL756"/>
      <c r="AM756"/>
      <c r="AN756"/>
      <c r="AO756"/>
      <c r="AP756"/>
    </row>
    <row r="757" spans="1:42" s="359" customFormat="1" ht="24" customHeight="1">
      <c r="A757"/>
      <c r="B757"/>
      <c r="C757" s="436"/>
      <c r="D757" s="24"/>
      <c r="E757" s="16"/>
      <c r="F757"/>
      <c r="H757"/>
      <c r="I757"/>
      <c r="J757"/>
      <c r="K757"/>
      <c r="L757"/>
      <c r="M757"/>
      <c r="N757"/>
      <c r="O757"/>
      <c r="P757"/>
      <c r="Q757" s="2791"/>
      <c r="R757" s="2791"/>
      <c r="S757" s="2791"/>
      <c r="T757"/>
      <c r="U757"/>
      <c r="V757"/>
      <c r="W757"/>
      <c r="X757"/>
      <c r="Y757"/>
      <c r="Z757"/>
      <c r="AA757"/>
      <c r="AB757"/>
      <c r="AC757"/>
      <c r="AD757"/>
      <c r="AE757"/>
      <c r="AF757"/>
      <c r="AG757"/>
      <c r="AH757"/>
      <c r="AI757"/>
      <c r="AJ757"/>
      <c r="AK757"/>
      <c r="AL757"/>
      <c r="AM757"/>
      <c r="AN757"/>
      <c r="AO757"/>
      <c r="AP757"/>
    </row>
    <row r="758" spans="1:42" s="359" customFormat="1">
      <c r="A758"/>
      <c r="B758"/>
      <c r="C758"/>
      <c r="D758" s="58"/>
      <c r="E758" s="16"/>
      <c r="F758"/>
      <c r="H758"/>
      <c r="I758"/>
      <c r="J758"/>
      <c r="K758"/>
      <c r="L758"/>
      <c r="M758"/>
      <c r="N758"/>
      <c r="O758"/>
      <c r="P758"/>
      <c r="Q758" s="2791"/>
      <c r="R758" s="2791"/>
      <c r="S758" s="2791"/>
      <c r="T758"/>
      <c r="U758"/>
      <c r="V758"/>
      <c r="W758"/>
      <c r="X758"/>
      <c r="Y758"/>
      <c r="Z758"/>
      <c r="AA758"/>
      <c r="AB758"/>
      <c r="AC758"/>
      <c r="AD758"/>
      <c r="AE758"/>
      <c r="AF758"/>
      <c r="AG758"/>
      <c r="AH758"/>
      <c r="AI758"/>
      <c r="AJ758"/>
      <c r="AK758"/>
      <c r="AL758"/>
      <c r="AM758"/>
      <c r="AN758"/>
      <c r="AO758"/>
      <c r="AP758"/>
    </row>
    <row r="759" spans="1:42" s="359" customFormat="1">
      <c r="A759"/>
      <c r="B759"/>
      <c r="C759"/>
      <c r="D759" s="58"/>
      <c r="E759" s="16"/>
      <c r="F759"/>
      <c r="H759"/>
      <c r="I759"/>
      <c r="J759"/>
      <c r="K759"/>
      <c r="L759"/>
      <c r="M759"/>
      <c r="N759"/>
      <c r="O759"/>
      <c r="P759"/>
      <c r="Q759" s="2791"/>
      <c r="R759" s="2791"/>
      <c r="S759" s="2791"/>
      <c r="T759"/>
      <c r="U759"/>
      <c r="V759"/>
      <c r="W759"/>
      <c r="X759"/>
      <c r="Y759"/>
      <c r="Z759"/>
      <c r="AA759"/>
      <c r="AB759"/>
      <c r="AC759"/>
      <c r="AD759"/>
      <c r="AE759"/>
      <c r="AF759"/>
      <c r="AG759"/>
      <c r="AH759"/>
      <c r="AI759"/>
      <c r="AJ759"/>
      <c r="AK759"/>
      <c r="AL759"/>
      <c r="AM759"/>
      <c r="AN759"/>
      <c r="AO759"/>
      <c r="AP759"/>
    </row>
    <row r="760" spans="1:42" s="359" customFormat="1">
      <c r="A760"/>
      <c r="B760"/>
      <c r="C760" s="204"/>
      <c r="D760" s="24"/>
      <c r="E760" s="16"/>
      <c r="F760"/>
      <c r="H760"/>
      <c r="I760"/>
      <c r="J760"/>
      <c r="K760"/>
      <c r="L760"/>
      <c r="M760"/>
      <c r="N760"/>
      <c r="O760"/>
      <c r="P760"/>
      <c r="Q760" s="2791"/>
      <c r="R760" s="2791"/>
      <c r="S760" s="2791"/>
      <c r="T760"/>
      <c r="U760"/>
      <c r="V760"/>
      <c r="W760"/>
      <c r="X760"/>
      <c r="Y760"/>
      <c r="Z760"/>
      <c r="AA760"/>
      <c r="AB760"/>
      <c r="AC760"/>
      <c r="AD760"/>
      <c r="AE760"/>
      <c r="AF760"/>
      <c r="AG760"/>
      <c r="AH760"/>
      <c r="AI760"/>
      <c r="AJ760"/>
      <c r="AK760"/>
      <c r="AL760"/>
      <c r="AM760"/>
      <c r="AN760"/>
      <c r="AO760"/>
      <c r="AP760"/>
    </row>
    <row r="762" spans="1:42" s="359" customFormat="1">
      <c r="A762"/>
      <c r="B762"/>
      <c r="C762" s="206"/>
      <c r="D762" s="24"/>
      <c r="E762" s="16"/>
      <c r="F762" s="2"/>
      <c r="H762"/>
      <c r="I762"/>
      <c r="J762"/>
      <c r="K762"/>
      <c r="L762"/>
      <c r="M762"/>
      <c r="N762"/>
      <c r="O762"/>
      <c r="P762"/>
      <c r="Q762" s="2791"/>
      <c r="R762" s="2791"/>
      <c r="S762" s="2791"/>
      <c r="T762"/>
      <c r="U762"/>
      <c r="V762"/>
      <c r="W762"/>
      <c r="X762"/>
      <c r="Y762"/>
      <c r="Z762"/>
      <c r="AA762"/>
      <c r="AB762"/>
      <c r="AC762"/>
      <c r="AD762"/>
      <c r="AE762"/>
      <c r="AF762"/>
      <c r="AG762"/>
      <c r="AH762"/>
      <c r="AI762"/>
      <c r="AJ762"/>
      <c r="AK762"/>
      <c r="AL762"/>
      <c r="AM762"/>
      <c r="AN762"/>
      <c r="AO762"/>
      <c r="AP762"/>
    </row>
    <row r="763" spans="1:42" s="359" customFormat="1" ht="15" customHeight="1">
      <c r="A763"/>
      <c r="B763"/>
      <c r="C763" s="2"/>
      <c r="D763" s="207"/>
      <c r="E763" s="16"/>
      <c r="F763" s="2"/>
      <c r="H763"/>
      <c r="I763"/>
      <c r="J763"/>
      <c r="K763"/>
      <c r="L763"/>
      <c r="M763"/>
      <c r="N763"/>
      <c r="O763"/>
      <c r="P763"/>
      <c r="Q763" s="2791"/>
      <c r="R763" s="2791"/>
      <c r="S763" s="2791"/>
      <c r="T763"/>
      <c r="U763"/>
      <c r="V763"/>
      <c r="W763"/>
      <c r="X763"/>
      <c r="Y763"/>
      <c r="Z763"/>
      <c r="AA763"/>
      <c r="AB763"/>
      <c r="AC763"/>
      <c r="AD763"/>
      <c r="AE763"/>
      <c r="AF763"/>
      <c r="AG763"/>
      <c r="AH763"/>
      <c r="AI763"/>
      <c r="AJ763"/>
      <c r="AK763"/>
      <c r="AL763"/>
      <c r="AM763"/>
      <c r="AN763"/>
      <c r="AO763"/>
      <c r="AP763"/>
    </row>
    <row r="764" spans="1:42" s="359" customFormat="1" ht="15" customHeight="1">
      <c r="A764"/>
      <c r="B764"/>
      <c r="C764" s="2"/>
      <c r="D764" s="207"/>
      <c r="E764" s="16"/>
      <c r="F764" s="2"/>
      <c r="H764"/>
      <c r="I764"/>
      <c r="J764"/>
      <c r="K764"/>
      <c r="L764"/>
      <c r="M764"/>
      <c r="N764"/>
      <c r="O764"/>
      <c r="P764"/>
      <c r="Q764" s="2791"/>
      <c r="R764" s="2791"/>
      <c r="S764" s="2791"/>
      <c r="T764"/>
      <c r="U764"/>
      <c r="V764"/>
      <c r="W764"/>
      <c r="X764"/>
      <c r="Y764"/>
      <c r="Z764"/>
      <c r="AA764"/>
      <c r="AB764"/>
      <c r="AC764"/>
      <c r="AD764"/>
      <c r="AE764"/>
      <c r="AF764"/>
      <c r="AG764"/>
      <c r="AH764"/>
      <c r="AI764"/>
      <c r="AJ764"/>
      <c r="AK764"/>
      <c r="AL764"/>
      <c r="AM764"/>
      <c r="AN764"/>
      <c r="AO764"/>
      <c r="AP764"/>
    </row>
    <row r="765" spans="1:42" s="359" customFormat="1" ht="15" customHeight="1">
      <c r="A765"/>
      <c r="B765"/>
      <c r="C765" s="2"/>
      <c r="D765" s="207"/>
      <c r="E765" s="16"/>
      <c r="F765" s="2"/>
      <c r="H765"/>
      <c r="I765"/>
      <c r="J765"/>
      <c r="K765"/>
      <c r="L765"/>
      <c r="M765"/>
      <c r="N765"/>
      <c r="O765"/>
      <c r="P765"/>
      <c r="Q765" s="2791"/>
      <c r="R765" s="2791"/>
      <c r="S765" s="2791"/>
      <c r="T765"/>
      <c r="U765"/>
      <c r="V765"/>
      <c r="W765"/>
      <c r="X765"/>
      <c r="Y765"/>
      <c r="Z765"/>
      <c r="AA765"/>
      <c r="AB765"/>
      <c r="AC765"/>
      <c r="AD765"/>
      <c r="AE765"/>
      <c r="AF765"/>
      <c r="AG765"/>
      <c r="AH765"/>
      <c r="AI765"/>
      <c r="AJ765"/>
      <c r="AK765"/>
      <c r="AL765"/>
      <c r="AM765"/>
      <c r="AN765"/>
      <c r="AO765"/>
      <c r="AP765"/>
    </row>
    <row r="766" spans="1:42" s="359" customFormat="1" ht="15" customHeight="1">
      <c r="A766"/>
      <c r="B766"/>
      <c r="C766" s="2"/>
      <c r="D766" s="207"/>
      <c r="E766" s="16"/>
      <c r="F766" s="2"/>
      <c r="H766"/>
      <c r="I766"/>
      <c r="J766"/>
      <c r="K766"/>
      <c r="L766"/>
      <c r="M766"/>
      <c r="N766"/>
      <c r="O766"/>
      <c r="P766"/>
      <c r="Q766" s="2791"/>
      <c r="R766" s="2791"/>
      <c r="S766" s="2791"/>
      <c r="T766"/>
      <c r="U766"/>
      <c r="V766"/>
      <c r="W766"/>
      <c r="X766"/>
      <c r="Y766"/>
      <c r="Z766"/>
      <c r="AA766"/>
      <c r="AB766"/>
      <c r="AC766"/>
      <c r="AD766"/>
      <c r="AE766"/>
      <c r="AF766"/>
      <c r="AG766"/>
      <c r="AH766"/>
      <c r="AI766"/>
      <c r="AJ766"/>
      <c r="AK766"/>
      <c r="AL766"/>
      <c r="AM766"/>
      <c r="AN766"/>
      <c r="AO766"/>
      <c r="AP766"/>
    </row>
    <row r="767" spans="1:42" s="359" customFormat="1" ht="15" customHeight="1">
      <c r="A767"/>
      <c r="B767"/>
      <c r="C767" s="206"/>
      <c r="D767" s="207"/>
      <c r="E767" s="16"/>
      <c r="F767" s="2"/>
      <c r="H767"/>
      <c r="I767"/>
      <c r="J767"/>
      <c r="K767"/>
      <c r="L767"/>
      <c r="M767"/>
      <c r="N767"/>
      <c r="O767"/>
      <c r="P767"/>
      <c r="Q767" s="2791"/>
      <c r="R767" s="2791"/>
      <c r="S767" s="2791"/>
      <c r="T767"/>
      <c r="U767"/>
      <c r="V767"/>
      <c r="W767"/>
      <c r="X767"/>
      <c r="Y767"/>
      <c r="Z767"/>
      <c r="AA767"/>
      <c r="AB767"/>
      <c r="AC767"/>
      <c r="AD767"/>
      <c r="AE767"/>
      <c r="AF767"/>
      <c r="AG767"/>
      <c r="AH767"/>
      <c r="AI767"/>
      <c r="AJ767"/>
      <c r="AK767"/>
      <c r="AL767"/>
      <c r="AM767"/>
      <c r="AN767"/>
      <c r="AO767"/>
      <c r="AP767"/>
    </row>
    <row r="768" spans="1:42" s="359" customFormat="1" ht="15" customHeight="1">
      <c r="A768"/>
      <c r="B768"/>
      <c r="C768"/>
      <c r="D768" s="207"/>
      <c r="E768" s="16"/>
      <c r="F768"/>
      <c r="H768"/>
      <c r="I768"/>
      <c r="J768"/>
      <c r="K768"/>
      <c r="L768"/>
      <c r="M768"/>
      <c r="N768"/>
      <c r="O768"/>
      <c r="P768"/>
      <c r="Q768" s="2791"/>
      <c r="R768" s="2791"/>
      <c r="S768" s="2791"/>
      <c r="T768"/>
      <c r="U768"/>
      <c r="V768"/>
      <c r="W768"/>
      <c r="X768"/>
      <c r="Y768"/>
      <c r="Z768"/>
      <c r="AA768"/>
      <c r="AB768"/>
      <c r="AC768"/>
      <c r="AD768"/>
      <c r="AE768"/>
      <c r="AF768"/>
      <c r="AG768"/>
      <c r="AH768"/>
      <c r="AI768"/>
      <c r="AJ768"/>
      <c r="AK768"/>
      <c r="AL768"/>
      <c r="AM768"/>
      <c r="AN768"/>
      <c r="AO768"/>
      <c r="AP768"/>
    </row>
    <row r="769" spans="3:8" ht="15" customHeight="1">
      <c r="D769" s="207"/>
      <c r="E769" s="2"/>
      <c r="F769" s="2"/>
    </row>
    <row r="770" spans="3:8" ht="15" customHeight="1">
      <c r="D770" s="207"/>
      <c r="F770" s="2"/>
    </row>
    <row r="771" spans="3:8" ht="15" customHeight="1">
      <c r="D771" s="207"/>
      <c r="F771" s="2"/>
    </row>
    <row r="772" spans="3:8" ht="15" customHeight="1">
      <c r="D772" s="207"/>
    </row>
    <row r="773" spans="3:8" ht="15" customHeight="1">
      <c r="D773" s="207"/>
    </row>
    <row r="774" spans="3:8" ht="15" customHeight="1">
      <c r="D774" s="57"/>
    </row>
    <row r="775" spans="3:8">
      <c r="D775" s="16"/>
    </row>
    <row r="776" spans="3:8">
      <c r="C776" s="206"/>
      <c r="D776" s="208"/>
      <c r="E776" s="6"/>
    </row>
    <row r="777" spans="3:8">
      <c r="D777" s="207"/>
    </row>
    <row r="778" spans="3:8">
      <c r="D778" s="207"/>
      <c r="F778" s="2"/>
    </row>
    <row r="779" spans="3:8">
      <c r="D779" s="207"/>
      <c r="F779" s="2"/>
    </row>
    <row r="780" spans="3:8">
      <c r="D780" s="156"/>
      <c r="F780" s="2"/>
    </row>
    <row r="781" spans="3:8">
      <c r="C781" s="206"/>
      <c r="F781" s="2"/>
    </row>
    <row r="782" spans="3:8">
      <c r="C782" s="206"/>
      <c r="D782" s="207"/>
      <c r="F782" s="2"/>
    </row>
    <row r="783" spans="3:8">
      <c r="D783" s="207"/>
      <c r="G783" s="99"/>
    </row>
    <row r="784" spans="3:8">
      <c r="D784" s="16"/>
      <c r="G784" s="99"/>
      <c r="H784" s="16"/>
    </row>
    <row r="785" spans="2:42">
      <c r="D785" s="207"/>
      <c r="G785" s="1132"/>
    </row>
    <row r="786" spans="2:42">
      <c r="D786" s="207"/>
      <c r="G786" s="1133"/>
    </row>
    <row r="787" spans="2:42">
      <c r="G787" s="99"/>
    </row>
    <row r="788" spans="2:42">
      <c r="D788" s="57"/>
      <c r="G788" s="1102"/>
      <c r="H788" s="16"/>
    </row>
    <row r="789" spans="2:42">
      <c r="G789" s="1102"/>
      <c r="H789" s="16"/>
    </row>
    <row r="790" spans="2:42">
      <c r="D790" s="156"/>
      <c r="J790" s="16"/>
    </row>
    <row r="791" spans="2:42">
      <c r="D791" s="156"/>
      <c r="J791" s="16"/>
    </row>
    <row r="793" spans="2:42">
      <c r="D793" s="16"/>
    </row>
    <row r="794" spans="2:42">
      <c r="D794" s="16"/>
    </row>
    <row r="795" spans="2:42">
      <c r="D795" s="16"/>
    </row>
    <row r="796" spans="2:42">
      <c r="D796" s="16"/>
    </row>
    <row r="799" spans="2:42" s="24" customFormat="1">
      <c r="B799"/>
      <c r="C799" s="206"/>
      <c r="E799" s="16"/>
      <c r="F799"/>
      <c r="G799" s="359"/>
      <c r="H799"/>
      <c r="I799"/>
      <c r="J799"/>
      <c r="K799"/>
      <c r="L799"/>
      <c r="M799"/>
      <c r="N799"/>
      <c r="O799"/>
      <c r="P799"/>
      <c r="Q799" s="2791"/>
      <c r="R799" s="2791"/>
      <c r="S799" s="2791"/>
      <c r="T799"/>
      <c r="U799"/>
      <c r="V799"/>
      <c r="W799"/>
      <c r="X799"/>
      <c r="Y799"/>
      <c r="Z799"/>
      <c r="AA799"/>
      <c r="AB799"/>
      <c r="AC799"/>
      <c r="AD799"/>
      <c r="AE799"/>
      <c r="AF799"/>
      <c r="AG799"/>
      <c r="AH799"/>
      <c r="AI799"/>
      <c r="AJ799"/>
      <c r="AK799"/>
      <c r="AL799"/>
      <c r="AM799"/>
      <c r="AN799"/>
      <c r="AO799"/>
      <c r="AP799"/>
    </row>
    <row r="800" spans="2:42" s="24" customFormat="1">
      <c r="B800"/>
      <c r="C800" s="206"/>
      <c r="E800" s="16"/>
      <c r="F800"/>
      <c r="G800" s="359"/>
      <c r="H800"/>
      <c r="I800"/>
      <c r="J800"/>
      <c r="K800"/>
      <c r="L800"/>
      <c r="M800"/>
      <c r="N800"/>
      <c r="O800"/>
      <c r="P800"/>
      <c r="Q800" s="2791"/>
      <c r="R800" s="2791"/>
      <c r="S800" s="2791"/>
      <c r="T800"/>
      <c r="U800"/>
      <c r="V800"/>
      <c r="W800"/>
      <c r="X800"/>
      <c r="Y800"/>
      <c r="Z800"/>
      <c r="AA800"/>
      <c r="AB800"/>
      <c r="AC800"/>
      <c r="AD800"/>
      <c r="AE800"/>
      <c r="AF800"/>
      <c r="AG800"/>
      <c r="AH800"/>
      <c r="AI800"/>
      <c r="AJ800"/>
      <c r="AK800"/>
      <c r="AL800"/>
      <c r="AM800"/>
      <c r="AN800"/>
      <c r="AO800"/>
      <c r="AP800"/>
    </row>
    <row r="801" spans="2:42" s="24" customFormat="1">
      <c r="B801"/>
      <c r="C801" s="206"/>
      <c r="E801" s="16"/>
      <c r="F801"/>
      <c r="G801" s="359"/>
      <c r="H801"/>
      <c r="I801"/>
      <c r="J801"/>
      <c r="K801"/>
      <c r="L801"/>
      <c r="M801"/>
      <c r="N801"/>
      <c r="O801"/>
      <c r="P801"/>
      <c r="Q801" s="2791"/>
      <c r="R801" s="2791"/>
      <c r="S801" s="2791"/>
      <c r="T801"/>
      <c r="U801"/>
      <c r="V801"/>
      <c r="W801"/>
      <c r="X801"/>
      <c r="Y801"/>
      <c r="Z801"/>
      <c r="AA801"/>
      <c r="AB801"/>
      <c r="AC801"/>
      <c r="AD801"/>
      <c r="AE801"/>
      <c r="AF801"/>
      <c r="AG801"/>
      <c r="AH801"/>
      <c r="AI801"/>
      <c r="AJ801"/>
      <c r="AK801"/>
      <c r="AL801"/>
      <c r="AM801"/>
      <c r="AN801"/>
      <c r="AO801"/>
      <c r="AP801"/>
    </row>
    <row r="802" spans="2:42" s="24" customFormat="1">
      <c r="B802"/>
      <c r="C802" s="206"/>
      <c r="E802" s="16"/>
      <c r="F802"/>
      <c r="G802" s="359"/>
      <c r="H802"/>
      <c r="I802"/>
      <c r="J802"/>
      <c r="K802"/>
      <c r="L802"/>
      <c r="M802"/>
      <c r="N802"/>
      <c r="O802"/>
      <c r="P802"/>
      <c r="Q802" s="2791"/>
      <c r="R802" s="2791"/>
      <c r="S802" s="2791"/>
      <c r="T802"/>
      <c r="U802"/>
      <c r="V802"/>
      <c r="W802"/>
      <c r="X802"/>
      <c r="Y802"/>
      <c r="Z802"/>
      <c r="AA802"/>
      <c r="AB802"/>
      <c r="AC802"/>
      <c r="AD802"/>
      <c r="AE802"/>
      <c r="AF802"/>
      <c r="AG802"/>
      <c r="AH802"/>
      <c r="AI802"/>
      <c r="AJ802"/>
      <c r="AK802"/>
      <c r="AL802"/>
      <c r="AM802"/>
      <c r="AN802"/>
      <c r="AO802"/>
      <c r="AP802"/>
    </row>
    <row r="803" spans="2:42" s="24" customFormat="1">
      <c r="B803"/>
      <c r="C803" s="206"/>
      <c r="E803" s="16"/>
      <c r="F803"/>
      <c r="G803" s="359"/>
      <c r="H803"/>
      <c r="I803"/>
      <c r="J803"/>
      <c r="K803"/>
      <c r="L803"/>
      <c r="M803"/>
      <c r="N803"/>
      <c r="O803"/>
      <c r="P803"/>
      <c r="Q803" s="2791"/>
      <c r="R803" s="2791"/>
      <c r="S803" s="2791"/>
      <c r="T803"/>
      <c r="U803"/>
      <c r="V803"/>
      <c r="W803"/>
      <c r="X803"/>
      <c r="Y803"/>
      <c r="Z803"/>
      <c r="AA803"/>
      <c r="AB803"/>
      <c r="AC803"/>
      <c r="AD803"/>
      <c r="AE803"/>
      <c r="AF803"/>
      <c r="AG803"/>
      <c r="AH803"/>
      <c r="AI803"/>
      <c r="AJ803"/>
      <c r="AK803"/>
      <c r="AL803"/>
      <c r="AM803"/>
      <c r="AN803"/>
      <c r="AO803"/>
      <c r="AP803"/>
    </row>
    <row r="804" spans="2:42" s="24" customFormat="1">
      <c r="B804"/>
      <c r="C804" s="206"/>
      <c r="E804" s="16"/>
      <c r="F804"/>
      <c r="G804" s="359"/>
      <c r="H804"/>
      <c r="I804"/>
      <c r="J804"/>
      <c r="K804"/>
      <c r="L804"/>
      <c r="M804"/>
      <c r="N804"/>
      <c r="O804"/>
      <c r="P804"/>
      <c r="Q804" s="2791"/>
      <c r="R804" s="2791"/>
      <c r="S804" s="2791"/>
      <c r="T804"/>
      <c r="U804"/>
      <c r="V804"/>
      <c r="W804"/>
      <c r="X804"/>
      <c r="Y804"/>
      <c r="Z804"/>
      <c r="AA804"/>
      <c r="AB804"/>
      <c r="AC804"/>
      <c r="AD804"/>
      <c r="AE804"/>
      <c r="AF804"/>
      <c r="AG804"/>
      <c r="AH804"/>
      <c r="AI804"/>
      <c r="AJ804"/>
      <c r="AK804"/>
      <c r="AL804"/>
      <c r="AM804"/>
      <c r="AN804"/>
      <c r="AO804"/>
      <c r="AP804"/>
    </row>
    <row r="805" spans="2:42" s="24" customFormat="1">
      <c r="B805"/>
      <c r="C805" s="206"/>
      <c r="E805" s="16"/>
      <c r="F805"/>
      <c r="G805" s="359"/>
      <c r="H805"/>
      <c r="I805"/>
      <c r="J805"/>
      <c r="K805"/>
      <c r="L805"/>
      <c r="M805"/>
      <c r="N805"/>
      <c r="O805"/>
      <c r="P805"/>
      <c r="Q805" s="2791"/>
      <c r="R805" s="2791"/>
      <c r="S805" s="2791"/>
      <c r="T805"/>
      <c r="U805"/>
      <c r="V805"/>
      <c r="W805"/>
      <c r="X805"/>
      <c r="Y805"/>
      <c r="Z805"/>
      <c r="AA805"/>
      <c r="AB805"/>
      <c r="AC805"/>
      <c r="AD805"/>
      <c r="AE805"/>
      <c r="AF805"/>
      <c r="AG805"/>
      <c r="AH805"/>
      <c r="AI805"/>
      <c r="AJ805"/>
      <c r="AK805"/>
      <c r="AL805"/>
      <c r="AM805"/>
      <c r="AN805"/>
      <c r="AO805"/>
      <c r="AP805"/>
    </row>
  </sheetData>
  <mergeCells count="64">
    <mergeCell ref="C79:C82"/>
    <mergeCell ref="D79:D82"/>
    <mergeCell ref="D83:D86"/>
    <mergeCell ref="K690:L690"/>
    <mergeCell ref="M690:N690"/>
    <mergeCell ref="C71:C74"/>
    <mergeCell ref="D71:D74"/>
    <mergeCell ref="C75:C78"/>
    <mergeCell ref="D75:D78"/>
    <mergeCell ref="C55:C58"/>
    <mergeCell ref="D55:D58"/>
    <mergeCell ref="C59:C62"/>
    <mergeCell ref="D59:D62"/>
    <mergeCell ref="C63:C66"/>
    <mergeCell ref="C51:C54"/>
    <mergeCell ref="D51:D54"/>
    <mergeCell ref="D63:D66"/>
    <mergeCell ref="C67:C70"/>
    <mergeCell ref="D67:D70"/>
    <mergeCell ref="D39:D42"/>
    <mergeCell ref="C43:C46"/>
    <mergeCell ref="D43:D46"/>
    <mergeCell ref="C47:C50"/>
    <mergeCell ref="D47:D50"/>
    <mergeCell ref="AJ21:AJ22"/>
    <mergeCell ref="AK21:AK22"/>
    <mergeCell ref="D27:D30"/>
    <mergeCell ref="D31:D34"/>
    <mergeCell ref="D35:D38"/>
    <mergeCell ref="Q21:Q22"/>
    <mergeCell ref="R21:R22"/>
    <mergeCell ref="S21:S22"/>
    <mergeCell ref="C23:C26"/>
    <mergeCell ref="D23:D26"/>
    <mergeCell ref="V21:V22"/>
    <mergeCell ref="W21:W22"/>
    <mergeCell ref="X21:X22"/>
    <mergeCell ref="AH19:AK20"/>
    <mergeCell ref="C21:C22"/>
    <mergeCell ref="D21:D22"/>
    <mergeCell ref="E21:E22"/>
    <mergeCell ref="F21:G21"/>
    <mergeCell ref="H21:I21"/>
    <mergeCell ref="L21:M21"/>
    <mergeCell ref="N21:N22"/>
    <mergeCell ref="O21:O22"/>
    <mergeCell ref="P21:P22"/>
    <mergeCell ref="B17:K20"/>
    <mergeCell ref="L17:P18"/>
    <mergeCell ref="U17:AE18"/>
    <mergeCell ref="AB21:AB22"/>
    <mergeCell ref="AD21:AD22"/>
    <mergeCell ref="AE21:AE22"/>
    <mergeCell ref="AD19:AE20"/>
    <mergeCell ref="U21:U22"/>
    <mergeCell ref="L19:P20"/>
    <mergeCell ref="U19:U20"/>
    <mergeCell ref="V19:Z20"/>
    <mergeCell ref="AA19:AB20"/>
    <mergeCell ref="AC19:AC22"/>
    <mergeCell ref="Y21:Y22"/>
    <mergeCell ref="Z21:Z22"/>
    <mergeCell ref="AA21:AA22"/>
    <mergeCell ref="Q17:S20"/>
  </mergeCells>
  <hyperlinks>
    <hyperlink ref="X457" r:id="rId1" xr:uid="{00000000-0004-0000-1500-000000000000}"/>
    <hyperlink ref="X578" r:id="rId2" xr:uid="{00000000-0004-0000-1500-000001000000}"/>
  </hyperlinks>
  <pageMargins left="0.7" right="0.7" top="0.75" bottom="0.75" header="0.3" footer="0.3"/>
  <pageSetup paperSize="9" orientation="portrait" horizontalDpi="0" verticalDpi="0"/>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B1:Z76"/>
  <sheetViews>
    <sheetView showGridLines="0" zoomScaleNormal="100" workbookViewId="0">
      <selection activeCell="H36" sqref="H36"/>
    </sheetView>
  </sheetViews>
  <sheetFormatPr baseColWidth="10" defaultColWidth="11" defaultRowHeight="16" outlineLevelRow="1"/>
  <cols>
    <col min="1" max="1" width="4.6640625" customWidth="1"/>
    <col min="2" max="2" width="17.5" customWidth="1"/>
    <col min="3" max="3" width="42.83203125" customWidth="1"/>
    <col min="4" max="4" width="16.83203125" customWidth="1"/>
    <col min="5" max="5" width="13.33203125" customWidth="1"/>
    <col min="6" max="7" width="14.33203125" customWidth="1"/>
    <col min="8" max="8" width="18.1640625" customWidth="1"/>
    <col min="9" max="9" width="18.1640625" style="122" customWidth="1"/>
    <col min="10" max="10" width="16.6640625" customWidth="1"/>
    <col min="11" max="11" width="19.1640625" customWidth="1"/>
    <col min="12" max="12" width="14.33203125" customWidth="1"/>
    <col min="13" max="16" width="11.83203125" customWidth="1"/>
    <col min="17" max="17" width="12.1640625" customWidth="1"/>
    <col min="18" max="21" width="13.5" customWidth="1"/>
  </cols>
  <sheetData>
    <row r="1" spans="2:25">
      <c r="B1" s="8" t="s">
        <v>1035</v>
      </c>
    </row>
    <row r="3" spans="2:25">
      <c r="B3" s="8" t="s">
        <v>844</v>
      </c>
      <c r="G3" s="692"/>
      <c r="H3" s="692"/>
      <c r="I3" s="1273"/>
      <c r="J3" s="692"/>
      <c r="K3" s="692"/>
      <c r="L3" s="692"/>
    </row>
    <row r="4" spans="2:25" ht="17" thickBot="1">
      <c r="B4" t="s">
        <v>839</v>
      </c>
      <c r="C4" t="s">
        <v>845</v>
      </c>
      <c r="D4" s="1"/>
      <c r="E4" s="1"/>
      <c r="F4" s="1"/>
      <c r="G4" s="1"/>
      <c r="H4" s="1"/>
      <c r="I4" s="276"/>
    </row>
    <row r="5" spans="2:25">
      <c r="C5" s="804" t="s">
        <v>838</v>
      </c>
      <c r="D5" s="805" t="s">
        <v>860</v>
      </c>
      <c r="E5" s="805"/>
      <c r="F5" s="805"/>
      <c r="G5" s="805"/>
      <c r="H5" s="805"/>
    </row>
    <row r="6" spans="2:25">
      <c r="C6" s="807"/>
      <c r="H6" s="79"/>
    </row>
    <row r="7" spans="2:25">
      <c r="C7" s="807" t="s">
        <v>827</v>
      </c>
      <c r="D7" s="2791" t="s">
        <v>2175</v>
      </c>
      <c r="H7" s="79"/>
    </row>
    <row r="8" spans="2:25">
      <c r="C8" s="807" t="s">
        <v>827</v>
      </c>
      <c r="D8" t="s">
        <v>2183</v>
      </c>
      <c r="H8" s="79"/>
    </row>
    <row r="9" spans="2:25">
      <c r="C9" s="807" t="s">
        <v>827</v>
      </c>
      <c r="D9" t="s">
        <v>2390</v>
      </c>
      <c r="H9" s="79"/>
    </row>
    <row r="10" spans="2:25" s="2791" customFormat="1">
      <c r="C10" s="807" t="s">
        <v>827</v>
      </c>
      <c r="D10" s="2791" t="s">
        <v>2371</v>
      </c>
      <c r="H10" s="79"/>
      <c r="I10" s="122"/>
    </row>
    <row r="11" spans="2:25">
      <c r="C11" s="807" t="s">
        <v>827</v>
      </c>
      <c r="D11" s="2791" t="s">
        <v>2377</v>
      </c>
      <c r="H11" s="79"/>
    </row>
    <row r="12" spans="2:25" ht="17" thickBot="1">
      <c r="C12" s="808"/>
      <c r="D12" s="574"/>
      <c r="E12" s="574"/>
      <c r="F12" s="574"/>
      <c r="G12" s="574"/>
      <c r="H12" s="574"/>
      <c r="Y12" s="587">
        <v>0</v>
      </c>
    </row>
    <row r="13" spans="2:25">
      <c r="C13" s="360" t="s">
        <v>851</v>
      </c>
      <c r="Y13" s="587"/>
    </row>
    <row r="14" spans="2:25">
      <c r="Y14" s="587"/>
    </row>
    <row r="15" spans="2:25">
      <c r="B15" t="s">
        <v>942</v>
      </c>
      <c r="C15" s="359" t="s">
        <v>848</v>
      </c>
      <c r="Y15" s="587"/>
    </row>
    <row r="17" spans="2:12">
      <c r="B17" s="8" t="s">
        <v>730</v>
      </c>
    </row>
    <row r="18" spans="2:12" ht="17">
      <c r="B18" s="3" t="s">
        <v>847</v>
      </c>
      <c r="C18" s="1395" t="s">
        <v>2393</v>
      </c>
      <c r="G18" s="562"/>
      <c r="H18" s="562"/>
      <c r="I18" s="1274"/>
      <c r="J18" s="562"/>
      <c r="K18" s="562"/>
      <c r="L18" s="562"/>
    </row>
    <row r="19" spans="2:12" ht="17">
      <c r="C19" t="s">
        <v>1433</v>
      </c>
      <c r="G19" s="562"/>
      <c r="H19" s="562"/>
      <c r="I19" s="1274"/>
      <c r="J19" s="562"/>
      <c r="K19" s="562"/>
      <c r="L19" s="562"/>
    </row>
    <row r="20" spans="2:12">
      <c r="C20" t="s">
        <v>1434</v>
      </c>
      <c r="G20" s="692"/>
      <c r="H20" s="692"/>
      <c r="I20" s="1273"/>
      <c r="J20" s="692"/>
      <c r="K20" s="692"/>
      <c r="L20" s="692"/>
    </row>
    <row r="21" spans="2:12">
      <c r="G21" s="692"/>
      <c r="H21" s="692"/>
      <c r="I21" s="1273"/>
      <c r="J21" s="692"/>
      <c r="K21" s="692"/>
      <c r="L21" s="692"/>
    </row>
    <row r="22" spans="2:12" ht="17">
      <c r="C22" t="s">
        <v>843</v>
      </c>
      <c r="G22" s="562"/>
      <c r="H22" s="562"/>
      <c r="I22" s="1274"/>
      <c r="J22" s="562"/>
      <c r="K22" s="562"/>
      <c r="L22" s="562"/>
    </row>
    <row r="23" spans="2:12" ht="17">
      <c r="C23" t="s">
        <v>867</v>
      </c>
      <c r="D23" s="31"/>
      <c r="G23" s="562"/>
      <c r="H23" s="562"/>
      <c r="I23" s="1274"/>
      <c r="J23" s="562"/>
      <c r="K23" s="562"/>
      <c r="L23" s="562"/>
    </row>
    <row r="24" spans="2:12" ht="17">
      <c r="C24" t="s">
        <v>805</v>
      </c>
      <c r="D24" s="31"/>
      <c r="G24" s="562"/>
      <c r="H24" s="562"/>
      <c r="I24" s="1274"/>
      <c r="J24" s="562"/>
      <c r="K24" s="562"/>
      <c r="L24" s="562"/>
    </row>
    <row r="25" spans="2:12" ht="17">
      <c r="D25" s="31"/>
      <c r="G25" s="562"/>
      <c r="H25" s="562"/>
      <c r="I25" s="1274"/>
      <c r="J25" s="562"/>
      <c r="K25" s="562"/>
      <c r="L25" s="562"/>
    </row>
    <row r="26" spans="2:12" ht="17">
      <c r="D26" s="31"/>
      <c r="G26" s="562"/>
      <c r="H26" s="562"/>
      <c r="I26" s="1274"/>
      <c r="J26" s="562"/>
      <c r="K26" s="562"/>
      <c r="L26" s="562"/>
    </row>
    <row r="27" spans="2:12" ht="17">
      <c r="B27" s="3" t="s">
        <v>846</v>
      </c>
      <c r="G27" s="562"/>
      <c r="H27" s="562"/>
      <c r="I27" s="1274"/>
      <c r="J27" s="562"/>
      <c r="K27" s="562"/>
      <c r="L27" s="562"/>
    </row>
    <row r="28" spans="2:12" ht="17">
      <c r="G28" s="562"/>
      <c r="H28" s="562"/>
      <c r="I28" s="1274"/>
      <c r="J28" s="562"/>
      <c r="K28" s="562"/>
      <c r="L28" s="562"/>
    </row>
    <row r="29" spans="2:12" ht="17">
      <c r="C29" s="693" t="s">
        <v>2182</v>
      </c>
      <c r="D29" s="31"/>
      <c r="G29" s="562"/>
      <c r="H29" s="562"/>
      <c r="I29" s="1274"/>
      <c r="J29" s="562"/>
      <c r="K29" s="562"/>
      <c r="L29" s="562"/>
    </row>
    <row r="30" spans="2:12">
      <c r="C30" s="693" t="s">
        <v>2184</v>
      </c>
      <c r="G30" s="692"/>
      <c r="H30" s="692"/>
      <c r="I30" s="1273"/>
      <c r="J30" s="692"/>
      <c r="K30" s="692"/>
      <c r="L30" s="692"/>
    </row>
    <row r="31" spans="2:12" ht="17">
      <c r="C31" t="s">
        <v>835</v>
      </c>
      <c r="G31" s="562"/>
      <c r="H31" s="562"/>
      <c r="I31" s="1274"/>
      <c r="J31" s="562"/>
      <c r="K31" s="562"/>
      <c r="L31" s="562"/>
    </row>
    <row r="32" spans="2:12">
      <c r="D32" t="s">
        <v>834</v>
      </c>
      <c r="G32" s="692"/>
      <c r="H32" s="692"/>
      <c r="I32" s="1273"/>
      <c r="J32" s="692"/>
      <c r="K32" s="692"/>
      <c r="L32" s="692"/>
    </row>
    <row r="33" spans="2:26">
      <c r="C33" t="s">
        <v>836</v>
      </c>
      <c r="G33" s="692"/>
      <c r="H33" s="692"/>
      <c r="I33" s="1273"/>
      <c r="J33" s="692"/>
      <c r="K33" s="692"/>
      <c r="L33" s="692"/>
    </row>
    <row r="34" spans="2:26">
      <c r="D34" t="s">
        <v>2370</v>
      </c>
      <c r="G34" s="692"/>
      <c r="H34" s="692"/>
      <c r="I34" s="1273"/>
      <c r="J34" s="692"/>
      <c r="K34" s="692"/>
      <c r="L34" s="692"/>
    </row>
    <row r="35" spans="2:26">
      <c r="G35" s="692"/>
      <c r="H35" s="692"/>
      <c r="I35" s="1273"/>
      <c r="J35" s="692"/>
      <c r="K35" s="692"/>
      <c r="L35" s="692"/>
    </row>
    <row r="36" spans="2:26">
      <c r="G36" s="692"/>
      <c r="H36" s="692"/>
      <c r="I36" s="1273"/>
      <c r="J36" s="692"/>
      <c r="K36" s="692"/>
      <c r="L36" s="692"/>
    </row>
    <row r="37" spans="2:26">
      <c r="G37" s="692"/>
      <c r="H37" s="692"/>
      <c r="I37" s="1273"/>
      <c r="J37" s="692"/>
      <c r="K37" s="692"/>
      <c r="L37" s="692"/>
    </row>
    <row r="38" spans="2:26">
      <c r="B38" s="1"/>
      <c r="C38" s="360"/>
      <c r="Y38" s="587"/>
    </row>
    <row r="39" spans="2:26">
      <c r="B39" s="8" t="s">
        <v>1036</v>
      </c>
      <c r="C39" s="100"/>
      <c r="F39" s="3881" t="s">
        <v>1983</v>
      </c>
      <c r="G39" s="3881"/>
      <c r="H39" s="3881"/>
      <c r="I39" s="2603" t="s">
        <v>1443</v>
      </c>
      <c r="K39" s="1" t="s">
        <v>1049</v>
      </c>
      <c r="L39" s="3881" t="s">
        <v>1442</v>
      </c>
      <c r="M39" s="3881"/>
      <c r="N39" s="3881"/>
      <c r="O39" s="2459" t="s">
        <v>1443</v>
      </c>
      <c r="Y39" s="587"/>
    </row>
    <row r="40" spans="2:26">
      <c r="B40" t="s">
        <v>841</v>
      </c>
      <c r="L40" s="1" t="s">
        <v>1430</v>
      </c>
      <c r="Q40" t="s">
        <v>1053</v>
      </c>
      <c r="Y40" s="587"/>
    </row>
    <row r="41" spans="2:26">
      <c r="C41" t="s">
        <v>829</v>
      </c>
      <c r="K41" s="259">
        <f>'Overall Assumptions'!$C$186</f>
        <v>1241</v>
      </c>
      <c r="L41" s="259">
        <f>'Overall Assumptions'!$C$179</f>
        <v>208.4</v>
      </c>
      <c r="O41" s="259">
        <f>'Overall Assumptions'!$C$179</f>
        <v>208.4</v>
      </c>
      <c r="Y41" s="587"/>
    </row>
    <row r="42" spans="2:26">
      <c r="C42" s="360" t="s">
        <v>1052</v>
      </c>
      <c r="D42" s="1"/>
      <c r="E42" s="1"/>
      <c r="L42" s="3882"/>
      <c r="M42" s="3882"/>
      <c r="N42" s="3882"/>
      <c r="O42" s="79"/>
      <c r="Y42" s="587"/>
    </row>
    <row r="43" spans="2:26">
      <c r="C43" s="4" t="s">
        <v>730</v>
      </c>
      <c r="D43" s="593" t="s">
        <v>832</v>
      </c>
      <c r="F43" s="3739" t="s">
        <v>799</v>
      </c>
      <c r="G43" s="3744"/>
      <c r="H43" s="3740"/>
      <c r="I43" s="1792" t="s">
        <v>800</v>
      </c>
      <c r="J43" s="2099"/>
      <c r="K43" s="2351" t="s">
        <v>870</v>
      </c>
      <c r="L43" s="3739" t="s">
        <v>799</v>
      </c>
      <c r="M43" s="3744"/>
      <c r="N43" s="3744"/>
      <c r="O43" s="1792" t="s">
        <v>800</v>
      </c>
      <c r="Q43">
        <v>0</v>
      </c>
      <c r="R43">
        <v>1</v>
      </c>
      <c r="S43">
        <v>2</v>
      </c>
      <c r="T43">
        <v>3</v>
      </c>
      <c r="Z43" s="587"/>
    </row>
    <row r="44" spans="2:26" ht="16" customHeight="1">
      <c r="C44" s="480" t="s">
        <v>819</v>
      </c>
      <c r="D44" s="3828" t="s">
        <v>801</v>
      </c>
      <c r="F44" s="3979" t="s">
        <v>850</v>
      </c>
      <c r="G44" s="3980"/>
      <c r="H44" s="3980"/>
      <c r="I44" s="2111" t="s">
        <v>1444</v>
      </c>
      <c r="J44" s="2100"/>
      <c r="K44" s="593"/>
      <c r="L44" s="3976" t="s">
        <v>1441</v>
      </c>
      <c r="M44" s="3977"/>
      <c r="N44" s="3977"/>
      <c r="O44" s="3978"/>
      <c r="Q44" s="402" t="s">
        <v>821</v>
      </c>
      <c r="R44" s="255"/>
      <c r="S44" s="255"/>
      <c r="T44" s="161"/>
      <c r="Z44" s="587"/>
    </row>
    <row r="45" spans="2:26" ht="16" customHeight="1">
      <c r="C45" s="591"/>
      <c r="D45" s="3829"/>
      <c r="F45" s="3892"/>
      <c r="G45" s="3893"/>
      <c r="H45" s="3893"/>
      <c r="I45" s="2105"/>
      <c r="J45" s="1793"/>
      <c r="K45" s="593"/>
      <c r="L45" s="3892"/>
      <c r="M45" s="3893"/>
      <c r="N45" s="3893"/>
      <c r="O45" s="2105"/>
      <c r="Q45" s="480" t="s">
        <v>3</v>
      </c>
      <c r="R45" s="161" t="s">
        <v>132</v>
      </c>
      <c r="S45" s="161" t="s">
        <v>4</v>
      </c>
      <c r="T45" s="161" t="s">
        <v>21</v>
      </c>
      <c r="Z45" s="587"/>
    </row>
    <row r="46" spans="2:26" ht="16" customHeight="1">
      <c r="C46" s="591"/>
      <c r="D46" s="3829"/>
      <c r="F46" s="3895" t="s">
        <v>796</v>
      </c>
      <c r="G46" s="3896"/>
      <c r="H46" s="3897"/>
      <c r="I46" s="1794"/>
      <c r="J46" s="2593"/>
      <c r="K46" s="2591"/>
      <c r="L46" s="3895" t="s">
        <v>796</v>
      </c>
      <c r="M46" s="3896"/>
      <c r="N46" s="3897"/>
      <c r="O46" s="1794"/>
      <c r="Q46" s="1791"/>
      <c r="R46" s="1794"/>
      <c r="S46" s="1794"/>
      <c r="T46" s="246"/>
      <c r="Z46" s="587"/>
    </row>
    <row r="47" spans="2:26">
      <c r="B47" s="79"/>
      <c r="C47" s="481"/>
      <c r="D47" s="3830"/>
      <c r="F47" s="404" t="s">
        <v>802</v>
      </c>
      <c r="G47" s="79" t="s">
        <v>803</v>
      </c>
      <c r="H47" s="246" t="s">
        <v>733</v>
      </c>
      <c r="I47" s="246"/>
      <c r="J47" s="79"/>
      <c r="K47" s="2592"/>
      <c r="L47" s="404" t="s">
        <v>802</v>
      </c>
      <c r="M47" s="79" t="s">
        <v>803</v>
      </c>
      <c r="N47" s="246" t="s">
        <v>733</v>
      </c>
      <c r="O47" s="246"/>
      <c r="Q47" s="481"/>
      <c r="R47" s="162"/>
      <c r="S47" s="162"/>
      <c r="T47" s="162"/>
      <c r="Z47" s="587"/>
    </row>
    <row r="48" spans="2:26">
      <c r="B48" s="480" t="s">
        <v>862</v>
      </c>
      <c r="C48" s="246" t="s">
        <v>57</v>
      </c>
      <c r="D48" s="606"/>
      <c r="F48" s="1181">
        <f>'Grazing Management'!$AB$23</f>
        <v>85.55624999999992</v>
      </c>
      <c r="G48" s="1180">
        <f>'Grazing Management'!$AB$23</f>
        <v>85.55624999999992</v>
      </c>
      <c r="H48" s="1183">
        <f>'Grazing Management'!$AB$23</f>
        <v>85.55624999999992</v>
      </c>
      <c r="I48" s="2093"/>
      <c r="J48" s="384"/>
      <c r="K48" s="606"/>
      <c r="L48" s="2094"/>
      <c r="M48" s="2107"/>
      <c r="N48" s="2096"/>
      <c r="O48" s="2096"/>
      <c r="Q48" s="1208">
        <f ca="1">OFFSET('Grazing Management'!$AC$23,Q$43+$U48,0)</f>
        <v>1</v>
      </c>
      <c r="R48" s="1208" t="str">
        <f ca="1">OFFSET('Grazing Management'!$AC$23,R$43+$U48,0)</f>
        <v/>
      </c>
      <c r="S48" s="1208" t="str">
        <f ca="1">OFFSET('Grazing Management'!$AC$23,S$43+$U48,0)</f>
        <v/>
      </c>
      <c r="T48" s="1208" t="str">
        <f ca="1">OFFSET('Grazing Management'!$AC$23,T$43+$U48,0)</f>
        <v/>
      </c>
      <c r="U48" s="587">
        <v>0</v>
      </c>
      <c r="V48" s="578">
        <f t="shared" ref="V48:V59" ca="1" si="0">SUM(Q48:T48)</f>
        <v>1</v>
      </c>
      <c r="W48" s="246" t="s">
        <v>57</v>
      </c>
      <c r="Z48" s="587"/>
    </row>
    <row r="49" spans="2:26">
      <c r="B49" s="480" t="s">
        <v>862</v>
      </c>
      <c r="C49" s="389" t="s">
        <v>984</v>
      </c>
      <c r="D49" s="606"/>
      <c r="F49" s="841">
        <f>'Grazing Management'!$AB$27</f>
        <v>19.557999999999982</v>
      </c>
      <c r="G49" s="689">
        <f>'Grazing Management'!$AB$27</f>
        <v>19.557999999999982</v>
      </c>
      <c r="H49" s="842">
        <f>'Grazing Management'!$AB$27</f>
        <v>19.557999999999982</v>
      </c>
      <c r="I49" s="2092"/>
      <c r="J49" s="384"/>
      <c r="K49" s="3001">
        <f>'Grazing Management'!$S$28</f>
        <v>0.99999999999999911</v>
      </c>
      <c r="L49" s="3142"/>
      <c r="M49" s="3143"/>
      <c r="N49" s="3144"/>
      <c r="O49" s="3144"/>
      <c r="Q49" s="751">
        <f ca="1">OFFSET('Grazing Management'!$AC$23,Q$43+$U49,0)</f>
        <v>4.3869516310461203E-2</v>
      </c>
      <c r="R49" s="751">
        <f ca="1">OFFSET('Grazing Management'!$AC$23,R$43+$U49,0)</f>
        <v>0.95613048368953879</v>
      </c>
      <c r="S49" s="751">
        <f ca="1">OFFSET('Grazing Management'!$AC$23,S$43+$U49,0)</f>
        <v>0</v>
      </c>
      <c r="T49" s="751">
        <f ca="1">OFFSET('Grazing Management'!$AC$23,T$43+$U49,0)</f>
        <v>0</v>
      </c>
      <c r="U49" s="587">
        <v>4</v>
      </c>
      <c r="V49" s="578">
        <f t="shared" ca="1" si="0"/>
        <v>1</v>
      </c>
      <c r="W49" s="389" t="s">
        <v>984</v>
      </c>
      <c r="Z49" s="587"/>
    </row>
    <row r="50" spans="2:26" ht="16" customHeight="1">
      <c r="B50" s="591" t="s">
        <v>863</v>
      </c>
      <c r="C50" s="389" t="s">
        <v>1001</v>
      </c>
      <c r="D50" s="606"/>
      <c r="F50" s="841">
        <f>'Grazing Management'!$AB$31</f>
        <v>56.921695067264523</v>
      </c>
      <c r="G50" s="689">
        <f>'Grazing Management'!$AB$35</f>
        <v>64.360260089686051</v>
      </c>
      <c r="H50" s="842">
        <f>'Grazing Management'!$AB$39</f>
        <v>85.243390134529079</v>
      </c>
      <c r="I50" s="2092"/>
      <c r="J50" s="384"/>
      <c r="K50" s="3145"/>
      <c r="L50" s="2882">
        <f>'Grazing Management'!$S$32</f>
        <v>0.99999999999999911</v>
      </c>
      <c r="M50" s="3001">
        <f>'Grazing Management'!$S$36</f>
        <v>0.99999999999999911</v>
      </c>
      <c r="N50" s="3104">
        <f>'Grazing Management'!$S$40</f>
        <v>0.99999999999999911</v>
      </c>
      <c r="O50" s="3144"/>
      <c r="Q50" s="751">
        <f ca="1">OFFSET('Grazing Management'!$AC$23,Q$43+$U50,0)</f>
        <v>0.45956785255615878</v>
      </c>
      <c r="R50" s="751">
        <f ca="1">OFFSET('Grazing Management'!$AC$23,R$43+$U50,0)</f>
        <v>0.2238920307324877</v>
      </c>
      <c r="S50" s="751">
        <f ca="1">OFFSET('Grazing Management'!$AC$23,S$43+$U50,0)</f>
        <v>0.31654011671135351</v>
      </c>
      <c r="T50" s="751">
        <f ca="1">OFFSET('Grazing Management'!$AC$23,T$43+$U50,0)</f>
        <v>0</v>
      </c>
      <c r="U50" s="587">
        <v>8</v>
      </c>
      <c r="V50" s="578">
        <f t="shared" ca="1" si="0"/>
        <v>1</v>
      </c>
      <c r="W50" s="389" t="s">
        <v>1001</v>
      </c>
      <c r="Z50" s="587"/>
    </row>
    <row r="51" spans="2:26" ht="16" customHeight="1">
      <c r="B51" s="591" t="s">
        <v>863</v>
      </c>
      <c r="C51" s="1375" t="s">
        <v>1435</v>
      </c>
      <c r="D51" s="337">
        <f>'Grazing Management'!$AB$43</f>
        <v>1566629.9999999986</v>
      </c>
      <c r="F51" s="2090"/>
      <c r="G51" s="2106"/>
      <c r="H51" s="2092"/>
      <c r="I51" s="2092"/>
      <c r="J51" s="384"/>
      <c r="K51" s="3145"/>
      <c r="L51" s="3142"/>
      <c r="M51" s="3143"/>
      <c r="N51" s="3144"/>
      <c r="O51" s="3144"/>
      <c r="Q51" s="751">
        <f ca="1">OFFSET('Grazing Management'!$AC$23,Q$43+$U51,0)</f>
        <v>1</v>
      </c>
      <c r="R51" s="751" t="str">
        <f ca="1">OFFSET('Grazing Management'!$AC$23,R$43+$U51,0)</f>
        <v/>
      </c>
      <c r="S51" s="751" t="str">
        <f ca="1">OFFSET('Grazing Management'!$AC$23,S$43+$U51,0)</f>
        <v/>
      </c>
      <c r="T51" s="751" t="str">
        <f ca="1">OFFSET('Grazing Management'!$AC$23,T$43+$U51,0)</f>
        <v/>
      </c>
      <c r="U51" s="587">
        <f>U50+12</f>
        <v>20</v>
      </c>
      <c r="V51" s="578">
        <f t="shared" ca="1" si="0"/>
        <v>1</v>
      </c>
      <c r="W51" s="1375" t="s">
        <v>1435</v>
      </c>
      <c r="Z51" s="587"/>
    </row>
    <row r="52" spans="2:26">
      <c r="B52" s="591" t="s">
        <v>863</v>
      </c>
      <c r="C52" s="452" t="s">
        <v>1939</v>
      </c>
      <c r="D52" s="606"/>
      <c r="F52" s="841">
        <f>'Grazing Management'!$AB$47</f>
        <v>276.70499999999976</v>
      </c>
      <c r="G52" s="841">
        <f>'Grazing Management'!$AB$47</f>
        <v>276.70499999999976</v>
      </c>
      <c r="H52" s="689">
        <f>'Grazing Management'!$AB$47</f>
        <v>276.70499999999976</v>
      </c>
      <c r="I52" s="2092"/>
      <c r="J52" s="384"/>
      <c r="K52" s="3145"/>
      <c r="L52" s="2882">
        <f>'Grazing Management'!$S$48</f>
        <v>0.99999999999999911</v>
      </c>
      <c r="M52" s="2882">
        <f>'Grazing Management'!$S$48</f>
        <v>0.99999999999999911</v>
      </c>
      <c r="N52" s="3001">
        <f>'Grazing Management'!$S$48</f>
        <v>0.99999999999999911</v>
      </c>
      <c r="O52" s="3144"/>
      <c r="Q52" s="751">
        <f ca="1">OFFSET('Grazing Management'!$AC$23,Q$43+$U52,0)</f>
        <v>0.45348837209302328</v>
      </c>
      <c r="R52" s="751">
        <f ca="1">OFFSET('Grazing Management'!$AC$23,R$43+$U52,0)</f>
        <v>0.22093023255813954</v>
      </c>
      <c r="S52" s="751">
        <f ca="1">OFFSET('Grazing Management'!$AC$23,S$43+$U52,0)</f>
        <v>0.32558139534883712</v>
      </c>
      <c r="T52" s="751">
        <f ca="1">OFFSET('Grazing Management'!$AC$23,T$43+$U52,0)</f>
        <v>0</v>
      </c>
      <c r="U52" s="587">
        <f t="shared" ref="U52:U57" si="1">U51+4</f>
        <v>24</v>
      </c>
      <c r="V52" s="578">
        <f t="shared" ca="1" si="0"/>
        <v>1</v>
      </c>
      <c r="W52" s="452" t="s">
        <v>1436</v>
      </c>
      <c r="Z52" s="587"/>
    </row>
    <row r="53" spans="2:26">
      <c r="B53" s="591" t="s">
        <v>862</v>
      </c>
      <c r="C53" s="2110" t="s">
        <v>1437</v>
      </c>
      <c r="D53" s="606"/>
      <c r="F53" s="689">
        <f>'Grazing Management'!$AB$51</f>
        <v>603.09593110971787</v>
      </c>
      <c r="G53" s="689">
        <f>'Grazing Management'!$AB$51</f>
        <v>603.09593110971787</v>
      </c>
      <c r="H53" s="689">
        <f>'Grazing Management'!$AB$51</f>
        <v>603.09593110971787</v>
      </c>
      <c r="I53" s="2092"/>
      <c r="J53" s="384"/>
      <c r="K53" s="3145"/>
      <c r="L53" s="3001">
        <f>'Grazing Management'!$S$52</f>
        <v>0.84902019609956347</v>
      </c>
      <c r="M53" s="3001">
        <f>'Grazing Management'!$S$52</f>
        <v>0.84902019609956347</v>
      </c>
      <c r="N53" s="3001">
        <f>'Grazing Management'!$S$52</f>
        <v>0.84902019609956347</v>
      </c>
      <c r="O53" s="3144"/>
      <c r="Q53" s="751">
        <f ca="1">OFFSET('Grazing Management'!$AC$23,Q$43+$U53,0)</f>
        <v>0.22899134370535285</v>
      </c>
      <c r="R53" s="751">
        <f ca="1">OFFSET('Grazing Management'!$AC$23,R$43+$U53,0)</f>
        <v>0.1115598853949155</v>
      </c>
      <c r="S53" s="751">
        <f ca="1">OFFSET('Grazing Management'!$AC$23,S$43+$U53,0)</f>
        <v>0.63389501195974096</v>
      </c>
      <c r="T53" s="751">
        <f ca="1">OFFSET('Grazing Management'!$AC$23,T$43+$U53,0)</f>
        <v>2.5553758939990828E-2</v>
      </c>
      <c r="U53" s="587">
        <f t="shared" si="1"/>
        <v>28</v>
      </c>
      <c r="V53" s="578">
        <f t="shared" ca="1" si="0"/>
        <v>1.0000000000000002</v>
      </c>
      <c r="W53" s="2110" t="s">
        <v>1437</v>
      </c>
      <c r="Z53" s="587"/>
    </row>
    <row r="54" spans="2:26">
      <c r="B54" s="591" t="s">
        <v>862</v>
      </c>
      <c r="C54" s="2110" t="s">
        <v>1438</v>
      </c>
      <c r="D54" s="606"/>
      <c r="F54" s="689">
        <f>'Grazing Management'!$AB$55</f>
        <v>618.45104417974608</v>
      </c>
      <c r="G54" s="689">
        <f>'Grazing Management'!$AB$55</f>
        <v>618.45104417974608</v>
      </c>
      <c r="H54" s="689">
        <f>'Grazing Management'!$AB$55</f>
        <v>618.45104417974608</v>
      </c>
      <c r="I54" s="2092"/>
      <c r="J54" s="384"/>
      <c r="K54" s="3145"/>
      <c r="L54" s="3001">
        <f>'Grazing Management'!$S$56</f>
        <v>0.99999999999999911</v>
      </c>
      <c r="M54" s="3001">
        <f>'Grazing Management'!$S$56</f>
        <v>0.99999999999999911</v>
      </c>
      <c r="N54" s="3001">
        <f>'Grazing Management'!$S$56</f>
        <v>0.99999999999999911</v>
      </c>
      <c r="O54" s="3144"/>
      <c r="Q54" s="751">
        <f ca="1">OFFSET('Grazing Management'!$AC$23,Q$43+$U54,0)</f>
        <v>0.17310252996005324</v>
      </c>
      <c r="R54" s="751">
        <f ca="1">OFFSET('Grazing Management'!$AC$23,R$43+$U54,0)</f>
        <v>8.4332001775410587E-2</v>
      </c>
      <c r="S54" s="751">
        <f ca="1">OFFSET('Grazing Management'!$AC$23,S$43+$U54,0)</f>
        <v>0.74256546826453629</v>
      </c>
      <c r="T54" s="751" t="str">
        <f ca="1">OFFSET('Grazing Management'!$AC$23,T$43+$U54,0)</f>
        <v/>
      </c>
      <c r="U54" s="587">
        <f t="shared" si="1"/>
        <v>32</v>
      </c>
      <c r="V54" s="578">
        <f t="shared" ca="1" si="0"/>
        <v>1</v>
      </c>
      <c r="W54" s="2110" t="s">
        <v>1438</v>
      </c>
      <c r="Z54" s="587"/>
    </row>
    <row r="55" spans="2:26">
      <c r="B55" s="591" t="s">
        <v>862</v>
      </c>
      <c r="C55" s="452" t="s">
        <v>1440</v>
      </c>
      <c r="D55" s="606"/>
      <c r="F55" s="2090"/>
      <c r="G55" s="2106"/>
      <c r="H55" s="2092"/>
      <c r="I55" s="842">
        <f>'Grazing Management'!$AB$59</f>
        <v>2954.2591179916694</v>
      </c>
      <c r="J55" s="384"/>
      <c r="K55" s="3146"/>
      <c r="L55" s="3142"/>
      <c r="M55" s="3143"/>
      <c r="N55" s="3144"/>
      <c r="O55" s="3104">
        <f>'Grazing Management'!$S$60</f>
        <v>3.9620942484646298</v>
      </c>
      <c r="Q55" s="751">
        <f ca="1">OFFSET('Grazing Management'!$AC$23,Q$43+$U55,0)</f>
        <v>0.23373668681765694</v>
      </c>
      <c r="R55" s="751">
        <f ca="1">OFFSET('Grazing Management'!$AC$23,R$43+$U55,0)</f>
        <v>0.11387171921885848</v>
      </c>
      <c r="S55" s="751">
        <f ca="1">OFFSET('Grazing Management'!$AC$23,S$43+$U55,0)</f>
        <v>0.6471749330594323</v>
      </c>
      <c r="T55" s="751">
        <f ca="1">OFFSET('Grazing Management'!$AC$23,T$43+$U55,0)</f>
        <v>5.2166609040522572E-3</v>
      </c>
      <c r="U55" s="587">
        <f t="shared" si="1"/>
        <v>36</v>
      </c>
      <c r="V55" s="578">
        <f t="shared" ca="1" si="0"/>
        <v>1</v>
      </c>
      <c r="W55" s="452" t="s">
        <v>1440</v>
      </c>
      <c r="Z55" s="587"/>
    </row>
    <row r="56" spans="2:26">
      <c r="B56" s="591" t="s">
        <v>862</v>
      </c>
      <c r="C56" s="452" t="s">
        <v>1439</v>
      </c>
      <c r="D56" s="606"/>
      <c r="F56" s="2090"/>
      <c r="G56" s="2106"/>
      <c r="H56" s="2092"/>
      <c r="I56" s="842">
        <f>'Grazing Management'!$AB$63</f>
        <v>3098.0197446127891</v>
      </c>
      <c r="J56" s="384"/>
      <c r="K56" s="3145"/>
      <c r="L56" s="3142"/>
      <c r="M56" s="3143"/>
      <c r="N56" s="3144"/>
      <c r="O56" s="3104">
        <f>'Grazing Management'!$S$64</f>
        <v>3.9999999999999964</v>
      </c>
      <c r="Q56" s="751">
        <f ca="1">OFFSET('Grazing Management'!$AC$23,Q$43+$U56,0)</f>
        <v>0.17278043593833073</v>
      </c>
      <c r="R56" s="751">
        <f ca="1">OFFSET('Grazing Management'!$AC$23,R$43+$U56,0)</f>
        <v>8.4175084175084222E-2</v>
      </c>
      <c r="S56" s="751">
        <f ca="1">OFFSET('Grazing Management'!$AC$23,S$43+$U56,0)</f>
        <v>0.74304447988658506</v>
      </c>
      <c r="T56" s="751" t="str">
        <f ca="1">OFFSET('Grazing Management'!$AC$23,T$43+$U56,0)</f>
        <v/>
      </c>
      <c r="U56" s="587">
        <f t="shared" si="1"/>
        <v>40</v>
      </c>
      <c r="V56" s="578">
        <f t="shared" ca="1" si="0"/>
        <v>1</v>
      </c>
      <c r="W56" s="452" t="s">
        <v>1439</v>
      </c>
      <c r="Z56" s="587"/>
    </row>
    <row r="57" spans="2:26">
      <c r="B57" s="591" t="s">
        <v>862</v>
      </c>
      <c r="C57" s="389" t="s">
        <v>1043</v>
      </c>
      <c r="D57" s="606"/>
      <c r="F57" s="841">
        <f>F49</f>
        <v>19.557999999999982</v>
      </c>
      <c r="G57" s="689">
        <f>G49</f>
        <v>19.557999999999982</v>
      </c>
      <c r="H57" s="842">
        <f>H49</f>
        <v>19.557999999999982</v>
      </c>
      <c r="I57" s="2092"/>
      <c r="J57" s="384"/>
      <c r="K57" s="3141">
        <f>'Grazing Management'!$S$68</f>
        <v>0.99999999999999911</v>
      </c>
      <c r="L57" s="3142"/>
      <c r="M57" s="3143"/>
      <c r="N57" s="3144"/>
      <c r="O57" s="3144"/>
      <c r="Q57" s="751">
        <f ca="1">OFFSET('Grazing Management'!$AC$23,Q$43+$U57,0)</f>
        <v>4.3869516310461203E-2</v>
      </c>
      <c r="R57" s="751">
        <f ca="1">OFFSET('Grazing Management'!$AC$23,R$43+$U57,0)</f>
        <v>0.95613048368953879</v>
      </c>
      <c r="S57" s="751">
        <f ca="1">OFFSET('Grazing Management'!$AC$23,S$43+$U57,0)</f>
        <v>0</v>
      </c>
      <c r="T57" s="751">
        <f ca="1">OFFSET('Grazing Management'!$AC$23,T$43+$U57,0)</f>
        <v>0</v>
      </c>
      <c r="U57" s="587">
        <f t="shared" si="1"/>
        <v>44</v>
      </c>
      <c r="V57" s="578">
        <f t="shared" ca="1" si="0"/>
        <v>1</v>
      </c>
      <c r="W57" s="389" t="s">
        <v>1043</v>
      </c>
      <c r="Z57" s="587"/>
    </row>
    <row r="58" spans="2:26">
      <c r="B58" s="591" t="s">
        <v>863</v>
      </c>
      <c r="C58" s="389" t="s">
        <v>1044</v>
      </c>
      <c r="D58" s="606"/>
      <c r="F58" s="841">
        <f>'Grazing Management'!$AB$71</f>
        <v>56.921695067264523</v>
      </c>
      <c r="G58" s="689">
        <f>'Grazing Management'!$AB$75</f>
        <v>64.360260089686051</v>
      </c>
      <c r="H58" s="842">
        <f>'Grazing Management'!$AB$79</f>
        <v>85.243390134529079</v>
      </c>
      <c r="I58" s="2092"/>
      <c r="J58" s="384"/>
      <c r="K58" s="3145"/>
      <c r="L58" s="2882">
        <f>'Grazing Management'!$S$72</f>
        <v>0.99999999999999911</v>
      </c>
      <c r="M58" s="3001">
        <f>'Grazing Management'!$S$76</f>
        <v>0.99999999999999911</v>
      </c>
      <c r="N58" s="3104">
        <f>'Grazing Management'!$S$80</f>
        <v>0.99999999999999911</v>
      </c>
      <c r="O58" s="3144"/>
      <c r="Q58" s="751">
        <f ca="1">OFFSET('Grazing Management'!$AC$23,Q$43+$U58,0)</f>
        <v>0.45956785255615878</v>
      </c>
      <c r="R58" s="751">
        <f ca="1">OFFSET('Grazing Management'!$AC$23,R$43+$U58,0)</f>
        <v>0.2238920307324877</v>
      </c>
      <c r="S58" s="751">
        <f ca="1">OFFSET('Grazing Management'!$AC$23,S$43+$U58,0)</f>
        <v>0.31654011671135351</v>
      </c>
      <c r="T58" s="751" t="str">
        <f ca="1">OFFSET('Grazing Management'!$AC$23,T$43+$U58,0)</f>
        <v/>
      </c>
      <c r="U58" s="587">
        <v>48</v>
      </c>
      <c r="V58" s="578">
        <f t="shared" ca="1" si="0"/>
        <v>1</v>
      </c>
      <c r="W58" s="389" t="s">
        <v>1044</v>
      </c>
    </row>
    <row r="59" spans="2:26">
      <c r="B59" s="481" t="s">
        <v>862</v>
      </c>
      <c r="C59" s="162" t="s">
        <v>736</v>
      </c>
      <c r="D59" s="607"/>
      <c r="F59" s="381">
        <f>'Grazing Management'!$AB$83</f>
        <v>85.55624999999992</v>
      </c>
      <c r="G59" s="381">
        <f>'Grazing Management'!$AB$83</f>
        <v>85.55624999999992</v>
      </c>
      <c r="H59" s="715">
        <f>'Grazing Management'!$AB$83</f>
        <v>85.55624999999992</v>
      </c>
      <c r="I59" s="2092"/>
      <c r="J59" s="384"/>
      <c r="K59" s="3145"/>
      <c r="L59" s="3142"/>
      <c r="M59" s="3142"/>
      <c r="N59" s="3143"/>
      <c r="O59" s="3144"/>
      <c r="Q59" s="752">
        <f ca="1">OFFSET('Grazing Management'!$AC$23,Q$43+$U59,0)</f>
        <v>1</v>
      </c>
      <c r="R59" s="752" t="str">
        <f ca="1">OFFSET('Grazing Management'!$AC$23,R$43+$U59,0)</f>
        <v/>
      </c>
      <c r="S59" s="752" t="str">
        <f ca="1">OFFSET('Grazing Management'!$AC$23,S$43+$U59,0)</f>
        <v/>
      </c>
      <c r="T59" s="752" t="str">
        <f ca="1">OFFSET('Grazing Management'!$AC$23,T$43+$U59,0)</f>
        <v/>
      </c>
      <c r="U59" s="587">
        <v>60</v>
      </c>
      <c r="V59" s="578">
        <f t="shared" ca="1" si="0"/>
        <v>1</v>
      </c>
      <c r="W59" s="162" t="s">
        <v>736</v>
      </c>
    </row>
    <row r="60" spans="2:26">
      <c r="C60" s="771" t="s">
        <v>833</v>
      </c>
      <c r="D60" s="778">
        <f>SUM(D48:D59)</f>
        <v>1566629.9999999986</v>
      </c>
      <c r="E60" s="2089" t="s">
        <v>826</v>
      </c>
      <c r="F60" s="848">
        <f>SUM(F48:F59)</f>
        <v>1822.3238654239924</v>
      </c>
      <c r="G60" s="773">
        <f>SUM(G48:G59)</f>
        <v>1837.2009954688356</v>
      </c>
      <c r="H60" s="849">
        <f>SUM(H48:H59)</f>
        <v>1878.9672555585216</v>
      </c>
      <c r="I60" s="849">
        <f>SUM(I48:I59)</f>
        <v>6052.2788626044585</v>
      </c>
      <c r="J60" s="2531" t="s">
        <v>2226</v>
      </c>
      <c r="K60" s="3117">
        <f t="shared" ref="K60:O60" si="2">SUM(K48:K59)</f>
        <v>1.9999999999999982</v>
      </c>
      <c r="L60" s="3003">
        <f t="shared" si="2"/>
        <v>4.84902019609956</v>
      </c>
      <c r="M60" s="3135">
        <f t="shared" si="2"/>
        <v>4.84902019609956</v>
      </c>
      <c r="N60" s="3008">
        <f t="shared" si="2"/>
        <v>4.84902019609956</v>
      </c>
      <c r="O60" s="3135">
        <f t="shared" si="2"/>
        <v>7.9620942484646262</v>
      </c>
      <c r="Q60" s="609"/>
      <c r="R60" s="609"/>
      <c r="S60" s="609"/>
      <c r="T60" s="1"/>
      <c r="U60" s="1"/>
    </row>
    <row r="61" spans="2:26">
      <c r="B61" s="811"/>
      <c r="E61" s="16"/>
      <c r="G61" s="1"/>
      <c r="K61" s="3"/>
      <c r="T61" s="609"/>
      <c r="U61" s="609"/>
      <c r="V61" s="609"/>
    </row>
    <row r="62" spans="2:26">
      <c r="B62" s="811"/>
      <c r="C62" s="16"/>
      <c r="D62" s="16"/>
      <c r="K62" s="768"/>
      <c r="N62" s="543"/>
      <c r="O62" s="543"/>
      <c r="Q62" s="609"/>
    </row>
    <row r="63" spans="2:26">
      <c r="B63" s="811"/>
      <c r="C63" s="28" t="s">
        <v>822</v>
      </c>
      <c r="D63" s="28"/>
      <c r="E63" s="3"/>
      <c r="F63" s="3"/>
      <c r="G63" s="3"/>
      <c r="H63" s="3"/>
      <c r="I63" s="1275"/>
      <c r="J63" s="609"/>
      <c r="K63" s="779"/>
      <c r="L63" s="609"/>
      <c r="M63" s="609"/>
      <c r="N63" s="609"/>
      <c r="O63" s="609"/>
    </row>
    <row r="64" spans="2:26" ht="15" customHeight="1">
      <c r="B64" s="480" t="s">
        <v>862</v>
      </c>
      <c r="C64" s="161" t="s">
        <v>57</v>
      </c>
      <c r="D64" s="749"/>
      <c r="F64" s="1181">
        <f>'Grazing Management'!$Z$23</f>
        <v>34.931249999999963</v>
      </c>
      <c r="G64" s="1180">
        <f>'Grazing Management'!$Z$23</f>
        <v>34.931249999999963</v>
      </c>
      <c r="H64" s="1183">
        <f>'Grazing Management'!$Z$23</f>
        <v>34.931249999999963</v>
      </c>
      <c r="I64" s="2093"/>
      <c r="J64" s="609"/>
      <c r="K64" s="779"/>
      <c r="L64" s="609"/>
      <c r="M64" s="609"/>
      <c r="N64" s="609"/>
      <c r="O64" s="609"/>
    </row>
    <row r="65" spans="2:18">
      <c r="B65" s="480" t="s">
        <v>862</v>
      </c>
      <c r="C65" s="389" t="s">
        <v>984</v>
      </c>
      <c r="D65" s="606"/>
      <c r="F65" s="841">
        <f>'Grazing Management'!$Z$27</f>
        <v>6.0195384615384553</v>
      </c>
      <c r="G65" s="689">
        <f>'Grazing Management'!$Z$27</f>
        <v>6.0195384615384553</v>
      </c>
      <c r="H65" s="842">
        <f>'Grazing Management'!$Z$27</f>
        <v>6.0195384615384553</v>
      </c>
      <c r="I65" s="2092"/>
      <c r="J65" s="609"/>
      <c r="K65" s="779"/>
      <c r="L65" s="609"/>
      <c r="M65" s="609"/>
      <c r="N65" s="609"/>
      <c r="O65" s="609"/>
    </row>
    <row r="66" spans="2:18" ht="16" customHeight="1">
      <c r="B66" s="591" t="s">
        <v>863</v>
      </c>
      <c r="C66" s="389" t="s">
        <v>1001</v>
      </c>
      <c r="D66" s="606"/>
      <c r="F66" s="841">
        <f>'Grazing Management'!$Z$31</f>
        <v>21.337838565022402</v>
      </c>
      <c r="G66" s="689">
        <f>'Grazing Management'!$Z$35</f>
        <v>24.381784753363213</v>
      </c>
      <c r="H66" s="842">
        <f>'Grazing Management'!$Z$39</f>
        <v>32.275677130044819</v>
      </c>
      <c r="I66" s="2092"/>
      <c r="J66" s="609"/>
      <c r="K66" s="779"/>
      <c r="L66" s="609"/>
      <c r="M66" s="609"/>
      <c r="N66" s="609"/>
      <c r="O66" s="609"/>
    </row>
    <row r="67" spans="2:18">
      <c r="B67" s="591" t="s">
        <v>863</v>
      </c>
      <c r="C67" s="1375" t="s">
        <v>1435</v>
      </c>
      <c r="D67" s="842">
        <f>'Grazing Management'!$Z$43</f>
        <v>639629.99999999953</v>
      </c>
      <c r="F67" s="2090"/>
      <c r="G67" s="2106"/>
      <c r="H67" s="2092"/>
      <c r="I67" s="2092"/>
      <c r="J67" s="609"/>
      <c r="K67" s="779"/>
      <c r="L67" s="609"/>
      <c r="M67" s="609"/>
      <c r="N67" s="609"/>
      <c r="O67" s="609"/>
    </row>
    <row r="68" spans="2:18" outlineLevel="1">
      <c r="B68" s="591" t="s">
        <v>863</v>
      </c>
      <c r="C68" s="452" t="s">
        <v>1939</v>
      </c>
      <c r="D68" s="606"/>
      <c r="F68" s="841">
        <f>'Grazing Management'!$Z$47</f>
        <v>103.45499999999991</v>
      </c>
      <c r="G68" s="841">
        <f>'Grazing Management'!$Z$47</f>
        <v>103.45499999999991</v>
      </c>
      <c r="H68" s="689">
        <f>'Grazing Management'!$Z$47</f>
        <v>103.45499999999991</v>
      </c>
      <c r="I68" s="2092"/>
      <c r="J68" s="609"/>
      <c r="K68" s="779"/>
      <c r="L68" s="609"/>
      <c r="M68" s="609"/>
      <c r="N68" s="609"/>
      <c r="O68" s="609"/>
    </row>
    <row r="69" spans="2:18" outlineLevel="1">
      <c r="B69" s="591" t="s">
        <v>862</v>
      </c>
      <c r="C69" s="2110" t="s">
        <v>1437</v>
      </c>
      <c r="D69" s="606"/>
      <c r="F69" s="689">
        <f>'Grazing Management'!$Z$51</f>
        <v>202.55958684205552</v>
      </c>
      <c r="G69" s="689">
        <f>'Grazing Management'!$Z$51</f>
        <v>202.55958684205552</v>
      </c>
      <c r="H69" s="689">
        <f>'Grazing Management'!$Z$51</f>
        <v>202.55958684205552</v>
      </c>
      <c r="I69" s="2092"/>
      <c r="J69" s="609"/>
      <c r="K69" s="779"/>
      <c r="L69" s="609"/>
      <c r="M69" s="609"/>
      <c r="N69" s="609"/>
      <c r="O69" s="609"/>
    </row>
    <row r="70" spans="2:18" outlineLevel="1">
      <c r="B70" s="591" t="s">
        <v>862</v>
      </c>
      <c r="C70" s="2110" t="s">
        <v>1438</v>
      </c>
      <c r="D70" s="606"/>
      <c r="F70" s="689">
        <f>'Grazing Management'!$Z$55</f>
        <v>203.24409134893131</v>
      </c>
      <c r="G70" s="689">
        <f>'Grazing Management'!$Z$55</f>
        <v>203.24409134893131</v>
      </c>
      <c r="H70" s="689">
        <f>'Grazing Management'!$Z$55</f>
        <v>203.24409134893131</v>
      </c>
      <c r="I70" s="2092"/>
      <c r="J70" s="609"/>
      <c r="K70" s="779"/>
      <c r="L70" s="609"/>
      <c r="M70" s="609"/>
      <c r="N70" s="609"/>
      <c r="O70" s="609"/>
    </row>
    <row r="71" spans="2:18">
      <c r="B71" s="591" t="s">
        <v>862</v>
      </c>
      <c r="C71" s="452" t="s">
        <v>1440</v>
      </c>
      <c r="D71" s="606"/>
      <c r="F71" s="2090"/>
      <c r="G71" s="2106"/>
      <c r="H71" s="2092"/>
      <c r="I71" s="842">
        <f>'Grazing Management'!$Z$59</f>
        <v>998.69983355785178</v>
      </c>
      <c r="J71" s="609"/>
      <c r="K71" s="779"/>
      <c r="L71" s="609"/>
      <c r="M71" s="609"/>
      <c r="N71" s="609"/>
      <c r="O71" s="609"/>
    </row>
    <row r="72" spans="2:18">
      <c r="B72" s="591" t="s">
        <v>862</v>
      </c>
      <c r="C72" s="452" t="s">
        <v>1439</v>
      </c>
      <c r="D72" s="606"/>
      <c r="F72" s="2090"/>
      <c r="G72" s="2106"/>
      <c r="H72" s="2092"/>
      <c r="I72" s="842">
        <f>'Grazing Management'!$Z$63</f>
        <v>1017.9538449943385</v>
      </c>
      <c r="K72" s="779"/>
    </row>
    <row r="73" spans="2:18">
      <c r="B73" s="591" t="s">
        <v>862</v>
      </c>
      <c r="C73" s="389" t="s">
        <v>1043</v>
      </c>
      <c r="D73" s="606"/>
      <c r="F73" s="841">
        <f>F65</f>
        <v>6.0195384615384553</v>
      </c>
      <c r="G73" s="689">
        <f>G65</f>
        <v>6.0195384615384553</v>
      </c>
      <c r="H73" s="842">
        <f>H65</f>
        <v>6.0195384615384553</v>
      </c>
      <c r="I73" s="2092"/>
    </row>
    <row r="74" spans="2:18">
      <c r="B74" s="591" t="s">
        <v>863</v>
      </c>
      <c r="C74" s="389" t="s">
        <v>1044</v>
      </c>
      <c r="D74" s="606"/>
      <c r="F74" s="841">
        <f>'Grazing Management'!$Z$71</f>
        <v>21.337838565022402</v>
      </c>
      <c r="G74" s="689">
        <f>'Grazing Management'!$Z$75</f>
        <v>24.381784753363213</v>
      </c>
      <c r="H74" s="842">
        <f>'Grazing Management'!$Z$79</f>
        <v>32.275677130044819</v>
      </c>
      <c r="I74" s="2092"/>
      <c r="R74" s="587"/>
    </row>
    <row r="75" spans="2:18">
      <c r="B75" s="481" t="s">
        <v>862</v>
      </c>
      <c r="C75" s="162" t="s">
        <v>736</v>
      </c>
      <c r="D75" s="607"/>
      <c r="F75" s="381">
        <f>'Grazing Management'!$Z$83</f>
        <v>34.931249999999963</v>
      </c>
      <c r="G75" s="381">
        <f>'Grazing Management'!$Z$83</f>
        <v>34.931249999999963</v>
      </c>
      <c r="H75" s="715">
        <f>'Grazing Management'!$Z$83</f>
        <v>34.931249999999963</v>
      </c>
      <c r="I75" s="2092"/>
    </row>
    <row r="76" spans="2:18">
      <c r="C76" s="771" t="s">
        <v>833</v>
      </c>
      <c r="D76" s="778">
        <f>SUM(D64:D75)</f>
        <v>639629.99999999953</v>
      </c>
      <c r="E76" s="2089" t="s">
        <v>826</v>
      </c>
      <c r="F76" s="848">
        <f>SUM(F64:F75)</f>
        <v>633.83593224410833</v>
      </c>
      <c r="G76" s="773">
        <f>SUM(G64:G75)</f>
        <v>639.92382462079013</v>
      </c>
      <c r="H76" s="849">
        <f>SUM(H64:H75)</f>
        <v>655.71160937415334</v>
      </c>
      <c r="I76" s="849">
        <f>SUM(I64:I75)</f>
        <v>2016.6536785521903</v>
      </c>
    </row>
  </sheetData>
  <mergeCells count="12">
    <mergeCell ref="D44:D47"/>
    <mergeCell ref="F45:H45"/>
    <mergeCell ref="F39:H39"/>
    <mergeCell ref="L42:N42"/>
    <mergeCell ref="F43:H43"/>
    <mergeCell ref="L43:N43"/>
    <mergeCell ref="L39:N39"/>
    <mergeCell ref="L44:O44"/>
    <mergeCell ref="F44:H44"/>
    <mergeCell ref="F46:H46"/>
    <mergeCell ref="L46:N46"/>
    <mergeCell ref="L45:N45"/>
  </mergeCells>
  <pageMargins left="0.7" right="0.7" top="0.75" bottom="0.75" header="0.3" footer="0.3"/>
  <pageSetup paperSize="9" orientation="portrait" horizontalDpi="0" verticalDpi="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P778"/>
  <sheetViews>
    <sheetView showGridLines="0" zoomScaleNormal="100" workbookViewId="0">
      <selection activeCell="H36" sqref="H36"/>
    </sheetView>
  </sheetViews>
  <sheetFormatPr baseColWidth="10" defaultColWidth="11" defaultRowHeight="16"/>
  <cols>
    <col min="1" max="1" width="2.6640625" customWidth="1"/>
    <col min="2" max="2" width="10.33203125" customWidth="1"/>
    <col min="3" max="3" width="25.5" customWidth="1"/>
    <col min="4" max="4" width="28.1640625" style="24" customWidth="1"/>
    <col min="5" max="5" width="19.5" style="16" customWidth="1"/>
    <col min="6" max="7" width="15.83203125" customWidth="1"/>
    <col min="8" max="8" width="23.33203125" customWidth="1"/>
    <col min="9" max="11" width="9.6640625" customWidth="1"/>
    <col min="12" max="12" width="13" customWidth="1"/>
    <col min="13" max="13" width="16.33203125" customWidth="1"/>
    <col min="14" max="14" width="21.1640625" customWidth="1"/>
    <col min="15" max="15" width="14.6640625" customWidth="1"/>
    <col min="16" max="16" width="20.83203125" customWidth="1"/>
    <col min="17" max="19" width="20.83203125" style="2791" customWidth="1"/>
    <col min="20" max="20" width="15.33203125" customWidth="1"/>
    <col min="21" max="21" width="19.83203125" customWidth="1"/>
    <col min="22" max="24" width="15.5" customWidth="1"/>
    <col min="25" max="25" width="15.83203125" customWidth="1"/>
    <col min="26" max="26" width="15.33203125" customWidth="1"/>
    <col min="27" max="28" width="19.83203125" customWidth="1"/>
    <col min="29" max="29" width="19.33203125" customWidth="1"/>
    <col min="30" max="30" width="21" customWidth="1"/>
    <col min="31" max="31" width="23.5" customWidth="1"/>
    <col min="32" max="32" width="37.5" customWidth="1"/>
    <col min="34" max="34" width="14.33203125" customWidth="1"/>
    <col min="35" max="35" width="12.6640625" bestFit="1" customWidth="1"/>
    <col min="42" max="42" width="12.5" bestFit="1" customWidth="1"/>
  </cols>
  <sheetData>
    <row r="1" spans="2:35">
      <c r="B1" s="3" t="s">
        <v>19</v>
      </c>
      <c r="C1" s="24"/>
      <c r="E1"/>
    </row>
    <row r="2" spans="2:35">
      <c r="C2" s="24" t="s">
        <v>10</v>
      </c>
      <c r="D2" s="59" t="s">
        <v>1146</v>
      </c>
      <c r="E2"/>
    </row>
    <row r="3" spans="2:35">
      <c r="C3" s="24" t="s">
        <v>0</v>
      </c>
      <c r="D3" s="16" t="s">
        <v>1144</v>
      </c>
      <c r="E3"/>
    </row>
    <row r="4" spans="2:35">
      <c r="B4" s="3"/>
      <c r="C4" s="24" t="s">
        <v>1</v>
      </c>
      <c r="D4" s="407" t="s">
        <v>1145</v>
      </c>
      <c r="E4"/>
    </row>
    <row r="5" spans="2:35">
      <c r="B5" s="3" t="s">
        <v>20</v>
      </c>
      <c r="C5" s="24"/>
      <c r="D5" s="16"/>
      <c r="E5"/>
      <c r="F5" s="1"/>
    </row>
    <row r="6" spans="2:35">
      <c r="C6" s="24" t="s">
        <v>2</v>
      </c>
      <c r="D6" s="16" t="s">
        <v>305</v>
      </c>
      <c r="E6"/>
      <c r="F6" s="6"/>
      <c r="T6" s="15"/>
    </row>
    <row r="7" spans="2:35">
      <c r="C7" s="24" t="s">
        <v>22</v>
      </c>
      <c r="D7" s="598" t="s">
        <v>1148</v>
      </c>
      <c r="E7"/>
      <c r="F7" s="6"/>
    </row>
    <row r="8" spans="2:35">
      <c r="C8" s="24" t="s">
        <v>7</v>
      </c>
      <c r="D8" s="16" t="s">
        <v>1147</v>
      </c>
      <c r="E8"/>
      <c r="F8" s="6"/>
      <c r="W8" s="15"/>
    </row>
    <row r="9" spans="2:35">
      <c r="C9" s="24" t="s">
        <v>8</v>
      </c>
      <c r="D9" s="238" t="s">
        <v>583</v>
      </c>
      <c r="E9"/>
      <c r="F9" s="6"/>
      <c r="U9" s="5"/>
    </row>
    <row r="10" spans="2:35">
      <c r="C10" s="24"/>
      <c r="D10" s="16"/>
      <c r="E10"/>
      <c r="F10" s="6"/>
      <c r="U10" s="5"/>
    </row>
    <row r="11" spans="2:35" ht="19">
      <c r="B11" s="904" t="s">
        <v>140</v>
      </c>
      <c r="C11" s="113"/>
      <c r="D11" s="16"/>
      <c r="F11" s="359"/>
      <c r="G11" s="359"/>
      <c r="I11" s="359"/>
      <c r="AA11" t="s">
        <v>2305</v>
      </c>
      <c r="AC11" s="1233"/>
      <c r="AF11" s="1234"/>
    </row>
    <row r="12" spans="2:35" ht="19">
      <c r="C12" s="31" t="s">
        <v>960</v>
      </c>
      <c r="D12" s="16"/>
      <c r="F12" s="359"/>
      <c r="G12" s="359"/>
      <c r="I12" s="359"/>
      <c r="AA12" s="204">
        <f ca="1">SUMIF(T23:T104,"L",AA23:AA104)-AA13-AA15+AA16</f>
        <v>55593.088619511305</v>
      </c>
      <c r="AB12" t="s">
        <v>2303</v>
      </c>
      <c r="AC12" s="1233"/>
      <c r="AF12" s="1234"/>
    </row>
    <row r="13" spans="2:35" ht="19">
      <c r="C13" s="955" t="s">
        <v>961</v>
      </c>
      <c r="D13" s="16"/>
      <c r="F13" s="359"/>
      <c r="G13" s="359"/>
      <c r="I13" s="359"/>
      <c r="AA13" s="454">
        <f>AA39</f>
        <v>1566629.9999999986</v>
      </c>
      <c r="AB13" t="s">
        <v>2304</v>
      </c>
      <c r="AC13" s="1233"/>
      <c r="AF13" s="1234"/>
    </row>
    <row r="14" spans="2:35" ht="16" customHeight="1">
      <c r="C14" t="s">
        <v>976</v>
      </c>
      <c r="D14" s="16"/>
      <c r="F14" s="359"/>
      <c r="G14" s="359"/>
      <c r="I14" s="359"/>
      <c r="L14" s="5" t="s">
        <v>399</v>
      </c>
      <c r="M14" s="5"/>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SUM(AA31,AA35,AA43,AA47,AA55,AA59)</f>
        <v>138568.7952673886</v>
      </c>
      <c r="AB15"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3713">
        <f ca="1">SUM(AA43,AA47)*'GIS - Habitat Mgmt+Restoration'!V42</f>
        <v>55369.657357179669</v>
      </c>
      <c r="AB16" s="814" t="s">
        <v>2605</v>
      </c>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1235"/>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1232"/>
      <c r="AG21" s="1232"/>
      <c r="AH21" s="909" t="s">
        <v>66</v>
      </c>
      <c r="AI21" s="895"/>
      <c r="AJ21" s="3748" t="s">
        <v>190</v>
      </c>
      <c r="AK21" s="3748" t="s">
        <v>181</v>
      </c>
    </row>
    <row r="22" spans="1:37" s="893" customFormat="1" ht="38" customHeight="1">
      <c r="B22" s="1236"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1232"/>
      <c r="AG22" s="893" t="s">
        <v>732</v>
      </c>
      <c r="AH22" s="1237" t="s">
        <v>17</v>
      </c>
      <c r="AI22" s="898" t="s">
        <v>18</v>
      </c>
      <c r="AJ22" s="3749"/>
      <c r="AK22" s="3749"/>
    </row>
    <row r="23" spans="1:37" ht="19" customHeight="1">
      <c r="B23" s="260">
        <v>1</v>
      </c>
      <c r="C23" s="3844" t="s">
        <v>201</v>
      </c>
      <c r="D23" s="3847" t="s">
        <v>131</v>
      </c>
      <c r="E23" s="12" t="s">
        <v>3</v>
      </c>
      <c r="F23" s="1172"/>
      <c r="G23" s="1172">
        <f>$E$127</f>
        <v>15</v>
      </c>
      <c r="H23" s="188">
        <f>F127</f>
        <v>5062.5</v>
      </c>
      <c r="I23" s="921" t="s">
        <v>407</v>
      </c>
      <c r="J23" s="377" t="str">
        <f>IF(K23=1,"Annual","Done every "&amp;K23&amp;" years")</f>
        <v>Annual</v>
      </c>
      <c r="K23" s="11">
        <f>D114</f>
        <v>1</v>
      </c>
      <c r="L23" s="1043">
        <f>$L$16/K23</f>
        <v>80</v>
      </c>
      <c r="M23" s="171">
        <f>$L$16/L23</f>
        <v>1</v>
      </c>
      <c r="N23" s="240">
        <f>$H23*(1-(1+$L$15)^-(L23*M23))/((1+$L$15)^M23-1)*(1+((1+$L$15)^M23-1))</f>
        <v>125914.53807358607</v>
      </c>
      <c r="O23" s="191">
        <f t="shared" ref="O23:O63" si="0">N23/(1+$L$15)*($L$15)/(1-(1+$L$15)^-$L$16)</f>
        <v>5062.4999999999955</v>
      </c>
      <c r="P23" s="195">
        <f>SUM(O23:O26)</f>
        <v>5062.4999999999955</v>
      </c>
      <c r="Q23" s="3016"/>
      <c r="R23" s="3016"/>
      <c r="S23" s="3016"/>
      <c r="T23" s="1031" t="s">
        <v>808</v>
      </c>
      <c r="U23" s="583">
        <f>O23/$U$16</f>
        <v>50.624999999999957</v>
      </c>
      <c r="V23" s="583">
        <f>IF($T23="L",SUM($U23:U23)*V$16,"")</f>
        <v>15.187499999999986</v>
      </c>
      <c r="W23" s="1474"/>
      <c r="X23" s="583">
        <f>IF($T23="L",SUM($U23:W23)*X$16,"")</f>
        <v>19.743749999999981</v>
      </c>
      <c r="Y23" s="240">
        <f t="shared" ref="Y23:Y29" si="1">IF($U23="","",SUM(V23:X23))</f>
        <v>34.931249999999963</v>
      </c>
      <c r="Z23" s="240">
        <f>SUM(V23:X26)</f>
        <v>34.931249999999963</v>
      </c>
      <c r="AA23" s="191">
        <f t="shared" ref="AA23:AA29" si="2">IF($U23="","",SUM(U23,Y23))</f>
        <v>85.55624999999992</v>
      </c>
      <c r="AB23" s="195">
        <f>SUM(AA23:AA26)</f>
        <v>85.55624999999992</v>
      </c>
      <c r="AC23" s="889">
        <f t="shared" ref="AC23:AC29" ca="1" si="3">IF(AA23="","",AA23/OFFSET($AB$23,AF23,0))</f>
        <v>1</v>
      </c>
      <c r="AD23" s="941"/>
      <c r="AE23" s="1063"/>
      <c r="AF23" s="587">
        <v>0</v>
      </c>
      <c r="AG23" s="816">
        <f ca="1">SUM(AC23:AC26)-1</f>
        <v>0</v>
      </c>
      <c r="AH23" s="13">
        <f>$AH$16/K23</f>
        <v>5</v>
      </c>
      <c r="AI23" s="13">
        <f>$AH$16/AH23</f>
        <v>1</v>
      </c>
      <c r="AJ23" s="14">
        <f>$H23*(1-(1+$L$15)^-(AH23*AI23))/((1+$L$15)^AI23-1)*(1+((1+$L$15)^AI23-1))</f>
        <v>23438.844572800335</v>
      </c>
      <c r="AK23" s="191">
        <f>SUM(AJ23:AJ26)</f>
        <v>23438.844572800335</v>
      </c>
    </row>
    <row r="24" spans="1:37" ht="19" customHeight="1">
      <c r="B24" s="261"/>
      <c r="C24" s="3845"/>
      <c r="D24" s="3848"/>
      <c r="E24" s="12" t="s">
        <v>308</v>
      </c>
      <c r="F24" s="1172"/>
      <c r="G24" s="1172"/>
      <c r="H24" s="188"/>
      <c r="I24" s="921"/>
      <c r="J24" s="377"/>
      <c r="K24" s="11"/>
      <c r="L24" s="1044"/>
      <c r="M24" s="944"/>
      <c r="N24" s="241"/>
      <c r="O24" s="342">
        <f t="shared" si="0"/>
        <v>0</v>
      </c>
      <c r="P24" s="193"/>
      <c r="Q24" s="3017">
        <v>0</v>
      </c>
      <c r="R24" s="3017">
        <v>0</v>
      </c>
      <c r="S24" s="3017">
        <v>0</v>
      </c>
      <c r="T24" s="1032" t="s">
        <v>809</v>
      </c>
      <c r="U24" s="585"/>
      <c r="V24" s="585" t="str">
        <f>IF($T24="L",SUM($U24:U24)*V$16,"")</f>
        <v/>
      </c>
      <c r="W24" s="1475"/>
      <c r="X24" s="585" t="str">
        <f>IF($T24="L",SUM($U24:W24)*X$16,"")</f>
        <v/>
      </c>
      <c r="Y24" s="242" t="str">
        <f t="shared" si="1"/>
        <v/>
      </c>
      <c r="Z24" s="242"/>
      <c r="AA24" s="342" t="str">
        <f t="shared" si="2"/>
        <v/>
      </c>
      <c r="AB24" s="193"/>
      <c r="AC24" s="890" t="str">
        <f t="shared" ca="1" si="3"/>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f t="shared" si="0"/>
        <v>0</v>
      </c>
      <c r="P25" s="193"/>
      <c r="Q25" s="3017"/>
      <c r="R25" s="3017"/>
      <c r="S25" s="3017"/>
      <c r="T25" s="1032" t="s">
        <v>810</v>
      </c>
      <c r="U25" s="585"/>
      <c r="V25" s="585" t="str">
        <f>IF($T25="L",SUM($U25:U25)*V$16,"")</f>
        <v/>
      </c>
      <c r="W25" s="1475"/>
      <c r="X25" s="585" t="str">
        <f>IF($T25="L",SUM($U25:W25)*X$16,"")</f>
        <v/>
      </c>
      <c r="Y25" s="242" t="str">
        <f t="shared" si="1"/>
        <v/>
      </c>
      <c r="Z25" s="242"/>
      <c r="AA25" s="342" t="str">
        <f t="shared" si="2"/>
        <v/>
      </c>
      <c r="AB25" s="193"/>
      <c r="AC25" s="890" t="str">
        <f t="shared" ca="1" si="3"/>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f t="shared" si="0"/>
        <v>0</v>
      </c>
      <c r="P26" s="196"/>
      <c r="Q26" s="3018"/>
      <c r="R26" s="3018"/>
      <c r="S26" s="3018"/>
      <c r="T26" s="1033" t="s">
        <v>811</v>
      </c>
      <c r="U26" s="891"/>
      <c r="V26" s="891" t="str">
        <f>IF($T26="L",SUM($U26:U26)*V$16,"")</f>
        <v/>
      </c>
      <c r="W26" s="1478"/>
      <c r="X26" s="891" t="str">
        <f>IF($T26="L",SUM($U26:W26)*X$16,"")</f>
        <v/>
      </c>
      <c r="Y26" s="244" t="str">
        <f t="shared" si="1"/>
        <v/>
      </c>
      <c r="Z26" s="244"/>
      <c r="AA26" s="343" t="str">
        <f t="shared" si="2"/>
        <v/>
      </c>
      <c r="AB26" s="196"/>
      <c r="AC26" s="892" t="str">
        <f t="shared" ca="1" si="3"/>
        <v/>
      </c>
      <c r="AD26" s="942"/>
      <c r="AE26" s="1065"/>
      <c r="AF26" s="587">
        <f>AF25</f>
        <v>0</v>
      </c>
      <c r="AG26" s="587"/>
      <c r="AH26" s="13"/>
      <c r="AI26" s="13"/>
      <c r="AJ26" s="189"/>
      <c r="AK26" s="342"/>
    </row>
    <row r="27" spans="1:37" ht="18" customHeight="1">
      <c r="A27" s="390"/>
      <c r="B27" s="710">
        <v>2.1</v>
      </c>
      <c r="C27" s="1227" t="s">
        <v>1099</v>
      </c>
      <c r="D27" s="3850" t="s">
        <v>2228</v>
      </c>
      <c r="E27" s="373" t="s">
        <v>3</v>
      </c>
      <c r="F27" s="1176"/>
      <c r="G27" s="1176">
        <f>$D$181</f>
        <v>6.2541106128550075</v>
      </c>
      <c r="H27" s="370">
        <f>H224</f>
        <v>1407.1748878923768</v>
      </c>
      <c r="I27" s="613" t="s">
        <v>475</v>
      </c>
      <c r="J27" s="375" t="str">
        <f>IF(K27=1,"Annual","Done every "&amp;K27&amp;" years")</f>
        <v>Annual</v>
      </c>
      <c r="K27" s="371">
        <f>L224</f>
        <v>1</v>
      </c>
      <c r="L27" s="386">
        <f t="shared" ref="L27:M29" si="4">$L$16/K27</f>
        <v>80</v>
      </c>
      <c r="M27" s="371">
        <f t="shared" si="4"/>
        <v>1</v>
      </c>
      <c r="N27" s="370">
        <f>$H27*(1-(1+$L$15)^-(L27*M27))/((1+$L$15)^M27-1)*(1+((1+$L$15)^M27-1))</f>
        <v>34999.264394611135</v>
      </c>
      <c r="O27" s="640">
        <f t="shared" si="0"/>
        <v>1407.1748878923752</v>
      </c>
      <c r="P27" s="980">
        <f>SUM(O27:O30)</f>
        <v>3558.385650224212</v>
      </c>
      <c r="Q27" s="3020"/>
      <c r="R27" s="3020"/>
      <c r="S27" s="3020"/>
      <c r="T27" s="1034" t="s">
        <v>808</v>
      </c>
      <c r="U27" s="642">
        <f t="shared" ref="U27:U33" si="5">O27/$U$16</f>
        <v>14.071748878923751</v>
      </c>
      <c r="V27" s="644">
        <f>IF($T27="L",SUM($U27:U27)*V$16,"")</f>
        <v>4.2215246636771253</v>
      </c>
      <c r="W27" s="644">
        <f>IF($U27="","",IF(OR($T27="L",$T27="T",$T27="C"),SUM($U27:V27)*W$16,""))</f>
        <v>1.8293273542600876</v>
      </c>
      <c r="X27" s="644">
        <f>IF($U27="","",SUM($U27:W27)*X$16)</f>
        <v>6.0367802690582888</v>
      </c>
      <c r="Y27" s="388">
        <f t="shared" si="1"/>
        <v>12.087632286995502</v>
      </c>
      <c r="Z27" s="392">
        <f>SUM(V27:X30)</f>
        <v>21.337838565022402</v>
      </c>
      <c r="AA27" s="734">
        <f t="shared" si="2"/>
        <v>26.159381165919253</v>
      </c>
      <c r="AB27" s="392">
        <f>SUM(AA27:AA30)</f>
        <v>56.921695067264523</v>
      </c>
      <c r="AC27" s="888">
        <f t="shared" ca="1" si="3"/>
        <v>0.45956785255615878</v>
      </c>
      <c r="AD27" s="641"/>
      <c r="AE27" s="1066"/>
      <c r="AF27" s="587">
        <f>AF23+4</f>
        <v>4</v>
      </c>
      <c r="AG27" s="816">
        <f ca="1">SUM(AC27:AC30)-1</f>
        <v>0</v>
      </c>
      <c r="AH27" s="387">
        <f>$AH$16/K27</f>
        <v>5</v>
      </c>
      <c r="AI27" s="387">
        <f>$AH$16/AH27</f>
        <v>1</v>
      </c>
      <c r="AJ27" s="370">
        <f>$H27*(1-(1+$L$15)^-(AH27*AI27))/((1+$L$15)^AI27-1)*(1+((1+$L$15)^AI27-1))</f>
        <v>6515.0722931470918</v>
      </c>
      <c r="AK27" s="980">
        <f>SUM(AJ27:AJ30)</f>
        <v>16474.95272803722</v>
      </c>
    </row>
    <row r="28" spans="1:37" ht="19" customHeight="1">
      <c r="A28" s="390"/>
      <c r="B28" s="710"/>
      <c r="C28" s="1228" t="s">
        <v>749</v>
      </c>
      <c r="D28" s="3851"/>
      <c r="E28" s="373" t="s">
        <v>308</v>
      </c>
      <c r="F28" s="1176">
        <f>D211</f>
        <v>1</v>
      </c>
      <c r="G28" s="1176">
        <f>$D$210</f>
        <v>3.1270553064275037</v>
      </c>
      <c r="H28" s="370">
        <f>H225</f>
        <v>891.21076233183851</v>
      </c>
      <c r="I28" s="613" t="s">
        <v>797</v>
      </c>
      <c r="J28" s="375" t="str">
        <f>IF(K28=1,"Annual","Done every "&amp;K28&amp;" years")</f>
        <v>Annual</v>
      </c>
      <c r="K28" s="371">
        <f>L225</f>
        <v>1</v>
      </c>
      <c r="L28" s="386">
        <f t="shared" si="4"/>
        <v>80</v>
      </c>
      <c r="M28" s="371">
        <f t="shared" si="4"/>
        <v>1</v>
      </c>
      <c r="N28" s="370">
        <f>$H28*(1-(1+$L$15)^-(L28*M28))/((1+$L$15)^M28-1)*(1+((1+$L$15)^M28-1))</f>
        <v>22166.20078325372</v>
      </c>
      <c r="O28" s="640">
        <f t="shared" si="0"/>
        <v>891.21076233183771</v>
      </c>
      <c r="P28" s="981"/>
      <c r="Q28" s="2955">
        <f>1*(1-(1+$L$15)^-(L28*M28))/((1+$L$15)^M28-1)*(1+((1+$L$15)^M28-1))</f>
        <v>24.872007520708362</v>
      </c>
      <c r="R28" s="2955">
        <f>Q28/(1+$L$15)*($L$15)/(1-(1+$L$15)^-$L$16)</f>
        <v>0.99999999999999911</v>
      </c>
      <c r="S28" s="2955">
        <f>F28*R28</f>
        <v>0.99999999999999911</v>
      </c>
      <c r="T28" s="1034" t="s">
        <v>809</v>
      </c>
      <c r="U28" s="639">
        <f t="shared" si="5"/>
        <v>8.9121076233183771</v>
      </c>
      <c r="V28" s="644" t="str">
        <f>IF($T28="L",SUM($U28:U28)*V$16,"")</f>
        <v/>
      </c>
      <c r="W28" s="644">
        <f>IF($U28="","",IF(OR($T28="L",$T28="T",$T28="C"),SUM($U28:V28)*W$16,""))</f>
        <v>0.89121076233183771</v>
      </c>
      <c r="X28" s="644">
        <f>IF($U28="","",SUM($U28:W28)*X$16)</f>
        <v>2.9409955156950645</v>
      </c>
      <c r="Y28" s="394">
        <f t="shared" si="1"/>
        <v>3.8322062780269022</v>
      </c>
      <c r="Z28" s="392"/>
      <c r="AA28" s="734">
        <f t="shared" si="2"/>
        <v>12.744313901345279</v>
      </c>
      <c r="AB28" s="392"/>
      <c r="AC28" s="729">
        <f t="shared" ca="1" si="3"/>
        <v>0.22389203073248765</v>
      </c>
      <c r="AD28" s="641"/>
      <c r="AE28" s="1066"/>
      <c r="AF28" s="587">
        <f>AF27</f>
        <v>4</v>
      </c>
      <c r="AG28" s="587"/>
      <c r="AH28" s="387">
        <f>$AH$16/K28</f>
        <v>5</v>
      </c>
      <c r="AI28" s="387">
        <f>$AH$16/AH28</f>
        <v>1</v>
      </c>
      <c r="AJ28" s="370">
        <f>$H28*(1-(1+$L$15)^-(AH28*AI28))/((1+$L$15)^AI28-1)*(1+((1+$L$15)^AI28-1))</f>
        <v>4126.2124523264911</v>
      </c>
      <c r="AK28" s="981"/>
    </row>
    <row r="29" spans="1:37" ht="19" customHeight="1">
      <c r="A29" s="390"/>
      <c r="B29" s="710"/>
      <c r="C29" s="1228"/>
      <c r="D29" s="3851"/>
      <c r="E29" s="373" t="s">
        <v>4</v>
      </c>
      <c r="F29" s="1176"/>
      <c r="G29" s="1176">
        <f>$D$220</f>
        <v>6</v>
      </c>
      <c r="H29" s="370">
        <f>H226</f>
        <v>1260</v>
      </c>
      <c r="I29" s="613" t="s">
        <v>70</v>
      </c>
      <c r="J29" s="375" t="str">
        <f>IF(K29=1,"Annual","Done every "&amp;K29&amp;" years")</f>
        <v>Annual</v>
      </c>
      <c r="K29" s="371">
        <f>L226</f>
        <v>1</v>
      </c>
      <c r="L29" s="386">
        <f t="shared" si="4"/>
        <v>80</v>
      </c>
      <c r="M29" s="371">
        <f t="shared" si="4"/>
        <v>1</v>
      </c>
      <c r="N29" s="370">
        <f>$H29*(1-(1+$L$15)^-(L29*M29))/((1+$L$15)^M29-1)*(1+((1+$L$15)^M29-1))</f>
        <v>31338.729476092536</v>
      </c>
      <c r="O29" s="640">
        <f t="shared" si="0"/>
        <v>1259.9999999999991</v>
      </c>
      <c r="P29" s="982"/>
      <c r="Q29" s="2955"/>
      <c r="R29" s="2955"/>
      <c r="S29" s="2955"/>
      <c r="T29" s="1034" t="s">
        <v>810</v>
      </c>
      <c r="U29" s="639">
        <f t="shared" si="5"/>
        <v>12.599999999999991</v>
      </c>
      <c r="V29" s="644" t="str">
        <f>IF($T29="L",SUM($U29:U29)*V$16,"")</f>
        <v/>
      </c>
      <c r="W29" s="644">
        <f>IF($U29="","",IF(OR($T29="L",$T29="T",$T29="C"),SUM($U29:V29)*W$16,""))</f>
        <v>1.2599999999999991</v>
      </c>
      <c r="X29" s="644">
        <f>IF($U29="","",SUM($U29:W29)*X$16)</f>
        <v>4.1579999999999968</v>
      </c>
      <c r="Y29" s="394">
        <f t="shared" si="1"/>
        <v>5.4179999999999957</v>
      </c>
      <c r="Z29" s="393"/>
      <c r="AA29" s="735">
        <f t="shared" si="2"/>
        <v>18.017999999999986</v>
      </c>
      <c r="AB29" s="393"/>
      <c r="AC29" s="729">
        <f t="shared" ca="1" si="3"/>
        <v>0.31654011671135351</v>
      </c>
      <c r="AD29" s="643"/>
      <c r="AE29" s="1066"/>
      <c r="AF29" s="587">
        <f>AF28</f>
        <v>4</v>
      </c>
      <c r="AG29" s="587"/>
      <c r="AH29" s="387">
        <f>$AH$16/K29</f>
        <v>5</v>
      </c>
      <c r="AI29" s="387">
        <f>$AH$16/AH29</f>
        <v>1</v>
      </c>
      <c r="AJ29" s="370">
        <f>$H29*(1-(1+$L$15)^-(AH29*AI29))/((1+$L$15)^AI29-1)*(1+((1+$L$15)^AI29-1))</f>
        <v>5833.6679825636384</v>
      </c>
      <c r="AK29" s="982"/>
    </row>
    <row r="30" spans="1:37" ht="19" customHeight="1">
      <c r="A30" s="390"/>
      <c r="B30" s="710"/>
      <c r="C30" s="1228"/>
      <c r="D30" s="3851"/>
      <c r="E30" s="373" t="s">
        <v>21</v>
      </c>
      <c r="F30" s="1176"/>
      <c r="G30" s="1176"/>
      <c r="H30" s="370"/>
      <c r="I30" s="1086"/>
      <c r="J30" s="375"/>
      <c r="K30" s="371"/>
      <c r="L30" s="386"/>
      <c r="M30" s="371"/>
      <c r="N30" s="370"/>
      <c r="O30" s="640">
        <f t="shared" si="0"/>
        <v>0</v>
      </c>
      <c r="P30" s="982"/>
      <c r="Q30" s="2955"/>
      <c r="R30" s="2955"/>
      <c r="S30" s="2955"/>
      <c r="T30" s="1034" t="s">
        <v>811</v>
      </c>
      <c r="U30" s="639">
        <f t="shared" si="5"/>
        <v>0</v>
      </c>
      <c r="V30" s="644" t="str">
        <f>IF($T30="L",SUM($U30:U30)*V$16,"")</f>
        <v/>
      </c>
      <c r="W30" s="644" t="str">
        <f>IF($U30="","",IF(OR($T30="L",$T30="T",$T30="C"),SUM($U30:V30)*W$16,""))</f>
        <v/>
      </c>
      <c r="X30" s="644"/>
      <c r="Y30" s="394"/>
      <c r="Z30" s="393"/>
      <c r="AA30" s="735"/>
      <c r="AB30" s="393"/>
      <c r="AC30" s="729"/>
      <c r="AD30" s="643"/>
      <c r="AE30" s="1066"/>
      <c r="AF30" s="587">
        <f>AF29</f>
        <v>4</v>
      </c>
      <c r="AG30" s="587"/>
      <c r="AH30" s="387"/>
      <c r="AI30" s="387"/>
      <c r="AJ30" s="370"/>
      <c r="AK30" s="982"/>
    </row>
    <row r="31" spans="1:37" ht="18" customHeight="1">
      <c r="A31" s="676"/>
      <c r="B31" s="711">
        <v>2.2000000000000002</v>
      </c>
      <c r="C31" s="1222" t="s">
        <v>202</v>
      </c>
      <c r="D31" s="3852" t="str">
        <f>D27</f>
        <v xml:space="preserve">Surveying area and collecting samples by foot </v>
      </c>
      <c r="E31" s="685" t="s">
        <v>3</v>
      </c>
      <c r="F31" s="1177"/>
      <c r="G31" s="1177">
        <f>$E$181</f>
        <v>7.449925261584454</v>
      </c>
      <c r="H31" s="665">
        <f>I224</f>
        <v>1676.2331838565021</v>
      </c>
      <c r="I31" s="818" t="str">
        <f>I27</f>
        <v xml:space="preserve">Labour to get tracking done, cameras, sandpads and collars. </v>
      </c>
      <c r="J31" s="666" t="str">
        <f>IF(K31=1,"Annual","Done every "&amp;K31&amp;" years")</f>
        <v>Annual</v>
      </c>
      <c r="K31" s="667">
        <f>K27</f>
        <v>1</v>
      </c>
      <c r="L31" s="671">
        <f t="shared" ref="L31:M33" si="6">$L$16/K31</f>
        <v>80</v>
      </c>
      <c r="M31" s="880">
        <f t="shared" si="6"/>
        <v>1</v>
      </c>
      <c r="N31" s="883">
        <f>$H31*(1-(1+$L$15)^-(L31*M31))/((1+$L$15)^M31-1)*(1+((1+$L$15)^M31-1))</f>
        <v>41691.284355339842</v>
      </c>
      <c r="O31" s="673">
        <f t="shared" si="0"/>
        <v>1676.2331838565005</v>
      </c>
      <c r="P31" s="983">
        <f>SUM(O31:O34)</f>
        <v>3997.8475336322836</v>
      </c>
      <c r="Q31" s="3021"/>
      <c r="R31" s="3021"/>
      <c r="S31" s="3021"/>
      <c r="T31" s="1035" t="s">
        <v>808</v>
      </c>
      <c r="U31" s="675">
        <f t="shared" si="5"/>
        <v>16.762331838565004</v>
      </c>
      <c r="V31" s="675">
        <f>IF($T31="L",SUM($U31:U31)*V$16,"")</f>
        <v>5.0286995515695008</v>
      </c>
      <c r="W31" s="675">
        <f>IF($U31="","",IF(OR($T31="L",$T31="T",$T31="C"),SUM($U31:V31)*W$16,""))</f>
        <v>2.1791031390134505</v>
      </c>
      <c r="X31" s="675">
        <f>IF($U31="","",SUM($U31:W31)*X$16)</f>
        <v>7.1910403587443863</v>
      </c>
      <c r="Y31" s="670">
        <f>IF($U31="","",SUM(V31:X31))</f>
        <v>14.398843049327338</v>
      </c>
      <c r="Z31" s="716">
        <f>SUM(V31:X34)</f>
        <v>24.381784753363203</v>
      </c>
      <c r="AA31" s="736">
        <f>IF($U31="","",SUM(U31,Y31))</f>
        <v>31.161174887892344</v>
      </c>
      <c r="AB31" s="716">
        <f>SUM(AA31:AA34)</f>
        <v>64.360260089686037</v>
      </c>
      <c r="AC31" s="730">
        <f ca="1">IF(AA31="","",AA31/OFFSET($AB$23,AF31,0))</f>
        <v>0.4841679453201283</v>
      </c>
      <c r="AD31" s="674"/>
      <c r="AE31" s="1067"/>
      <c r="AF31" s="587">
        <f>AF27+4</f>
        <v>8</v>
      </c>
      <c r="AG31" s="816">
        <f ca="1">SUM(AC31:AC34)-1</f>
        <v>0</v>
      </c>
      <c r="AH31" s="669">
        <f>$AH$16/K31</f>
        <v>5</v>
      </c>
      <c r="AI31" s="669">
        <f>$AH$16/AH31</f>
        <v>1</v>
      </c>
      <c r="AJ31" s="665">
        <f>$H31*(1-(1+$L$15)^-(AH31*AI31))/((1+$L$15)^AI31-1)*(1+((1+$L$15)^AI31-1))</f>
        <v>7760.7840126780839</v>
      </c>
      <c r="AK31" s="983">
        <f>SUM(AJ31:AJ34)</f>
        <v>18509.615203271176</v>
      </c>
    </row>
    <row r="32" spans="1:37" ht="18" customHeight="1">
      <c r="A32" s="676"/>
      <c r="B32" s="712"/>
      <c r="C32" s="1223" t="s">
        <v>779</v>
      </c>
      <c r="D32" s="3853"/>
      <c r="E32" s="685" t="s">
        <v>308</v>
      </c>
      <c r="F32" s="1177">
        <f>E211</f>
        <v>1</v>
      </c>
      <c r="G32" s="1177">
        <f>$E$210</f>
        <v>3.724962630792227</v>
      </c>
      <c r="H32" s="665">
        <f>I225</f>
        <v>1061.6143497757846</v>
      </c>
      <c r="I32" s="818" t="str">
        <f>I28</f>
        <v>Transport at site</v>
      </c>
      <c r="J32" s="666" t="str">
        <f>IF(K32=1,"Annual","Done every "&amp;K32&amp;" years")</f>
        <v>Annual</v>
      </c>
      <c r="K32" s="667">
        <f>K28</f>
        <v>1</v>
      </c>
      <c r="L32" s="668">
        <f t="shared" si="6"/>
        <v>80</v>
      </c>
      <c r="M32" s="667">
        <f t="shared" si="6"/>
        <v>1</v>
      </c>
      <c r="N32" s="665">
        <f>$H32*(1-(1+$L$15)^-(L32*M32))/((1+$L$15)^M32-1)*(1+((1+$L$15)^M32-1))</f>
        <v>26404.480091715228</v>
      </c>
      <c r="O32" s="680">
        <f t="shared" si="0"/>
        <v>1061.6143497757837</v>
      </c>
      <c r="P32" s="984"/>
      <c r="Q32" s="3022">
        <f>1*(1-(1+$L$15)^-(L32*M32))/((1+$L$15)^M32-1)*(1+((1+$L$15)^M32-1))</f>
        <v>24.872007520708362</v>
      </c>
      <c r="R32" s="3022">
        <f>Q32/(1+$L$15)*($L$15)/(1-(1+$L$15)^-$L$16)</f>
        <v>0.99999999999999911</v>
      </c>
      <c r="S32" s="3022">
        <f>F32*R32</f>
        <v>0.99999999999999911</v>
      </c>
      <c r="T32" s="1036" t="s">
        <v>809</v>
      </c>
      <c r="U32" s="675">
        <f t="shared" si="5"/>
        <v>10.616143497757838</v>
      </c>
      <c r="V32" s="682" t="str">
        <f>IF($T32="L",SUM($U32:U32)*V$16,"")</f>
        <v/>
      </c>
      <c r="W32" s="682">
        <f>IF($U32="","",IF(OR($T32="L",$T32="T",$T32="C"),SUM($U32:V32)*W$16,""))</f>
        <v>1.0616143497757837</v>
      </c>
      <c r="X32" s="682">
        <f>IF($U32="","",SUM($U32:W32)*X$16)</f>
        <v>3.5033273542600862</v>
      </c>
      <c r="Y32" s="679">
        <f>IF($U32="","",SUM(V32:X32))</f>
        <v>4.5649417040358697</v>
      </c>
      <c r="Z32" s="720"/>
      <c r="AA32" s="737">
        <f>IF($U32="","",SUM(U32,Y32))</f>
        <v>15.181085201793707</v>
      </c>
      <c r="AB32" s="720"/>
      <c r="AC32" s="730">
        <f ca="1">IF(AA32="","",AA32/OFFSET($AB$23,AF32,0))</f>
        <v>0.2358766913098061</v>
      </c>
      <c r="AD32" s="681"/>
      <c r="AE32" s="1067"/>
      <c r="AF32" s="587">
        <f>AF31</f>
        <v>8</v>
      </c>
      <c r="AG32" s="587"/>
      <c r="AH32" s="669">
        <f>$AH$16/K32</f>
        <v>5</v>
      </c>
      <c r="AI32" s="669">
        <f>$AH$16/AH32</f>
        <v>1</v>
      </c>
      <c r="AJ32" s="665">
        <f>$H32*(1-(1+$L$15)^-(AH32*AI32))/((1+$L$15)^AI32-1)*(1+((1+$L$15)^AI32-1))</f>
        <v>4915.1632080294521</v>
      </c>
      <c r="AK32" s="984"/>
    </row>
    <row r="33" spans="1:37" ht="18" customHeight="1">
      <c r="A33" s="676"/>
      <c r="B33" s="712"/>
      <c r="C33" s="1223"/>
      <c r="D33" s="3853"/>
      <c r="E33" s="685" t="s">
        <v>4</v>
      </c>
      <c r="F33" s="1177"/>
      <c r="G33" s="1177">
        <f>$E$220</f>
        <v>6</v>
      </c>
      <c r="H33" s="665">
        <f>I226</f>
        <v>1260</v>
      </c>
      <c r="I33" s="818" t="str">
        <f>I29</f>
        <v>Accomodation</v>
      </c>
      <c r="J33" s="666" t="str">
        <f>IF(K33=1,"Annual","Done every "&amp;K33&amp;" years")</f>
        <v>Annual</v>
      </c>
      <c r="K33" s="667">
        <f>K29</f>
        <v>1</v>
      </c>
      <c r="L33" s="668">
        <f t="shared" si="6"/>
        <v>80</v>
      </c>
      <c r="M33" s="667">
        <f t="shared" si="6"/>
        <v>1</v>
      </c>
      <c r="N33" s="665">
        <f>$H33*(1-(1+$L$15)^-(L33*M33))/((1+$L$15)^M33-1)*(1+((1+$L$15)^M33-1))</f>
        <v>31338.729476092536</v>
      </c>
      <c r="O33" s="680">
        <f t="shared" si="0"/>
        <v>1259.9999999999991</v>
      </c>
      <c r="P33" s="985"/>
      <c r="Q33" s="3022"/>
      <c r="R33" s="3022"/>
      <c r="S33" s="3022"/>
      <c r="T33" s="1036" t="s">
        <v>810</v>
      </c>
      <c r="U33" s="675">
        <f t="shared" si="5"/>
        <v>12.599999999999991</v>
      </c>
      <c r="V33" s="684" t="str">
        <f>IF($T33="L",SUM($U33:U33)*V$16,"")</f>
        <v/>
      </c>
      <c r="W33" s="684">
        <f>IF($U33="","",IF(OR($T33="L",$T33="T",$T33="C"),SUM($U33:V33)*W$16,""))</f>
        <v>1.2599999999999991</v>
      </c>
      <c r="X33" s="684">
        <f>IF($U33="","",SUM($U33:W33)*X$16)</f>
        <v>4.1579999999999968</v>
      </c>
      <c r="Y33" s="1024">
        <f>IF($U33="","",SUM(V33:X33))</f>
        <v>5.4179999999999957</v>
      </c>
      <c r="Z33" s="721"/>
      <c r="AA33" s="738">
        <f>IF($U33="","",SUM(U33,Y33))</f>
        <v>18.017999999999986</v>
      </c>
      <c r="AB33" s="721"/>
      <c r="AC33" s="730">
        <f ca="1">IF(AA33="","",AA33/OFFSET($AB$23,AF33,0))</f>
        <v>0.2799553633700656</v>
      </c>
      <c r="AD33" s="683"/>
      <c r="AE33" s="1067"/>
      <c r="AF33" s="587">
        <f>AF32</f>
        <v>8</v>
      </c>
      <c r="AG33" s="587"/>
      <c r="AH33" s="669">
        <f>$AH$16/K33</f>
        <v>5</v>
      </c>
      <c r="AI33" s="669">
        <f>$AH$16/AH33</f>
        <v>1</v>
      </c>
      <c r="AJ33" s="665">
        <f>$H33*(1-(1+$L$15)^-(AH33*AI33))/((1+$L$15)^AI33-1)*(1+((1+$L$15)^AI33-1))</f>
        <v>5833.6679825636384</v>
      </c>
      <c r="AK33" s="985"/>
    </row>
    <row r="34" spans="1:37" ht="18" customHeight="1">
      <c r="A34" s="676"/>
      <c r="B34" s="712"/>
      <c r="C34" s="1223"/>
      <c r="D34" s="3854"/>
      <c r="E34" s="1082" t="s">
        <v>21</v>
      </c>
      <c r="F34" s="1177"/>
      <c r="G34" s="1177"/>
      <c r="H34" s="665"/>
      <c r="I34" s="818"/>
      <c r="J34" s="666"/>
      <c r="K34" s="667"/>
      <c r="L34" s="668"/>
      <c r="M34" s="667"/>
      <c r="N34" s="665"/>
      <c r="O34" s="680">
        <f t="shared" si="0"/>
        <v>0</v>
      </c>
      <c r="P34" s="985"/>
      <c r="Q34" s="3022"/>
      <c r="R34" s="3022"/>
      <c r="S34" s="3022"/>
      <c r="T34" s="1036" t="s">
        <v>811</v>
      </c>
      <c r="U34" s="675"/>
      <c r="V34" s="684" t="str">
        <f>IF($T34="L",SUM($U34:U34)*V$16,"")</f>
        <v/>
      </c>
      <c r="W34" s="684" t="str">
        <f>IF($U34="","",IF(OR($T34="L",$T34="T",$T34="C"),SUM($U34:V34)*W$16,""))</f>
        <v/>
      </c>
      <c r="X34" s="684"/>
      <c r="Y34" s="1024"/>
      <c r="Z34" s="721"/>
      <c r="AA34" s="738"/>
      <c r="AB34" s="721"/>
      <c r="AC34" s="730"/>
      <c r="AD34" s="683"/>
      <c r="AE34" s="1067"/>
      <c r="AF34" s="587">
        <f>AF33</f>
        <v>8</v>
      </c>
      <c r="AG34" s="587"/>
      <c r="AH34" s="669"/>
      <c r="AI34" s="669"/>
      <c r="AJ34" s="665"/>
      <c r="AK34" s="985"/>
    </row>
    <row r="35" spans="1:37" ht="18" customHeight="1">
      <c r="A35" s="656"/>
      <c r="B35" s="713">
        <v>2.2999999999999998</v>
      </c>
      <c r="C35" s="1224" t="s">
        <v>202</v>
      </c>
      <c r="D35" s="3852" t="str">
        <f>D31</f>
        <v xml:space="preserve">Surveying area and collecting samples by foot </v>
      </c>
      <c r="E35" s="686" t="s">
        <v>3</v>
      </c>
      <c r="F35" s="1178"/>
      <c r="G35" s="1178">
        <f>$F$181</f>
        <v>9.8415545590433489</v>
      </c>
      <c r="H35" s="645">
        <f>J224</f>
        <v>2214.3497757847535</v>
      </c>
      <c r="I35" s="820" t="s">
        <v>475</v>
      </c>
      <c r="J35" s="646" t="str">
        <f>IF(K35=1,"Annual","Done every "&amp;K35&amp;" years")</f>
        <v>Annual</v>
      </c>
      <c r="K35" s="647">
        <f>K31</f>
        <v>1</v>
      </c>
      <c r="L35" s="651">
        <f t="shared" ref="L35:M37" si="7">$L$16/K35</f>
        <v>80</v>
      </c>
      <c r="M35" s="881">
        <f t="shared" si="7"/>
        <v>1</v>
      </c>
      <c r="N35" s="884">
        <f>$H35*(1-(1+$L$15)^-(L35*M35))/((1+$L$15)^M35-1)*(1+((1+$L$15)^M35-1))</f>
        <v>55075.324276797262</v>
      </c>
      <c r="O35" s="653">
        <f t="shared" si="0"/>
        <v>2214.3497757847517</v>
      </c>
      <c r="P35" s="931">
        <f>SUM(O35:O38)</f>
        <v>5296.7713004484267</v>
      </c>
      <c r="Q35" s="3023"/>
      <c r="R35" s="3023"/>
      <c r="S35" s="3023"/>
      <c r="T35" s="1037" t="s">
        <v>808</v>
      </c>
      <c r="U35" s="655">
        <f>O35/$U$16</f>
        <v>22.143497757847516</v>
      </c>
      <c r="V35" s="655">
        <f>IF($T35="L",SUM($U35:U35)*V$16,"")</f>
        <v>6.6430493273542544</v>
      </c>
      <c r="W35" s="655">
        <f>IF($U35="","",IF(OR($T35="L",$T35="T",$T35="C"),SUM($U35:V35)*W$16,""))</f>
        <v>2.8786547085201772</v>
      </c>
      <c r="X35" s="655">
        <f>IF($U35="","",SUM($U35:W35)*X$16)</f>
        <v>9.4995605381165849</v>
      </c>
      <c r="Y35" s="650">
        <f>IF($U35="","",SUM(V35:X35))</f>
        <v>19.021264573991019</v>
      </c>
      <c r="Z35" s="717">
        <f>SUM(V35:X38)</f>
        <v>32.275677130044819</v>
      </c>
      <c r="AA35" s="739">
        <f>IF($U35="","",SUM(U35,Y35))</f>
        <v>41.164762331838531</v>
      </c>
      <c r="AB35" s="717">
        <f>SUM(AA35:AA38)</f>
        <v>85.243390134529079</v>
      </c>
      <c r="AC35" s="731">
        <f ca="1">IF(AA35="","",AA35/OFFSET($AB$23,AF35,0))</f>
        <v>0.48290855474979688</v>
      </c>
      <c r="AD35" s="654"/>
      <c r="AE35" s="1068"/>
      <c r="AF35" s="587">
        <f>AF31+4</f>
        <v>12</v>
      </c>
      <c r="AG35" s="816">
        <f ca="1">SUM(AC35:AC38)-1</f>
        <v>0</v>
      </c>
      <c r="AH35" s="649">
        <f>$AH$16/K35</f>
        <v>5</v>
      </c>
      <c r="AI35" s="649">
        <f>$AH$16/AH35</f>
        <v>1</v>
      </c>
      <c r="AJ35" s="645">
        <f>$H35*(1-(1+$L$15)^-(AH35*AI35))/((1+$L$15)^AI35-1)*(1+((1+$L$15)^AI35-1))</f>
        <v>10252.207451740071</v>
      </c>
      <c r="AK35" s="931">
        <f>SUM(AJ35:AJ38)</f>
        <v>24523.496147926966</v>
      </c>
    </row>
    <row r="36" spans="1:37" ht="19" customHeight="1">
      <c r="A36" s="656"/>
      <c r="B36" s="714"/>
      <c r="C36" s="1225" t="s">
        <v>789</v>
      </c>
      <c r="D36" s="3853"/>
      <c r="E36" s="686" t="s">
        <v>308</v>
      </c>
      <c r="F36" s="1178">
        <f>F211</f>
        <v>1</v>
      </c>
      <c r="G36" s="1178">
        <f>$F$210</f>
        <v>4.9207772795216744</v>
      </c>
      <c r="H36" s="645">
        <f>J225</f>
        <v>1402.4215246636772</v>
      </c>
      <c r="I36" s="820" t="s">
        <v>797</v>
      </c>
      <c r="J36" s="646" t="str">
        <f>IF(K36=1,"Annual","Done every "&amp;K36&amp;" years")</f>
        <v>Annual</v>
      </c>
      <c r="K36" s="647">
        <f>K32</f>
        <v>1</v>
      </c>
      <c r="L36" s="648">
        <f t="shared" si="7"/>
        <v>80</v>
      </c>
      <c r="M36" s="647">
        <f t="shared" si="7"/>
        <v>1</v>
      </c>
      <c r="N36" s="645">
        <f>$H36*(1-(1+$L$15)^-(L36*M36))/((1+$L$15)^M36-1)*(1+((1+$L$15)^M36-1))</f>
        <v>34881.038708638262</v>
      </c>
      <c r="O36" s="660">
        <f t="shared" si="0"/>
        <v>1402.4215246636759</v>
      </c>
      <c r="P36" s="932"/>
      <c r="Q36" s="3024">
        <f>1*(1-(1+$L$15)^-(L36*M36))/((1+$L$15)^M36-1)*(1+((1+$L$15)^M36-1))</f>
        <v>24.872007520708362</v>
      </c>
      <c r="R36" s="3024">
        <f>Q36/(1+$L$15)*($L$15)/(1-(1+$L$15)^-$L$16)</f>
        <v>0.99999999999999911</v>
      </c>
      <c r="S36" s="3024">
        <f>F36*R36</f>
        <v>0.99999999999999911</v>
      </c>
      <c r="T36" s="1038" t="s">
        <v>809</v>
      </c>
      <c r="U36" s="655">
        <f>O36/$U$16</f>
        <v>14.024215246636759</v>
      </c>
      <c r="V36" s="662" t="str">
        <f>IF($T36="L",SUM($U36:U36)*V$16,"")</f>
        <v/>
      </c>
      <c r="W36" s="662">
        <f>IF($U36="","",IF(OR($T36="L",$T36="T",$T36="C"),SUM($U36:V36)*W$16,""))</f>
        <v>1.402421524663676</v>
      </c>
      <c r="X36" s="662">
        <f>IF($U36="","",SUM($U36:W36)*X$16)</f>
        <v>4.6279910313901302</v>
      </c>
      <c r="Y36" s="659">
        <f>IF($U36="","",SUM(V36:X36))</f>
        <v>6.0304125560538058</v>
      </c>
      <c r="Z36" s="722"/>
      <c r="AA36" s="740">
        <f>IF($U36="","",SUM(U36,Y36))</f>
        <v>20.054627802690565</v>
      </c>
      <c r="AB36" s="722"/>
      <c r="AC36" s="731">
        <f ca="1">IF(AA36="","",AA36/OFFSET($AB$23,AF36,0))</f>
        <v>0.23526314205759333</v>
      </c>
      <c r="AD36" s="661"/>
      <c r="AE36" s="1068"/>
      <c r="AF36" s="587">
        <f>AF35</f>
        <v>12</v>
      </c>
      <c r="AG36" s="587"/>
      <c r="AH36" s="649">
        <f>$AH$16/K36</f>
        <v>5</v>
      </c>
      <c r="AI36" s="649">
        <f>$AH$16/AH36</f>
        <v>1</v>
      </c>
      <c r="AJ36" s="645">
        <f>$H36*(1-(1+$L$15)^-(AH36*AI36))/((1+$L$15)^AI36-1)*(1+((1+$L$15)^AI36-1))</f>
        <v>6493.0647194353778</v>
      </c>
      <c r="AK36" s="932"/>
    </row>
    <row r="37" spans="1:37" ht="19" customHeight="1">
      <c r="A37" s="656"/>
      <c r="B37" s="714"/>
      <c r="C37" s="1225"/>
      <c r="D37" s="3853"/>
      <c r="E37" s="686" t="s">
        <v>4</v>
      </c>
      <c r="F37" s="1178"/>
      <c r="G37" s="1178">
        <f>$F$220</f>
        <v>8</v>
      </c>
      <c r="H37" s="645">
        <f>J226</f>
        <v>1680</v>
      </c>
      <c r="I37" s="820" t="s">
        <v>70</v>
      </c>
      <c r="J37" s="646" t="str">
        <f>IF(K37=1,"Annual","Done every "&amp;K37&amp;" years")</f>
        <v>Annual</v>
      </c>
      <c r="K37" s="647">
        <f>K33</f>
        <v>1</v>
      </c>
      <c r="L37" s="648">
        <f t="shared" si="7"/>
        <v>80</v>
      </c>
      <c r="M37" s="647">
        <f t="shared" si="7"/>
        <v>1</v>
      </c>
      <c r="N37" s="645">
        <f>$H37*(1-(1+$L$15)^-(L37*M37))/((1+$L$15)^M37-1)*(1+((1+$L$15)^M37-1))</f>
        <v>41784.972634790051</v>
      </c>
      <c r="O37" s="660">
        <f t="shared" si="0"/>
        <v>1679.9999999999986</v>
      </c>
      <c r="P37" s="933"/>
      <c r="Q37" s="3024"/>
      <c r="R37" s="3024"/>
      <c r="S37" s="3024"/>
      <c r="T37" s="1038" t="s">
        <v>810</v>
      </c>
      <c r="U37" s="655">
        <f>O37/$U$16</f>
        <v>16.799999999999986</v>
      </c>
      <c r="V37" s="664" t="str">
        <f>IF($T37="L",SUM($U37:U37)*V$16,"")</f>
        <v/>
      </c>
      <c r="W37" s="664">
        <f>IF($U37="","",IF(OR($T37="L",$T37="T",$T37="C"),SUM($U37:V37)*W$16,""))</f>
        <v>1.6799999999999988</v>
      </c>
      <c r="X37" s="664">
        <f>IF($U37="","",SUM($U37:W37)*X$16)</f>
        <v>5.543999999999996</v>
      </c>
      <c r="Y37" s="1025">
        <f>IF($U37="","",SUM(V37:X37))</f>
        <v>7.2239999999999949</v>
      </c>
      <c r="Z37" s="723"/>
      <c r="AA37" s="741">
        <f>IF($U37="","",SUM(U37,Y37))</f>
        <v>24.02399999999998</v>
      </c>
      <c r="AB37" s="723"/>
      <c r="AC37" s="731">
        <f ca="1">IF(AA37="","",AA37/OFFSET($AB$23,AF37,0))</f>
        <v>0.28182830319260976</v>
      </c>
      <c r="AD37" s="663"/>
      <c r="AE37" s="1068"/>
      <c r="AF37" s="587">
        <f>AF36</f>
        <v>12</v>
      </c>
      <c r="AG37" s="587"/>
      <c r="AH37" s="649">
        <f>$AH$16/K37</f>
        <v>5</v>
      </c>
      <c r="AI37" s="649">
        <f>$AH$16/AH37</f>
        <v>1</v>
      </c>
      <c r="AJ37" s="645">
        <f>$H37*(1-(1+$L$15)^-(AH37*AI37))/((1+$L$15)^AI37-1)*(1+((1+$L$15)^AI37-1))</f>
        <v>7778.2239767515175</v>
      </c>
      <c r="AK37" s="933"/>
    </row>
    <row r="38" spans="1:37" ht="19" customHeight="1">
      <c r="A38" s="656"/>
      <c r="B38" s="714"/>
      <c r="C38" s="1226"/>
      <c r="D38" s="3854"/>
      <c r="E38" s="686" t="s">
        <v>21</v>
      </c>
      <c r="F38" s="1178"/>
      <c r="G38" s="1178"/>
      <c r="H38" s="645"/>
      <c r="I38" s="1087"/>
      <c r="J38" s="646"/>
      <c r="K38" s="647"/>
      <c r="L38" s="648"/>
      <c r="M38" s="647"/>
      <c r="N38" s="645"/>
      <c r="O38" s="660">
        <f t="shared" si="0"/>
        <v>0</v>
      </c>
      <c r="P38" s="934"/>
      <c r="Q38" s="3025"/>
      <c r="R38" s="3025"/>
      <c r="S38" s="3025"/>
      <c r="T38" s="1038"/>
      <c r="U38" s="655"/>
      <c r="V38" s="664" t="str">
        <f>IF($T38="L",SUM($U38:U38)*V$16,"")</f>
        <v/>
      </c>
      <c r="W38" s="664" t="str">
        <f>IF($U38="","",IF(OR($T38="L",$T38="T",$T38="C"),SUM($U38:V38)*W$16,""))</f>
        <v/>
      </c>
      <c r="X38" s="664"/>
      <c r="Y38" s="1025"/>
      <c r="Z38" s="723"/>
      <c r="AA38" s="741"/>
      <c r="AB38" s="723"/>
      <c r="AC38" s="731"/>
      <c r="AD38" s="663"/>
      <c r="AE38" s="1068"/>
      <c r="AF38" s="587">
        <f>AF37</f>
        <v>12</v>
      </c>
      <c r="AG38" s="587"/>
      <c r="AH38" s="649"/>
      <c r="AI38" s="649"/>
      <c r="AJ38" s="645"/>
      <c r="AK38" s="933"/>
    </row>
    <row r="39" spans="1:37" s="1144" customFormat="1" ht="19" customHeight="1">
      <c r="B39" s="260">
        <v>3</v>
      </c>
      <c r="C39" s="3844" t="s">
        <v>316</v>
      </c>
      <c r="D39" s="3866" t="s">
        <v>1884</v>
      </c>
      <c r="E39" s="12" t="s">
        <v>3</v>
      </c>
      <c r="F39" s="1172"/>
      <c r="G39" s="1172">
        <f>$H$248</f>
        <v>2640</v>
      </c>
      <c r="H39" s="188">
        <f>F263</f>
        <v>927000</v>
      </c>
      <c r="I39" s="188" t="str">
        <f>G263</f>
        <v>Cost for liaison officers</v>
      </c>
      <c r="J39" s="377" t="str">
        <f t="shared" ref="J39" si="8">IF(K39=1,"Annual","Done every "&amp;K39&amp;" years")</f>
        <v>Annual</v>
      </c>
      <c r="K39" s="1693">
        <f>$H$263</f>
        <v>1</v>
      </c>
      <c r="L39" s="158">
        <f t="shared" ref="L39:M39" si="9">$L$16/K39</f>
        <v>80</v>
      </c>
      <c r="M39" s="586">
        <f t="shared" si="9"/>
        <v>1</v>
      </c>
      <c r="N39" s="188">
        <f t="shared" ref="N39" si="10">$H39*(1-(1+$L$15)^-(L39*M39))/((1+$L$15)^M39-1)*(1+((1+$L$15)^M39-1))</f>
        <v>23056350.971696652</v>
      </c>
      <c r="O39" s="1147">
        <f t="shared" si="0"/>
        <v>926999.99999999919</v>
      </c>
      <c r="P39" s="192">
        <f>SUM(O39:O42)</f>
        <v>926999.99999999919</v>
      </c>
      <c r="Q39" s="3036"/>
      <c r="R39" s="3036"/>
      <c r="S39" s="3036"/>
      <c r="T39" s="1148" t="s">
        <v>808</v>
      </c>
      <c r="U39" s="2529">
        <f>O39</f>
        <v>926999.99999999919</v>
      </c>
      <c r="V39" s="583">
        <f>IF($T39="L",SUM($U39:U39)*V$16,"")</f>
        <v>278099.99999999977</v>
      </c>
      <c r="W39" s="583"/>
      <c r="X39" s="583">
        <f>IF($U39="","",SUM($U39:W39)*X$16)</f>
        <v>361529.99999999971</v>
      </c>
      <c r="Y39" s="240">
        <f t="shared" ref="Y39" si="11">IF($U39="","",SUM(V39:X39))</f>
        <v>639629.99999999953</v>
      </c>
      <c r="Z39" s="192">
        <f>SUM(V39:X42)</f>
        <v>639629.99999999953</v>
      </c>
      <c r="AA39" s="742">
        <f t="shared" ref="AA39" si="12">IF($U39="","",SUM(U39,Y39))</f>
        <v>1566629.9999999986</v>
      </c>
      <c r="AB39" s="2530">
        <f>SUM(AA39:AA42)</f>
        <v>1566629.9999999986</v>
      </c>
      <c r="AC39" s="1049">
        <f t="shared" ref="AC39:AC66" ca="1" si="13">IF(AA39="","",AA39/OFFSET($AB$23,AF39,0))</f>
        <v>1</v>
      </c>
      <c r="AD39" s="1150"/>
      <c r="AE39" s="1151"/>
      <c r="AF39" s="1438">
        <f>AF35+4</f>
        <v>16</v>
      </c>
      <c r="AG39" s="1439">
        <f ca="1">SUM(AC39:AC42)-1</f>
        <v>0</v>
      </c>
      <c r="AH39" s="13">
        <f t="shared" ref="AH39:AH41" si="14">$AH$16/K39</f>
        <v>5</v>
      </c>
      <c r="AI39" s="13">
        <f t="shared" ref="AI39:AI41" si="15">$AH$16/AH39</f>
        <v>1</v>
      </c>
      <c r="AJ39" s="188">
        <f t="shared" ref="AJ39:AJ41" si="16">$H39*(1-(1+$L$15)^-(AH39*AI39))/((1+$L$15)^AI39-1)*(1+((1+$L$15)^AI39-1))</f>
        <v>4291912.8728861054</v>
      </c>
      <c r="AK39" s="191" t="e">
        <f>SUM(AJ39:AJ42)</f>
        <v>#DIV/0!</v>
      </c>
    </row>
    <row r="40" spans="1:37" s="1144" customFormat="1" ht="19" customHeight="1">
      <c r="B40" s="261"/>
      <c r="C40" s="3845"/>
      <c r="D40" s="3867"/>
      <c r="E40" s="12" t="s">
        <v>308</v>
      </c>
      <c r="F40" s="2587"/>
      <c r="G40" s="2587"/>
      <c r="H40" s="188"/>
      <c r="I40" s="188"/>
      <c r="J40" s="377"/>
      <c r="K40" s="1693"/>
      <c r="L40" s="158"/>
      <c r="M40" s="586"/>
      <c r="N40" s="188"/>
      <c r="O40" s="1147"/>
      <c r="P40" s="194"/>
      <c r="Q40" s="3037">
        <v>0</v>
      </c>
      <c r="R40" s="3037">
        <v>0</v>
      </c>
      <c r="S40" s="3037">
        <v>0</v>
      </c>
      <c r="T40" s="1152" t="s">
        <v>809</v>
      </c>
      <c r="U40" s="583"/>
      <c r="V40" s="585"/>
      <c r="W40" s="585"/>
      <c r="X40" s="585"/>
      <c r="Y40" s="242"/>
      <c r="Z40" s="194"/>
      <c r="AA40" s="733"/>
      <c r="AB40" s="194"/>
      <c r="AC40" s="1049" t="str">
        <f t="shared" ca="1" si="13"/>
        <v/>
      </c>
      <c r="AD40" s="1153"/>
      <c r="AE40" s="165"/>
      <c r="AF40" s="1438">
        <f>AF39</f>
        <v>16</v>
      </c>
      <c r="AG40" s="1438"/>
      <c r="AH40" s="13" t="e">
        <f t="shared" si="14"/>
        <v>#DIV/0!</v>
      </c>
      <c r="AI40" s="13" t="e">
        <f t="shared" si="15"/>
        <v>#DIV/0!</v>
      </c>
      <c r="AJ40" s="188" t="e">
        <f t="shared" si="16"/>
        <v>#DIV/0!</v>
      </c>
      <c r="AK40" s="342"/>
    </row>
    <row r="41" spans="1:37" s="1144" customFormat="1" ht="16" customHeight="1">
      <c r="B41" s="261"/>
      <c r="C41" s="3845"/>
      <c r="D41" s="3867"/>
      <c r="E41" s="12" t="s">
        <v>4</v>
      </c>
      <c r="F41" s="1172"/>
      <c r="G41" s="1172"/>
      <c r="H41" s="188"/>
      <c r="I41" s="188"/>
      <c r="J41" s="377"/>
      <c r="K41" s="1693"/>
      <c r="L41" s="158"/>
      <c r="M41" s="586"/>
      <c r="N41" s="188"/>
      <c r="O41" s="1147"/>
      <c r="P41" s="194"/>
      <c r="Q41" s="3037"/>
      <c r="R41" s="3037"/>
      <c r="S41" s="3037"/>
      <c r="T41" s="1152" t="s">
        <v>810</v>
      </c>
      <c r="U41" s="583"/>
      <c r="V41" s="585"/>
      <c r="W41" s="585"/>
      <c r="X41" s="585"/>
      <c r="Y41" s="242"/>
      <c r="Z41" s="194"/>
      <c r="AA41" s="733"/>
      <c r="AB41" s="194"/>
      <c r="AC41" s="1049" t="str">
        <f t="shared" ca="1" si="13"/>
        <v/>
      </c>
      <c r="AD41" s="1154"/>
      <c r="AE41" s="165"/>
      <c r="AF41" s="1438">
        <f>AF40</f>
        <v>16</v>
      </c>
      <c r="AG41" s="1438"/>
      <c r="AH41" s="13" t="e">
        <f t="shared" si="14"/>
        <v>#DIV/0!</v>
      </c>
      <c r="AI41" s="13" t="e">
        <f t="shared" si="15"/>
        <v>#DIV/0!</v>
      </c>
      <c r="AJ41" s="188" t="e">
        <f t="shared" si="16"/>
        <v>#DIV/0!</v>
      </c>
      <c r="AK41" s="342"/>
    </row>
    <row r="42" spans="1:37" s="1144" customFormat="1" ht="19" customHeight="1">
      <c r="B42" s="261"/>
      <c r="C42" s="3846"/>
      <c r="D42" s="3868"/>
      <c r="E42" s="12" t="s">
        <v>21</v>
      </c>
      <c r="F42" s="1172"/>
      <c r="G42" s="1172"/>
      <c r="H42" s="188"/>
      <c r="I42" s="188"/>
      <c r="J42" s="377"/>
      <c r="K42" s="1693"/>
      <c r="L42" s="158"/>
      <c r="M42" s="586"/>
      <c r="N42" s="188"/>
      <c r="O42" s="1147"/>
      <c r="P42" s="194"/>
      <c r="Q42" s="3037"/>
      <c r="R42" s="3037"/>
      <c r="S42" s="3037"/>
      <c r="T42" s="1156" t="s">
        <v>811</v>
      </c>
      <c r="U42" s="583"/>
      <c r="V42" s="585"/>
      <c r="W42" s="585"/>
      <c r="X42" s="585"/>
      <c r="Y42" s="242"/>
      <c r="Z42" s="194"/>
      <c r="AA42" s="733"/>
      <c r="AB42" s="194"/>
      <c r="AC42" s="1049" t="str">
        <f t="shared" ca="1" si="13"/>
        <v/>
      </c>
      <c r="AD42" s="1157"/>
      <c r="AE42" s="166"/>
      <c r="AF42" s="1438">
        <f>AF41</f>
        <v>16</v>
      </c>
      <c r="AG42" s="1438"/>
      <c r="AH42" s="13"/>
      <c r="AI42" s="13"/>
      <c r="AJ42" s="188"/>
      <c r="AK42" s="342"/>
    </row>
    <row r="43" spans="1:37" s="1349" customFormat="1" ht="19" customHeight="1">
      <c r="B43" s="167">
        <v>4</v>
      </c>
      <c r="C43" s="3961" t="s">
        <v>392</v>
      </c>
      <c r="D43" s="3973" t="s">
        <v>1217</v>
      </c>
      <c r="E43" s="168" t="s">
        <v>3</v>
      </c>
      <c r="F43" s="1350"/>
      <c r="G43" s="1350">
        <f t="shared" ref="G43:G45" si="17">E429</f>
        <v>19272.07592200561</v>
      </c>
      <c r="H43" s="169">
        <f t="shared" ref="H43:I46" si="18">H429</f>
        <v>4336217.0824512625</v>
      </c>
      <c r="I43" s="169" t="str">
        <f t="shared" si="18"/>
        <v>Cost for person hours</v>
      </c>
      <c r="J43" s="1351" t="str">
        <f t="shared" ref="J43:J50" si="19">IF(K43=1,"Annual","Done every "&amp;K43&amp;" years")</f>
        <v>Annual</v>
      </c>
      <c r="K43" s="1352">
        <f>J429</f>
        <v>1</v>
      </c>
      <c r="L43" s="1353">
        <f t="shared" ref="L43:L50" si="20">$L$16/K43</f>
        <v>80</v>
      </c>
      <c r="M43" s="1354">
        <f t="shared" ref="M43:M50" si="21">$L$16/L43</f>
        <v>1</v>
      </c>
      <c r="N43" s="169">
        <f t="shared" ref="N43:N50" si="22">$H43*(1-(1+$L$15)^-(L43*M43))/((1+$L$15)^M43-1)*(1+((1+$L$15)^M43-1))</f>
        <v>107850423.88615188</v>
      </c>
      <c r="O43" s="1355">
        <f t="shared" si="0"/>
        <v>4336217.0824512588</v>
      </c>
      <c r="P43" s="1356">
        <f>SUM(O43:O46)</f>
        <v>11953543.391186383</v>
      </c>
      <c r="Q43" s="3028"/>
      <c r="R43" s="3028"/>
      <c r="S43" s="3028"/>
      <c r="T43" s="1357" t="s">
        <v>808</v>
      </c>
      <c r="U43" s="1358">
        <f t="shared" ref="U43:U50" si="23">O43/$U$16</f>
        <v>43362.170824512585</v>
      </c>
      <c r="V43" s="1359">
        <f>IF($T43="L",SUM($U43:U43)*V$16,"")</f>
        <v>13008.651247353775</v>
      </c>
      <c r="W43" s="1359">
        <f>IF($U43="","",IF(OR($T43="L",$T43="T",$T43="C"),SUM($U43:V43)*W$16,""))</f>
        <v>5637.082207186636</v>
      </c>
      <c r="X43" s="1359">
        <f>IF($U43="","",SUM($U43:W43)*X$16)</f>
        <v>18602.371283715896</v>
      </c>
      <c r="Y43" s="1360">
        <f t="shared" ref="Y43:Y50" si="24">IF($U43="","",SUM(V43:X43))</f>
        <v>37248.104738256312</v>
      </c>
      <c r="Z43" s="1356">
        <f>SUM(V43:X46)</f>
        <v>70001.066729013197</v>
      </c>
      <c r="AA43" s="1361">
        <f t="shared" ref="AA43:AA50" si="25">IF($U43="","",SUM(U43,Y43))</f>
        <v>80610.275562768889</v>
      </c>
      <c r="AB43" s="1356">
        <f>SUM(AA43:AA46)</f>
        <v>189536.50064087703</v>
      </c>
      <c r="AC43" s="1362">
        <f t="shared" ca="1" si="13"/>
        <v>0.42530212012041235</v>
      </c>
      <c r="AD43" s="1363">
        <f>$E$729</f>
        <v>200000</v>
      </c>
      <c r="AE43" s="1364"/>
      <c r="AF43" s="587">
        <v>20</v>
      </c>
      <c r="AG43" s="1366">
        <f ca="1">SUM(AC43:AC46)-1</f>
        <v>0</v>
      </c>
      <c r="AH43" s="1367">
        <f t="shared" ref="AH43:AH49" si="26">$AH$16/K43</f>
        <v>5</v>
      </c>
      <c r="AI43" s="1367">
        <f t="shared" ref="AI43:AI49" si="27">$AH$16/AH43</f>
        <v>1</v>
      </c>
      <c r="AJ43" s="169">
        <f t="shared" ref="AJ43:AJ49" si="28">$H43*(1-(1+$L$15)^-(AH43*AI43))/((1+$L$15)^AI43-1)*(1+((1+$L$15)^AI43-1))</f>
        <v>20076230.761382099</v>
      </c>
      <c r="AK43" s="1368">
        <f>SUM(AJ43:AJ46)</f>
        <v>55343653.459800974</v>
      </c>
    </row>
    <row r="44" spans="1:37" s="1349" customFormat="1" ht="19" customHeight="1">
      <c r="B44" s="170"/>
      <c r="C44" s="3962"/>
      <c r="D44" s="3974"/>
      <c r="E44" s="168" t="s">
        <v>308</v>
      </c>
      <c r="F44" s="1350">
        <f>$D$413</f>
        <v>459</v>
      </c>
      <c r="G44" s="1350">
        <f t="shared" si="17"/>
        <v>9636.0379610028049</v>
      </c>
      <c r="H44" s="169">
        <f t="shared" si="18"/>
        <v>2746270.8188857995</v>
      </c>
      <c r="I44" s="169" t="str">
        <f t="shared" si="18"/>
        <v>Cost for ute hire for the whole activity</v>
      </c>
      <c r="J44" s="1351" t="str">
        <f t="shared" si="19"/>
        <v>Annual</v>
      </c>
      <c r="K44" s="1352">
        <f>J430</f>
        <v>1</v>
      </c>
      <c r="L44" s="1353">
        <f t="shared" si="20"/>
        <v>80</v>
      </c>
      <c r="M44" s="1354">
        <f t="shared" si="21"/>
        <v>1</v>
      </c>
      <c r="N44" s="169">
        <f t="shared" si="22"/>
        <v>68305268.461229518</v>
      </c>
      <c r="O44" s="1355">
        <f t="shared" si="0"/>
        <v>2746270.8188857976</v>
      </c>
      <c r="P44" s="1369"/>
      <c r="Q44" s="3029">
        <f>1*(1-(1+$L$15)^-(L44*M44))/((1+$L$15)^M44-1)*(1+((1+$L$15)^M44-1))</f>
        <v>24.872007520708362</v>
      </c>
      <c r="R44" s="3029">
        <f>Q44/(1+$L$15)*($L$15)/(1-(1+$L$15)^-$L$16)</f>
        <v>0.99999999999999911</v>
      </c>
      <c r="S44" s="3029">
        <f>F44*R44</f>
        <v>458.9999999999996</v>
      </c>
      <c r="T44" s="1370" t="s">
        <v>809</v>
      </c>
      <c r="U44" s="1359">
        <f t="shared" si="23"/>
        <v>27462.708188857978</v>
      </c>
      <c r="V44" s="1371" t="str">
        <f>IF($T44="L",SUM($U44:U44)*V$16,"")</f>
        <v/>
      </c>
      <c r="W44" s="1371">
        <f>IF($U44="","",IF(OR($T44="L",$T44="T",$T44="C"),SUM($U44:V44)*W$16,""))</f>
        <v>2746.2708188857978</v>
      </c>
      <c r="X44" s="1371">
        <f>IF($U44="","",SUM($U44:W44)*X$16)</f>
        <v>9062.693702323133</v>
      </c>
      <c r="Y44" s="1372">
        <f t="shared" si="24"/>
        <v>11808.964521208931</v>
      </c>
      <c r="Z44" s="1369"/>
      <c r="AA44" s="1373">
        <f t="shared" si="25"/>
        <v>39271.672710066909</v>
      </c>
      <c r="AB44" s="1369"/>
      <c r="AC44" s="1362">
        <f t="shared" ca="1" si="13"/>
        <v>0.20719846877661122</v>
      </c>
      <c r="AD44" s="1374">
        <f>SUM(AB43,AB47)-AD43</f>
        <v>371850.09109789983</v>
      </c>
      <c r="AE44" s="1375"/>
      <c r="AF44" s="1365">
        <f>AF43</f>
        <v>20</v>
      </c>
      <c r="AG44" s="1365"/>
      <c r="AH44" s="1367">
        <f t="shared" si="26"/>
        <v>5</v>
      </c>
      <c r="AI44" s="1367">
        <f t="shared" si="27"/>
        <v>1</v>
      </c>
      <c r="AJ44" s="169">
        <f t="shared" si="28"/>
        <v>12714946.14887533</v>
      </c>
      <c r="AK44" s="1376"/>
    </row>
    <row r="45" spans="1:37" s="1349" customFormat="1" ht="16" customHeight="1">
      <c r="B45" s="170"/>
      <c r="C45" s="3962"/>
      <c r="D45" s="3974"/>
      <c r="E45" s="168" t="s">
        <v>4</v>
      </c>
      <c r="F45" s="1350"/>
      <c r="G45" s="1350">
        <f t="shared" si="17"/>
        <v>19272</v>
      </c>
      <c r="H45" s="169">
        <f t="shared" si="18"/>
        <v>4869870</v>
      </c>
      <c r="I45" s="169" t="str">
        <f t="shared" si="18"/>
        <v>Accomodation + Food Cost</v>
      </c>
      <c r="J45" s="1351" t="str">
        <f t="shared" si="19"/>
        <v>Annual</v>
      </c>
      <c r="K45" s="1352">
        <f>J431</f>
        <v>1</v>
      </c>
      <c r="L45" s="1353">
        <f t="shared" si="20"/>
        <v>80</v>
      </c>
      <c r="M45" s="1354">
        <f t="shared" si="21"/>
        <v>1</v>
      </c>
      <c r="N45" s="169">
        <f t="shared" si="22"/>
        <v>121123443.26487203</v>
      </c>
      <c r="O45" s="1355">
        <f t="shared" si="0"/>
        <v>4869869.9999999963</v>
      </c>
      <c r="P45" s="1369"/>
      <c r="Q45" s="3029"/>
      <c r="R45" s="3029"/>
      <c r="S45" s="3029"/>
      <c r="T45" s="1370" t="s">
        <v>810</v>
      </c>
      <c r="U45" s="1359">
        <f t="shared" si="23"/>
        <v>48698.699999999961</v>
      </c>
      <c r="V45" s="1371" t="str">
        <f>IF($T45="L",SUM($U45:U45)*V$16,"")</f>
        <v/>
      </c>
      <c r="W45" s="1371">
        <f>IF($U45="","",IF(OR($T45="L",$T45="T",$T45="C"),SUM($U45:V45)*W$16,""))</f>
        <v>4869.8699999999963</v>
      </c>
      <c r="X45" s="1371">
        <f>IF($U45="","",SUM($U45:W45)*X$16)</f>
        <v>16070.570999999985</v>
      </c>
      <c r="Y45" s="1372">
        <f t="shared" si="24"/>
        <v>20940.440999999981</v>
      </c>
      <c r="Z45" s="1369"/>
      <c r="AA45" s="1373">
        <f t="shared" si="25"/>
        <v>69639.140999999945</v>
      </c>
      <c r="AB45" s="1369"/>
      <c r="AC45" s="1362">
        <f t="shared" ca="1" si="13"/>
        <v>0.36741810028427307</v>
      </c>
      <c r="AD45" s="1377"/>
      <c r="AE45" s="1375"/>
      <c r="AF45" s="1365">
        <f>AF44</f>
        <v>20</v>
      </c>
      <c r="AG45" s="1365"/>
      <c r="AH45" s="1367">
        <f t="shared" si="26"/>
        <v>5</v>
      </c>
      <c r="AI45" s="1367">
        <f t="shared" si="27"/>
        <v>1</v>
      </c>
      <c r="AJ45" s="169">
        <f t="shared" si="28"/>
        <v>22546987.855751734</v>
      </c>
      <c r="AK45" s="1376"/>
    </row>
    <row r="46" spans="1:37" s="1349" customFormat="1" ht="19" customHeight="1">
      <c r="B46" s="170"/>
      <c r="C46" s="3963"/>
      <c r="D46" s="3975"/>
      <c r="E46" s="168" t="s">
        <v>21</v>
      </c>
      <c r="F46" s="1350"/>
      <c r="G46" s="1350"/>
      <c r="H46" s="169">
        <f t="shared" si="18"/>
        <v>10000</v>
      </c>
      <c r="I46" s="169" t="str">
        <f t="shared" si="18"/>
        <v>Total equipment cost</v>
      </c>
      <c r="J46" s="1351" t="str">
        <f t="shared" si="19"/>
        <v>Done every 10 years</v>
      </c>
      <c r="K46" s="1352">
        <f>J432</f>
        <v>10</v>
      </c>
      <c r="L46" s="1353">
        <f t="shared" si="20"/>
        <v>8</v>
      </c>
      <c r="M46" s="1354">
        <f t="shared" si="21"/>
        <v>10</v>
      </c>
      <c r="N46" s="169">
        <f t="shared" si="22"/>
        <v>29485.512448215297</v>
      </c>
      <c r="O46" s="1355">
        <f t="shared" si="0"/>
        <v>1185.4898493282344</v>
      </c>
      <c r="P46" s="1369"/>
      <c r="Q46" s="3029"/>
      <c r="R46" s="3029"/>
      <c r="S46" s="3029"/>
      <c r="T46" s="1378" t="s">
        <v>811</v>
      </c>
      <c r="U46" s="1359">
        <f t="shared" si="23"/>
        <v>11.854898493282343</v>
      </c>
      <c r="V46" s="1371" t="str">
        <f>IF($T46="L",SUM($U46:U46)*V$16,"")</f>
        <v/>
      </c>
      <c r="W46" s="1371" t="str">
        <f>IF($U46="","",IF(OR($T46="L",$T46="T",$T46="C"),SUM($U46:V46)*W$16,""))</f>
        <v/>
      </c>
      <c r="X46" s="1371">
        <f>IF($U46="","",SUM($U46:W46)*X$16)</f>
        <v>3.5564695479847028</v>
      </c>
      <c r="Y46" s="1372">
        <f t="shared" si="24"/>
        <v>3.5564695479847028</v>
      </c>
      <c r="Z46" s="1369"/>
      <c r="AA46" s="1373">
        <f t="shared" si="25"/>
        <v>15.411368041267046</v>
      </c>
      <c r="AB46" s="1369"/>
      <c r="AC46" s="1362">
        <f t="shared" ca="1" si="13"/>
        <v>8.1310818703293614E-5</v>
      </c>
      <c r="AD46" s="1377"/>
      <c r="AE46" s="1379"/>
      <c r="AF46" s="1365">
        <f>AF45</f>
        <v>20</v>
      </c>
      <c r="AG46" s="1365"/>
      <c r="AH46" s="1367">
        <f t="shared" si="26"/>
        <v>0.5</v>
      </c>
      <c r="AI46" s="1367">
        <f t="shared" si="27"/>
        <v>10</v>
      </c>
      <c r="AJ46" s="169">
        <f t="shared" si="28"/>
        <v>5488.6937918097774</v>
      </c>
      <c r="AK46" s="1376"/>
    </row>
    <row r="47" spans="1:37" s="1349" customFormat="1" ht="19" customHeight="1">
      <c r="B47" s="167">
        <v>4.0999999999999996</v>
      </c>
      <c r="C47" s="3961" t="s">
        <v>1858</v>
      </c>
      <c r="D47" s="3973" t="s">
        <v>1216</v>
      </c>
      <c r="E47" s="168" t="s">
        <v>3</v>
      </c>
      <c r="F47" s="1350"/>
      <c r="G47" s="1350">
        <f t="shared" ref="G47:G49" si="29">E578</f>
        <v>63994.298144227825</v>
      </c>
      <c r="H47" s="169">
        <f t="shared" ref="H47:I50" si="30">H578</f>
        <v>14398717.082451262</v>
      </c>
      <c r="I47" s="169" t="str">
        <f t="shared" si="30"/>
        <v>Cost for person hours</v>
      </c>
      <c r="J47" s="1351" t="str">
        <f t="shared" si="19"/>
        <v>Done every 5 years</v>
      </c>
      <c r="K47" s="1352">
        <f>J578</f>
        <v>5</v>
      </c>
      <c r="L47" s="1353">
        <f t="shared" si="20"/>
        <v>16</v>
      </c>
      <c r="M47" s="1354">
        <f t="shared" si="21"/>
        <v>5</v>
      </c>
      <c r="N47" s="169">
        <f t="shared" si="22"/>
        <v>77350562.424609154</v>
      </c>
      <c r="O47" s="1355">
        <f t="shared" si="0"/>
        <v>3109944.4771479433</v>
      </c>
      <c r="P47" s="1356">
        <f>SUM(O47:O50)</f>
        <v>25802340.544535819</v>
      </c>
      <c r="Q47" s="3028"/>
      <c r="R47" s="3028"/>
      <c r="S47" s="3028"/>
      <c r="T47" s="1357" t="s">
        <v>808</v>
      </c>
      <c r="U47" s="1358">
        <f t="shared" si="23"/>
        <v>31099.444771479433</v>
      </c>
      <c r="V47" s="1359">
        <f>IF($T47="L",SUM($U47:U47)*V$16,"")</f>
        <v>9329.8334314438289</v>
      </c>
      <c r="W47" s="1359">
        <f>IF($U47="","",IF(OR($T47="L",$T47="T",$T47="C"),SUM($U47:V47)*W$16,""))</f>
        <v>4042.9278202923265</v>
      </c>
      <c r="X47" s="1361">
        <f>IF($U47="","",SUM($U47:W47)*X$16)</f>
        <v>13341.661806964676</v>
      </c>
      <c r="Y47" s="1380">
        <f t="shared" si="24"/>
        <v>26714.423058700831</v>
      </c>
      <c r="Z47" s="1356">
        <f>SUM(V47:X50)</f>
        <v>124290.18501166457</v>
      </c>
      <c r="AA47" s="1361">
        <f t="shared" si="25"/>
        <v>57813.867830180265</v>
      </c>
      <c r="AB47" s="1368">
        <f>SUM(AA47:AA50)</f>
        <v>382313.59045702277</v>
      </c>
      <c r="AC47" s="1362">
        <f t="shared" ca="1" si="13"/>
        <v>0.15122106373741198</v>
      </c>
      <c r="AD47" s="1380"/>
      <c r="AE47" s="1381"/>
      <c r="AF47" s="1365">
        <f>AF43+4</f>
        <v>24</v>
      </c>
      <c r="AG47" s="1366">
        <f ca="1">SUM(AC47:AC50)-1</f>
        <v>0</v>
      </c>
      <c r="AH47" s="1367">
        <f t="shared" si="26"/>
        <v>1</v>
      </c>
      <c r="AI47" s="1367">
        <f t="shared" si="27"/>
        <v>5</v>
      </c>
      <c r="AJ47" s="169">
        <f t="shared" si="28"/>
        <v>14398717.082451262</v>
      </c>
      <c r="AK47" s="1368">
        <f>SUM(AJ47:AJ50)</f>
        <v>119456644.5680037</v>
      </c>
    </row>
    <row r="48" spans="1:37" s="1349" customFormat="1" ht="19" customHeight="1">
      <c r="B48" s="170"/>
      <c r="C48" s="3962"/>
      <c r="D48" s="3974"/>
      <c r="E48" s="168" t="s">
        <v>308</v>
      </c>
      <c r="F48" s="1350">
        <f>$D$559</f>
        <v>1524</v>
      </c>
      <c r="G48" s="1350">
        <f t="shared" si="29"/>
        <v>31997.149072113913</v>
      </c>
      <c r="H48" s="169">
        <f t="shared" si="30"/>
        <v>9119187.4855524655</v>
      </c>
      <c r="I48" s="169" t="str">
        <f t="shared" si="30"/>
        <v>Cost for ute hire for the whole activity</v>
      </c>
      <c r="J48" s="1351" t="str">
        <f t="shared" si="19"/>
        <v>Done every 5 years</v>
      </c>
      <c r="K48" s="1352">
        <f>J579</f>
        <v>5</v>
      </c>
      <c r="L48" s="1353">
        <f t="shared" si="20"/>
        <v>16</v>
      </c>
      <c r="M48" s="1354">
        <f t="shared" si="21"/>
        <v>5</v>
      </c>
      <c r="N48" s="169">
        <f t="shared" si="22"/>
        <v>48988689.535585798</v>
      </c>
      <c r="O48" s="1355">
        <f t="shared" si="0"/>
        <v>1969631.5021936977</v>
      </c>
      <c r="P48" s="1369"/>
      <c r="Q48" s="3029">
        <f>1*(1-(1+$L$15)^-(L48*M48))/((1+$L$15)^M48-1)*(1+((1+$L$15)^M48-1))</f>
        <v>5.3720454386093719</v>
      </c>
      <c r="R48" s="3029">
        <f>Q48/(1+$L$15)*($L$15)/(1-(1+$L$15)^-$L$16)</f>
        <v>0.2159876091279169</v>
      </c>
      <c r="S48" s="3029">
        <f>F48*R48</f>
        <v>329.16511631094534</v>
      </c>
      <c r="T48" s="1370" t="s">
        <v>809</v>
      </c>
      <c r="U48" s="1359">
        <f t="shared" si="23"/>
        <v>19696.315021936978</v>
      </c>
      <c r="V48" s="1371" t="str">
        <f>IF($T48="L",SUM($U48:U48)*V$16,"")</f>
        <v/>
      </c>
      <c r="W48" s="1371">
        <f>IF($U48="","",IF(OR($T48="L",$T48="T",$T48="C"),SUM($U48:V48)*W$16,""))</f>
        <v>1969.631502193698</v>
      </c>
      <c r="X48" s="1373">
        <f>IF($U48="","",SUM($U48:W48)*X$16)</f>
        <v>6499.7839572392022</v>
      </c>
      <c r="Y48" s="1382">
        <f t="shared" si="24"/>
        <v>8469.4154594329011</v>
      </c>
      <c r="Z48" s="1369"/>
      <c r="AA48" s="1373">
        <f t="shared" si="25"/>
        <v>28165.730481369879</v>
      </c>
      <c r="AB48" s="1376"/>
      <c r="AC48" s="1362">
        <f t="shared" ca="1" si="13"/>
        <v>7.3671800282328934E-2</v>
      </c>
      <c r="AD48" s="1382"/>
      <c r="AE48" s="1383"/>
      <c r="AF48" s="1365">
        <f>AF47</f>
        <v>24</v>
      </c>
      <c r="AG48" s="1365"/>
      <c r="AH48" s="1367">
        <f t="shared" si="26"/>
        <v>1</v>
      </c>
      <c r="AI48" s="1367">
        <f t="shared" si="27"/>
        <v>5</v>
      </c>
      <c r="AJ48" s="169">
        <f t="shared" si="28"/>
        <v>9119187.4855524655</v>
      </c>
      <c r="AK48" s="1376"/>
    </row>
    <row r="49" spans="1:37" s="1349" customFormat="1" ht="16" customHeight="1">
      <c r="B49" s="170"/>
      <c r="C49" s="3962"/>
      <c r="D49" s="3974"/>
      <c r="E49" s="168" t="s">
        <v>4</v>
      </c>
      <c r="F49" s="1350"/>
      <c r="G49" s="1350">
        <f t="shared" si="29"/>
        <v>63994</v>
      </c>
      <c r="H49" s="169">
        <f t="shared" si="30"/>
        <v>95938739.999999985</v>
      </c>
      <c r="I49" s="169" t="str">
        <f t="shared" si="30"/>
        <v>Consumables (Bush regen material + Accomodation)</v>
      </c>
      <c r="J49" s="1351" t="str">
        <f t="shared" si="19"/>
        <v>Done every 5 years</v>
      </c>
      <c r="K49" s="1352">
        <f>J580</f>
        <v>5</v>
      </c>
      <c r="L49" s="1353">
        <f t="shared" si="20"/>
        <v>16</v>
      </c>
      <c r="M49" s="1354">
        <f t="shared" si="21"/>
        <v>5</v>
      </c>
      <c r="N49" s="169">
        <f t="shared" si="22"/>
        <v>515387270.60293049</v>
      </c>
      <c r="O49" s="1355">
        <f t="shared" si="0"/>
        <v>20721579.075344849</v>
      </c>
      <c r="P49" s="1369"/>
      <c r="Q49" s="3029"/>
      <c r="R49" s="3029"/>
      <c r="S49" s="3029"/>
      <c r="T49" s="1370" t="s">
        <v>810</v>
      </c>
      <c r="U49" s="1359">
        <f t="shared" si="23"/>
        <v>207215.7907534485</v>
      </c>
      <c r="V49" s="1371" t="str">
        <f>IF($T49="L",SUM($U49:U49)*V$16,"")</f>
        <v/>
      </c>
      <c r="W49" s="1371">
        <f>IF($U49="","",IF(OR($T49="L",$T49="T",$T49="C"),SUM($U49:V49)*W$16,""))</f>
        <v>20721.579075344853</v>
      </c>
      <c r="X49" s="1373">
        <f>IF($U49="","",SUM($U49:W49)*X$16)</f>
        <v>68381.210948637992</v>
      </c>
      <c r="Y49" s="1382">
        <f t="shared" si="24"/>
        <v>89102.790023982845</v>
      </c>
      <c r="Z49" s="1369"/>
      <c r="AA49" s="1373">
        <f t="shared" si="25"/>
        <v>296318.58077743137</v>
      </c>
      <c r="AB49" s="1376"/>
      <c r="AC49" s="1362">
        <f t="shared" ca="1" si="13"/>
        <v>0.77506682517670422</v>
      </c>
      <c r="AD49" s="1382"/>
      <c r="AE49" s="1383"/>
      <c r="AF49" s="1365">
        <f>AF48</f>
        <v>24</v>
      </c>
      <c r="AG49" s="1365"/>
      <c r="AH49" s="1367">
        <f t="shared" si="26"/>
        <v>1</v>
      </c>
      <c r="AI49" s="1367">
        <f t="shared" si="27"/>
        <v>5</v>
      </c>
      <c r="AJ49" s="169">
        <f t="shared" si="28"/>
        <v>95938739.99999997</v>
      </c>
      <c r="AK49" s="1376"/>
    </row>
    <row r="50" spans="1:37" s="1349" customFormat="1" ht="19" customHeight="1">
      <c r="B50" s="170"/>
      <c r="C50" s="3963"/>
      <c r="D50" s="3975"/>
      <c r="E50" s="168" t="s">
        <v>21</v>
      </c>
      <c r="F50" s="1350"/>
      <c r="G50" s="1350"/>
      <c r="H50" s="169">
        <f t="shared" si="30"/>
        <v>10000</v>
      </c>
      <c r="I50" s="169" t="str">
        <f t="shared" si="30"/>
        <v>Total equipment cost</v>
      </c>
      <c r="J50" s="1351" t="str">
        <f t="shared" si="19"/>
        <v>Done every 10 years</v>
      </c>
      <c r="K50" s="1354">
        <f>J581</f>
        <v>10</v>
      </c>
      <c r="L50" s="1353">
        <f t="shared" si="20"/>
        <v>8</v>
      </c>
      <c r="M50" s="1354">
        <f t="shared" si="21"/>
        <v>10</v>
      </c>
      <c r="N50" s="169">
        <f t="shared" si="22"/>
        <v>29485.512448215297</v>
      </c>
      <c r="O50" s="1355">
        <f t="shared" si="0"/>
        <v>1185.4898493282344</v>
      </c>
      <c r="P50" s="1369"/>
      <c r="Q50" s="3029"/>
      <c r="R50" s="3029"/>
      <c r="S50" s="3029"/>
      <c r="T50" s="1378" t="s">
        <v>811</v>
      </c>
      <c r="U50" s="1359">
        <f t="shared" si="23"/>
        <v>11.854898493282343</v>
      </c>
      <c r="V50" s="1371" t="str">
        <f>IF($T50="L",SUM($U50:U50)*V$16,"")</f>
        <v/>
      </c>
      <c r="W50" s="1371" t="str">
        <f>IF($U50="","",IF(OR($T50="L",$T50="T",$T50="C"),SUM($U50:V50)*W$16,""))</f>
        <v/>
      </c>
      <c r="X50" s="1373">
        <f>IF($U50="","",SUM($U50:W50)*X$16)</f>
        <v>3.5564695479847028</v>
      </c>
      <c r="Y50" s="1384">
        <f t="shared" si="24"/>
        <v>3.5564695479847028</v>
      </c>
      <c r="Z50" s="1385"/>
      <c r="AA50" s="1386">
        <f t="shared" si="25"/>
        <v>15.411368041267046</v>
      </c>
      <c r="AB50" s="187"/>
      <c r="AC50" s="1362">
        <f t="shared" ca="1" si="13"/>
        <v>4.03108035548621E-5</v>
      </c>
      <c r="AD50" s="1384"/>
      <c r="AE50" s="1387"/>
      <c r="AF50" s="1365">
        <f>AF49</f>
        <v>24</v>
      </c>
      <c r="AG50" s="1365"/>
      <c r="AH50" s="1367"/>
      <c r="AI50" s="1367"/>
      <c r="AJ50" s="169"/>
      <c r="AK50" s="1376"/>
    </row>
    <row r="51" spans="1:37" ht="19" customHeight="1">
      <c r="A51" s="390"/>
      <c r="B51" s="709">
        <v>5.0999999999999996</v>
      </c>
      <c r="C51" s="3859" t="s">
        <v>1097</v>
      </c>
      <c r="D51" s="3850" t="s">
        <v>1139</v>
      </c>
      <c r="E51" s="373" t="s">
        <v>3</v>
      </c>
      <c r="F51" s="1176"/>
      <c r="G51" s="1176">
        <f>$D$639</f>
        <v>6.2541106128550075</v>
      </c>
      <c r="H51" s="370">
        <f>H682</f>
        <v>1407.1748878923768</v>
      </c>
      <c r="I51" s="613" t="s">
        <v>474</v>
      </c>
      <c r="J51" s="375" t="str">
        <f>IF(K51=1,"Annual","Done every "&amp;K51&amp;" years")</f>
        <v>Annual</v>
      </c>
      <c r="K51" s="371">
        <f>L682</f>
        <v>1</v>
      </c>
      <c r="L51" s="386">
        <f t="shared" ref="L51:M53" si="31">$L$16/K51</f>
        <v>80</v>
      </c>
      <c r="M51" s="371">
        <f t="shared" si="31"/>
        <v>1</v>
      </c>
      <c r="N51" s="370">
        <f>$H51*(1-(1+$L$15)^-(L51*M51))/((1+$L$15)^M51-1)*(1+((1+$L$15)^M51-1))</f>
        <v>34999.264394611135</v>
      </c>
      <c r="O51" s="640">
        <f t="shared" si="0"/>
        <v>1407.1748878923752</v>
      </c>
      <c r="P51" s="392">
        <f>SUM(O51:O54)</f>
        <v>3558.385650224212</v>
      </c>
      <c r="Q51" s="2980"/>
      <c r="R51" s="2980"/>
      <c r="S51" s="2980"/>
      <c r="T51" s="1039" t="s">
        <v>808</v>
      </c>
      <c r="U51" s="639">
        <f>O51/$U$16</f>
        <v>14.071748878923751</v>
      </c>
      <c r="V51" s="639">
        <f>IF($T51="L",SUM($U51:U51)*V$16,"")</f>
        <v>4.2215246636771253</v>
      </c>
      <c r="W51" s="639">
        <f>IF($U51="","",IF(OR($T51="L",$T51="T",$T51="C"),SUM($U51:V51)*W$16,""))</f>
        <v>1.8293273542600876</v>
      </c>
      <c r="X51" s="639">
        <f>IF($U51="","",SUM($U51:W51)*X$16)</f>
        <v>6.0367802690582888</v>
      </c>
      <c r="Y51" s="388">
        <f t="shared" ref="Y51:Y66" si="32">IF($U51="","",SUM(V51:X51))</f>
        <v>12.087632286995502</v>
      </c>
      <c r="Z51" s="392">
        <f>SUM(V51:X54)</f>
        <v>21.337838565022402</v>
      </c>
      <c r="AA51" s="734">
        <f t="shared" ref="AA51:AA66" si="33">IF($U51="","",SUM(U51,Y51))</f>
        <v>26.159381165919253</v>
      </c>
      <c r="AB51" s="391">
        <f>SUM(AA51:AA54)</f>
        <v>56.921695067264523</v>
      </c>
      <c r="AC51" s="936">
        <f t="shared" ca="1" si="13"/>
        <v>0.45956785255615878</v>
      </c>
      <c r="AD51" s="638"/>
      <c r="AE51" s="638"/>
      <c r="AF51" s="587">
        <f>AF47+4</f>
        <v>28</v>
      </c>
      <c r="AG51" s="816">
        <f ca="1">SUM(AC51:AC54)-1</f>
        <v>0</v>
      </c>
      <c r="AH51" s="387">
        <f>$AH$16/K51</f>
        <v>5</v>
      </c>
      <c r="AI51" s="387">
        <f>$AH$16/AH51</f>
        <v>1</v>
      </c>
      <c r="AJ51" s="370">
        <f>$H51*(1-(1+$L$15)^-(AH51*AI51))/((1+$L$15)^AI51-1)*(1+((1+$L$15)^AI51-1))</f>
        <v>6515.0722931470918</v>
      </c>
      <c r="AK51" s="981">
        <f>SUM(AJ51:AJ54)</f>
        <v>16474.95272803722</v>
      </c>
    </row>
    <row r="52" spans="1:37" ht="19" customHeight="1">
      <c r="A52" s="390"/>
      <c r="B52" s="372"/>
      <c r="C52" s="3860"/>
      <c r="D52" s="3851"/>
      <c r="E52" s="373" t="s">
        <v>308</v>
      </c>
      <c r="F52" s="1176">
        <f>$D$669</f>
        <v>1</v>
      </c>
      <c r="G52" s="1176">
        <f>$D$668</f>
        <v>3.1270553064275037</v>
      </c>
      <c r="H52" s="370">
        <f>H683</f>
        <v>891.21076233183851</v>
      </c>
      <c r="I52" s="613" t="s">
        <v>65</v>
      </c>
      <c r="J52" s="375" t="str">
        <f>IF(K52=1,"Annual","Done every "&amp;K52&amp;" years")</f>
        <v>Annual</v>
      </c>
      <c r="K52" s="371">
        <f>L683</f>
        <v>1</v>
      </c>
      <c r="L52" s="386">
        <f t="shared" si="31"/>
        <v>80</v>
      </c>
      <c r="M52" s="371">
        <f t="shared" si="31"/>
        <v>1</v>
      </c>
      <c r="N52" s="370">
        <f>$H52*(1-(1+$L$15)^-(L52*M52))/((1+$L$15)^M52-1)*(1+((1+$L$15)^M52-1))</f>
        <v>22166.20078325372</v>
      </c>
      <c r="O52" s="640">
        <f t="shared" si="0"/>
        <v>891.21076233183771</v>
      </c>
      <c r="P52" s="392"/>
      <c r="Q52" s="2980">
        <f>1*(1-(1+$L$15)^-(L52*M52))/((1+$L$15)^M52-1)*(1+((1+$L$15)^M52-1))</f>
        <v>24.872007520708362</v>
      </c>
      <c r="R52" s="2980">
        <f>Q52/(1+$L$15)*($L$15)/(1-(1+$L$15)^-$L$16)</f>
        <v>0.99999999999999911</v>
      </c>
      <c r="S52" s="2980">
        <f>F52*R52</f>
        <v>0.99999999999999911</v>
      </c>
      <c r="T52" s="1034" t="s">
        <v>809</v>
      </c>
      <c r="U52" s="639">
        <f>O52/$U$16</f>
        <v>8.9121076233183771</v>
      </c>
      <c r="V52" s="642" t="str">
        <f>IF($T52="L",SUM($U52:U52)*V$16,"")</f>
        <v/>
      </c>
      <c r="W52" s="642">
        <f>IF($U52="","",IF(OR($T52="L",$T52="T",$T52="C"),SUM($U52:V52)*W$16,""))</f>
        <v>0.89121076233183771</v>
      </c>
      <c r="X52" s="642">
        <f>IF($U52="","",SUM($U52:W52)*X$16)</f>
        <v>2.9409955156950645</v>
      </c>
      <c r="Y52" s="388">
        <f t="shared" si="32"/>
        <v>3.8322062780269022</v>
      </c>
      <c r="Z52" s="392"/>
      <c r="AA52" s="734">
        <f t="shared" si="33"/>
        <v>12.744313901345279</v>
      </c>
      <c r="AB52" s="391"/>
      <c r="AC52" s="936">
        <f t="shared" ca="1" si="13"/>
        <v>0.22389203073248765</v>
      </c>
      <c r="AD52" s="641"/>
      <c r="AE52" s="641"/>
      <c r="AF52" s="587">
        <f>AF51</f>
        <v>28</v>
      </c>
      <c r="AG52" s="587"/>
      <c r="AH52" s="387">
        <f>$AH$16/K52</f>
        <v>5</v>
      </c>
      <c r="AI52" s="387">
        <f>$AH$16/AH52</f>
        <v>1</v>
      </c>
      <c r="AJ52" s="370">
        <f>$H52*(1-(1+$L$15)^-(AH52*AI52))/((1+$L$15)^AI52-1)*(1+((1+$L$15)^AI52-1))</f>
        <v>4126.2124523264911</v>
      </c>
      <c r="AK52" s="981"/>
    </row>
    <row r="53" spans="1:37" ht="19" customHeight="1">
      <c r="A53" s="390"/>
      <c r="B53" s="372"/>
      <c r="C53" s="3860"/>
      <c r="D53" s="3851"/>
      <c r="E53" s="373" t="s">
        <v>4</v>
      </c>
      <c r="F53" s="1176"/>
      <c r="G53" s="1176">
        <f>$D$678</f>
        <v>6</v>
      </c>
      <c r="H53" s="370">
        <f>H684</f>
        <v>1260</v>
      </c>
      <c r="I53" s="613" t="s">
        <v>70</v>
      </c>
      <c r="J53" s="375" t="str">
        <f>IF(K53=1,"Annual","Done every "&amp;K53&amp;" years")</f>
        <v>Annual</v>
      </c>
      <c r="K53" s="371">
        <f>L684</f>
        <v>1</v>
      </c>
      <c r="L53" s="386">
        <f t="shared" si="31"/>
        <v>80</v>
      </c>
      <c r="M53" s="371">
        <f t="shared" si="31"/>
        <v>1</v>
      </c>
      <c r="N53" s="370">
        <f>$H53*(1-(1+$L$15)^-(L53*M53))/((1+$L$15)^M53-1)*(1+((1+$L$15)^M53-1))</f>
        <v>31338.729476092536</v>
      </c>
      <c r="O53" s="640">
        <f t="shared" si="0"/>
        <v>1259.9999999999991</v>
      </c>
      <c r="P53" s="392"/>
      <c r="Q53" s="2980"/>
      <c r="R53" s="2980"/>
      <c r="S53" s="2980"/>
      <c r="T53" s="1034" t="s">
        <v>810</v>
      </c>
      <c r="U53" s="639">
        <f>O53/$U$16</f>
        <v>12.599999999999991</v>
      </c>
      <c r="V53" s="642" t="str">
        <f>IF($T53="L",SUM($U53:U53)*V$16,"")</f>
        <v/>
      </c>
      <c r="W53" s="642">
        <f>IF($U53="","",IF(OR($T53="L",$T53="T",$T53="C"),SUM($U53:V53)*W$16,""))</f>
        <v>1.2599999999999991</v>
      </c>
      <c r="X53" s="642">
        <f>IF($U53="","",SUM($U53:W53)*X$16)</f>
        <v>4.1579999999999968</v>
      </c>
      <c r="Y53" s="388">
        <f t="shared" si="32"/>
        <v>5.4179999999999957</v>
      </c>
      <c r="Z53" s="392"/>
      <c r="AA53" s="734">
        <f t="shared" si="33"/>
        <v>18.017999999999986</v>
      </c>
      <c r="AB53" s="391"/>
      <c r="AC53" s="936">
        <f t="shared" ca="1" si="13"/>
        <v>0.31654011671135351</v>
      </c>
      <c r="AD53" s="641"/>
      <c r="AE53" s="641"/>
      <c r="AF53" s="587">
        <f>AF52</f>
        <v>28</v>
      </c>
      <c r="AG53" s="587"/>
      <c r="AH53" s="387">
        <f>$AH$16/K53</f>
        <v>5</v>
      </c>
      <c r="AI53" s="387">
        <f>$AH$16/AH53</f>
        <v>1</v>
      </c>
      <c r="AJ53" s="370">
        <f>$H53*(1-(1+$L$15)^-(AH53*AI53))/((1+$L$15)^AI53-1)*(1+((1+$L$15)^AI53-1))</f>
        <v>5833.6679825636384</v>
      </c>
      <c r="AK53" s="981"/>
    </row>
    <row r="54" spans="1:37" ht="19" customHeight="1">
      <c r="A54" s="390"/>
      <c r="B54" s="698"/>
      <c r="C54" s="3861"/>
      <c r="D54" s="3862"/>
      <c r="E54" s="373" t="s">
        <v>21</v>
      </c>
      <c r="F54" s="1176"/>
      <c r="G54" s="1176"/>
      <c r="H54" s="370"/>
      <c r="I54" s="613"/>
      <c r="J54" s="375"/>
      <c r="K54" s="374"/>
      <c r="L54" s="386"/>
      <c r="M54" s="371"/>
      <c r="N54" s="370"/>
      <c r="O54" s="699">
        <f t="shared" si="0"/>
        <v>0</v>
      </c>
      <c r="P54" s="396"/>
      <c r="Q54" s="3031"/>
      <c r="R54" s="3031"/>
      <c r="S54" s="3031"/>
      <c r="T54" s="1040" t="s">
        <v>811</v>
      </c>
      <c r="U54" s="700"/>
      <c r="V54" s="700" t="str">
        <f>IF($T54="L",SUM($U54:U54)*V$16,"")</f>
        <v/>
      </c>
      <c r="W54" s="700" t="str">
        <f>IF($U54="","",IF(OR($T54="L",$T54="T",$T54="C"),SUM($U54:V54)*W$16,""))</f>
        <v/>
      </c>
      <c r="X54" s="700" t="str">
        <f>IF($U54="","",SUM($U54:W54)*X$16)</f>
        <v/>
      </c>
      <c r="Y54" s="699" t="str">
        <f t="shared" si="32"/>
        <v/>
      </c>
      <c r="Z54" s="396"/>
      <c r="AA54" s="743" t="str">
        <f t="shared" si="33"/>
        <v/>
      </c>
      <c r="AB54" s="395"/>
      <c r="AC54" s="937" t="str">
        <f t="shared" ca="1" si="13"/>
        <v/>
      </c>
      <c r="AD54" s="822"/>
      <c r="AE54" s="822"/>
      <c r="AF54" s="587">
        <f>AF53</f>
        <v>28</v>
      </c>
      <c r="AG54" s="587"/>
      <c r="AH54" s="387"/>
      <c r="AI54" s="387"/>
      <c r="AJ54" s="370"/>
      <c r="AK54" s="882"/>
    </row>
    <row r="55" spans="1:37" ht="19" customHeight="1">
      <c r="A55" s="676"/>
      <c r="B55" s="711">
        <v>5.2</v>
      </c>
      <c r="C55" s="3875" t="s">
        <v>203</v>
      </c>
      <c r="D55" s="3852" t="str">
        <f>D51</f>
        <v>post-action monitoring of invasive weed management and bush regeneration</v>
      </c>
      <c r="E55" s="685" t="s">
        <v>3</v>
      </c>
      <c r="F55" s="1177"/>
      <c r="G55" s="1177">
        <f>$E$639</f>
        <v>7.449925261584454</v>
      </c>
      <c r="H55" s="665">
        <f>I682</f>
        <v>1676.2331838565021</v>
      </c>
      <c r="I55" s="818" t="s">
        <v>474</v>
      </c>
      <c r="J55" s="666" t="str">
        <f>IF(K55=1,"Annual","Done every "&amp;K55&amp;" years")</f>
        <v>Annual</v>
      </c>
      <c r="K55" s="701">
        <f>K51</f>
        <v>1</v>
      </c>
      <c r="L55" s="668">
        <f t="shared" ref="L55:M57" si="34">$L$16/K55</f>
        <v>80</v>
      </c>
      <c r="M55" s="667">
        <f t="shared" si="34"/>
        <v>1</v>
      </c>
      <c r="N55" s="665">
        <f>$H55*(1-(1+$L$15)^-(L55*M55))/((1+$L$15)^M55-1)*(1+((1+$L$15)^M55-1))</f>
        <v>41691.284355339842</v>
      </c>
      <c r="O55" s="680">
        <f t="shared" si="0"/>
        <v>1676.2331838565005</v>
      </c>
      <c r="P55" s="720">
        <f>SUM(O55:O58)</f>
        <v>3997.8475336322836</v>
      </c>
      <c r="Q55" s="3032"/>
      <c r="R55" s="3032"/>
      <c r="S55" s="3032"/>
      <c r="T55" s="1035" t="s">
        <v>808</v>
      </c>
      <c r="U55" s="675">
        <f>O55/$U$16</f>
        <v>16.762331838565004</v>
      </c>
      <c r="V55" s="675">
        <f>IF($T55="L",SUM($U55:U55)*V$16,"")</f>
        <v>5.0286995515695008</v>
      </c>
      <c r="W55" s="675">
        <f>IF($U55="","",IF(OR($T55="L",$T55="T",$T55="C"),SUM($U55:V55)*W$16,""))</f>
        <v>2.1791031390134505</v>
      </c>
      <c r="X55" s="675">
        <f>IF($U55="","",SUM($U55:W55)*X$16)</f>
        <v>7.1910403587443863</v>
      </c>
      <c r="Y55" s="679">
        <f t="shared" si="32"/>
        <v>14.398843049327338</v>
      </c>
      <c r="Z55" s="720">
        <f>SUM(V55:X58)</f>
        <v>24.381784753363203</v>
      </c>
      <c r="AA55" s="737">
        <f t="shared" si="33"/>
        <v>31.161174887892344</v>
      </c>
      <c r="AB55" s="678">
        <f>SUM(AA55:AA58)</f>
        <v>64.360260089686037</v>
      </c>
      <c r="AC55" s="935">
        <f t="shared" ca="1" si="13"/>
        <v>0.4841679453201283</v>
      </c>
      <c r="AD55" s="674"/>
      <c r="AE55" s="674"/>
      <c r="AF55" s="587">
        <f>AF51+4</f>
        <v>32</v>
      </c>
      <c r="AG55" s="816">
        <f ca="1">SUM(AC55:AC58)-1</f>
        <v>0</v>
      </c>
      <c r="AH55" s="669">
        <f>$AH$16/K55</f>
        <v>5</v>
      </c>
      <c r="AI55" s="669">
        <f>$AH$16/AH55</f>
        <v>1</v>
      </c>
      <c r="AJ55" s="665">
        <f>$H55*(1-(1+$L$15)^-(AH55*AI55))/((1+$L$15)^AI55-1)*(1+((1+$L$15)^AI55-1))</f>
        <v>7760.7840126780839</v>
      </c>
      <c r="AK55" s="984">
        <f>SUM(AJ55:AJ58)</f>
        <v>18509.615203271176</v>
      </c>
    </row>
    <row r="56" spans="1:37" ht="19" customHeight="1">
      <c r="A56" s="676"/>
      <c r="B56" s="677"/>
      <c r="C56" s="3876"/>
      <c r="D56" s="3853"/>
      <c r="E56" s="685" t="s">
        <v>308</v>
      </c>
      <c r="F56" s="1177">
        <f>$E$669</f>
        <v>1</v>
      </c>
      <c r="G56" s="1177">
        <f>$E$668</f>
        <v>3.724962630792227</v>
      </c>
      <c r="H56" s="665">
        <f>I683</f>
        <v>1061.6143497757846</v>
      </c>
      <c r="I56" s="818" t="s">
        <v>65</v>
      </c>
      <c r="J56" s="666" t="str">
        <f>IF(K56=1,"Annual","Done every "&amp;K56&amp;" years")</f>
        <v>Annual</v>
      </c>
      <c r="K56" s="701">
        <f>K52</f>
        <v>1</v>
      </c>
      <c r="L56" s="668">
        <f t="shared" si="34"/>
        <v>80</v>
      </c>
      <c r="M56" s="667">
        <f t="shared" si="34"/>
        <v>1</v>
      </c>
      <c r="N56" s="665">
        <f>$H56*(1-(1+$L$15)^-(L56*M56))/((1+$L$15)^M56-1)*(1+((1+$L$15)^M56-1))</f>
        <v>26404.480091715228</v>
      </c>
      <c r="O56" s="680">
        <f t="shared" si="0"/>
        <v>1061.6143497757837</v>
      </c>
      <c r="P56" s="720"/>
      <c r="Q56" s="3032">
        <f>1*(1-(1+$L$15)^-(L56*M56))/((1+$L$15)^M56-1)*(1+((1+$L$15)^M56-1))</f>
        <v>24.872007520708362</v>
      </c>
      <c r="R56" s="3032">
        <f>Q56/(1+$L$15)*($L$15)/(1-(1+$L$15)^-$L$16)</f>
        <v>0.99999999999999911</v>
      </c>
      <c r="S56" s="3032">
        <f>F56*R56</f>
        <v>0.99999999999999911</v>
      </c>
      <c r="T56" s="1036" t="s">
        <v>809</v>
      </c>
      <c r="U56" s="675">
        <f>O56/$U$16</f>
        <v>10.616143497757838</v>
      </c>
      <c r="V56" s="682" t="str">
        <f>IF($T56="L",SUM($U56:U56)*V$16,"")</f>
        <v/>
      </c>
      <c r="W56" s="682">
        <f>IF($U56="","",IF(OR($T56="L",$T56="T",$T56="C"),SUM($U56:V56)*W$16,""))</f>
        <v>1.0616143497757837</v>
      </c>
      <c r="X56" s="682">
        <f>IF($U56="","",SUM($U56:W56)*X$16)</f>
        <v>3.5033273542600862</v>
      </c>
      <c r="Y56" s="679">
        <f t="shared" si="32"/>
        <v>4.5649417040358697</v>
      </c>
      <c r="Z56" s="720"/>
      <c r="AA56" s="737">
        <f t="shared" si="33"/>
        <v>15.181085201793707</v>
      </c>
      <c r="AB56" s="678"/>
      <c r="AC56" s="935">
        <f t="shared" ca="1" si="13"/>
        <v>0.2358766913098061</v>
      </c>
      <c r="AD56" s="681"/>
      <c r="AE56" s="681"/>
      <c r="AF56" s="587">
        <f>AF55</f>
        <v>32</v>
      </c>
      <c r="AG56" s="587"/>
      <c r="AH56" s="669">
        <f>$AH$16/K56</f>
        <v>5</v>
      </c>
      <c r="AI56" s="669">
        <f>$AH$16/AH56</f>
        <v>1</v>
      </c>
      <c r="AJ56" s="665">
        <f>$H56*(1-(1+$L$15)^-(AH56*AI56))/((1+$L$15)^AI56-1)*(1+((1+$L$15)^AI56-1))</f>
        <v>4915.1632080294521</v>
      </c>
      <c r="AK56" s="984"/>
    </row>
    <row r="57" spans="1:37" ht="19" customHeight="1">
      <c r="A57" s="676"/>
      <c r="B57" s="677"/>
      <c r="C57" s="3876"/>
      <c r="D57" s="3853"/>
      <c r="E57" s="685" t="s">
        <v>4</v>
      </c>
      <c r="F57" s="1177"/>
      <c r="G57" s="1177">
        <f>$E$678</f>
        <v>6</v>
      </c>
      <c r="H57" s="665">
        <f>I684</f>
        <v>1260</v>
      </c>
      <c r="I57" s="818" t="s">
        <v>70</v>
      </c>
      <c r="J57" s="666" t="str">
        <f>IF(K57=1,"Annual","Done every "&amp;K57&amp;" years")</f>
        <v>Annual</v>
      </c>
      <c r="K57" s="701">
        <f>K53</f>
        <v>1</v>
      </c>
      <c r="L57" s="668">
        <f t="shared" si="34"/>
        <v>80</v>
      </c>
      <c r="M57" s="667">
        <f t="shared" si="34"/>
        <v>1</v>
      </c>
      <c r="N57" s="665">
        <f>$H57*(1-(1+$L$15)^-(L57*M57))/((1+$L$15)^M57-1)*(1+((1+$L$15)^M57-1))</f>
        <v>31338.729476092536</v>
      </c>
      <c r="O57" s="680">
        <f t="shared" si="0"/>
        <v>1259.9999999999991</v>
      </c>
      <c r="P57" s="720"/>
      <c r="Q57" s="3032"/>
      <c r="R57" s="3032"/>
      <c r="S57" s="3032"/>
      <c r="T57" s="1036" t="s">
        <v>810</v>
      </c>
      <c r="U57" s="675">
        <f>O57/$U$16</f>
        <v>12.599999999999991</v>
      </c>
      <c r="V57" s="682" t="str">
        <f>IF($T57="L",SUM($U57:U57)*V$16,"")</f>
        <v/>
      </c>
      <c r="W57" s="682">
        <f>IF($U57="","",IF(OR($T57="L",$T57="T",$T57="C"),SUM($U57:V57)*W$16,""))</f>
        <v>1.2599999999999991</v>
      </c>
      <c r="X57" s="682">
        <f>IF($U57="","",SUM($U57:W57)*X$16)</f>
        <v>4.1579999999999968</v>
      </c>
      <c r="Y57" s="679">
        <f t="shared" si="32"/>
        <v>5.4179999999999957</v>
      </c>
      <c r="Z57" s="720"/>
      <c r="AA57" s="737">
        <f t="shared" si="33"/>
        <v>18.017999999999986</v>
      </c>
      <c r="AB57" s="678"/>
      <c r="AC57" s="935">
        <f t="shared" ca="1" si="13"/>
        <v>0.2799553633700656</v>
      </c>
      <c r="AD57" s="681"/>
      <c r="AE57" s="681"/>
      <c r="AF57" s="587">
        <f>AF56</f>
        <v>32</v>
      </c>
      <c r="AG57" s="587"/>
      <c r="AH57" s="669">
        <f>$AH$16/K57</f>
        <v>5</v>
      </c>
      <c r="AI57" s="669">
        <f>$AH$16/AH57</f>
        <v>1</v>
      </c>
      <c r="AJ57" s="665">
        <f>$H57*(1-(1+$L$15)^-(AH57*AI57))/((1+$L$15)^AI57-1)*(1+((1+$L$15)^AI57-1))</f>
        <v>5833.6679825636384</v>
      </c>
      <c r="AK57" s="984"/>
    </row>
    <row r="58" spans="1:37" ht="19" customHeight="1">
      <c r="A58" s="676"/>
      <c r="B58" s="702"/>
      <c r="C58" s="3877"/>
      <c r="D58" s="3854"/>
      <c r="E58" s="685" t="s">
        <v>21</v>
      </c>
      <c r="F58" s="1177"/>
      <c r="G58" s="1177"/>
      <c r="H58" s="665"/>
      <c r="I58" s="818"/>
      <c r="J58" s="666"/>
      <c r="K58" s="701"/>
      <c r="L58" s="668"/>
      <c r="M58" s="667"/>
      <c r="N58" s="665"/>
      <c r="O58" s="703">
        <f t="shared" si="0"/>
        <v>0</v>
      </c>
      <c r="P58" s="718"/>
      <c r="Q58" s="3033"/>
      <c r="R58" s="3033"/>
      <c r="S58" s="3033"/>
      <c r="T58" s="1041" t="s">
        <v>811</v>
      </c>
      <c r="U58" s="704"/>
      <c r="V58" s="704" t="str">
        <f>IF($T58="L",SUM($U58:U58)*V$16,"")</f>
        <v/>
      </c>
      <c r="W58" s="704" t="str">
        <f>IF($U58="","",IF(OR($T58="L",$T58="T",$T58="C"),SUM($U58:V58)*W$16,""))</f>
        <v/>
      </c>
      <c r="X58" s="704" t="str">
        <f>IF($U58="","",SUM($U58:W58)*X$16)</f>
        <v/>
      </c>
      <c r="Y58" s="703" t="str">
        <f t="shared" si="32"/>
        <v/>
      </c>
      <c r="Z58" s="718"/>
      <c r="AA58" s="744" t="str">
        <f t="shared" si="33"/>
        <v/>
      </c>
      <c r="AB58" s="672"/>
      <c r="AC58" s="938" t="str">
        <f t="shared" ca="1" si="13"/>
        <v/>
      </c>
      <c r="AD58" s="823"/>
      <c r="AE58" s="823"/>
      <c r="AF58" s="587">
        <f>AF57</f>
        <v>32</v>
      </c>
      <c r="AG58" s="587"/>
      <c r="AH58" s="669"/>
      <c r="AI58" s="669"/>
      <c r="AJ58" s="665"/>
      <c r="AK58" s="883"/>
    </row>
    <row r="59" spans="1:37" ht="19" customHeight="1">
      <c r="A59" s="656"/>
      <c r="B59" s="713">
        <v>5.3</v>
      </c>
      <c r="C59" s="3878" t="s">
        <v>203</v>
      </c>
      <c r="D59" s="3863" t="str">
        <f>D55</f>
        <v>post-action monitoring of invasive weed management and bush regeneration</v>
      </c>
      <c r="E59" s="686" t="s">
        <v>3</v>
      </c>
      <c r="F59" s="1178"/>
      <c r="G59" s="1178">
        <f>$F$639</f>
        <v>9.8415545590433489</v>
      </c>
      <c r="H59" s="645">
        <f>J682</f>
        <v>2214.3497757847535</v>
      </c>
      <c r="I59" s="820" t="s">
        <v>474</v>
      </c>
      <c r="J59" s="646" t="str">
        <f>IF(K59=1,"Annual","Done every "&amp;K59&amp;" years")</f>
        <v>Annual</v>
      </c>
      <c r="K59" s="705">
        <f>K55</f>
        <v>1</v>
      </c>
      <c r="L59" s="648">
        <f t="shared" ref="L59:M61" si="35">$L$16/K59</f>
        <v>80</v>
      </c>
      <c r="M59" s="647">
        <f t="shared" si="35"/>
        <v>1</v>
      </c>
      <c r="N59" s="645">
        <f>$H59*(1-(1+$L$15)^-(L59*M59))/((1+$L$15)^M59-1)*(1+((1+$L$15)^M59-1))</f>
        <v>55075.324276797262</v>
      </c>
      <c r="O59" s="660">
        <f t="shared" si="0"/>
        <v>2214.3497757847517</v>
      </c>
      <c r="P59" s="722">
        <f>SUM(O59:O62)</f>
        <v>5296.7713004484267</v>
      </c>
      <c r="Q59" s="3034"/>
      <c r="R59" s="3034"/>
      <c r="S59" s="3034"/>
      <c r="T59" s="1037" t="s">
        <v>808</v>
      </c>
      <c r="U59" s="655">
        <f>O59/$U$16</f>
        <v>22.143497757847516</v>
      </c>
      <c r="V59" s="655">
        <f>IF($T59="L",SUM($U59:U59)*V$16,"")</f>
        <v>6.6430493273542544</v>
      </c>
      <c r="W59" s="655">
        <f>IF($U59="","",IF(OR($T59="L",$T59="T",$T59="C"),SUM($U59:V59)*W$16,""))</f>
        <v>2.8786547085201772</v>
      </c>
      <c r="X59" s="655">
        <f>IF($U59="","",SUM($U59:W59)*X$16)</f>
        <v>9.4995605381165849</v>
      </c>
      <c r="Y59" s="659">
        <f t="shared" si="32"/>
        <v>19.021264573991019</v>
      </c>
      <c r="Z59" s="722">
        <f>SUM(V59:X62)</f>
        <v>32.275677130044819</v>
      </c>
      <c r="AA59" s="740">
        <f t="shared" si="33"/>
        <v>41.164762331838531</v>
      </c>
      <c r="AB59" s="658">
        <f>SUM(AA59:AA62)</f>
        <v>85.243390134529079</v>
      </c>
      <c r="AC59" s="939">
        <f t="shared" ca="1" si="13"/>
        <v>0.48290855474979688</v>
      </c>
      <c r="AD59" s="654"/>
      <c r="AE59" s="654"/>
      <c r="AF59" s="587">
        <f>AF55+4</f>
        <v>36</v>
      </c>
      <c r="AG59" s="816">
        <f ca="1">SUM(AC59:AC62)-1</f>
        <v>0</v>
      </c>
      <c r="AH59" s="649">
        <f>$AH$16/K59</f>
        <v>5</v>
      </c>
      <c r="AI59" s="649">
        <f>$AH$16/AH59</f>
        <v>1</v>
      </c>
      <c r="AJ59" s="645">
        <f>$H59*(1-(1+$L$15)^-(AH59*AI59))/((1+$L$15)^AI59-1)*(1+((1+$L$15)^AI59-1))</f>
        <v>10252.207451740071</v>
      </c>
      <c r="AK59" s="932">
        <f>SUM(AJ59:AJ62)</f>
        <v>24523.496147926966</v>
      </c>
    </row>
    <row r="60" spans="1:37" ht="19" customHeight="1">
      <c r="A60" s="656"/>
      <c r="B60" s="657"/>
      <c r="C60" s="3879"/>
      <c r="D60" s="3864"/>
      <c r="E60" s="686" t="s">
        <v>308</v>
      </c>
      <c r="F60" s="1178">
        <f>$F$669</f>
        <v>1</v>
      </c>
      <c r="G60" s="1178">
        <f>$F$668</f>
        <v>4.9207772795216744</v>
      </c>
      <c r="H60" s="645">
        <f>J683</f>
        <v>1402.4215246636772</v>
      </c>
      <c r="I60" s="820" t="s">
        <v>65</v>
      </c>
      <c r="J60" s="646" t="str">
        <f>IF(K60=1,"Annual","Done every "&amp;K60&amp;" years")</f>
        <v>Annual</v>
      </c>
      <c r="K60" s="705">
        <f>K56</f>
        <v>1</v>
      </c>
      <c r="L60" s="648">
        <f t="shared" si="35"/>
        <v>80</v>
      </c>
      <c r="M60" s="647">
        <f t="shared" si="35"/>
        <v>1</v>
      </c>
      <c r="N60" s="645">
        <f>$H60*(1-(1+$L$15)^-(L60*M60))/((1+$L$15)^M60-1)*(1+((1+$L$15)^M60-1))</f>
        <v>34881.038708638262</v>
      </c>
      <c r="O60" s="660">
        <f t="shared" si="0"/>
        <v>1402.4215246636759</v>
      </c>
      <c r="P60" s="722"/>
      <c r="Q60" s="3034">
        <f>1*(1-(1+$L$15)^-(L60*M60))/((1+$L$15)^M60-1)*(1+((1+$L$15)^M60-1))</f>
        <v>24.872007520708362</v>
      </c>
      <c r="R60" s="3034">
        <f>Q60/(1+$L$15)*($L$15)/(1-(1+$L$15)^-$L$16)</f>
        <v>0.99999999999999911</v>
      </c>
      <c r="S60" s="3034">
        <f>F60*R60</f>
        <v>0.99999999999999911</v>
      </c>
      <c r="T60" s="1038" t="s">
        <v>809</v>
      </c>
      <c r="U60" s="655">
        <f>O60/$U$16</f>
        <v>14.024215246636759</v>
      </c>
      <c r="V60" s="662" t="str">
        <f>IF($T60="L",SUM($U60:U60)*V$16,"")</f>
        <v/>
      </c>
      <c r="W60" s="662">
        <f>IF($U60="","",IF(OR($T60="L",$T60="T",$T60="C"),SUM($U60:V60)*W$16,""))</f>
        <v>1.402421524663676</v>
      </c>
      <c r="X60" s="662">
        <f>IF($U60="","",SUM($U60:W60)*X$16)</f>
        <v>4.6279910313901302</v>
      </c>
      <c r="Y60" s="659">
        <f t="shared" si="32"/>
        <v>6.0304125560538058</v>
      </c>
      <c r="Z60" s="722"/>
      <c r="AA60" s="740">
        <f t="shared" si="33"/>
        <v>20.054627802690565</v>
      </c>
      <c r="AB60" s="658"/>
      <c r="AC60" s="939">
        <f t="shared" ca="1" si="13"/>
        <v>0.23526314205759333</v>
      </c>
      <c r="AD60" s="661"/>
      <c r="AE60" s="661"/>
      <c r="AF60" s="587">
        <f>AF59</f>
        <v>36</v>
      </c>
      <c r="AG60" s="587"/>
      <c r="AH60" s="649">
        <f>$AH$16/K60</f>
        <v>5</v>
      </c>
      <c r="AI60" s="649">
        <f>$AH$16/AH60</f>
        <v>1</v>
      </c>
      <c r="AJ60" s="645">
        <f>$H60*(1-(1+$L$15)^-(AH60*AI60))/((1+$L$15)^AI60-1)*(1+((1+$L$15)^AI60-1))</f>
        <v>6493.0647194353778</v>
      </c>
      <c r="AK60" s="932"/>
    </row>
    <row r="61" spans="1:37" ht="19" customHeight="1">
      <c r="A61" s="656"/>
      <c r="B61" s="657"/>
      <c r="C61" s="3879"/>
      <c r="D61" s="3864"/>
      <c r="E61" s="686" t="s">
        <v>4</v>
      </c>
      <c r="F61" s="1178"/>
      <c r="G61" s="1178">
        <f>$F$678</f>
        <v>8</v>
      </c>
      <c r="H61" s="645">
        <f>J684</f>
        <v>1680</v>
      </c>
      <c r="I61" s="820" t="s">
        <v>70</v>
      </c>
      <c r="J61" s="646" t="str">
        <f>IF(K61=1,"Annual","Done every "&amp;K61&amp;" years")</f>
        <v>Annual</v>
      </c>
      <c r="K61" s="705">
        <f>K57</f>
        <v>1</v>
      </c>
      <c r="L61" s="648">
        <f t="shared" si="35"/>
        <v>80</v>
      </c>
      <c r="M61" s="647">
        <f t="shared" si="35"/>
        <v>1</v>
      </c>
      <c r="N61" s="645">
        <f>$H61*(1-(1+$L$15)^-(L61*M61))/((1+$L$15)^M61-1)*(1+((1+$L$15)^M61-1))</f>
        <v>41784.972634790051</v>
      </c>
      <c r="O61" s="660">
        <f t="shared" si="0"/>
        <v>1679.9999999999986</v>
      </c>
      <c r="P61" s="722"/>
      <c r="Q61" s="3034"/>
      <c r="R61" s="3034"/>
      <c r="S61" s="3034"/>
      <c r="T61" s="1038" t="s">
        <v>810</v>
      </c>
      <c r="U61" s="655">
        <f>O61/$U$16</f>
        <v>16.799999999999986</v>
      </c>
      <c r="V61" s="662" t="str">
        <f>IF($T61="L",SUM($U61:U61)*V$16,"")</f>
        <v/>
      </c>
      <c r="W61" s="662">
        <f>IF($U61="","",IF(OR($T61="L",$T61="T",$T61="C"),SUM($U61:V61)*W$16,""))</f>
        <v>1.6799999999999988</v>
      </c>
      <c r="X61" s="662">
        <f>IF($U61="","",SUM($U61:W61)*X$16)</f>
        <v>5.543999999999996</v>
      </c>
      <c r="Y61" s="659">
        <f t="shared" si="32"/>
        <v>7.2239999999999949</v>
      </c>
      <c r="Z61" s="722"/>
      <c r="AA61" s="740">
        <f t="shared" si="33"/>
        <v>24.02399999999998</v>
      </c>
      <c r="AB61" s="658"/>
      <c r="AC61" s="939">
        <f t="shared" ca="1" si="13"/>
        <v>0.28182830319260976</v>
      </c>
      <c r="AD61" s="661"/>
      <c r="AE61" s="661"/>
      <c r="AF61" s="587">
        <f>AF60</f>
        <v>36</v>
      </c>
      <c r="AG61" s="587"/>
      <c r="AH61" s="649">
        <f>$AH$16/K61</f>
        <v>5</v>
      </c>
      <c r="AI61" s="649">
        <f>$AH$16/AH61</f>
        <v>1</v>
      </c>
      <c r="AJ61" s="645">
        <f>$H61*(1-(1+$L$15)^-(AH61*AI61))/((1+$L$15)^AI61-1)*(1+((1+$L$15)^AI61-1))</f>
        <v>7778.2239767515175</v>
      </c>
      <c r="AK61" s="932"/>
    </row>
    <row r="62" spans="1:37" ht="19" customHeight="1">
      <c r="A62" s="656"/>
      <c r="B62" s="706"/>
      <c r="C62" s="3880"/>
      <c r="D62" s="3865"/>
      <c r="E62" s="686" t="s">
        <v>21</v>
      </c>
      <c r="F62" s="1178"/>
      <c r="G62" s="1178"/>
      <c r="H62" s="645"/>
      <c r="I62" s="820"/>
      <c r="J62" s="646"/>
      <c r="K62" s="705"/>
      <c r="L62" s="648"/>
      <c r="M62" s="647"/>
      <c r="N62" s="645"/>
      <c r="O62" s="707">
        <f t="shared" si="0"/>
        <v>0</v>
      </c>
      <c r="P62" s="719"/>
      <c r="Q62" s="3035"/>
      <c r="R62" s="3035"/>
      <c r="S62" s="3035"/>
      <c r="T62" s="1042" t="s">
        <v>811</v>
      </c>
      <c r="U62" s="708"/>
      <c r="V62" s="708" t="str">
        <f>IF($T62="L",SUM($U62:U62)*V$16,"")</f>
        <v/>
      </c>
      <c r="W62" s="708" t="str">
        <f>IF($U62="","",IF(OR($T62="L",$T62="T",$T62="C"),SUM($U62:V62)*W$16,""))</f>
        <v/>
      </c>
      <c r="X62" s="708" t="str">
        <f>IF($U62="","",SUM($U62:W62)*X$16)</f>
        <v/>
      </c>
      <c r="Y62" s="707" t="str">
        <f t="shared" si="32"/>
        <v/>
      </c>
      <c r="Z62" s="719"/>
      <c r="AA62" s="745" t="str">
        <f t="shared" si="33"/>
        <v/>
      </c>
      <c r="AB62" s="652"/>
      <c r="AC62" s="940" t="str">
        <f t="shared" ca="1" si="13"/>
        <v/>
      </c>
      <c r="AD62" s="824"/>
      <c r="AE62" s="824"/>
      <c r="AF62" s="587">
        <f>AF61</f>
        <v>36</v>
      </c>
      <c r="AG62" s="587"/>
      <c r="AH62" s="649"/>
      <c r="AI62" s="649"/>
      <c r="AJ62" s="645"/>
      <c r="AK62" s="884"/>
    </row>
    <row r="63" spans="1:37" ht="19" customHeight="1">
      <c r="B63" s="926">
        <v>6</v>
      </c>
      <c r="C63" s="1229" t="s">
        <v>397</v>
      </c>
      <c r="D63" s="3847" t="s">
        <v>192</v>
      </c>
      <c r="E63" s="12" t="s">
        <v>3</v>
      </c>
      <c r="F63" s="1172"/>
      <c r="G63" s="1172">
        <f>$E$712</f>
        <v>15</v>
      </c>
      <c r="H63" s="188">
        <f>F712</f>
        <v>5062.5</v>
      </c>
      <c r="I63" s="188" t="str">
        <f>G712</f>
        <v>Cost for reporting, analysis and feedback</v>
      </c>
      <c r="J63" s="377" t="str">
        <f>IF(K63=1,"Annual","Done every "&amp;K63&amp;" years")</f>
        <v>Annual</v>
      </c>
      <c r="K63" s="586">
        <f>$D$700</f>
        <v>1</v>
      </c>
      <c r="L63" s="158">
        <f>$L$16/K63</f>
        <v>80</v>
      </c>
      <c r="M63" s="586">
        <f>$L$16/L63</f>
        <v>1</v>
      </c>
      <c r="N63" s="188">
        <f>$H63*(1-(1+$L$15)^-(L63*M63))/((1+$L$15)^M63-1)*(1+((1+$L$15)^M63-1))</f>
        <v>125914.53807358607</v>
      </c>
      <c r="O63" s="242">
        <f t="shared" si="0"/>
        <v>5062.4999999999955</v>
      </c>
      <c r="P63" s="192">
        <f>SUM(O63:O66)</f>
        <v>5062.4999999999955</v>
      </c>
      <c r="Q63" s="3036"/>
      <c r="R63" s="3036"/>
      <c r="S63" s="3036"/>
      <c r="T63" s="1039" t="s">
        <v>808</v>
      </c>
      <c r="U63" s="583">
        <f>O63/$U$16</f>
        <v>50.624999999999957</v>
      </c>
      <c r="V63" s="583">
        <f>IF($T63="L",SUM($U63:U63)*V$16,"")</f>
        <v>15.187499999999986</v>
      </c>
      <c r="W63" s="1474"/>
      <c r="X63" s="583">
        <f>IF($U63="","",SUM($U63:W63)*X$16)</f>
        <v>19.743749999999981</v>
      </c>
      <c r="Y63" s="240">
        <f t="shared" si="32"/>
        <v>34.931249999999963</v>
      </c>
      <c r="Z63" s="192">
        <f>SUM(V63:X66)</f>
        <v>34.931249999999963</v>
      </c>
      <c r="AA63" s="742">
        <f t="shared" si="33"/>
        <v>85.55624999999992</v>
      </c>
      <c r="AB63" s="192">
        <f>SUM(AA63:AA66)</f>
        <v>85.55624999999992</v>
      </c>
      <c r="AC63" s="727">
        <f t="shared" ca="1" si="13"/>
        <v>1</v>
      </c>
      <c r="AD63" s="589"/>
      <c r="AE63" s="589"/>
      <c r="AF63" s="587">
        <f>AF59+4</f>
        <v>40</v>
      </c>
      <c r="AG63" s="816">
        <f ca="1">SUM(AC63:AC66)-1</f>
        <v>0</v>
      </c>
      <c r="AH63" s="13">
        <f>$AH$16/K63</f>
        <v>5</v>
      </c>
      <c r="AI63" s="13">
        <f>$AH$16/AH63</f>
        <v>1</v>
      </c>
      <c r="AJ63" s="188">
        <f>$H63*(1-(1+$L$15)^-(AH63*AI63))/((1+$L$15)^AI63-1)*(1+((1+$L$15)^AI63-1))</f>
        <v>23438.844572800335</v>
      </c>
      <c r="AK63" s="191">
        <f>SUM(AJ63:AJ66)</f>
        <v>23438.844572800335</v>
      </c>
    </row>
    <row r="64" spans="1:37" ht="19" customHeight="1">
      <c r="B64" s="261"/>
      <c r="C64" s="1230"/>
      <c r="D64" s="3848"/>
      <c r="E64" s="12" t="s">
        <v>308</v>
      </c>
      <c r="F64" s="1172"/>
      <c r="G64" s="1172"/>
      <c r="H64" s="188"/>
      <c r="I64" s="921"/>
      <c r="J64" s="377"/>
      <c r="K64" s="586"/>
      <c r="L64" s="158"/>
      <c r="M64" s="586"/>
      <c r="N64" s="188"/>
      <c r="O64" s="242"/>
      <c r="P64" s="194"/>
      <c r="Q64" s="3037">
        <v>0</v>
      </c>
      <c r="R64" s="3037">
        <v>0</v>
      </c>
      <c r="S64" s="3037">
        <v>0</v>
      </c>
      <c r="T64" s="1034" t="s">
        <v>809</v>
      </c>
      <c r="U64" s="585"/>
      <c r="V64" s="585" t="str">
        <f>IF($T64="L",SUM($U64:U64)*V$16,"")</f>
        <v/>
      </c>
      <c r="W64" s="1475"/>
      <c r="X64" s="585" t="str">
        <f>IF($U64="","",SUM($U64:W64)*X$16)</f>
        <v/>
      </c>
      <c r="Y64" s="242" t="str">
        <f t="shared" si="32"/>
        <v/>
      </c>
      <c r="Z64" s="194"/>
      <c r="AA64" s="733" t="str">
        <f t="shared" si="33"/>
        <v/>
      </c>
      <c r="AB64" s="194"/>
      <c r="AC64" s="728" t="str">
        <f t="shared" ca="1" si="13"/>
        <v/>
      </c>
      <c r="AD64" s="589"/>
      <c r="AE64" s="589"/>
      <c r="AF64" s="587">
        <f>AF63</f>
        <v>40</v>
      </c>
      <c r="AG64" s="587"/>
      <c r="AH64" s="13"/>
      <c r="AI64" s="13"/>
      <c r="AJ64" s="209"/>
      <c r="AK64" s="342"/>
    </row>
    <row r="65" spans="2:37" ht="19" customHeight="1">
      <c r="B65" s="261"/>
      <c r="C65" s="1230"/>
      <c r="D65" s="3848"/>
      <c r="E65" s="12" t="s">
        <v>4</v>
      </c>
      <c r="F65" s="1172"/>
      <c r="G65" s="1172"/>
      <c r="H65" s="188"/>
      <c r="I65" s="921"/>
      <c r="J65" s="377"/>
      <c r="K65" s="586"/>
      <c r="L65" s="158"/>
      <c r="M65" s="586"/>
      <c r="N65" s="188"/>
      <c r="O65" s="241"/>
      <c r="P65" s="210"/>
      <c r="Q65" s="3037"/>
      <c r="R65" s="3037"/>
      <c r="S65" s="3037"/>
      <c r="T65" s="1034" t="s">
        <v>810</v>
      </c>
      <c r="U65" s="584"/>
      <c r="V65" s="584" t="str">
        <f>IF($T65="L",SUM($U65:U65)*V$16,"")</f>
        <v/>
      </c>
      <c r="W65" s="1476"/>
      <c r="X65" s="584" t="str">
        <f>IF($U65="","",SUM($U65:W65)*X$16)</f>
        <v/>
      </c>
      <c r="Y65" s="241" t="str">
        <f t="shared" si="32"/>
        <v/>
      </c>
      <c r="Z65" s="210"/>
      <c r="AA65" s="746" t="str">
        <f t="shared" si="33"/>
        <v/>
      </c>
      <c r="AB65" s="210"/>
      <c r="AC65" s="732" t="str">
        <f t="shared" ca="1" si="13"/>
        <v/>
      </c>
      <c r="AD65" s="815"/>
      <c r="AE65" s="815"/>
      <c r="AF65" s="587">
        <f>AF64</f>
        <v>40</v>
      </c>
      <c r="AG65" s="587"/>
      <c r="AH65" s="13"/>
      <c r="AI65" s="13"/>
      <c r="AJ65" s="188"/>
      <c r="AK65" s="477"/>
    </row>
    <row r="66" spans="2:37" ht="19" customHeight="1" thickBot="1">
      <c r="B66" s="261"/>
      <c r="C66" s="1231"/>
      <c r="D66" s="3849"/>
      <c r="E66" s="12" t="s">
        <v>21</v>
      </c>
      <c r="F66" s="1172"/>
      <c r="G66" s="1172"/>
      <c r="H66" s="188"/>
      <c r="I66" s="921"/>
      <c r="J66" s="377"/>
      <c r="K66" s="11"/>
      <c r="L66" s="1046"/>
      <c r="M66" s="1047"/>
      <c r="N66" s="1048"/>
      <c r="O66" s="726"/>
      <c r="P66" s="725"/>
      <c r="Q66" s="3038"/>
      <c r="R66" s="3038"/>
      <c r="S66" s="3038"/>
      <c r="T66" s="1040" t="s">
        <v>811</v>
      </c>
      <c r="U66" s="724"/>
      <c r="V66" s="724" t="str">
        <f>IF($T66="L",SUM($U66:U66)*V$16,"")</f>
        <v/>
      </c>
      <c r="W66" s="1477"/>
      <c r="X66" s="724" t="str">
        <f>IF($U66="","",SUM($U66:W66)*X$16)</f>
        <v/>
      </c>
      <c r="Y66" s="726" t="str">
        <f t="shared" si="32"/>
        <v/>
      </c>
      <c r="Z66" s="725"/>
      <c r="AA66" s="747" t="str">
        <f t="shared" si="33"/>
        <v/>
      </c>
      <c r="AB66" s="725"/>
      <c r="AC66" s="767" t="str">
        <f t="shared" ca="1" si="13"/>
        <v/>
      </c>
      <c r="AD66" s="1073"/>
      <c r="AE66" s="1073"/>
      <c r="AF66" s="587">
        <f>AF65</f>
        <v>40</v>
      </c>
      <c r="AG66" s="587"/>
      <c r="AH66" s="13"/>
      <c r="AI66" s="13"/>
      <c r="AJ66" s="188"/>
      <c r="AK66" s="478"/>
    </row>
    <row r="67" spans="2:37">
      <c r="C67" s="24"/>
      <c r="D67" s="238"/>
      <c r="E67"/>
      <c r="F67" s="359"/>
      <c r="G67" s="359"/>
      <c r="H67" s="6"/>
      <c r="I67" s="359"/>
      <c r="Q67" s="3040"/>
      <c r="R67" s="3040"/>
      <c r="S67" s="3040"/>
      <c r="U67" s="5"/>
    </row>
    <row r="68" spans="2:37">
      <c r="C68" s="24"/>
      <c r="D68" s="238"/>
      <c r="E68"/>
      <c r="F68" s="359"/>
      <c r="G68" s="359"/>
      <c r="H68" s="6"/>
      <c r="I68" s="359"/>
      <c r="Q68" s="3040"/>
      <c r="R68" s="3040"/>
      <c r="S68" s="3040"/>
      <c r="U68" s="5"/>
    </row>
    <row r="69" spans="2:37">
      <c r="C69" s="24"/>
      <c r="D69" s="238"/>
      <c r="E69"/>
      <c r="F69" s="359"/>
      <c r="G69" s="359"/>
      <c r="H69" s="6"/>
      <c r="I69" s="359"/>
      <c r="Q69" s="3040"/>
      <c r="R69" s="3040"/>
      <c r="S69" s="3040"/>
      <c r="U69" s="5"/>
    </row>
    <row r="70" spans="2:37">
      <c r="C70" s="24"/>
      <c r="D70" s="238"/>
      <c r="E70"/>
      <c r="F70" s="359"/>
      <c r="G70" s="359"/>
      <c r="H70" s="6"/>
      <c r="I70" s="359"/>
      <c r="Q70" s="3040"/>
      <c r="R70" s="3040"/>
      <c r="S70" s="3040"/>
      <c r="U70" s="5"/>
    </row>
    <row r="71" spans="2:37">
      <c r="C71" s="24"/>
      <c r="D71" s="238"/>
      <c r="E71"/>
      <c r="F71" s="359"/>
      <c r="G71" s="359"/>
      <c r="H71" s="6"/>
      <c r="I71" s="359"/>
      <c r="Q71" s="3040"/>
      <c r="R71" s="3040"/>
      <c r="S71" s="3040"/>
      <c r="U71" s="5"/>
    </row>
    <row r="72" spans="2:37">
      <c r="C72" s="24"/>
      <c r="D72" s="238"/>
      <c r="E72"/>
      <c r="F72" s="359"/>
      <c r="G72" s="359"/>
      <c r="H72" s="6"/>
      <c r="I72" s="359"/>
      <c r="Q72" s="3040"/>
      <c r="R72" s="3040"/>
      <c r="S72" s="3040"/>
      <c r="U72" s="5"/>
    </row>
    <row r="73" spans="2:37">
      <c r="C73" s="24"/>
      <c r="D73" s="238"/>
      <c r="E73"/>
      <c r="F73" s="359"/>
      <c r="G73" s="359"/>
      <c r="H73" s="6"/>
      <c r="I73" s="359"/>
      <c r="Q73" s="3040"/>
      <c r="R73" s="3040"/>
      <c r="S73" s="3040"/>
      <c r="U73" s="5"/>
    </row>
    <row r="74" spans="2:37">
      <c r="C74" s="24"/>
      <c r="D74" s="238"/>
      <c r="E74"/>
      <c r="F74" s="359"/>
      <c r="G74" s="359"/>
      <c r="H74" s="6"/>
      <c r="I74" s="359"/>
      <c r="Q74" s="3040"/>
      <c r="R74" s="3040"/>
      <c r="S74" s="3040"/>
      <c r="U74" s="5"/>
    </row>
    <row r="75" spans="2:37">
      <c r="C75" s="24"/>
      <c r="D75" s="238"/>
      <c r="E75"/>
      <c r="F75" s="359"/>
      <c r="G75" s="359"/>
      <c r="H75" s="6"/>
      <c r="I75" s="359"/>
      <c r="Q75" s="3040"/>
      <c r="R75" s="3040"/>
      <c r="S75" s="3040"/>
      <c r="U75" s="5"/>
    </row>
    <row r="76" spans="2:37">
      <c r="C76" s="24"/>
      <c r="D76" s="238"/>
      <c r="E76"/>
      <c r="F76" s="359"/>
      <c r="G76" s="359"/>
      <c r="H76" s="6"/>
      <c r="I76" s="359"/>
      <c r="Q76" s="3040"/>
      <c r="R76" s="3040"/>
      <c r="S76" s="3040"/>
      <c r="U76" s="5"/>
    </row>
    <row r="77" spans="2:37">
      <c r="C77" s="24"/>
      <c r="D77" s="238"/>
      <c r="E77"/>
      <c r="F77" s="359"/>
      <c r="G77" s="359"/>
      <c r="H77" s="6"/>
      <c r="I77" s="359"/>
      <c r="Q77" s="3040"/>
      <c r="R77" s="3040"/>
      <c r="S77" s="3040"/>
      <c r="U77" s="5"/>
    </row>
    <row r="78" spans="2:37">
      <c r="C78" s="24"/>
      <c r="D78" s="238"/>
      <c r="E78"/>
      <c r="F78" s="359"/>
      <c r="G78" s="359"/>
      <c r="H78" s="6"/>
      <c r="I78" s="359"/>
      <c r="Q78" s="3040"/>
      <c r="R78" s="3040"/>
      <c r="S78" s="3040"/>
      <c r="U78" s="5"/>
    </row>
    <row r="79" spans="2:37">
      <c r="C79" s="24"/>
      <c r="D79" s="238"/>
      <c r="E79"/>
      <c r="F79" s="359"/>
      <c r="G79" s="359"/>
      <c r="H79" s="6"/>
      <c r="I79" s="359"/>
      <c r="Q79" s="3040"/>
      <c r="R79" s="3040"/>
      <c r="S79" s="3040"/>
      <c r="U79" s="5"/>
    </row>
    <row r="80" spans="2:37">
      <c r="C80" s="24"/>
      <c r="D80" s="238"/>
      <c r="E80"/>
      <c r="F80" s="359"/>
      <c r="G80" s="359"/>
      <c r="H80" s="6"/>
      <c r="I80" s="359"/>
      <c r="Q80" s="3040"/>
      <c r="R80" s="3040"/>
      <c r="S80" s="3040"/>
      <c r="U80" s="5"/>
    </row>
    <row r="81" spans="3:21">
      <c r="C81" s="24"/>
      <c r="D81" s="238"/>
      <c r="E81"/>
      <c r="F81" s="359"/>
      <c r="G81" s="359"/>
      <c r="H81" s="6"/>
      <c r="I81" s="359"/>
      <c r="Q81" s="3040"/>
      <c r="R81" s="3040"/>
      <c r="S81" s="3040"/>
      <c r="U81" s="5"/>
    </row>
    <row r="82" spans="3:21">
      <c r="C82" s="24"/>
      <c r="D82" s="238"/>
      <c r="E82"/>
      <c r="F82" s="359"/>
      <c r="G82" s="359"/>
      <c r="H82" s="6"/>
      <c r="I82" s="359"/>
      <c r="Q82" s="3040"/>
      <c r="R82" s="3040"/>
      <c r="S82" s="3040"/>
      <c r="U82" s="5"/>
    </row>
    <row r="83" spans="3:21">
      <c r="C83" s="24"/>
      <c r="D83" s="238"/>
      <c r="E83"/>
      <c r="F83" s="359"/>
      <c r="G83" s="359"/>
      <c r="H83" s="6"/>
      <c r="I83" s="359"/>
      <c r="Q83" s="3040"/>
      <c r="R83" s="3040"/>
      <c r="S83" s="3040"/>
      <c r="U83" s="5"/>
    </row>
    <row r="84" spans="3:21">
      <c r="C84" s="24"/>
      <c r="D84" s="238"/>
      <c r="E84"/>
      <c r="F84" s="359"/>
      <c r="G84" s="359"/>
      <c r="H84" s="6"/>
      <c r="I84" s="359"/>
      <c r="Q84" s="3040"/>
      <c r="R84" s="3040"/>
      <c r="S84" s="3040"/>
      <c r="U84" s="5"/>
    </row>
    <row r="85" spans="3:21">
      <c r="C85" s="24"/>
      <c r="D85" s="238"/>
      <c r="E85"/>
      <c r="F85" s="359"/>
      <c r="G85" s="359"/>
      <c r="H85" s="6"/>
      <c r="I85" s="359"/>
      <c r="Q85" s="3040"/>
      <c r="R85" s="3040"/>
      <c r="S85" s="3040"/>
      <c r="U85" s="5"/>
    </row>
    <row r="86" spans="3:21">
      <c r="C86" s="24"/>
      <c r="D86" s="238"/>
      <c r="E86"/>
      <c r="F86" s="359"/>
      <c r="G86" s="359"/>
      <c r="H86" s="6"/>
      <c r="I86" s="359"/>
      <c r="Q86" s="3040"/>
      <c r="R86" s="3040"/>
      <c r="S86" s="3040"/>
      <c r="U86" s="5"/>
    </row>
    <row r="87" spans="3:21">
      <c r="C87" s="24"/>
      <c r="D87" s="238"/>
      <c r="E87"/>
      <c r="F87" s="359"/>
      <c r="G87" s="359"/>
      <c r="H87" s="6"/>
      <c r="I87" s="359"/>
      <c r="Q87" s="3040"/>
      <c r="R87" s="3040"/>
      <c r="S87" s="3040"/>
      <c r="U87" s="5"/>
    </row>
    <row r="88" spans="3:21">
      <c r="C88" s="24"/>
      <c r="D88" s="238" t="s">
        <v>299</v>
      </c>
      <c r="E88"/>
      <c r="F88" s="359"/>
      <c r="G88" s="359"/>
      <c r="H88" s="6"/>
      <c r="I88" s="359"/>
      <c r="Q88" s="3040"/>
      <c r="R88" s="3040"/>
      <c r="S88" s="3040"/>
      <c r="U88" s="5"/>
    </row>
    <row r="89" spans="3:21">
      <c r="C89" s="24"/>
      <c r="D89" s="238"/>
      <c r="E89"/>
      <c r="F89" s="359"/>
      <c r="G89" s="359"/>
      <c r="H89" s="6"/>
      <c r="I89" s="359"/>
      <c r="Q89" s="3040"/>
      <c r="R89" s="3040"/>
      <c r="S89" s="3040"/>
      <c r="U89" s="5"/>
    </row>
    <row r="90" spans="3:21">
      <c r="C90" s="24"/>
      <c r="D90" s="238"/>
      <c r="E90"/>
      <c r="F90" s="359"/>
      <c r="G90" s="359"/>
      <c r="H90" s="6"/>
      <c r="I90" s="359"/>
      <c r="Q90" s="3040"/>
      <c r="R90" s="3040"/>
      <c r="S90" s="3040"/>
      <c r="U90" s="5"/>
    </row>
    <row r="91" spans="3:21">
      <c r="C91" s="24"/>
      <c r="D91" s="238"/>
      <c r="E91"/>
      <c r="F91" s="359"/>
      <c r="G91" s="359"/>
      <c r="H91" s="6"/>
      <c r="I91" s="359"/>
      <c r="Q91" s="3040"/>
      <c r="R91" s="3040"/>
      <c r="S91" s="3040"/>
      <c r="U91" s="5"/>
    </row>
    <row r="92" spans="3:21">
      <c r="C92" s="24"/>
      <c r="D92" s="238"/>
      <c r="E92"/>
      <c r="F92" s="359"/>
      <c r="G92" s="359"/>
      <c r="H92" s="6"/>
      <c r="I92" s="359"/>
      <c r="Q92" s="3040"/>
      <c r="R92" s="3040"/>
      <c r="S92" s="3040"/>
      <c r="U92" s="5"/>
    </row>
    <row r="93" spans="3:21">
      <c r="C93" s="24"/>
      <c r="D93" s="238"/>
      <c r="E93"/>
      <c r="F93" s="359"/>
      <c r="G93" s="359"/>
      <c r="H93" s="6"/>
      <c r="I93" s="359"/>
      <c r="Q93" s="3040"/>
      <c r="R93" s="3040"/>
      <c r="S93" s="3040"/>
      <c r="U93" s="5"/>
    </row>
    <row r="94" spans="3:21">
      <c r="C94" s="24"/>
      <c r="D94" s="238"/>
      <c r="E94"/>
      <c r="F94" s="359"/>
      <c r="G94" s="359"/>
      <c r="H94" s="6"/>
      <c r="I94" s="359"/>
      <c r="Q94" s="3040"/>
      <c r="R94" s="3040"/>
      <c r="S94" s="3040"/>
      <c r="U94" s="5"/>
    </row>
    <row r="95" spans="3:21">
      <c r="C95" s="24"/>
      <c r="D95" s="238"/>
      <c r="E95"/>
      <c r="F95" s="359"/>
      <c r="G95" s="359"/>
      <c r="H95" s="6"/>
      <c r="I95" s="359"/>
      <c r="Q95" s="3040"/>
      <c r="R95" s="3040"/>
      <c r="S95" s="3040"/>
      <c r="U95" s="5"/>
    </row>
    <row r="96" spans="3:21">
      <c r="C96" s="24"/>
      <c r="D96" s="238"/>
      <c r="E96"/>
      <c r="F96" s="359"/>
      <c r="G96" s="359"/>
      <c r="H96" s="6"/>
      <c r="I96" s="359"/>
      <c r="Q96" s="3040"/>
      <c r="R96" s="3040"/>
      <c r="S96" s="3040"/>
      <c r="U96" s="5"/>
    </row>
    <row r="97" spans="3:21">
      <c r="C97" s="24"/>
      <c r="D97" s="238"/>
      <c r="E97"/>
      <c r="F97" s="359"/>
      <c r="G97" s="359"/>
      <c r="H97" s="6"/>
      <c r="I97" s="359"/>
      <c r="Q97" s="3040"/>
      <c r="R97" s="3040"/>
      <c r="S97" s="3040"/>
      <c r="U97" s="5"/>
    </row>
    <row r="98" spans="3:21">
      <c r="C98" s="24"/>
      <c r="D98" s="238"/>
      <c r="E98"/>
      <c r="F98" s="359"/>
      <c r="G98" s="359"/>
      <c r="H98" s="6"/>
      <c r="I98" s="359"/>
      <c r="Q98" s="3040"/>
      <c r="R98" s="3040"/>
      <c r="S98" s="3040"/>
      <c r="U98" s="5"/>
    </row>
    <row r="99" spans="3:21">
      <c r="C99" s="24"/>
      <c r="D99" s="238"/>
      <c r="E99"/>
      <c r="F99" s="359"/>
      <c r="G99" s="359"/>
      <c r="H99" s="6"/>
      <c r="I99" s="359"/>
      <c r="Q99" s="3040"/>
      <c r="R99" s="3040"/>
      <c r="S99" s="3040"/>
      <c r="U99" s="5"/>
    </row>
    <row r="100" spans="3:21">
      <c r="C100" s="24"/>
      <c r="D100" s="238"/>
      <c r="E100"/>
      <c r="F100" s="359"/>
      <c r="G100" s="359"/>
      <c r="H100" s="6"/>
      <c r="I100" s="359"/>
      <c r="Q100" s="3040"/>
      <c r="R100" s="3040"/>
      <c r="S100" s="3040"/>
      <c r="U100" s="5"/>
    </row>
    <row r="101" spans="3:21">
      <c r="C101" s="24"/>
      <c r="D101" s="238"/>
      <c r="E101"/>
      <c r="F101" s="359"/>
      <c r="G101" s="359"/>
      <c r="H101" s="6"/>
      <c r="I101" s="359"/>
      <c r="Q101" s="3040"/>
      <c r="R101" s="3040"/>
      <c r="S101" s="3040"/>
      <c r="U101" s="5"/>
    </row>
    <row r="102" spans="3:21">
      <c r="C102" s="24"/>
      <c r="D102" s="238"/>
      <c r="E102"/>
      <c r="F102" s="359"/>
      <c r="G102" s="359"/>
      <c r="H102" s="6"/>
      <c r="I102" s="359"/>
      <c r="Q102" s="3040"/>
      <c r="R102" s="3040"/>
      <c r="S102" s="3040"/>
      <c r="U102" s="5"/>
    </row>
    <row r="103" spans="3:21">
      <c r="C103" s="24"/>
      <c r="D103" s="238"/>
      <c r="E103"/>
      <c r="F103" s="359"/>
      <c r="G103" s="359"/>
      <c r="H103" s="6"/>
      <c r="I103" s="359"/>
      <c r="Q103" s="3040"/>
      <c r="R103" s="3040"/>
      <c r="S103" s="3040"/>
      <c r="U103" s="5"/>
    </row>
    <row r="104" spans="3:21">
      <c r="C104" s="24"/>
      <c r="D104" s="238"/>
      <c r="E104"/>
      <c r="F104" s="359"/>
      <c r="G104" s="359"/>
      <c r="H104" s="6"/>
      <c r="I104" s="359"/>
      <c r="Q104" s="3040"/>
      <c r="R104" s="3040"/>
      <c r="S104" s="3040"/>
      <c r="U104" s="5"/>
    </row>
    <row r="105" spans="3:21" s="7" customFormat="1">
      <c r="D105" s="35"/>
      <c r="E105" s="36"/>
      <c r="Q105" s="3040"/>
      <c r="R105" s="3040"/>
      <c r="S105" s="3040"/>
    </row>
    <row r="106" spans="3:21" s="9" customFormat="1">
      <c r="D106" s="105"/>
      <c r="E106" s="34"/>
      <c r="Q106" s="3040"/>
      <c r="R106" s="3040"/>
      <c r="S106" s="3040"/>
    </row>
    <row r="107" spans="3:21" s="9" customFormat="1">
      <c r="C107" s="120" t="s">
        <v>57</v>
      </c>
      <c r="D107" s="34" t="s">
        <v>1054</v>
      </c>
      <c r="E107" s="34"/>
      <c r="G107" s="572"/>
    </row>
    <row r="108" spans="3:21" s="9" customFormat="1">
      <c r="D108" s="592" t="s">
        <v>237</v>
      </c>
      <c r="E108" s="970"/>
      <c r="G108" s="572"/>
    </row>
    <row r="109" spans="3:21" s="9" customFormat="1">
      <c r="D109" s="332" t="s">
        <v>91</v>
      </c>
      <c r="E109" s="43"/>
      <c r="F109" s="24"/>
      <c r="G109" s="359"/>
    </row>
    <row r="110" spans="3:21" s="9" customFormat="1">
      <c r="D110" s="135">
        <f>'Overall Assumptions'!$C$6</f>
        <v>100</v>
      </c>
      <c r="E110" s="246" t="s">
        <v>967</v>
      </c>
      <c r="F110"/>
      <c r="G110" s="359"/>
    </row>
    <row r="111" spans="3:21" s="9" customFormat="1">
      <c r="D111" s="332">
        <f>'Overall Assumptions'!$C$115</f>
        <v>3</v>
      </c>
      <c r="E111" s="131" t="str">
        <f>'Overall Assumptions'!$D$115</f>
        <v>weeks</v>
      </c>
      <c r="F111"/>
      <c r="G111" s="359"/>
    </row>
    <row r="112" spans="3:21" s="9" customFormat="1">
      <c r="C112" s="105"/>
      <c r="D112" s="332">
        <f>'Overall Assumptions'!$C$116</f>
        <v>15</v>
      </c>
      <c r="E112" s="131" t="str">
        <f>'Overall Assumptions'!$D$116</f>
        <v>days</v>
      </c>
      <c r="F112"/>
      <c r="G112" s="359"/>
    </row>
    <row r="113" spans="3:8" s="9" customFormat="1">
      <c r="C113" s="105"/>
      <c r="D113" s="332"/>
      <c r="E113" s="43"/>
      <c r="F113"/>
      <c r="G113" s="359"/>
    </row>
    <row r="114" spans="3:8" s="9" customFormat="1">
      <c r="C114" s="105"/>
      <c r="D114" s="268">
        <v>1</v>
      </c>
      <c r="E114" s="43" t="s">
        <v>245</v>
      </c>
      <c r="F114"/>
      <c r="G114" s="359"/>
    </row>
    <row r="115" spans="3:8" s="9" customFormat="1">
      <c r="C115" s="105"/>
      <c r="D115" s="332"/>
      <c r="E115" s="43"/>
      <c r="F115"/>
      <c r="G115" s="359"/>
    </row>
    <row r="116" spans="3:8" s="9" customFormat="1">
      <c r="C116" s="105"/>
      <c r="D116" s="332"/>
      <c r="E116" s="43"/>
      <c r="F116"/>
      <c r="G116" s="359"/>
    </row>
    <row r="117" spans="3:8" s="9" customFormat="1">
      <c r="C117" s="105"/>
      <c r="D117" s="332" t="str">
        <f>'Overall Assumptions'!$D$76</f>
        <v>Daily rate (AUD) for labour assuming 7.5 hours/day</v>
      </c>
      <c r="E117" s="246"/>
      <c r="F117"/>
      <c r="G117" s="359"/>
    </row>
    <row r="118" spans="3:8" s="9" customFormat="1">
      <c r="D118" s="614">
        <f>'Overall Assumptions'!$C$68</f>
        <v>225</v>
      </c>
      <c r="E118" s="246" t="str">
        <f>'Overall Assumptions'!$B$67</f>
        <v>Labour 1- APS Low (Entry lvl)</v>
      </c>
      <c r="F118"/>
      <c r="G118" s="359"/>
    </row>
    <row r="119" spans="3:8" s="9" customFormat="1">
      <c r="D119" s="399">
        <f>'Overall Assumptions'!$C$72</f>
        <v>337.5</v>
      </c>
      <c r="E119" s="530" t="str">
        <f>'Overall Assumptions'!$B$71</f>
        <v>Labour 2 - APS High (Experienced)</v>
      </c>
      <c r="F119"/>
      <c r="G119" s="359"/>
    </row>
    <row r="120" spans="3:8" s="9" customFormat="1">
      <c r="D120" s="112">
        <f>'Overall Assumptions'!$C$76</f>
        <v>487.5</v>
      </c>
      <c r="E120" s="45" t="str">
        <f>'Overall Assumptions'!$B$75</f>
        <v>Labour 3 - EL (Management)</v>
      </c>
      <c r="F120"/>
      <c r="G120" s="359"/>
    </row>
    <row r="121" spans="3:8" s="9" customFormat="1">
      <c r="D121" s="33"/>
      <c r="E121" s="16"/>
      <c r="F121"/>
      <c r="G121" s="359"/>
    </row>
    <row r="122" spans="3:8" s="9" customFormat="1">
      <c r="D122" s="531"/>
      <c r="E122" s="33"/>
      <c r="F122"/>
      <c r="G122" s="359"/>
    </row>
    <row r="123" spans="3:8" s="9" customFormat="1">
      <c r="D123" s="912"/>
      <c r="E123" s="16"/>
      <c r="F123"/>
      <c r="G123" s="359"/>
    </row>
    <row r="124" spans="3:8" s="9" customFormat="1">
      <c r="D124" s="33"/>
      <c r="E124" s="16"/>
      <c r="F124"/>
      <c r="G124" s="359"/>
    </row>
    <row r="125" spans="3:8" s="9" customFormat="1">
      <c r="D125" s="33"/>
      <c r="E125" s="16"/>
      <c r="F125"/>
      <c r="G125" s="359"/>
    </row>
    <row r="126" spans="3:8" s="9" customFormat="1">
      <c r="D126" s="175"/>
      <c r="E126" s="164" t="s">
        <v>155</v>
      </c>
      <c r="F126" s="255" t="s">
        <v>166</v>
      </c>
      <c r="G126" s="1090" t="s">
        <v>69</v>
      </c>
      <c r="H126" s="108"/>
    </row>
    <row r="127" spans="3:8" s="9" customFormat="1">
      <c r="D127" s="405" t="s">
        <v>3</v>
      </c>
      <c r="E127" s="509">
        <f>D112</f>
        <v>15</v>
      </c>
      <c r="F127" s="321">
        <f>D112*D119</f>
        <v>5062.5</v>
      </c>
      <c r="G127" s="1091" t="s">
        <v>162</v>
      </c>
      <c r="H127" s="323"/>
    </row>
    <row r="128" spans="3:8" s="9" customFormat="1">
      <c r="D128" s="105"/>
      <c r="E128" s="34"/>
    </row>
    <row r="129" spans="3:7" s="7" customFormat="1">
      <c r="D129" s="35"/>
      <c r="E129" s="36"/>
    </row>
    <row r="130" spans="3:7">
      <c r="C130" s="8" t="s">
        <v>1109</v>
      </c>
      <c r="D130" s="16" t="s">
        <v>163</v>
      </c>
      <c r="G130" s="359"/>
    </row>
    <row r="131" spans="3:7">
      <c r="D131"/>
      <c r="G131" s="359"/>
    </row>
    <row r="132" spans="3:7">
      <c r="D132"/>
      <c r="E132"/>
      <c r="G132" s="359"/>
    </row>
    <row r="133" spans="3:7">
      <c r="D133" s="592" t="s">
        <v>179</v>
      </c>
      <c r="E133" s="274"/>
      <c r="G133" s="359"/>
    </row>
    <row r="134" spans="3:7">
      <c r="D134" s="974">
        <f>'Overall Assumptions'!$C$6</f>
        <v>100</v>
      </c>
      <c r="E134" s="246" t="s">
        <v>451</v>
      </c>
      <c r="G134" s="359"/>
    </row>
    <row r="135" spans="3:7">
      <c r="D135" s="408">
        <f>'Overall Assumptions'!$C$120</f>
        <v>0.3</v>
      </c>
      <c r="E135" s="483" t="str">
        <f>'Overall Assumptions'!$D$120</f>
        <v>Percentage of field that needs to be surveyed (ground)</v>
      </c>
      <c r="G135" s="359"/>
    </row>
    <row r="136" spans="3:7">
      <c r="D136" s="332">
        <f>D134*D135</f>
        <v>30</v>
      </c>
      <c r="E136" s="483" t="s">
        <v>450</v>
      </c>
      <c r="G136" s="359"/>
    </row>
    <row r="137" spans="3:7">
      <c r="D137" s="447">
        <v>1</v>
      </c>
      <c r="E137" s="483" t="s">
        <v>246</v>
      </c>
      <c r="G137" s="359"/>
    </row>
    <row r="138" spans="3:7">
      <c r="D138" s="482">
        <f>'Overall Assumptions'!$C$132</f>
        <v>0.5</v>
      </c>
      <c r="E138" s="43" t="s">
        <v>79</v>
      </c>
      <c r="G138" s="359"/>
    </row>
    <row r="139" spans="3:7">
      <c r="D139" s="54">
        <f>D136/D138</f>
        <v>60</v>
      </c>
      <c r="E139" s="483" t="s">
        <v>972</v>
      </c>
      <c r="G139" s="359"/>
    </row>
    <row r="140" spans="3:7">
      <c r="D140" s="42">
        <f>'Overall Assumptions'!$C$53</f>
        <v>4.46</v>
      </c>
      <c r="E140" s="631" t="s">
        <v>780</v>
      </c>
      <c r="G140" s="359"/>
    </row>
    <row r="141" spans="3:7">
      <c r="D141" s="42">
        <f>'Overall Assumptions'!$C$54</f>
        <v>3.3449999999999998</v>
      </c>
      <c r="E141" s="631" t="s">
        <v>781</v>
      </c>
      <c r="G141" s="359"/>
    </row>
    <row r="142" spans="3:7">
      <c r="D142" s="125">
        <f>'Overall Assumptions'!$C$55</f>
        <v>2.23</v>
      </c>
      <c r="E142" s="635" t="s">
        <v>782</v>
      </c>
      <c r="G142" s="359"/>
    </row>
    <row r="143" spans="3:7">
      <c r="G143" s="359"/>
    </row>
    <row r="144" spans="3:7">
      <c r="D144" s="25"/>
      <c r="G144" s="359"/>
    </row>
    <row r="145" spans="3:10">
      <c r="D145" s="151" t="s">
        <v>179</v>
      </c>
      <c r="E145" s="164"/>
      <c r="F145" s="255"/>
      <c r="G145" s="1090"/>
      <c r="H145" s="161"/>
    </row>
    <row r="146" spans="3:10">
      <c r="D146" s="444">
        <f>10/60</f>
        <v>0.16666666666666666</v>
      </c>
      <c r="E146" s="443" t="s">
        <v>1134</v>
      </c>
      <c r="F146" s="465"/>
      <c r="G146" s="1097"/>
      <c r="H146" s="466"/>
    </row>
    <row r="147" spans="3:10">
      <c r="D147" s="332">
        <f>D136/D138</f>
        <v>60</v>
      </c>
      <c r="E147" s="76" t="s">
        <v>253</v>
      </c>
      <c r="F147" s="79"/>
      <c r="G147" s="1119"/>
      <c r="H147" s="246"/>
    </row>
    <row r="148" spans="3:10">
      <c r="D148" s="154">
        <f>D146*D147</f>
        <v>10</v>
      </c>
      <c r="E148" s="333" t="s">
        <v>1135</v>
      </c>
      <c r="F148" s="439"/>
      <c r="G148" s="1098"/>
      <c r="H148" s="162"/>
    </row>
    <row r="149" spans="3:10" s="79" customFormat="1">
      <c r="D149" s="66"/>
      <c r="E149" s="76"/>
      <c r="G149" s="1119"/>
    </row>
    <row r="150" spans="3:10">
      <c r="D150"/>
      <c r="E150"/>
      <c r="F150" s="432"/>
      <c r="G150" s="1099"/>
    </row>
    <row r="151" spans="3:10" ht="19">
      <c r="C151" t="s">
        <v>50</v>
      </c>
      <c r="D151" s="37" t="s">
        <v>81</v>
      </c>
      <c r="E151" s="24"/>
      <c r="F151" s="1"/>
      <c r="G151" s="1100"/>
      <c r="H151" s="3"/>
      <c r="I151" s="3"/>
      <c r="J151" s="3"/>
    </row>
    <row r="152" spans="3:10">
      <c r="F152" s="1"/>
      <c r="G152" s="1100"/>
      <c r="H152" s="3"/>
      <c r="I152" s="3"/>
      <c r="J152" s="3"/>
    </row>
    <row r="153" spans="3:10">
      <c r="D153" s="160" t="s">
        <v>408</v>
      </c>
      <c r="G153" s="359"/>
    </row>
    <row r="154" spans="3:10">
      <c r="G154" s="359"/>
    </row>
    <row r="155" spans="3:10">
      <c r="D155" s="50"/>
      <c r="G155" s="359"/>
    </row>
    <row r="156" spans="3:10">
      <c r="D156" s="51" t="s">
        <v>82</v>
      </c>
      <c r="E156" s="273"/>
      <c r="F156" s="274"/>
      <c r="G156" s="359"/>
    </row>
    <row r="157" spans="3:10" ht="19">
      <c r="D157" s="54">
        <f>'Overall Assumptions'!$C$68</f>
        <v>225</v>
      </c>
      <c r="E157" s="1215" t="s">
        <v>99</v>
      </c>
      <c r="F157" s="246"/>
      <c r="G157" s="359"/>
    </row>
    <row r="158" spans="3:10">
      <c r="D158" s="54">
        <f>'Overall Assumptions'!$C$130</f>
        <v>2</v>
      </c>
      <c r="E158" s="76" t="s">
        <v>84</v>
      </c>
      <c r="F158" s="246"/>
      <c r="G158" s="359"/>
    </row>
    <row r="159" spans="3:10">
      <c r="D159" s="152"/>
      <c r="E159" s="76"/>
      <c r="F159" s="246"/>
      <c r="G159" s="359"/>
    </row>
    <row r="160" spans="3:10">
      <c r="D160" s="42">
        <f>'Overall Assumptions'!$C$53</f>
        <v>4.46</v>
      </c>
      <c r="E160" s="629" t="s">
        <v>780</v>
      </c>
      <c r="F160" s="246"/>
      <c r="G160" s="359"/>
    </row>
    <row r="161" spans="3:10">
      <c r="D161" s="42">
        <f>'Overall Assumptions'!$C$54</f>
        <v>3.3449999999999998</v>
      </c>
      <c r="E161" s="629" t="s">
        <v>781</v>
      </c>
      <c r="F161" s="246"/>
      <c r="G161" s="359"/>
    </row>
    <row r="162" spans="3:10">
      <c r="D162" s="42">
        <f>'Overall Assumptions'!$C$55</f>
        <v>2.23</v>
      </c>
      <c r="E162" s="629" t="s">
        <v>782</v>
      </c>
      <c r="F162" s="246"/>
      <c r="G162" s="359"/>
    </row>
    <row r="163" spans="3:10">
      <c r="D163" s="616"/>
      <c r="E163" s="833"/>
      <c r="F163" s="246"/>
      <c r="G163" s="359"/>
    </row>
    <row r="164" spans="3:10">
      <c r="D164" s="467">
        <f>D139</f>
        <v>60</v>
      </c>
      <c r="E164" s="1216" t="str">
        <f>E139</f>
        <v>Effective distance to be walked along</v>
      </c>
      <c r="F164" s="246"/>
      <c r="G164" s="359"/>
    </row>
    <row r="165" spans="3:10">
      <c r="D165" s="467"/>
      <c r="E165" s="76"/>
      <c r="F165" s="246"/>
      <c r="G165" s="359"/>
    </row>
    <row r="166" spans="3:10">
      <c r="D166" s="468">
        <f>D148/7.5</f>
        <v>1.3333333333333333</v>
      </c>
      <c r="E166" s="76" t="s">
        <v>464</v>
      </c>
      <c r="F166" s="246"/>
      <c r="G166" s="359"/>
    </row>
    <row r="167" spans="3:10">
      <c r="D167" s="54">
        <f>'Overall Assumptions'!$C$10</f>
        <v>0</v>
      </c>
      <c r="E167" s="76" t="s">
        <v>85</v>
      </c>
      <c r="F167" s="246"/>
      <c r="G167" s="359"/>
    </row>
    <row r="168" spans="3:10">
      <c r="D168" s="54">
        <f>'Overall Assumptions'!$C$90</f>
        <v>80</v>
      </c>
      <c r="E168" s="76" t="s">
        <v>86</v>
      </c>
      <c r="F168" s="246"/>
      <c r="G168" s="359"/>
    </row>
    <row r="169" spans="3:10">
      <c r="D169" s="56">
        <f>'Overall Assumptions'!$C$81</f>
        <v>210</v>
      </c>
      <c r="E169" s="333" t="s">
        <v>87</v>
      </c>
      <c r="F169" s="162"/>
      <c r="G169" s="359"/>
      <c r="J169" s="578"/>
    </row>
    <row r="170" spans="3:10">
      <c r="D170" s="57"/>
      <c r="G170" s="359"/>
    </row>
    <row r="171" spans="3:10">
      <c r="C171" s="21"/>
      <c r="G171" s="359"/>
      <c r="J171" s="90"/>
    </row>
    <row r="172" spans="3:10">
      <c r="C172" s="21"/>
      <c r="D172" s="59" t="s">
        <v>735</v>
      </c>
      <c r="E172" s="2" t="s">
        <v>218</v>
      </c>
      <c r="F172" s="2" t="s">
        <v>733</v>
      </c>
      <c r="G172" s="359" t="s">
        <v>796</v>
      </c>
    </row>
    <row r="173" spans="3:10">
      <c r="C173" s="21"/>
      <c r="D173" s="46">
        <f>D160</f>
        <v>4.46</v>
      </c>
      <c r="E173" s="46">
        <f>D161</f>
        <v>3.3449999999999998</v>
      </c>
      <c r="F173" s="1219">
        <f>D162</f>
        <v>2.23</v>
      </c>
      <c r="G173" s="359" t="s">
        <v>254</v>
      </c>
      <c r="J173" s="90"/>
    </row>
    <row r="174" spans="3:10">
      <c r="C174" s="21"/>
      <c r="D174" s="77">
        <f>2*D167/D168/7.5</f>
        <v>0</v>
      </c>
      <c r="E174" s="77">
        <f>D174</f>
        <v>0</v>
      </c>
      <c r="F174" s="77">
        <f>E174</f>
        <v>0</v>
      </c>
      <c r="G174" s="59" t="s">
        <v>95</v>
      </c>
      <c r="J174" s="90"/>
    </row>
    <row r="175" spans="3:10">
      <c r="C175" s="21"/>
      <c r="D175" s="77"/>
      <c r="G175" s="16" t="s">
        <v>778</v>
      </c>
      <c r="J175" s="90"/>
    </row>
    <row r="176" spans="3:10">
      <c r="C176" s="21"/>
      <c r="G176" s="359"/>
    </row>
    <row r="177" spans="3:11" ht="18" customHeight="1">
      <c r="C177" s="21"/>
      <c r="D177" s="77">
        <f>$D164/D173/7.5</f>
        <v>1.7937219730941705</v>
      </c>
      <c r="E177" s="77">
        <f>$D164/E173/7.5</f>
        <v>2.391629297458894</v>
      </c>
      <c r="F177" s="77">
        <f>$D164/F173/7.5</f>
        <v>3.5874439461883409</v>
      </c>
      <c r="G177" s="693" t="s">
        <v>96</v>
      </c>
    </row>
    <row r="178" spans="3:11" ht="18" customHeight="1">
      <c r="C178" s="21"/>
      <c r="D178" s="77">
        <f>$D166</f>
        <v>1.3333333333333333</v>
      </c>
      <c r="E178" s="77">
        <f>$D166</f>
        <v>1.3333333333333333</v>
      </c>
      <c r="F178" s="77">
        <f>$D166</f>
        <v>1.3333333333333333</v>
      </c>
      <c r="G178" s="693" t="s">
        <v>786</v>
      </c>
    </row>
    <row r="179" spans="3:11" ht="18" customHeight="1">
      <c r="C179" s="21"/>
      <c r="D179" s="77">
        <f>SUM(D177:D178)</f>
        <v>3.1270553064275037</v>
      </c>
      <c r="E179" s="77">
        <f>SUM(E177:E178)</f>
        <v>3.724962630792227</v>
      </c>
      <c r="F179" s="77">
        <f>SUM(F177:F178)</f>
        <v>4.9207772795216744</v>
      </c>
      <c r="G179" s="693" t="s">
        <v>171</v>
      </c>
    </row>
    <row r="180" spans="3:11" ht="18" customHeight="1">
      <c r="C180" s="21"/>
      <c r="D180" s="16"/>
      <c r="E180"/>
      <c r="G180" s="359"/>
    </row>
    <row r="181" spans="3:11" ht="18" customHeight="1">
      <c r="C181" s="21"/>
      <c r="D181" s="77">
        <f>D179*$D158</f>
        <v>6.2541106128550075</v>
      </c>
      <c r="E181" s="77">
        <f>E179*$D158</f>
        <v>7.449925261584454</v>
      </c>
      <c r="F181" s="77">
        <f>F179*$D158</f>
        <v>9.8415545590433489</v>
      </c>
      <c r="G181" s="99" t="s">
        <v>787</v>
      </c>
    </row>
    <row r="182" spans="3:11">
      <c r="C182" s="21"/>
      <c r="D182" s="16"/>
      <c r="E182"/>
      <c r="G182" s="99"/>
    </row>
    <row r="183" spans="3:11">
      <c r="C183" s="21"/>
      <c r="D183" s="63"/>
      <c r="E183" s="63"/>
      <c r="F183" s="63"/>
      <c r="G183" s="99"/>
      <c r="J183" s="90"/>
    </row>
    <row r="184" spans="3:11">
      <c r="C184" s="21"/>
      <c r="D184" s="63"/>
      <c r="E184" s="63"/>
      <c r="F184" s="63"/>
      <c r="G184" s="99"/>
      <c r="J184" s="259"/>
      <c r="K184" s="16"/>
    </row>
    <row r="185" spans="3:11">
      <c r="C185" s="21"/>
      <c r="D185" s="64">
        <f>D181*$D157</f>
        <v>1407.1748878923768</v>
      </c>
      <c r="E185" s="905">
        <f>E181*$D157</f>
        <v>1676.2331838565021</v>
      </c>
      <c r="F185" s="905">
        <f>F181*$D157</f>
        <v>2214.3497757847535</v>
      </c>
      <c r="G185" s="1101" t="s">
        <v>486</v>
      </c>
      <c r="J185" s="259"/>
      <c r="K185" s="16"/>
    </row>
    <row r="186" spans="3:11">
      <c r="F186" s="16"/>
      <c r="G186" s="99"/>
    </row>
    <row r="187" spans="3:11">
      <c r="D187" s="75"/>
      <c r="E187" s="75"/>
      <c r="F187" s="75"/>
      <c r="G187" s="99"/>
      <c r="J187" s="65"/>
      <c r="K187" s="24"/>
    </row>
    <row r="188" spans="3:11" ht="19">
      <c r="C188" t="s">
        <v>64</v>
      </c>
      <c r="D188" s="37" t="s">
        <v>89</v>
      </c>
      <c r="G188" s="359"/>
    </row>
    <row r="189" spans="3:11">
      <c r="C189" t="s">
        <v>54</v>
      </c>
      <c r="G189" s="359"/>
    </row>
    <row r="190" spans="3:11">
      <c r="G190" s="359"/>
    </row>
    <row r="191" spans="3:11">
      <c r="D191" s="16"/>
      <c r="G191" s="359"/>
    </row>
    <row r="192" spans="3:11">
      <c r="D192" s="67" t="s">
        <v>91</v>
      </c>
      <c r="E192" s="41"/>
      <c r="G192" s="359"/>
    </row>
    <row r="193" spans="4:11">
      <c r="D193" s="52">
        <f>'Overall Assumptions'!$C$93</f>
        <v>285</v>
      </c>
      <c r="E193" s="41" t="s">
        <v>93</v>
      </c>
      <c r="G193" s="359"/>
    </row>
    <row r="194" spans="4:11">
      <c r="D194" s="54">
        <f>'Overall Assumptions'!$C$10</f>
        <v>0</v>
      </c>
      <c r="E194" s="43" t="s">
        <v>85</v>
      </c>
      <c r="G194" s="359"/>
    </row>
    <row r="195" spans="4:11">
      <c r="D195" s="54"/>
      <c r="E195" s="43"/>
      <c r="G195" s="359"/>
    </row>
    <row r="196" spans="4:11">
      <c r="D196" s="616"/>
      <c r="E196" s="43"/>
      <c r="G196" s="359"/>
    </row>
    <row r="197" spans="4:11">
      <c r="D197" s="56"/>
      <c r="E197" s="45"/>
      <c r="G197" s="359"/>
      <c r="J197" s="578"/>
    </row>
    <row r="198" spans="4:11">
      <c r="D198" s="75"/>
      <c r="G198" s="359"/>
    </row>
    <row r="199" spans="4:11">
      <c r="D199" s="46">
        <f>D171</f>
        <v>0</v>
      </c>
      <c r="E199" s="46">
        <f>D199</f>
        <v>0</v>
      </c>
      <c r="F199" s="46">
        <f>E199</f>
        <v>0</v>
      </c>
      <c r="G199" s="693"/>
      <c r="J199" s="532"/>
      <c r="K199" s="59"/>
    </row>
    <row r="200" spans="4:11">
      <c r="D200" s="46">
        <f t="shared" ref="D200:F201" si="36">D177</f>
        <v>1.7937219730941705</v>
      </c>
      <c r="E200" s="46">
        <f t="shared" si="36"/>
        <v>2.391629297458894</v>
      </c>
      <c r="F200" s="46">
        <f t="shared" si="36"/>
        <v>3.5874439461883409</v>
      </c>
      <c r="G200" s="693" t="s">
        <v>98</v>
      </c>
      <c r="K200" s="59"/>
    </row>
    <row r="201" spans="4:11">
      <c r="D201" s="46">
        <f t="shared" si="36"/>
        <v>1.3333333333333333</v>
      </c>
      <c r="E201" s="46">
        <f t="shared" si="36"/>
        <v>1.3333333333333333</v>
      </c>
      <c r="F201" s="46">
        <f t="shared" si="36"/>
        <v>1.3333333333333333</v>
      </c>
      <c r="G201" s="693" t="str">
        <f>G178</f>
        <v>3rd term is the days required to do all activities (for one person)</v>
      </c>
      <c r="K201" s="59"/>
    </row>
    <row r="202" spans="4:11">
      <c r="D202" s="46"/>
      <c r="E202" s="46"/>
      <c r="F202" s="46"/>
      <c r="G202" s="693"/>
      <c r="K202" s="59"/>
    </row>
    <row r="203" spans="4:11">
      <c r="D203" s="46">
        <f>SUM(D199:D201)</f>
        <v>3.1270553064275037</v>
      </c>
      <c r="E203" s="46">
        <f>SUM(E199:E201)</f>
        <v>3.724962630792227</v>
      </c>
      <c r="F203" s="46">
        <f>SUM(F199:F201)</f>
        <v>4.9207772795216744</v>
      </c>
      <c r="G203" s="693" t="s">
        <v>135</v>
      </c>
      <c r="J203" s="90"/>
    </row>
    <row r="204" spans="4:11">
      <c r="D204" s="46"/>
      <c r="E204" s="59"/>
      <c r="G204" s="359"/>
      <c r="J204" s="90"/>
    </row>
    <row r="205" spans="4:11">
      <c r="D205" s="63"/>
      <c r="E205" s="63"/>
      <c r="F205" s="63"/>
      <c r="G205" s="99"/>
      <c r="J205" s="259"/>
      <c r="K205" s="16"/>
    </row>
    <row r="206" spans="4:11">
      <c r="D206" s="63"/>
      <c r="E206" s="63"/>
      <c r="F206" s="63"/>
      <c r="G206" s="99"/>
      <c r="J206" s="259"/>
      <c r="K206" s="16"/>
    </row>
    <row r="207" spans="4:11">
      <c r="D207" s="63"/>
      <c r="E207" s="63"/>
      <c r="F207" s="63"/>
      <c r="G207" s="99"/>
      <c r="J207" s="259"/>
      <c r="K207" s="16"/>
    </row>
    <row r="208" spans="4:11">
      <c r="D208" s="68">
        <f>D203*$D193</f>
        <v>891.21076233183851</v>
      </c>
      <c r="E208" s="906">
        <f>E203*$D193</f>
        <v>1061.6143497757846</v>
      </c>
      <c r="F208" s="906">
        <f>F203*$D193</f>
        <v>1402.4215246636772</v>
      </c>
      <c r="G208" s="1101" t="s">
        <v>53</v>
      </c>
      <c r="J208" s="65"/>
      <c r="K208" s="24"/>
    </row>
    <row r="209" spans="3:12">
      <c r="D209" s="432"/>
      <c r="G209" s="359"/>
      <c r="J209" s="65"/>
      <c r="K209" s="24"/>
    </row>
    <row r="210" spans="3:12">
      <c r="D210" s="46">
        <f>D203</f>
        <v>3.1270553064275037</v>
      </c>
      <c r="E210" s="46">
        <f>E203</f>
        <v>3.724962630792227</v>
      </c>
      <c r="F210" s="46">
        <f>F203</f>
        <v>4.9207772795216744</v>
      </c>
      <c r="G210" s="359" t="s">
        <v>795</v>
      </c>
      <c r="J210" s="65"/>
      <c r="K210" s="24"/>
    </row>
    <row r="211" spans="3:12">
      <c r="D211" s="75">
        <f>ROUNDUP((D203/21),0)</f>
        <v>1</v>
      </c>
      <c r="E211" s="75">
        <f>ROUNDUP((E203/21),0)</f>
        <v>1</v>
      </c>
      <c r="F211" s="75">
        <f>ROUNDUP((F203/21),0)</f>
        <v>1</v>
      </c>
      <c r="G211" s="99" t="s">
        <v>739</v>
      </c>
      <c r="J211" s="65"/>
      <c r="K211" s="24"/>
    </row>
    <row r="212" spans="3:12">
      <c r="D212" s="432"/>
      <c r="G212" s="359"/>
      <c r="J212" s="65"/>
      <c r="K212" s="24"/>
    </row>
    <row r="213" spans="3:12">
      <c r="D213" s="65"/>
      <c r="E213" s="24"/>
      <c r="G213" s="359"/>
      <c r="J213" s="65"/>
      <c r="K213" s="24"/>
    </row>
    <row r="214" spans="3:12">
      <c r="C214" t="s">
        <v>70</v>
      </c>
      <c r="D214" s="58"/>
      <c r="E214" s="59" t="s">
        <v>156</v>
      </c>
      <c r="G214" s="359"/>
      <c r="J214" s="65"/>
      <c r="K214" s="24"/>
    </row>
    <row r="215" spans="3:12">
      <c r="D215" s="160" t="s">
        <v>238</v>
      </c>
      <c r="E215" s="59"/>
      <c r="G215" s="359"/>
      <c r="J215" s="65"/>
      <c r="K215" s="24"/>
    </row>
    <row r="216" spans="3:12">
      <c r="D216" s="58"/>
      <c r="E216" s="59"/>
      <c r="G216" s="359"/>
      <c r="J216" s="65"/>
      <c r="K216" s="24"/>
    </row>
    <row r="217" spans="3:12">
      <c r="D217" s="25">
        <f>D179</f>
        <v>3.1270553064275037</v>
      </c>
      <c r="E217" s="25">
        <f>E179</f>
        <v>3.724962630792227</v>
      </c>
      <c r="F217" s="25">
        <f>F179</f>
        <v>4.9207772795216744</v>
      </c>
      <c r="G217" s="99" t="s">
        <v>157</v>
      </c>
      <c r="J217" s="65"/>
      <c r="K217" s="24"/>
    </row>
    <row r="218" spans="3:12">
      <c r="D218" s="61">
        <f>FLOOR(D217,1)</f>
        <v>3</v>
      </c>
      <c r="E218" s="61">
        <f>FLOOR(E217,1)</f>
        <v>3</v>
      </c>
      <c r="F218" s="61">
        <f>FLOOR(F217,1)</f>
        <v>4</v>
      </c>
      <c r="G218" s="99" t="s">
        <v>73</v>
      </c>
      <c r="J218" s="65"/>
      <c r="K218" s="24"/>
    </row>
    <row r="219" spans="3:12">
      <c r="D219" s="65"/>
      <c r="G219" s="1102"/>
      <c r="J219" s="65"/>
      <c r="K219" s="24"/>
    </row>
    <row r="220" spans="3:12">
      <c r="D220" s="65">
        <f>D218*$D158</f>
        <v>6</v>
      </c>
      <c r="E220" s="65">
        <f>E218*$D158</f>
        <v>6</v>
      </c>
      <c r="F220" s="65">
        <f>F218*$D158</f>
        <v>8</v>
      </c>
      <c r="G220" s="1102" t="s">
        <v>88</v>
      </c>
      <c r="J220" s="65"/>
      <c r="K220" s="24"/>
    </row>
    <row r="221" spans="3:12">
      <c r="D221" s="102">
        <f>D220*$D169</f>
        <v>1260</v>
      </c>
      <c r="E221" s="907">
        <f>E220*$D169</f>
        <v>1260</v>
      </c>
      <c r="F221" s="907">
        <f>F220*$D169</f>
        <v>1680</v>
      </c>
      <c r="G221" s="1101" t="s">
        <v>74</v>
      </c>
      <c r="J221" s="259"/>
      <c r="K221" s="16"/>
    </row>
    <row r="222" spans="3:12">
      <c r="D222" s="825"/>
      <c r="E222" s="825"/>
      <c r="G222" s="359"/>
      <c r="H222" s="1" t="s">
        <v>788</v>
      </c>
      <c r="I222" s="1" t="s">
        <v>779</v>
      </c>
      <c r="J222" s="1" t="s">
        <v>789</v>
      </c>
    </row>
    <row r="223" spans="3:12">
      <c r="D223" s="617" t="s">
        <v>172</v>
      </c>
      <c r="E223" s="618" t="s">
        <v>155</v>
      </c>
      <c r="F223" s="618" t="s">
        <v>173</v>
      </c>
      <c r="G223" s="1103" t="s">
        <v>174</v>
      </c>
      <c r="H223" s="618" t="s">
        <v>166</v>
      </c>
      <c r="I223" s="618" t="s">
        <v>166</v>
      </c>
      <c r="J223" s="618" t="s">
        <v>166</v>
      </c>
      <c r="K223" s="619" t="s">
        <v>69</v>
      </c>
    </row>
    <row r="224" spans="3:12">
      <c r="D224" s="404" t="s">
        <v>3</v>
      </c>
      <c r="E224" s="90">
        <f>D181</f>
        <v>6.2541106128550075</v>
      </c>
      <c r="F224" s="531">
        <f>D136</f>
        <v>30</v>
      </c>
      <c r="G224" s="359"/>
      <c r="H224" s="432">
        <f>D185</f>
        <v>1407.1748878923768</v>
      </c>
      <c r="I224" s="432">
        <f>E185</f>
        <v>1676.2331838565021</v>
      </c>
      <c r="J224" s="432">
        <f>F185</f>
        <v>2214.3497757847535</v>
      </c>
      <c r="K224" s="830" t="str">
        <f>G185</f>
        <v>Cost for labour</v>
      </c>
      <c r="L224" s="558">
        <f>D137</f>
        <v>1</v>
      </c>
    </row>
    <row r="225" spans="3:14">
      <c r="D225" s="404" t="s">
        <v>490</v>
      </c>
      <c r="E225" s="90">
        <f>D203</f>
        <v>3.1270553064275037</v>
      </c>
      <c r="F225" s="531">
        <f>F226</f>
        <v>30</v>
      </c>
      <c r="G225" s="1104">
        <f>D194</f>
        <v>0</v>
      </c>
      <c r="H225" s="432">
        <f>D208</f>
        <v>891.21076233183851</v>
      </c>
      <c r="I225" s="432">
        <f>E208</f>
        <v>1061.6143497757846</v>
      </c>
      <c r="J225" s="432">
        <f>F208</f>
        <v>1402.4215246636772</v>
      </c>
      <c r="K225" s="830" t="str">
        <f>G208</f>
        <v>Cost for ute hire for the whole activity</v>
      </c>
      <c r="L225" s="558">
        <f>L224</f>
        <v>1</v>
      </c>
    </row>
    <row r="226" spans="3:14">
      <c r="D226" s="404" t="s">
        <v>169</v>
      </c>
      <c r="E226" s="90">
        <f>D220</f>
        <v>6</v>
      </c>
      <c r="F226" s="531">
        <f>F224</f>
        <v>30</v>
      </c>
      <c r="G226" s="359"/>
      <c r="H226" s="432">
        <f>D221</f>
        <v>1260</v>
      </c>
      <c r="I226" s="432">
        <f>E221</f>
        <v>1260</v>
      </c>
      <c r="J226" s="432">
        <f>F221</f>
        <v>1680</v>
      </c>
      <c r="K226" s="830" t="str">
        <f>G221</f>
        <v>Accomodation + Food Cost</v>
      </c>
      <c r="L226" s="558">
        <f>L225</f>
        <v>1</v>
      </c>
    </row>
    <row r="227" spans="3:14">
      <c r="D227" s="404"/>
      <c r="E227" s="90"/>
      <c r="F227" s="531"/>
      <c r="G227" s="359"/>
      <c r="H227" s="432"/>
      <c r="I227" s="259"/>
      <c r="J227" s="259"/>
      <c r="K227" s="830"/>
      <c r="L227" s="558"/>
    </row>
    <row r="228" spans="3:14">
      <c r="D228" s="404"/>
      <c r="E228" s="90"/>
      <c r="F228" s="531"/>
      <c r="G228" s="359"/>
      <c r="H228" s="432"/>
      <c r="I228" s="259"/>
      <c r="J228" s="259"/>
      <c r="K228" s="830"/>
    </row>
    <row r="229" spans="3:14">
      <c r="D229" s="405"/>
      <c r="E229" s="439"/>
      <c r="F229" s="439"/>
      <c r="G229" s="1098"/>
      <c r="H229" s="622">
        <f>SUM(H224:H228)</f>
        <v>3558.3856502242152</v>
      </c>
      <c r="I229" s="622">
        <f>SUM(I224:I228)</f>
        <v>3997.8475336322867</v>
      </c>
      <c r="J229" s="622">
        <f>SUM(J224:J228)</f>
        <v>5296.7713004484303</v>
      </c>
      <c r="K229" s="623" t="s">
        <v>165</v>
      </c>
    </row>
    <row r="230" spans="3:14">
      <c r="D230"/>
      <c r="E230"/>
      <c r="F230" s="432"/>
      <c r="G230" s="1099"/>
    </row>
    <row r="231" spans="3:14">
      <c r="D231" s="25"/>
      <c r="G231" s="359"/>
    </row>
    <row r="232" spans="3:14" s="7" customFormat="1">
      <c r="D232" s="69"/>
      <c r="E232" s="36"/>
    </row>
    <row r="233" spans="3:14" s="7" customFormat="1">
      <c r="D233" s="69"/>
      <c r="E233" s="36"/>
      <c r="G233" s="1089"/>
    </row>
    <row r="234" spans="3:14" s="9" customFormat="1">
      <c r="C234" s="120" t="s">
        <v>167</v>
      </c>
      <c r="D234" s="256" t="s">
        <v>1883</v>
      </c>
      <c r="E234" s="34"/>
      <c r="G234" s="572"/>
    </row>
    <row r="235" spans="3:14" s="9" customFormat="1">
      <c r="D235" s="9" t="s">
        <v>1882</v>
      </c>
      <c r="E235" s="34"/>
      <c r="G235" s="572"/>
    </row>
    <row r="236" spans="3:14" s="9" customFormat="1">
      <c r="C236" s="120"/>
      <c r="D236" s="34" t="s">
        <v>1054</v>
      </c>
      <c r="E236" s="34"/>
      <c r="G236" s="572"/>
    </row>
    <row r="237" spans="3:14" s="9" customFormat="1">
      <c r="D237" s="1598" t="s">
        <v>1285</v>
      </c>
      <c r="E237" s="970"/>
      <c r="G237" s="572"/>
      <c r="I237" s="122"/>
      <c r="J237" s="122"/>
      <c r="K237" s="122"/>
      <c r="L237" s="122"/>
      <c r="M237" s="122"/>
      <c r="N237" s="122"/>
    </row>
    <row r="238" spans="3:14" s="9" customFormat="1">
      <c r="D238" s="332" t="s">
        <v>91</v>
      </c>
      <c r="E238" s="43"/>
      <c r="F238" s="24"/>
      <c r="G238" s="359"/>
      <c r="I238" s="10"/>
      <c r="J238" s="10"/>
      <c r="K238" s="122"/>
      <c r="L238" s="122"/>
      <c r="M238" s="122"/>
      <c r="N238" s="122"/>
    </row>
    <row r="239" spans="3:14" s="9" customFormat="1">
      <c r="D239" s="135"/>
      <c r="E239" s="246"/>
      <c r="F239" s="2953"/>
      <c r="G239" s="359"/>
      <c r="I239" s="280"/>
      <c r="J239" s="2595"/>
      <c r="K239" s="122"/>
      <c r="L239" s="122"/>
      <c r="M239" s="122"/>
      <c r="N239" s="122"/>
    </row>
    <row r="240" spans="3:14" s="9" customFormat="1">
      <c r="D240" s="398">
        <f>'Overall Assumptions'!$C$149</f>
        <v>48</v>
      </c>
      <c r="E240" s="131" t="str">
        <f>'Overall Assumptions'!$D$115</f>
        <v>weeks</v>
      </c>
      <c r="F240" s="2953"/>
      <c r="G240" s="359"/>
      <c r="I240" s="280"/>
      <c r="J240" s="2595"/>
      <c r="K240" s="122"/>
      <c r="L240" s="122"/>
      <c r="M240" s="122"/>
      <c r="N240" s="122"/>
    </row>
    <row r="241" spans="3:14" s="9" customFormat="1">
      <c r="C241" s="105"/>
      <c r="D241" s="332">
        <f>D240*5</f>
        <v>240</v>
      </c>
      <c r="E241" s="131" t="str">
        <f>'Overall Assumptions'!$D$116</f>
        <v>days</v>
      </c>
      <c r="F241" s="2953"/>
      <c r="G241" s="359"/>
      <c r="I241" s="147"/>
      <c r="J241" s="2595"/>
      <c r="K241" s="122"/>
      <c r="L241" s="122"/>
      <c r="M241" s="122"/>
      <c r="N241" s="122"/>
    </row>
    <row r="242" spans="3:14" s="9" customFormat="1">
      <c r="C242" s="105"/>
      <c r="D242" s="332"/>
      <c r="E242" s="43"/>
      <c r="F242" s="2953"/>
      <c r="G242" s="359"/>
      <c r="I242" s="280"/>
      <c r="J242" s="2595"/>
      <c r="K242" s="122"/>
      <c r="L242" s="122"/>
      <c r="M242" s="122"/>
      <c r="N242" s="122"/>
    </row>
    <row r="243" spans="3:14" s="9" customFormat="1">
      <c r="C243" s="105"/>
      <c r="D243" s="398">
        <v>1</v>
      </c>
      <c r="E243" s="43" t="s">
        <v>263</v>
      </c>
      <c r="F243" s="2953"/>
      <c r="G243" s="359"/>
      <c r="I243" s="280"/>
      <c r="J243" s="2595"/>
      <c r="K243" s="122"/>
      <c r="L243" s="122"/>
      <c r="M243" s="122"/>
      <c r="N243" s="122"/>
    </row>
    <row r="244" spans="3:14" s="9" customFormat="1">
      <c r="C244" s="105"/>
      <c r="G244" s="359"/>
      <c r="I244" s="280"/>
      <c r="J244" s="2595"/>
      <c r="K244" s="122"/>
      <c r="L244" s="122"/>
      <c r="M244" s="122"/>
      <c r="N244" s="122"/>
    </row>
    <row r="245" spans="3:14" s="9" customFormat="1">
      <c r="C245" s="105"/>
      <c r="D245" s="2487"/>
      <c r="G245" s="359"/>
      <c r="I245" s="280"/>
      <c r="J245" s="2595"/>
      <c r="K245" s="122"/>
      <c r="L245" s="122"/>
      <c r="M245" s="122"/>
      <c r="N245" s="122"/>
    </row>
    <row r="246" spans="3:14" s="9" customFormat="1">
      <c r="C246" s="105"/>
      <c r="G246" s="359" t="s">
        <v>155</v>
      </c>
      <c r="H246" s="9" t="s">
        <v>2336</v>
      </c>
      <c r="I246" s="280"/>
      <c r="J246" s="2595"/>
      <c r="K246" s="122"/>
      <c r="L246" s="122"/>
      <c r="M246" s="122"/>
      <c r="N246" s="122"/>
    </row>
    <row r="247" spans="3:14" s="9" customFormat="1">
      <c r="C247" s="105"/>
      <c r="D247" s="398">
        <f>'Overall Assumptions'!$C$150</f>
        <v>10</v>
      </c>
      <c r="E247" s="43" t="s">
        <v>1222</v>
      </c>
      <c r="F247" s="2953"/>
      <c r="G247" s="9">
        <f>D247*D$241</f>
        <v>2400</v>
      </c>
      <c r="I247" s="280"/>
      <c r="J247" s="2595"/>
      <c r="K247" s="122"/>
      <c r="L247" s="122"/>
      <c r="M247" s="122"/>
      <c r="N247" s="122"/>
    </row>
    <row r="248" spans="3:14" s="9" customFormat="1">
      <c r="D248" s="398">
        <f>'Overall Assumptions'!$C$151</f>
        <v>1</v>
      </c>
      <c r="E248" s="43" t="s">
        <v>1225</v>
      </c>
      <c r="F248" s="2953"/>
      <c r="G248" s="9">
        <f>D248*D$241</f>
        <v>240</v>
      </c>
      <c r="H248" s="9">
        <f>SUM(G247:G248)</f>
        <v>2640</v>
      </c>
      <c r="I248" s="280"/>
      <c r="J248" s="2595"/>
      <c r="K248" s="122"/>
      <c r="L248" s="122"/>
      <c r="M248" s="122"/>
      <c r="N248" s="122"/>
    </row>
    <row r="249" spans="3:14" s="9" customFormat="1">
      <c r="D249" s="332"/>
      <c r="E249" s="43"/>
      <c r="F249" s="2953"/>
      <c r="G249" s="359"/>
      <c r="I249" s="280"/>
      <c r="J249" s="2595"/>
      <c r="K249" s="122"/>
      <c r="L249" s="122"/>
      <c r="M249" s="122"/>
      <c r="N249" s="122"/>
    </row>
    <row r="250" spans="3:14" s="9" customFormat="1">
      <c r="D250" s="332" t="str">
        <f>'Overall Assumptions'!$D$76</f>
        <v>Daily rate (AUD) for labour assuming 7.5 hours/day</v>
      </c>
      <c r="E250" s="246"/>
      <c r="F250" s="2953"/>
      <c r="G250" s="359"/>
      <c r="I250" s="280"/>
      <c r="J250" s="2595"/>
      <c r="K250" s="122"/>
      <c r="L250" s="122"/>
      <c r="M250" s="122"/>
      <c r="N250" s="122"/>
    </row>
    <row r="251" spans="3:14" s="9" customFormat="1">
      <c r="D251" s="614">
        <f>'Overall Assumptions'!$C$68</f>
        <v>225</v>
      </c>
      <c r="E251" s="246" t="str">
        <f>'Overall Assumptions'!$B$67</f>
        <v>Labour 1- APS Low (Entry lvl)</v>
      </c>
      <c r="F251" s="2953"/>
      <c r="G251" s="359"/>
      <c r="I251" s="280"/>
      <c r="J251" s="2595"/>
      <c r="K251" s="122"/>
      <c r="L251" s="122"/>
      <c r="M251" s="122"/>
      <c r="N251" s="122"/>
    </row>
    <row r="252" spans="3:14" s="9" customFormat="1">
      <c r="D252" s="1484">
        <f>'Overall Assumptions'!$C$72</f>
        <v>337.5</v>
      </c>
      <c r="E252" s="530" t="str">
        <f>'Overall Assumptions'!$B$71</f>
        <v>Labour 2 - APS High (Experienced)</v>
      </c>
      <c r="F252" s="2953"/>
      <c r="G252" s="359"/>
      <c r="I252" s="280"/>
      <c r="J252" s="2595"/>
      <c r="K252" s="122"/>
      <c r="L252" s="122"/>
      <c r="M252" s="122"/>
      <c r="N252" s="122"/>
    </row>
    <row r="253" spans="3:14" s="9" customFormat="1">
      <c r="D253" s="1485">
        <f>'Overall Assumptions'!$C$76</f>
        <v>487.5</v>
      </c>
      <c r="E253" s="45" t="str">
        <f>'Overall Assumptions'!$B$75</f>
        <v>Labour 3 - EL (Management)</v>
      </c>
      <c r="F253" s="2953"/>
      <c r="G253" s="359"/>
      <c r="I253" s="280"/>
      <c r="J253" s="2595"/>
      <c r="K253" s="122"/>
      <c r="L253" s="122"/>
      <c r="M253" s="122"/>
      <c r="N253" s="122"/>
    </row>
    <row r="254" spans="3:14" s="9" customFormat="1">
      <c r="D254" s="33"/>
      <c r="E254" s="16"/>
      <c r="F254" s="2953"/>
      <c r="G254" s="359"/>
      <c r="I254" s="122"/>
      <c r="J254" s="122"/>
      <c r="K254" s="122"/>
      <c r="L254" s="122"/>
      <c r="M254" s="122"/>
      <c r="N254" s="122"/>
    </row>
    <row r="255" spans="3:14" s="9" customFormat="1">
      <c r="D255" s="33"/>
      <c r="F255" s="2953"/>
      <c r="G255" s="359"/>
      <c r="I255" s="122"/>
      <c r="J255" s="122"/>
      <c r="K255" s="122"/>
      <c r="L255" s="122"/>
      <c r="M255" s="122"/>
      <c r="N255" s="122"/>
    </row>
    <row r="256" spans="3:14" s="9" customFormat="1">
      <c r="D256" s="33">
        <f>D247*D252*D241</f>
        <v>810000</v>
      </c>
      <c r="E256" s="16" t="str">
        <f>E252</f>
        <v>Labour 2 - APS High (Experienced)</v>
      </c>
      <c r="F256" s="2953"/>
      <c r="G256" s="359"/>
      <c r="I256" s="122"/>
      <c r="J256" s="122"/>
      <c r="K256" s="122"/>
      <c r="L256" s="122"/>
      <c r="M256" s="122"/>
      <c r="N256" s="122"/>
    </row>
    <row r="257" spans="3:14" s="9" customFormat="1">
      <c r="D257" s="33">
        <f>D248*D253*D241</f>
        <v>117000</v>
      </c>
      <c r="E257" s="16" t="str">
        <f>E253</f>
        <v>Labour 3 - EL (Management)</v>
      </c>
      <c r="F257" s="2953"/>
      <c r="G257" s="359"/>
      <c r="I257" s="122"/>
      <c r="J257" s="122"/>
      <c r="K257" s="122"/>
      <c r="L257" s="122"/>
      <c r="M257" s="122"/>
      <c r="N257" s="122"/>
    </row>
    <row r="258" spans="3:14" s="9" customFormat="1">
      <c r="D258" s="33"/>
      <c r="E258" s="16"/>
      <c r="F258" s="2953"/>
      <c r="G258" s="359"/>
      <c r="I258" s="122"/>
      <c r="J258" s="122"/>
      <c r="K258" s="122"/>
      <c r="L258" s="122"/>
      <c r="M258" s="122"/>
      <c r="N258" s="122"/>
    </row>
    <row r="259" spans="3:14" s="9" customFormat="1">
      <c r="D259" s="33"/>
      <c r="E259" s="16"/>
      <c r="F259" s="2953"/>
      <c r="G259" s="359"/>
      <c r="I259" s="122"/>
      <c r="J259" s="122"/>
      <c r="K259" s="122"/>
      <c r="L259" s="122"/>
      <c r="M259" s="122"/>
      <c r="N259" s="122"/>
    </row>
    <row r="260" spans="3:14" s="9" customFormat="1">
      <c r="D260" s="2488">
        <f>SUM(D256:D257)</f>
        <v>927000</v>
      </c>
      <c r="E260" s="273" t="s">
        <v>1880</v>
      </c>
      <c r="F260" s="274"/>
      <c r="G260" s="359"/>
    </row>
    <row r="261" spans="3:14" s="9" customFormat="1">
      <c r="D261" s="33"/>
      <c r="E261" s="16"/>
      <c r="F261" s="2953"/>
      <c r="G261" s="359"/>
    </row>
    <row r="262" spans="3:14" s="9" customFormat="1">
      <c r="D262" s="175"/>
      <c r="E262" s="164" t="s">
        <v>155</v>
      </c>
      <c r="F262" s="255" t="s">
        <v>166</v>
      </c>
      <c r="G262" s="1090" t="s">
        <v>69</v>
      </c>
      <c r="H262" s="108" t="s">
        <v>1881</v>
      </c>
    </row>
    <row r="263" spans="3:14" s="9" customFormat="1">
      <c r="D263" s="405" t="s">
        <v>3</v>
      </c>
      <c r="E263" s="509">
        <f>D241</f>
        <v>240</v>
      </c>
      <c r="F263" s="321">
        <f>D260</f>
        <v>927000</v>
      </c>
      <c r="G263" s="1091" t="s">
        <v>1230</v>
      </c>
      <c r="H263" s="323">
        <f>D243</f>
        <v>1</v>
      </c>
    </row>
    <row r="264" spans="3:14" s="9" customFormat="1">
      <c r="D264" s="105"/>
      <c r="E264" s="34"/>
      <c r="G264" s="572"/>
    </row>
    <row r="265" spans="3:14" s="7" customFormat="1">
      <c r="D265" s="977"/>
      <c r="E265" s="35"/>
      <c r="G265" s="1089"/>
    </row>
    <row r="266" spans="3:14" s="9" customFormat="1">
      <c r="C266" s="120" t="s">
        <v>1157</v>
      </c>
      <c r="E266" s="34"/>
      <c r="F266" s="9" t="s">
        <v>1237</v>
      </c>
    </row>
    <row r="267" spans="3:14" s="9" customFormat="1">
      <c r="E267" s="34"/>
      <c r="F267" s="9" t="s">
        <v>627</v>
      </c>
    </row>
    <row r="268" spans="3:14" s="9" customFormat="1">
      <c r="F268" s="34" t="s">
        <v>614</v>
      </c>
    </row>
    <row r="269" spans="3:14" s="9" customFormat="1">
      <c r="F269" s="9" t="s">
        <v>615</v>
      </c>
    </row>
    <row r="270" spans="3:14" s="9" customFormat="1">
      <c r="F270" s="9" t="s">
        <v>616</v>
      </c>
    </row>
    <row r="271" spans="3:14" s="9" customFormat="1">
      <c r="F271" s="9" t="s">
        <v>617</v>
      </c>
    </row>
    <row r="272" spans="3:14" s="9" customFormat="1"/>
    <row r="273" spans="3:9" s="9" customFormat="1">
      <c r="D273" s="1309" t="s">
        <v>91</v>
      </c>
      <c r="E273" s="970"/>
    </row>
    <row r="274" spans="3:9" s="9" customFormat="1">
      <c r="D274" s="98">
        <f>'Overall Assumptions'!$C$6</f>
        <v>100</v>
      </c>
      <c r="E274" s="96" t="s">
        <v>902</v>
      </c>
    </row>
    <row r="275" spans="3:9" s="9" customFormat="1">
      <c r="D275" s="535">
        <v>10</v>
      </c>
      <c r="E275" s="96" t="s">
        <v>611</v>
      </c>
    </row>
    <row r="276" spans="3:9" s="9" customFormat="1">
      <c r="D276" s="1302">
        <f>1000000/D275</f>
        <v>100000</v>
      </c>
      <c r="E276" s="253" t="s">
        <v>610</v>
      </c>
    </row>
    <row r="277" spans="3:9" s="9" customFormat="1">
      <c r="D277" s="1310">
        <f>SQRT(D275/1000000)</f>
        <v>3.1622776601683794E-3</v>
      </c>
      <c r="E277" s="96" t="s">
        <v>1123</v>
      </c>
    </row>
    <row r="278" spans="3:9" s="9" customFormat="1">
      <c r="D278" s="1308">
        <f>D274/D277</f>
        <v>31622.776601683792</v>
      </c>
      <c r="E278" s="109" t="s">
        <v>1124</v>
      </c>
      <c r="F278" s="9" t="s">
        <v>1155</v>
      </c>
    </row>
    <row r="279" spans="3:9" s="9" customFormat="1">
      <c r="D279" s="877">
        <v>1</v>
      </c>
      <c r="E279" s="97" t="s">
        <v>1125</v>
      </c>
      <c r="F279" s="1348">
        <v>0.3</v>
      </c>
      <c r="G279" s="108" t="s">
        <v>1156</v>
      </c>
      <c r="I279"/>
    </row>
    <row r="280" spans="3:9" s="9" customFormat="1">
      <c r="D280" s="1341">
        <f>F280</f>
        <v>4.9999999999999996E-2</v>
      </c>
      <c r="E280" s="95" t="s">
        <v>1150</v>
      </c>
      <c r="F280" s="1345">
        <f>G280/SUM($G$280:$G$282)*F$279</f>
        <v>4.9999999999999996E-2</v>
      </c>
      <c r="G280" s="1341">
        <f>'Overall Assumptions'!$C$153</f>
        <v>0.05</v>
      </c>
      <c r="I280"/>
    </row>
    <row r="281" spans="3:9" s="9" customFormat="1">
      <c r="D281" s="1342">
        <f>F281</f>
        <v>9.9999999999999992E-2</v>
      </c>
      <c r="E281" s="96" t="s">
        <v>1151</v>
      </c>
      <c r="F281" s="1346">
        <f>G281/SUM($G$280:$G$282)*F$279</f>
        <v>9.9999999999999992E-2</v>
      </c>
      <c r="G281" s="1342">
        <f>'Overall Assumptions'!$C$154</f>
        <v>0.1</v>
      </c>
      <c r="I281"/>
    </row>
    <row r="282" spans="3:9" s="9" customFormat="1">
      <c r="D282" s="1343">
        <f>F282</f>
        <v>0.14999999999999997</v>
      </c>
      <c r="E282" s="97" t="s">
        <v>1149</v>
      </c>
      <c r="F282" s="1347">
        <f>G282/SUM($G$280:$G$282)*F$279</f>
        <v>0.14999999999999997</v>
      </c>
      <c r="G282" s="1343">
        <f>'Overall Assumptions'!$C$155</f>
        <v>0.15</v>
      </c>
      <c r="I282"/>
    </row>
    <row r="283" spans="3:9" s="9" customFormat="1">
      <c r="C283" s="1344"/>
      <c r="D283" s="124"/>
      <c r="I283"/>
    </row>
    <row r="284" spans="3:9" s="9" customFormat="1">
      <c r="C284" s="367"/>
      <c r="D284" s="124"/>
      <c r="I284"/>
    </row>
    <row r="285" spans="3:9" s="9" customFormat="1">
      <c r="C285" s="256" t="s">
        <v>1122</v>
      </c>
      <c r="I285"/>
    </row>
    <row r="286" spans="3:9" s="9" customFormat="1">
      <c r="C286" s="256"/>
      <c r="I286"/>
    </row>
    <row r="287" spans="3:9" s="9" customFormat="1">
      <c r="D287" t="s">
        <v>692</v>
      </c>
      <c r="E287" s="9" t="s">
        <v>675</v>
      </c>
      <c r="F287" s="838" t="s">
        <v>676</v>
      </c>
    </row>
    <row r="288" spans="3:9" s="9" customFormat="1">
      <c r="D288" s="567">
        <v>199</v>
      </c>
      <c r="E288" s="567">
        <v>699</v>
      </c>
      <c r="F288" s="1290">
        <v>385</v>
      </c>
      <c r="G288" t="s">
        <v>664</v>
      </c>
      <c r="H288"/>
    </row>
    <row r="289" spans="4:8" s="9" customFormat="1">
      <c r="D289" s="204">
        <f>D288/20</f>
        <v>9.9499999999999993</v>
      </c>
      <c r="E289" s="204">
        <f>E288/20</f>
        <v>34.950000000000003</v>
      </c>
      <c r="F289" s="1290">
        <f>F288/20</f>
        <v>19.25</v>
      </c>
      <c r="G289" t="s">
        <v>435</v>
      </c>
      <c r="H289"/>
    </row>
    <row r="290" spans="4:8" s="9" customFormat="1">
      <c r="D290" s="266">
        <v>1000</v>
      </c>
      <c r="E290" s="266">
        <v>500</v>
      </c>
      <c r="F290" s="838">
        <v>500</v>
      </c>
      <c r="G290" t="s">
        <v>669</v>
      </c>
      <c r="H290"/>
    </row>
    <row r="291" spans="4:8" s="9" customFormat="1">
      <c r="D291">
        <f>D290/100/1000</f>
        <v>0.01</v>
      </c>
      <c r="E291">
        <f>E290/100/1000</f>
        <v>5.0000000000000001E-3</v>
      </c>
      <c r="F291" s="838">
        <f>F290/100/1000</f>
        <v>5.0000000000000001E-3</v>
      </c>
      <c r="G291" t="s">
        <v>668</v>
      </c>
      <c r="H291"/>
    </row>
    <row r="292" spans="4:8" s="9" customFormat="1">
      <c r="D292" s="531">
        <f>$D276</f>
        <v>100000</v>
      </c>
      <c r="E292" s="531">
        <f>$D276</f>
        <v>100000</v>
      </c>
      <c r="F292" s="531">
        <f>$D276</f>
        <v>100000</v>
      </c>
      <c r="G292" t="s">
        <v>673</v>
      </c>
      <c r="H292"/>
    </row>
    <row r="293" spans="4:8" s="9" customFormat="1">
      <c r="D293"/>
      <c r="E293"/>
      <c r="F293" s="838"/>
      <c r="G293"/>
      <c r="H293"/>
    </row>
    <row r="294" spans="4:8" s="9" customFormat="1">
      <c r="D294" s="1" t="s">
        <v>599</v>
      </c>
      <c r="E294" s="1" t="s">
        <v>599</v>
      </c>
      <c r="F294" s="1292" t="s">
        <v>599</v>
      </c>
      <c r="G294"/>
      <c r="H294"/>
    </row>
    <row r="295" spans="4:8" s="9" customFormat="1">
      <c r="D295" s="566">
        <v>4000</v>
      </c>
      <c r="E295" s="566">
        <v>4000</v>
      </c>
      <c r="F295" s="1293">
        <v>4000</v>
      </c>
      <c r="G295" t="s">
        <v>666</v>
      </c>
      <c r="H295"/>
    </row>
    <row r="296" spans="4:8" s="9" customFormat="1">
      <c r="D296" s="540">
        <f>D295*100</f>
        <v>400000</v>
      </c>
      <c r="E296" s="540">
        <f>E295*100</f>
        <v>400000</v>
      </c>
      <c r="F296" s="1293">
        <f>F295*100</f>
        <v>400000</v>
      </c>
      <c r="G296" t="s">
        <v>670</v>
      </c>
      <c r="H296"/>
    </row>
    <row r="297" spans="4:8" s="9" customFormat="1">
      <c r="D297" s="531">
        <f>D291*D296</f>
        <v>4000</v>
      </c>
      <c r="E297" s="531">
        <f>E291*E296</f>
        <v>2000</v>
      </c>
      <c r="F297" s="1291">
        <f>F291*F296</f>
        <v>2000</v>
      </c>
      <c r="G297" t="s">
        <v>667</v>
      </c>
      <c r="H297"/>
    </row>
    <row r="298" spans="4:8" s="9" customFormat="1">
      <c r="D298" s="204">
        <f>D297*D289</f>
        <v>39800</v>
      </c>
      <c r="E298" s="204">
        <f>E297*E289</f>
        <v>69900</v>
      </c>
      <c r="F298" s="1290">
        <f>F297*F289</f>
        <v>38500</v>
      </c>
      <c r="G298" t="s">
        <v>671</v>
      </c>
    </row>
    <row r="299" spans="4:8" s="9" customFormat="1">
      <c r="D299" s="568">
        <f>D298/D292</f>
        <v>0.39800000000000002</v>
      </c>
      <c r="E299" s="568">
        <f>E298/E292</f>
        <v>0.69899999999999995</v>
      </c>
      <c r="F299" s="1294">
        <f>F298/F292</f>
        <v>0.38500000000000001</v>
      </c>
      <c r="G299" t="s">
        <v>674</v>
      </c>
    </row>
    <row r="300" spans="4:8" s="9" customFormat="1">
      <c r="D300"/>
      <c r="E300"/>
      <c r="F300" s="838"/>
      <c r="G300"/>
    </row>
    <row r="301" spans="4:8" s="9" customFormat="1">
      <c r="D301" s="1" t="s">
        <v>672</v>
      </c>
      <c r="E301" s="1" t="s">
        <v>672</v>
      </c>
      <c r="F301" s="1292" t="s">
        <v>672</v>
      </c>
      <c r="G301"/>
      <c r="H301"/>
    </row>
    <row r="302" spans="4:8" s="9" customFormat="1">
      <c r="D302" s="266">
        <v>1000</v>
      </c>
      <c r="E302" s="266">
        <v>1000</v>
      </c>
      <c r="F302" s="838">
        <v>1000</v>
      </c>
      <c r="G302" t="s">
        <v>665</v>
      </c>
      <c r="H302"/>
    </row>
    <row r="303" spans="4:8" s="9" customFormat="1">
      <c r="D303" s="540">
        <f>D302*100</f>
        <v>100000</v>
      </c>
      <c r="E303" s="540">
        <f>E302*100</f>
        <v>100000</v>
      </c>
      <c r="F303" s="1293">
        <f>F302*100</f>
        <v>100000</v>
      </c>
      <c r="G303" s="2953" t="s">
        <v>2332</v>
      </c>
      <c r="H303"/>
    </row>
    <row r="304" spans="4:8" s="9" customFormat="1">
      <c r="D304" s="531">
        <f>D291*D303</f>
        <v>1000</v>
      </c>
      <c r="E304" s="531">
        <f>E291*E303</f>
        <v>500</v>
      </c>
      <c r="F304" s="1291">
        <f>F291*F303</f>
        <v>500</v>
      </c>
      <c r="G304" t="s">
        <v>667</v>
      </c>
      <c r="H304"/>
    </row>
    <row r="305" spans="3:15" s="9" customFormat="1">
      <c r="D305" s="204">
        <f>D304*D289</f>
        <v>9950</v>
      </c>
      <c r="E305" s="204">
        <f>E304*E289</f>
        <v>17475</v>
      </c>
      <c r="F305" s="1290">
        <f>F304*F289</f>
        <v>9625</v>
      </c>
      <c r="G305" t="s">
        <v>671</v>
      </c>
    </row>
    <row r="306" spans="3:15" s="9" customFormat="1">
      <c r="D306" s="568">
        <f>D305/D292</f>
        <v>9.9500000000000005E-2</v>
      </c>
      <c r="E306" s="568">
        <f>E305/E292</f>
        <v>0.17474999999999999</v>
      </c>
      <c r="F306" s="1294">
        <f>F305/F292</f>
        <v>9.6250000000000002E-2</v>
      </c>
      <c r="G306" t="s">
        <v>674</v>
      </c>
      <c r="M306" s="572"/>
    </row>
    <row r="307" spans="3:15" s="9" customFormat="1">
      <c r="H307"/>
      <c r="I307"/>
      <c r="J307"/>
      <c r="K307"/>
      <c r="M307" s="572"/>
    </row>
    <row r="308" spans="3:15" s="9" customFormat="1">
      <c r="L308" s="1296" t="s">
        <v>657</v>
      </c>
      <c r="M308" s="572"/>
    </row>
    <row r="309" spans="3:15" s="9" customFormat="1">
      <c r="D309" s="259">
        <f>AVERAGE(D299,E299)</f>
        <v>0.54849999999999999</v>
      </c>
      <c r="E309" t="s">
        <v>677</v>
      </c>
      <c r="L309" s="1296" t="s">
        <v>658</v>
      </c>
      <c r="M309" s="572"/>
    </row>
    <row r="310" spans="3:15" s="9" customFormat="1">
      <c r="D310" s="259">
        <f>AVERAGE(D306,E306)</f>
        <v>0.137125</v>
      </c>
      <c r="E310" t="s">
        <v>678</v>
      </c>
      <c r="I310"/>
      <c r="L310" s="1296" t="s">
        <v>659</v>
      </c>
      <c r="M310" s="359"/>
      <c r="N310"/>
      <c r="O310"/>
    </row>
    <row r="311" spans="3:15" s="9" customFormat="1">
      <c r="I311"/>
      <c r="L311" s="1296" t="s">
        <v>660</v>
      </c>
      <c r="M311" s="359"/>
      <c r="N311"/>
      <c r="O311"/>
    </row>
    <row r="312" spans="3:15" s="9" customFormat="1">
      <c r="I312"/>
      <c r="L312" s="1297" t="s">
        <v>661</v>
      </c>
      <c r="M312" s="359"/>
      <c r="N312"/>
      <c r="O312"/>
    </row>
    <row r="313" spans="3:15" s="9" customFormat="1">
      <c r="D313" s="592" t="s">
        <v>681</v>
      </c>
      <c r="E313" s="401" t="s">
        <v>682</v>
      </c>
      <c r="F313" s="401" t="s">
        <v>683</v>
      </c>
      <c r="G313" s="118" t="s">
        <v>304</v>
      </c>
      <c r="L313" s="1297" t="s">
        <v>662</v>
      </c>
    </row>
    <row r="314" spans="3:15" s="9" customFormat="1">
      <c r="D314" s="1320">
        <f>D309</f>
        <v>0.54849999999999999</v>
      </c>
      <c r="E314" s="1321">
        <f>AVERAGE(D309,D310)</f>
        <v>0.34281249999999996</v>
      </c>
      <c r="F314" s="1321">
        <f>D310</f>
        <v>0.137125</v>
      </c>
      <c r="G314" s="1303" t="s">
        <v>1118</v>
      </c>
      <c r="L314" s="1295" t="s">
        <v>663</v>
      </c>
    </row>
    <row r="315" spans="3:15" s="9" customFormat="1">
      <c r="C315" s="256" t="s">
        <v>1117</v>
      </c>
      <c r="L315" s="572"/>
    </row>
    <row r="316" spans="3:15" s="9" customFormat="1">
      <c r="C316" s="9" t="s">
        <v>1119</v>
      </c>
    </row>
    <row r="317" spans="3:15" s="9" customFormat="1">
      <c r="C317" s="9" t="s">
        <v>618</v>
      </c>
    </row>
    <row r="318" spans="3:15" s="9" customFormat="1"/>
    <row r="319" spans="3:15" s="9" customFormat="1"/>
    <row r="320" spans="3:15" s="9" customFormat="1">
      <c r="D320" s="107" t="s">
        <v>1116</v>
      </c>
      <c r="E320" s="320" t="s">
        <v>25</v>
      </c>
      <c r="F320" s="320" t="s">
        <v>735</v>
      </c>
      <c r="G320" s="108"/>
      <c r="H320" s="1" t="s">
        <v>604</v>
      </c>
    </row>
    <row r="321" spans="3:10" s="9" customFormat="1">
      <c r="D321" s="1298">
        <v>1800</v>
      </c>
      <c r="E321" s="538">
        <v>1300</v>
      </c>
      <c r="F321" s="538">
        <v>450</v>
      </c>
      <c r="G321" s="246" t="s">
        <v>601</v>
      </c>
      <c r="H321" s="9" t="s">
        <v>1111</v>
      </c>
    </row>
    <row r="322" spans="3:10" s="9" customFormat="1">
      <c r="D322" s="1299">
        <f>D321*100</f>
        <v>180000</v>
      </c>
      <c r="E322" s="1300">
        <f>E321*100</f>
        <v>130000</v>
      </c>
      <c r="F322" s="1300">
        <f>F321*100</f>
        <v>45000</v>
      </c>
      <c r="G322" s="109" t="s">
        <v>332</v>
      </c>
      <c r="H322" s="9" t="s">
        <v>1112</v>
      </c>
      <c r="I322"/>
    </row>
    <row r="323" spans="3:10" s="9" customFormat="1">
      <c r="D323" s="1298">
        <v>40</v>
      </c>
      <c r="E323" s="538">
        <v>40</v>
      </c>
      <c r="F323" s="538">
        <v>40</v>
      </c>
      <c r="G323" s="246" t="s">
        <v>603</v>
      </c>
      <c r="H323" s="9" t="s">
        <v>1113</v>
      </c>
      <c r="I323"/>
    </row>
    <row r="324" spans="3:10" s="9" customFormat="1">
      <c r="D324" s="404">
        <f>D322/D323</f>
        <v>4500</v>
      </c>
      <c r="E324" s="79">
        <f>E322/E323</f>
        <v>3250</v>
      </c>
      <c r="F324" s="79">
        <f>F322/F323</f>
        <v>1125</v>
      </c>
      <c r="G324" s="246" t="s">
        <v>1114</v>
      </c>
      <c r="I324"/>
    </row>
    <row r="325" spans="3:10" s="9" customFormat="1">
      <c r="D325" s="404">
        <f>D324*60</f>
        <v>270000</v>
      </c>
      <c r="E325" s="79">
        <f>E324*60</f>
        <v>195000</v>
      </c>
      <c r="F325" s="79">
        <f>F324*60</f>
        <v>67500</v>
      </c>
      <c r="G325" s="246" t="s">
        <v>1115</v>
      </c>
      <c r="H325" s="360" t="s">
        <v>606</v>
      </c>
      <c r="I325"/>
      <c r="J325"/>
    </row>
    <row r="326" spans="3:10" s="9" customFormat="1">
      <c r="D326" s="1281">
        <f>$D276</f>
        <v>100000</v>
      </c>
      <c r="E326" s="621">
        <f>$D276</f>
        <v>100000</v>
      </c>
      <c r="F326" s="621">
        <f>$D276</f>
        <v>100000</v>
      </c>
      <c r="G326" s="246" t="s">
        <v>1120</v>
      </c>
      <c r="H326" s="360" t="s">
        <v>605</v>
      </c>
    </row>
    <row r="327" spans="3:10" s="9" customFormat="1">
      <c r="D327" s="1281"/>
      <c r="E327" s="621"/>
      <c r="F327" s="621"/>
      <c r="G327" s="246"/>
      <c r="H327" s="360" t="s">
        <v>607</v>
      </c>
    </row>
    <row r="328" spans="3:10" s="9" customFormat="1">
      <c r="D328" s="1304">
        <f>D325/D326</f>
        <v>2.7</v>
      </c>
      <c r="E328" s="1305">
        <f>E325/E326</f>
        <v>1.95</v>
      </c>
      <c r="F328" s="1305">
        <f>F325/F326</f>
        <v>0.67500000000000004</v>
      </c>
      <c r="G328" s="1306" t="s">
        <v>602</v>
      </c>
    </row>
    <row r="329" spans="3:10" s="9" customFormat="1"/>
    <row r="330" spans="3:10" s="9" customFormat="1"/>
    <row r="331" spans="3:10" s="9" customFormat="1">
      <c r="C331" s="9" t="s">
        <v>1128</v>
      </c>
    </row>
    <row r="332" spans="3:10" s="9" customFormat="1"/>
    <row r="333" spans="3:10" s="9" customFormat="1">
      <c r="D333" s="1313">
        <f>D280</f>
        <v>4.9999999999999996E-2</v>
      </c>
      <c r="E333" s="1314">
        <f>D281</f>
        <v>9.9999999999999992E-2</v>
      </c>
      <c r="F333" s="1314">
        <f>D282</f>
        <v>0.14999999999999997</v>
      </c>
      <c r="G333" s="108" t="s">
        <v>619</v>
      </c>
    </row>
    <row r="334" spans="3:10" s="9" customFormat="1">
      <c r="D334" s="1301">
        <f>D333*$D274</f>
        <v>5</v>
      </c>
      <c r="E334" s="1301">
        <f>E333*$D274</f>
        <v>10</v>
      </c>
      <c r="F334" s="1301">
        <f>F333*$D274</f>
        <v>14.999999999999996</v>
      </c>
      <c r="G334" s="109" t="s">
        <v>612</v>
      </c>
    </row>
    <row r="335" spans="3:10" s="9" customFormat="1">
      <c r="D335" s="1301">
        <f>D334*D326</f>
        <v>500000</v>
      </c>
      <c r="E335" s="551">
        <f>E334*E326</f>
        <v>1000000</v>
      </c>
      <c r="F335" s="551">
        <f>F334*F326</f>
        <v>1499999.9999999995</v>
      </c>
      <c r="G335" s="109" t="s">
        <v>1121</v>
      </c>
    </row>
    <row r="336" spans="3:10" s="9" customFormat="1">
      <c r="D336" s="1315"/>
      <c r="E336" s="1312"/>
      <c r="F336" s="1312"/>
      <c r="G336" s="111"/>
    </row>
    <row r="337" spans="3:10" s="9" customFormat="1">
      <c r="D337" s="1316">
        <f>D328*D335/60/7.5</f>
        <v>3000</v>
      </c>
      <c r="E337" s="1317">
        <f>E328*E335/60/7.5</f>
        <v>4333.333333333333</v>
      </c>
      <c r="F337" s="1317">
        <f>F328*F335/60/7.5</f>
        <v>2249.9999999999995</v>
      </c>
      <c r="G337" s="1307" t="s">
        <v>613</v>
      </c>
    </row>
    <row r="338" spans="3:10" s="9" customFormat="1">
      <c r="D338" s="1318">
        <f>D335*D314</f>
        <v>274250</v>
      </c>
      <c r="E338" s="1319">
        <f>E335*E314</f>
        <v>342812.49999999994</v>
      </c>
      <c r="F338" s="1319">
        <f>F335*F314</f>
        <v>205687.49999999994</v>
      </c>
      <c r="G338" s="1303" t="s">
        <v>625</v>
      </c>
    </row>
    <row r="339" spans="3:10" s="9" customFormat="1"/>
    <row r="340" spans="3:10" s="9" customFormat="1">
      <c r="C340" s="122"/>
    </row>
    <row r="341" spans="3:10" s="9" customFormat="1"/>
    <row r="343" spans="3:10">
      <c r="D343" s="367"/>
      <c r="E343" s="124"/>
      <c r="H343" s="9"/>
      <c r="I343" s="9"/>
    </row>
    <row r="344" spans="3:10">
      <c r="C344" s="1" t="s">
        <v>42</v>
      </c>
      <c r="D344" s="367"/>
      <c r="E344" s="124"/>
    </row>
    <row r="345" spans="3:10">
      <c r="D345" s="441">
        <v>10000</v>
      </c>
      <c r="E345" s="124" t="s">
        <v>626</v>
      </c>
    </row>
    <row r="346" spans="3:10">
      <c r="D346" s="367"/>
      <c r="E346" s="124"/>
    </row>
    <row r="347" spans="3:10">
      <c r="D347" s="25"/>
    </row>
    <row r="348" spans="3:10">
      <c r="D348" s="74">
        <f>SUM(D344:D345)</f>
        <v>10000</v>
      </c>
      <c r="E348" s="39" t="s">
        <v>43</v>
      </c>
    </row>
    <row r="349" spans="3:10">
      <c r="D349" s="344">
        <v>10</v>
      </c>
      <c r="E349" s="124" t="s">
        <v>263</v>
      </c>
    </row>
    <row r="351" spans="3:10">
      <c r="D351" s="91"/>
      <c r="E351" s="76"/>
    </row>
    <row r="352" spans="3:10" ht="19">
      <c r="C352" t="s">
        <v>50</v>
      </c>
      <c r="D352" s="37" t="s">
        <v>325</v>
      </c>
      <c r="E352" s="24"/>
      <c r="F352" s="1"/>
      <c r="G352" s="3"/>
      <c r="H352" s="3"/>
      <c r="I352" s="3"/>
      <c r="J352" s="3"/>
    </row>
    <row r="353" spans="4:14">
      <c r="F353" s="1"/>
      <c r="G353" s="3"/>
      <c r="H353" s="3"/>
      <c r="I353" s="364"/>
      <c r="J353" s="3"/>
    </row>
    <row r="354" spans="4:14" ht="17">
      <c r="D354" s="49"/>
      <c r="I354" s="365"/>
      <c r="L354" s="562"/>
      <c r="M354" s="562" t="s">
        <v>689</v>
      </c>
    </row>
    <row r="355" spans="4:14">
      <c r="D355" s="160" t="s">
        <v>240</v>
      </c>
      <c r="L355" s="563" t="s">
        <v>684</v>
      </c>
      <c r="M355" s="563" t="s">
        <v>684</v>
      </c>
    </row>
    <row r="356" spans="4:14">
      <c r="D356" s="50"/>
      <c r="L356" s="563" t="s">
        <v>685</v>
      </c>
      <c r="M356" s="563" t="s">
        <v>685</v>
      </c>
    </row>
    <row r="357" spans="4:14">
      <c r="D357" s="51" t="s">
        <v>82</v>
      </c>
      <c r="E357" s="39"/>
      <c r="I357" s="366"/>
      <c r="L357" s="563" t="s">
        <v>686</v>
      </c>
      <c r="M357" s="563" t="s">
        <v>690</v>
      </c>
    </row>
    <row r="358" spans="4:14" ht="19">
      <c r="D358" s="54">
        <f>'Overall Assumptions'!$C$68</f>
        <v>225</v>
      </c>
      <c r="E358" s="1215" t="s">
        <v>99</v>
      </c>
      <c r="I358" s="366"/>
      <c r="L358" s="563" t="s">
        <v>687</v>
      </c>
      <c r="M358" s="563" t="s">
        <v>687</v>
      </c>
    </row>
    <row r="359" spans="4:14">
      <c r="D359" s="54">
        <f>'Overall Assumptions'!$C$130</f>
        <v>2</v>
      </c>
      <c r="E359" s="76" t="s">
        <v>84</v>
      </c>
      <c r="I359" s="366"/>
      <c r="L359" s="563" t="s">
        <v>688</v>
      </c>
      <c r="M359" s="563" t="s">
        <v>688</v>
      </c>
    </row>
    <row r="360" spans="4:14">
      <c r="D360" s="537"/>
      <c r="E360" s="461"/>
      <c r="I360" s="366"/>
      <c r="M360" s="564" t="s">
        <v>661</v>
      </c>
    </row>
    <row r="361" spans="4:14">
      <c r="D361" s="54"/>
      <c r="E361" s="43"/>
      <c r="K361" s="79"/>
      <c r="L361" s="79"/>
      <c r="M361" s="564" t="s">
        <v>662</v>
      </c>
    </row>
    <row r="362" spans="4:14">
      <c r="D362" s="1311"/>
      <c r="E362" s="96"/>
      <c r="K362" s="79"/>
      <c r="L362" s="79"/>
      <c r="M362" s="565" t="s">
        <v>691</v>
      </c>
    </row>
    <row r="363" spans="4:14">
      <c r="D363" s="467">
        <f>D278</f>
        <v>31622.776601683792</v>
      </c>
      <c r="E363" s="96" t="s">
        <v>1126</v>
      </c>
      <c r="K363" s="79"/>
      <c r="L363" s="79"/>
    </row>
    <row r="364" spans="4:14">
      <c r="D364" s="54">
        <f>'Overall Assumptions'!$C$10</f>
        <v>0</v>
      </c>
      <c r="E364" s="43" t="s">
        <v>85</v>
      </c>
      <c r="K364" s="79"/>
      <c r="L364" s="9"/>
      <c r="N364" s="9"/>
    </row>
    <row r="365" spans="4:14">
      <c r="D365" s="54"/>
      <c r="E365" s="528"/>
      <c r="K365" s="79"/>
      <c r="L365" s="569"/>
      <c r="N365" t="s">
        <v>664</v>
      </c>
    </row>
    <row r="366" spans="4:14">
      <c r="D366" s="54">
        <f>D337</f>
        <v>3000</v>
      </c>
      <c r="E366" s="528" t="s">
        <v>620</v>
      </c>
      <c r="K366" s="79"/>
      <c r="L366" s="569"/>
      <c r="N366" t="s">
        <v>435</v>
      </c>
    </row>
    <row r="367" spans="4:14">
      <c r="D367" s="54">
        <f>E337</f>
        <v>4333.333333333333</v>
      </c>
      <c r="E367" s="528" t="s">
        <v>621</v>
      </c>
      <c r="K367" s="79"/>
      <c r="L367" s="9"/>
      <c r="N367" t="s">
        <v>669</v>
      </c>
    </row>
    <row r="368" spans="4:14">
      <c r="D368" s="54">
        <f>F337</f>
        <v>2249.9999999999995</v>
      </c>
      <c r="E368" s="528" t="s">
        <v>622</v>
      </c>
      <c r="K368" s="79"/>
      <c r="L368" s="9"/>
      <c r="N368" t="s">
        <v>668</v>
      </c>
    </row>
    <row r="369" spans="3:14">
      <c r="D369" s="54"/>
      <c r="E369" s="528"/>
      <c r="K369" s="79"/>
      <c r="L369" s="247"/>
      <c r="N369" t="s">
        <v>673</v>
      </c>
    </row>
    <row r="370" spans="3:14">
      <c r="D370" s="54">
        <f>'Overall Assumptions'!$C$90</f>
        <v>80</v>
      </c>
      <c r="E370" s="43" t="s">
        <v>86</v>
      </c>
      <c r="K370" s="79"/>
      <c r="L370" s="9"/>
    </row>
    <row r="371" spans="3:14">
      <c r="D371" s="56">
        <f>'Overall Assumptions'!$C$81</f>
        <v>210</v>
      </c>
      <c r="E371" s="45" t="s">
        <v>87</v>
      </c>
      <c r="J371" s="127"/>
      <c r="K371" s="79"/>
      <c r="L371" s="256"/>
    </row>
    <row r="372" spans="3:14">
      <c r="D372" s="57"/>
      <c r="J372" s="79"/>
      <c r="K372" s="79"/>
      <c r="L372" s="533"/>
      <c r="N372" t="s">
        <v>666</v>
      </c>
    </row>
    <row r="373" spans="3:14">
      <c r="D373" s="57"/>
      <c r="J373" s="79"/>
      <c r="K373" s="79"/>
      <c r="L373" s="533"/>
    </row>
    <row r="374" spans="3:14">
      <c r="D374" s="57" t="s">
        <v>1127</v>
      </c>
      <c r="E374" s="16" t="s">
        <v>25</v>
      </c>
      <c r="F374" t="s">
        <v>680</v>
      </c>
      <c r="J374" s="79"/>
      <c r="K374" s="79"/>
      <c r="L374" s="533"/>
    </row>
    <row r="375" spans="3:14">
      <c r="D375" s="57"/>
      <c r="J375" s="79"/>
      <c r="K375" s="79"/>
      <c r="L375" s="533"/>
    </row>
    <row r="376" spans="3:14">
      <c r="D376" s="57"/>
      <c r="J376" s="79"/>
      <c r="K376" s="79"/>
      <c r="L376" s="533"/>
    </row>
    <row r="377" spans="3:14">
      <c r="C377" s="21"/>
      <c r="D377" s="58">
        <f>2*D364/D370/7.5</f>
        <v>0</v>
      </c>
      <c r="E377" s="59" t="s">
        <v>95</v>
      </c>
      <c r="J377" s="128"/>
      <c r="K377" s="79"/>
      <c r="L377" s="533"/>
      <c r="N377" t="s">
        <v>670</v>
      </c>
    </row>
    <row r="378" spans="3:14">
      <c r="C378" s="21"/>
      <c r="D378" s="58"/>
      <c r="E378" s="60" t="s">
        <v>100</v>
      </c>
      <c r="J378" s="79"/>
      <c r="K378" s="79"/>
      <c r="L378" s="247"/>
      <c r="N378" t="s">
        <v>667</v>
      </c>
    </row>
    <row r="379" spans="3:14">
      <c r="C379" s="21"/>
      <c r="D379" s="155">
        <f>D363/D370/7.5</f>
        <v>52.704627669472984</v>
      </c>
      <c r="E379" s="59" t="s">
        <v>1129</v>
      </c>
      <c r="J379" s="128"/>
      <c r="K379" s="79"/>
      <c r="L379" s="569"/>
      <c r="N379" t="s">
        <v>671</v>
      </c>
    </row>
    <row r="380" spans="3:14" ht="18" customHeight="1">
      <c r="C380" s="21"/>
      <c r="D380" s="58"/>
      <c r="E380" s="59"/>
      <c r="F380" s="19"/>
      <c r="J380" s="79"/>
      <c r="K380" s="79"/>
      <c r="L380" s="570"/>
      <c r="N380" t="s">
        <v>674</v>
      </c>
    </row>
    <row r="381" spans="3:14" ht="18" customHeight="1">
      <c r="C381" s="21"/>
      <c r="D381" s="155">
        <f>(D366+D367+D368)</f>
        <v>9583.3333333333321</v>
      </c>
      <c r="E381" s="59" t="s">
        <v>588</v>
      </c>
      <c r="F381" s="19"/>
      <c r="J381" s="79"/>
      <c r="K381" s="79"/>
      <c r="L381" s="79"/>
    </row>
    <row r="382" spans="3:14" ht="18" customHeight="1">
      <c r="C382" s="21"/>
      <c r="D382" s="58"/>
      <c r="E382" s="59"/>
      <c r="F382" s="19"/>
      <c r="J382" s="79"/>
      <c r="K382" s="79"/>
      <c r="L382" s="79"/>
    </row>
    <row r="383" spans="3:14" ht="18" customHeight="1">
      <c r="C383" s="21"/>
      <c r="D383" s="77">
        <f>SUM(D377:D381)</f>
        <v>9636.0379610028049</v>
      </c>
      <c r="E383" s="16" t="s">
        <v>157</v>
      </c>
      <c r="F383" s="19"/>
      <c r="J383" s="79"/>
      <c r="K383" s="79"/>
      <c r="L383" s="79"/>
      <c r="N383" t="s">
        <v>665</v>
      </c>
    </row>
    <row r="384" spans="3:14">
      <c r="C384" s="21"/>
      <c r="E384" s="16" t="s">
        <v>88</v>
      </c>
      <c r="J384" s="79"/>
      <c r="K384" s="79"/>
      <c r="L384" s="79"/>
      <c r="N384" t="s">
        <v>670</v>
      </c>
    </row>
    <row r="385" spans="3:14">
      <c r="C385" s="21"/>
      <c r="D385" s="77">
        <f>D383*D359</f>
        <v>19272.07592200561</v>
      </c>
      <c r="E385" s="16" t="s">
        <v>787</v>
      </c>
      <c r="J385" s="128"/>
      <c r="K385" s="79"/>
      <c r="L385" s="79"/>
      <c r="N385" t="s">
        <v>667</v>
      </c>
    </row>
    <row r="386" spans="3:14">
      <c r="C386" s="21"/>
      <c r="D386" s="77"/>
      <c r="J386" s="128"/>
      <c r="K386" s="79"/>
      <c r="L386" s="79"/>
      <c r="N386" t="s">
        <v>671</v>
      </c>
    </row>
    <row r="387" spans="3:14">
      <c r="C387" s="21"/>
      <c r="D387" s="64">
        <f>D385*D358</f>
        <v>4336217.0824512625</v>
      </c>
      <c r="E387" s="47" t="s">
        <v>329</v>
      </c>
      <c r="J387" s="129"/>
      <c r="K387" s="76"/>
      <c r="L387" s="79"/>
      <c r="N387" t="s">
        <v>674</v>
      </c>
    </row>
    <row r="388" spans="3:14">
      <c r="C388" s="21"/>
      <c r="D388" s="63"/>
      <c r="J388" s="129"/>
      <c r="K388" s="76"/>
      <c r="L388" s="79"/>
    </row>
    <row r="389" spans="3:14">
      <c r="D389" s="258"/>
      <c r="J389" s="79"/>
      <c r="K389" s="79"/>
      <c r="L389" s="79"/>
    </row>
    <row r="390" spans="3:14">
      <c r="H390" s="259"/>
      <c r="J390" s="65"/>
      <c r="K390" s="66"/>
      <c r="L390" s="79"/>
    </row>
    <row r="391" spans="3:14">
      <c r="D391" s="65"/>
      <c r="E391" s="66"/>
      <c r="J391" s="65"/>
      <c r="K391" s="66"/>
      <c r="L391" s="79"/>
    </row>
    <row r="392" spans="3:14">
      <c r="E392" s="66"/>
      <c r="J392" s="79"/>
      <c r="K392" s="259">
        <f>D299</f>
        <v>0.39800000000000002</v>
      </c>
      <c r="L392" t="s">
        <v>681</v>
      </c>
    </row>
    <row r="393" spans="3:14" ht="19">
      <c r="C393" s="2" t="s">
        <v>132</v>
      </c>
      <c r="D393" s="37" t="s">
        <v>89</v>
      </c>
      <c r="J393" s="79"/>
      <c r="K393" s="259">
        <f>AVERAGE(D299,D306)</f>
        <v>0.24875000000000003</v>
      </c>
      <c r="L393" t="s">
        <v>682</v>
      </c>
    </row>
    <row r="394" spans="3:14">
      <c r="C394" t="s">
        <v>54</v>
      </c>
      <c r="J394" s="79"/>
      <c r="K394" s="259">
        <f>D306</f>
        <v>9.9500000000000005E-2</v>
      </c>
      <c r="L394" t="s">
        <v>683</v>
      </c>
    </row>
    <row r="395" spans="3:14">
      <c r="D395" s="160" t="s">
        <v>243</v>
      </c>
      <c r="J395" s="79"/>
      <c r="K395" s="79"/>
      <c r="L395" s="79"/>
    </row>
    <row r="396" spans="3:14">
      <c r="D396" s="16"/>
      <c r="L396" s="9"/>
    </row>
    <row r="397" spans="3:14">
      <c r="D397" s="67" t="s">
        <v>91</v>
      </c>
      <c r="E397" s="41"/>
    </row>
    <row r="398" spans="3:14">
      <c r="D398" s="52">
        <f>'Overall Assumptions'!$C$93</f>
        <v>285</v>
      </c>
      <c r="E398" s="41" t="s">
        <v>93</v>
      </c>
    </row>
    <row r="399" spans="3:14">
      <c r="D399" s="54">
        <f>'Overall Assumptions'!$C$10</f>
        <v>0</v>
      </c>
      <c r="E399" s="43" t="s">
        <v>85</v>
      </c>
      <c r="L399" s="9"/>
    </row>
    <row r="400" spans="3:14">
      <c r="D400" s="54">
        <f>'Overall Assumptions'!$C$90</f>
        <v>80</v>
      </c>
      <c r="E400" s="43" t="s">
        <v>86</v>
      </c>
      <c r="L400" s="416"/>
    </row>
    <row r="401" spans="3:12">
      <c r="D401" s="55"/>
      <c r="E401" s="43"/>
      <c r="L401" s="9"/>
    </row>
    <row r="402" spans="3:12">
      <c r="D402" s="56"/>
      <c r="E402" s="45"/>
    </row>
    <row r="403" spans="3:12">
      <c r="D403" s="75"/>
      <c r="E403" s="76"/>
      <c r="J403" s="79"/>
      <c r="K403" s="79"/>
      <c r="L403" s="79"/>
    </row>
    <row r="404" spans="3:12">
      <c r="D404" s="46">
        <f>2*D399/D400/7.5</f>
        <v>0</v>
      </c>
      <c r="E404" s="59" t="s">
        <v>97</v>
      </c>
      <c r="J404" s="132"/>
      <c r="K404" s="133"/>
      <c r="L404" s="79"/>
    </row>
    <row r="405" spans="3:12">
      <c r="D405" s="46">
        <f>D379</f>
        <v>52.704627669472984</v>
      </c>
      <c r="E405" s="59" t="s">
        <v>2333</v>
      </c>
      <c r="J405" s="79"/>
      <c r="K405" s="133"/>
      <c r="L405" s="79"/>
    </row>
    <row r="406" spans="3:12">
      <c r="D406" s="46">
        <f>D381</f>
        <v>9583.3333333333321</v>
      </c>
      <c r="E406" s="59" t="s">
        <v>623</v>
      </c>
      <c r="J406" s="79"/>
      <c r="K406" s="133"/>
      <c r="L406" s="79"/>
    </row>
    <row r="407" spans="3:12">
      <c r="D407" s="46">
        <f>SUM(D404:D406)</f>
        <v>9636.0379610028049</v>
      </c>
      <c r="E407" s="59" t="s">
        <v>135</v>
      </c>
      <c r="J407" s="128"/>
      <c r="K407" s="79"/>
      <c r="L407" s="79"/>
    </row>
    <row r="408" spans="3:12">
      <c r="D408" s="63"/>
      <c r="J408" s="129"/>
      <c r="K408" s="76"/>
      <c r="L408" s="79"/>
    </row>
    <row r="409" spans="3:12">
      <c r="D409" s="63"/>
      <c r="J409" s="129"/>
      <c r="K409" s="76"/>
      <c r="L409" s="79"/>
    </row>
    <row r="410" spans="3:12">
      <c r="D410" s="68">
        <f>D407*D398</f>
        <v>2746270.8188857995</v>
      </c>
      <c r="E410" s="47" t="s">
        <v>53</v>
      </c>
      <c r="J410" s="65"/>
      <c r="K410" s="66"/>
      <c r="L410" s="79"/>
    </row>
    <row r="411" spans="3:12">
      <c r="D411" s="92"/>
      <c r="E411" s="66"/>
      <c r="J411" s="65"/>
      <c r="K411" s="66"/>
      <c r="L411" s="79"/>
    </row>
    <row r="412" spans="3:12">
      <c r="D412" s="46">
        <f>D407</f>
        <v>9636.0379610028049</v>
      </c>
      <c r="E412" s="359" t="s">
        <v>795</v>
      </c>
      <c r="J412" s="65"/>
      <c r="K412" s="66"/>
      <c r="L412" s="79"/>
    </row>
    <row r="413" spans="3:12">
      <c r="D413" s="75">
        <f>ROUNDUP((D412/21),0)</f>
        <v>459</v>
      </c>
      <c r="E413" s="99" t="s">
        <v>739</v>
      </c>
      <c r="J413" s="65"/>
      <c r="K413" s="66"/>
      <c r="L413" s="79"/>
    </row>
    <row r="414" spans="3:12">
      <c r="D414" s="92"/>
      <c r="E414" s="66"/>
      <c r="J414" s="65"/>
      <c r="K414" s="66"/>
      <c r="L414" s="79"/>
    </row>
    <row r="415" spans="3:12">
      <c r="C415" t="s">
        <v>70</v>
      </c>
      <c r="D415" s="58"/>
      <c r="E415" s="59" t="s">
        <v>156</v>
      </c>
      <c r="J415" s="65"/>
      <c r="K415" s="66"/>
      <c r="L415" s="79"/>
    </row>
    <row r="416" spans="3:12">
      <c r="D416" s="58"/>
      <c r="E416" s="59"/>
      <c r="J416" s="65"/>
      <c r="K416" s="66"/>
      <c r="L416" s="79"/>
    </row>
    <row r="417" spans="3:15">
      <c r="D417" s="58"/>
      <c r="E417" s="59"/>
      <c r="J417" s="65"/>
      <c r="K417" s="66"/>
      <c r="L417" s="79"/>
    </row>
    <row r="418" spans="3:15">
      <c r="D418" s="25">
        <f>D383</f>
        <v>9636.0379610028049</v>
      </c>
      <c r="E418" s="16" t="s">
        <v>157</v>
      </c>
      <c r="J418" s="65"/>
      <c r="K418" s="66"/>
      <c r="L418" s="79"/>
    </row>
    <row r="419" spans="3:15">
      <c r="D419" s="61">
        <f>FLOOR(D418,1)</f>
        <v>9636</v>
      </c>
      <c r="E419" s="16" t="s">
        <v>73</v>
      </c>
      <c r="J419" s="65"/>
      <c r="K419" s="66"/>
      <c r="L419" s="79"/>
    </row>
    <row r="420" spans="3:15">
      <c r="D420" s="146">
        <f>D419*D359</f>
        <v>19272</v>
      </c>
      <c r="E420" s="66" t="s">
        <v>175</v>
      </c>
      <c r="J420" s="65"/>
      <c r="K420" s="66"/>
      <c r="L420" s="79"/>
    </row>
    <row r="421" spans="3:15">
      <c r="D421" s="65"/>
      <c r="E421" s="66" t="s">
        <v>88</v>
      </c>
      <c r="J421" s="65"/>
      <c r="K421" s="66"/>
      <c r="L421" s="79"/>
    </row>
    <row r="422" spans="3:15">
      <c r="D422" s="102">
        <f>D420*D371</f>
        <v>4047120</v>
      </c>
      <c r="E422" s="39" t="s">
        <v>74</v>
      </c>
      <c r="J422" s="129"/>
      <c r="K422" s="276"/>
      <c r="L422" s="276"/>
      <c r="M422" s="276"/>
      <c r="N422" s="276"/>
      <c r="O422" s="79"/>
    </row>
    <row r="423" spans="3:15">
      <c r="D423" s="275"/>
      <c r="E423" s="76"/>
      <c r="J423" s="129"/>
      <c r="K423" s="276"/>
      <c r="L423" s="276"/>
      <c r="M423" s="276"/>
      <c r="N423" s="276"/>
      <c r="O423" s="79"/>
    </row>
    <row r="424" spans="3:15">
      <c r="C424" t="s">
        <v>4</v>
      </c>
      <c r="D424" s="1322">
        <f>SUM(D338:F338)</f>
        <v>822750</v>
      </c>
      <c r="E424" s="124" t="s">
        <v>1130</v>
      </c>
      <c r="J424" s="129"/>
      <c r="K424" s="276"/>
      <c r="L424" s="276"/>
      <c r="M424" s="276"/>
      <c r="N424" s="276"/>
      <c r="O424" s="79"/>
    </row>
    <row r="425" spans="3:15">
      <c r="D425" s="275"/>
      <c r="E425" s="76"/>
      <c r="J425" s="129"/>
      <c r="K425" s="276"/>
      <c r="L425" s="276"/>
      <c r="M425" s="276"/>
      <c r="N425" s="276"/>
      <c r="O425" s="79"/>
    </row>
    <row r="426" spans="3:15">
      <c r="D426" s="275"/>
      <c r="E426" s="76"/>
      <c r="J426" s="129"/>
      <c r="K426" s="276"/>
      <c r="L426" s="276"/>
      <c r="M426" s="276"/>
      <c r="N426" s="276"/>
      <c r="O426" s="79"/>
    </row>
    <row r="427" spans="3:15">
      <c r="D427" s="65"/>
      <c r="E427" s="66"/>
      <c r="J427" s="65"/>
      <c r="K427" s="122"/>
      <c r="L427" s="406"/>
      <c r="M427" s="119"/>
      <c r="N427" s="119"/>
      <c r="O427" s="79"/>
    </row>
    <row r="428" spans="3:15" s="9" customFormat="1">
      <c r="C428" s="121"/>
      <c r="D428" s="143" t="s">
        <v>172</v>
      </c>
      <c r="E428" s="144" t="s">
        <v>155</v>
      </c>
      <c r="F428" s="144" t="s">
        <v>173</v>
      </c>
      <c r="G428" s="144" t="s">
        <v>174</v>
      </c>
      <c r="H428" s="144" t="s">
        <v>166</v>
      </c>
      <c r="I428" s="145" t="s">
        <v>69</v>
      </c>
      <c r="K428" s="122"/>
      <c r="L428" s="406"/>
      <c r="M428" s="119"/>
      <c r="N428" s="119"/>
      <c r="O428" s="122"/>
    </row>
    <row r="429" spans="3:15" s="9" customFormat="1">
      <c r="C429" s="121"/>
      <c r="D429" s="135" t="s">
        <v>3</v>
      </c>
      <c r="E429" s="136">
        <f>D385</f>
        <v>19272.07592200561</v>
      </c>
      <c r="F429" s="141"/>
      <c r="G429" s="122"/>
      <c r="H429" s="119">
        <f>D387</f>
        <v>4336217.0824512625</v>
      </c>
      <c r="I429" s="119" t="str">
        <f>E387</f>
        <v>Cost for person hours</v>
      </c>
      <c r="J429" s="557">
        <f>D279</f>
        <v>1</v>
      </c>
      <c r="K429" s="122"/>
      <c r="L429" s="406"/>
      <c r="M429" s="119"/>
      <c r="N429" s="119"/>
      <c r="O429" s="122"/>
    </row>
    <row r="430" spans="3:15" s="9" customFormat="1">
      <c r="C430" s="121"/>
      <c r="D430" s="135" t="s">
        <v>132</v>
      </c>
      <c r="E430" s="136">
        <f>D407</f>
        <v>9636.0379610028049</v>
      </c>
      <c r="F430" s="141"/>
      <c r="G430" s="141"/>
      <c r="H430" s="119">
        <f>D410</f>
        <v>2746270.8188857995</v>
      </c>
      <c r="I430" s="119" t="str">
        <f>E410</f>
        <v>Cost for ute hire for the whole activity</v>
      </c>
      <c r="J430" s="557">
        <f>J429</f>
        <v>1</v>
      </c>
      <c r="K430" s="122"/>
      <c r="L430" s="136"/>
      <c r="M430" s="119"/>
      <c r="N430" s="119"/>
      <c r="O430" s="122"/>
    </row>
    <row r="431" spans="3:15" s="9" customFormat="1">
      <c r="C431" s="121"/>
      <c r="D431" s="135" t="s">
        <v>169</v>
      </c>
      <c r="E431" s="136">
        <f>D420</f>
        <v>19272</v>
      </c>
      <c r="F431" s="141"/>
      <c r="G431" s="141"/>
      <c r="H431" s="119">
        <f>SUM(D422,D424)</f>
        <v>4869870</v>
      </c>
      <c r="I431" s="119" t="str">
        <f>E422</f>
        <v>Accomodation + Food Cost</v>
      </c>
      <c r="J431" s="557">
        <f>J430</f>
        <v>1</v>
      </c>
      <c r="K431" s="122"/>
      <c r="L431" s="136"/>
      <c r="M431" s="119"/>
      <c r="N431" s="119"/>
      <c r="O431" s="122"/>
    </row>
    <row r="432" spans="3:15" s="9" customFormat="1">
      <c r="D432" s="135" t="s">
        <v>21</v>
      </c>
      <c r="E432" s="136"/>
      <c r="F432" s="141"/>
      <c r="G432" s="122"/>
      <c r="H432" s="119">
        <f>D348</f>
        <v>10000</v>
      </c>
      <c r="I432" s="119" t="str">
        <f>E348</f>
        <v>Total equipment cost</v>
      </c>
      <c r="J432" s="557">
        <f>D349</f>
        <v>10</v>
      </c>
      <c r="K432" s="122"/>
      <c r="L432" s="147"/>
      <c r="M432" s="119"/>
      <c r="N432" s="119"/>
      <c r="O432" s="122"/>
    </row>
    <row r="433" spans="3:15" s="9" customFormat="1">
      <c r="D433" s="137"/>
      <c r="E433" s="138"/>
      <c r="F433" s="142"/>
      <c r="G433" s="142"/>
      <c r="H433" s="139">
        <f>SUM(H429:H432)</f>
        <v>11962357.901337061</v>
      </c>
      <c r="I433" s="140" t="s">
        <v>165</v>
      </c>
      <c r="K433" s="122"/>
      <c r="L433" s="122"/>
      <c r="M433" s="122"/>
      <c r="N433" s="122"/>
      <c r="O433" s="122"/>
    </row>
    <row r="434" spans="3:15" s="9" customFormat="1">
      <c r="C434" s="121"/>
    </row>
    <row r="435" spans="3:15" s="9" customFormat="1" ht="17" customHeight="1">
      <c r="D435" s="105"/>
      <c r="E435" s="34"/>
    </row>
    <row r="436" spans="3:15">
      <c r="D436" s="65"/>
      <c r="E436" s="66"/>
      <c r="J436" s="79"/>
      <c r="K436" s="79"/>
      <c r="L436" s="79"/>
    </row>
    <row r="437" spans="3:15" s="7" customFormat="1">
      <c r="D437" s="69"/>
      <c r="E437" s="36"/>
    </row>
    <row r="438" spans="3:15" s="7" customFormat="1">
      <c r="D438" s="69"/>
      <c r="E438" s="36"/>
    </row>
    <row r="439" spans="3:15" s="9" customFormat="1">
      <c r="E439" s="34"/>
      <c r="F439" s="34"/>
    </row>
    <row r="440" spans="3:15" s="9" customFormat="1">
      <c r="C440" s="120" t="s">
        <v>1158</v>
      </c>
      <c r="E440" s="34"/>
    </row>
    <row r="441" spans="3:15" s="9" customFormat="1">
      <c r="C441" s="9" t="s">
        <v>642</v>
      </c>
      <c r="E441" s="34"/>
    </row>
    <row r="442" spans="3:15" s="9" customFormat="1">
      <c r="C442" s="541" t="s">
        <v>644</v>
      </c>
      <c r="F442" s="34"/>
    </row>
    <row r="443" spans="3:15" s="9" customFormat="1">
      <c r="C443" s="9" t="s">
        <v>643</v>
      </c>
    </row>
    <row r="444" spans="3:15" s="9" customFormat="1"/>
    <row r="445" spans="3:15" s="9" customFormat="1"/>
    <row r="446" spans="3:15" s="9" customFormat="1"/>
    <row r="447" spans="3:15" s="9" customFormat="1"/>
    <row r="448" spans="3:15" s="9" customFormat="1"/>
    <row r="449" spans="3:10" s="9" customFormat="1"/>
    <row r="450" spans="3:10" s="9" customFormat="1"/>
    <row r="451" spans="3:10" s="9" customFormat="1">
      <c r="C451"/>
      <c r="D451" s="94" t="s">
        <v>91</v>
      </c>
      <c r="E451" s="95"/>
      <c r="I451"/>
    </row>
    <row r="452" spans="3:10" s="9" customFormat="1">
      <c r="C452"/>
      <c r="D452" s="98">
        <f>'Overall Assumptions'!$C$6</f>
        <v>100</v>
      </c>
      <c r="E452" s="96" t="s">
        <v>645</v>
      </c>
      <c r="I452"/>
    </row>
    <row r="453" spans="3:10" s="9" customFormat="1">
      <c r="C453"/>
      <c r="D453" s="535">
        <v>10</v>
      </c>
      <c r="E453" s="96" t="s">
        <v>611</v>
      </c>
      <c r="I453"/>
    </row>
    <row r="454" spans="3:10" s="9" customFormat="1">
      <c r="C454"/>
      <c r="D454" s="536">
        <f>1000000/D453</f>
        <v>100000</v>
      </c>
      <c r="E454" s="254" t="s">
        <v>610</v>
      </c>
      <c r="G454"/>
      <c r="H454"/>
      <c r="I454"/>
    </row>
    <row r="455" spans="3:10" s="9" customFormat="1">
      <c r="C455"/>
      <c r="D455" s="159">
        <v>5</v>
      </c>
      <c r="E455" s="970" t="s">
        <v>263</v>
      </c>
      <c r="F455" s="9" t="s">
        <v>1155</v>
      </c>
      <c r="H455"/>
      <c r="I455"/>
    </row>
    <row r="456" spans="3:10" s="9" customFormat="1">
      <c r="C456"/>
      <c r="D456" s="107"/>
      <c r="E456" s="95" t="s">
        <v>1152</v>
      </c>
      <c r="F456" s="1348">
        <v>1</v>
      </c>
      <c r="G456" s="108" t="s">
        <v>1156</v>
      </c>
      <c r="H456"/>
      <c r="I456"/>
    </row>
    <row r="457" spans="3:10" s="9" customFormat="1">
      <c r="C457"/>
      <c r="D457" s="403">
        <f>F457</f>
        <v>0.16666666666666666</v>
      </c>
      <c r="E457" s="96" t="s">
        <v>1131</v>
      </c>
      <c r="F457" s="1345">
        <f>G457/SUM($G$457:$G$459)*F$456</f>
        <v>0.16666666666666666</v>
      </c>
      <c r="G457" s="1341">
        <f>'Overall Assumptions'!$C$153</f>
        <v>0.05</v>
      </c>
      <c r="H457"/>
      <c r="I457"/>
    </row>
    <row r="458" spans="3:10" s="9" customFormat="1">
      <c r="C458"/>
      <c r="D458" s="403">
        <f>F458</f>
        <v>0.33333333333333331</v>
      </c>
      <c r="E458" s="96" t="s">
        <v>1153</v>
      </c>
      <c r="F458" s="1346">
        <f>G458/SUM($G$457:$G$459)*F$456</f>
        <v>0.33333333333333331</v>
      </c>
      <c r="G458" s="1342">
        <f>'Overall Assumptions'!$C$154</f>
        <v>0.1</v>
      </c>
      <c r="H458"/>
      <c r="I458"/>
    </row>
    <row r="459" spans="3:10" s="9" customFormat="1">
      <c r="C459"/>
      <c r="D459" s="1340">
        <f>F459</f>
        <v>0.49999999999999989</v>
      </c>
      <c r="E459" s="97" t="s">
        <v>1154</v>
      </c>
      <c r="F459" s="1347">
        <f>G459/SUM($G$457:$G$459)*F$456</f>
        <v>0.49999999999999989</v>
      </c>
      <c r="G459" s="1343">
        <f>'Overall Assumptions'!$C$155</f>
        <v>0.15</v>
      </c>
      <c r="H459"/>
      <c r="I459"/>
    </row>
    <row r="460" spans="3:10" s="9" customFormat="1">
      <c r="C460"/>
      <c r="H460"/>
      <c r="I460"/>
    </row>
    <row r="461" spans="3:10" s="9" customFormat="1">
      <c r="C461"/>
    </row>
    <row r="462" spans="3:10" s="9" customFormat="1">
      <c r="C462" t="s">
        <v>646</v>
      </c>
    </row>
    <row r="463" spans="3:10" s="9" customFormat="1">
      <c r="H463" s="9" t="s">
        <v>641</v>
      </c>
      <c r="I463"/>
      <c r="J463"/>
    </row>
    <row r="464" spans="3:10" s="9" customFormat="1">
      <c r="D464" s="107" t="s">
        <v>650</v>
      </c>
      <c r="E464" s="108"/>
      <c r="H464" s="6" t="s">
        <v>640</v>
      </c>
      <c r="I464"/>
      <c r="J464"/>
    </row>
    <row r="465" spans="3:10" s="9" customFormat="1">
      <c r="D465" s="545">
        <f>'Overall Assumptions'!$C$158</f>
        <v>3</v>
      </c>
      <c r="E465" s="109" t="s">
        <v>693</v>
      </c>
      <c r="H465" s="9" t="s">
        <v>628</v>
      </c>
    </row>
    <row r="466" spans="3:10" s="9" customFormat="1">
      <c r="D466" s="546">
        <f>'Overall Assumptions'!$C$159</f>
        <v>1</v>
      </c>
      <c r="E466" s="109" t="s">
        <v>648</v>
      </c>
      <c r="H466" s="9" t="s">
        <v>638</v>
      </c>
    </row>
    <row r="467" spans="3:10" s="9" customFormat="1">
      <c r="D467" s="545">
        <f>'Overall Assumptions'!$C$160</f>
        <v>0.6</v>
      </c>
      <c r="E467" s="109" t="s">
        <v>647</v>
      </c>
      <c r="I467" s="9" t="s">
        <v>629</v>
      </c>
    </row>
    <row r="468" spans="3:10" s="9" customFormat="1">
      <c r="D468" s="547">
        <f>'Overall Assumptions'!$C$161</f>
        <v>1</v>
      </c>
      <c r="E468" s="323" t="s">
        <v>649</v>
      </c>
      <c r="I468" s="9" t="s">
        <v>630</v>
      </c>
    </row>
    <row r="469" spans="3:10" s="9" customFormat="1">
      <c r="J469" s="9" t="s">
        <v>631</v>
      </c>
    </row>
    <row r="470" spans="3:10" s="9" customFormat="1">
      <c r="D470" s="9" t="s">
        <v>698</v>
      </c>
      <c r="J470" s="9" t="s">
        <v>632</v>
      </c>
    </row>
    <row r="471" spans="3:10" s="9" customFormat="1">
      <c r="D471" s="107" t="s">
        <v>679</v>
      </c>
      <c r="E471" s="320" t="s">
        <v>25</v>
      </c>
      <c r="F471" s="320" t="s">
        <v>680</v>
      </c>
      <c r="G471" s="108"/>
      <c r="J471" s="9" t="s">
        <v>633</v>
      </c>
    </row>
    <row r="472" spans="3:10" s="9" customFormat="1">
      <c r="D472" s="548">
        <f>'Overall Assumptions'!$C$163</f>
        <v>4</v>
      </c>
      <c r="E472" s="549">
        <f>'Overall Assumptions'!$D$163</f>
        <v>2</v>
      </c>
      <c r="F472" s="549">
        <f>'Overall Assumptions'!$E$163</f>
        <v>1</v>
      </c>
      <c r="G472" s="109" t="s">
        <v>694</v>
      </c>
      <c r="J472" s="9" t="s">
        <v>634</v>
      </c>
    </row>
    <row r="473" spans="3:10" s="9" customFormat="1">
      <c r="D473" s="548">
        <f>'Overall Assumptions'!$C$164</f>
        <v>4</v>
      </c>
      <c r="E473" s="549">
        <f>'Overall Assumptions'!$D$164</f>
        <v>2</v>
      </c>
      <c r="F473" s="549">
        <f>'Overall Assumptions'!$E$164</f>
        <v>1</v>
      </c>
      <c r="G473" s="109" t="s">
        <v>312</v>
      </c>
      <c r="J473" t="s">
        <v>635</v>
      </c>
    </row>
    <row r="474" spans="3:10" s="9" customFormat="1">
      <c r="D474" s="135"/>
      <c r="E474" s="571"/>
      <c r="F474" s="571"/>
      <c r="G474" s="109"/>
      <c r="H474" s="9" t="s">
        <v>639</v>
      </c>
    </row>
    <row r="475" spans="3:10" s="9" customFormat="1">
      <c r="D475" s="548">
        <f>'Overall Assumptions'!$C$166</f>
        <v>2</v>
      </c>
      <c r="E475" s="549">
        <f>'Overall Assumptions'!$D$166</f>
        <v>1</v>
      </c>
      <c r="F475" s="549">
        <f>'Overall Assumptions'!$E$166</f>
        <v>0.5</v>
      </c>
      <c r="G475" s="109" t="s">
        <v>651</v>
      </c>
      <c r="I475" s="9" t="s">
        <v>636</v>
      </c>
    </row>
    <row r="476" spans="3:10" s="9" customFormat="1">
      <c r="D476" s="550">
        <f>SUMPRODUCT(D465:D468,D472:D475)</f>
        <v>18</v>
      </c>
      <c r="E476" s="176">
        <f>SUMPRODUCT(D465:D468,E472:E475)</f>
        <v>9</v>
      </c>
      <c r="F476" s="176">
        <f>SUMPRODUCT(D465:D468,F472:F475)</f>
        <v>4.5</v>
      </c>
      <c r="G476" s="323" t="s">
        <v>166</v>
      </c>
      <c r="I476" s="9" t="s">
        <v>637</v>
      </c>
    </row>
    <row r="477" spans="3:10" s="9" customFormat="1">
      <c r="C477"/>
      <c r="G477" s="531"/>
      <c r="H477"/>
      <c r="I477"/>
    </row>
    <row r="478" spans="3:10" s="9" customFormat="1">
      <c r="C478"/>
      <c r="G478" s="531"/>
      <c r="H478"/>
      <c r="I478"/>
    </row>
    <row r="479" spans="3:10" s="9" customFormat="1">
      <c r="C479" s="402" t="s">
        <v>697</v>
      </c>
      <c r="D479" s="255" t="s">
        <v>652</v>
      </c>
      <c r="E479" s="255" t="s">
        <v>619</v>
      </c>
      <c r="F479" s="320" t="s">
        <v>612</v>
      </c>
      <c r="G479" s="320" t="s">
        <v>613</v>
      </c>
      <c r="H479" s="320" t="s">
        <v>624</v>
      </c>
      <c r="I479" s="108" t="s">
        <v>625</v>
      </c>
    </row>
    <row r="480" spans="3:10" s="9" customFormat="1">
      <c r="C480" s="404" t="s">
        <v>1131</v>
      </c>
      <c r="D480" s="1289">
        <f>D328</f>
        <v>2.7</v>
      </c>
      <c r="E480" s="542">
        <f>D457</f>
        <v>0.16666666666666666</v>
      </c>
      <c r="F480" s="551">
        <f>E480*D452</f>
        <v>16.666666666666664</v>
      </c>
      <c r="G480" s="336">
        <f>D480*F480*D$454/60/7.5</f>
        <v>10000</v>
      </c>
      <c r="H480" s="543">
        <f>D476</f>
        <v>18</v>
      </c>
      <c r="I480" s="552">
        <f>D$454*F480*H480</f>
        <v>29999999.999999996</v>
      </c>
    </row>
    <row r="481" spans="3:16" s="9" customFormat="1">
      <c r="C481" s="404" t="s">
        <v>323</v>
      </c>
      <c r="D481" s="1289">
        <f>E328</f>
        <v>1.95</v>
      </c>
      <c r="E481" s="542">
        <f>D458</f>
        <v>0.33333333333333331</v>
      </c>
      <c r="F481" s="551">
        <f>E481*D452</f>
        <v>33.333333333333329</v>
      </c>
      <c r="G481" s="336">
        <f>D481*F481*D$454/60/7.5</f>
        <v>14444.44444444444</v>
      </c>
      <c r="H481" s="543">
        <f>E476</f>
        <v>9</v>
      </c>
      <c r="I481" s="552">
        <f>D$454*F481*H481</f>
        <v>29999999.999999996</v>
      </c>
    </row>
    <row r="482" spans="3:16" s="9" customFormat="1">
      <c r="C482" s="404" t="s">
        <v>324</v>
      </c>
      <c r="D482" s="1289">
        <f>F328</f>
        <v>0.67500000000000004</v>
      </c>
      <c r="E482" s="542">
        <f>D459</f>
        <v>0.49999999999999989</v>
      </c>
      <c r="F482" s="551">
        <f>E482*D452</f>
        <v>49.999999999999986</v>
      </c>
      <c r="G482" s="336">
        <f>D482*F482*D$454/60/7.5</f>
        <v>7499.9999999999982</v>
      </c>
      <c r="H482" s="543">
        <f>F476</f>
        <v>4.5</v>
      </c>
      <c r="I482" s="552">
        <f>D$454*F482*H482</f>
        <v>22499999.999999993</v>
      </c>
    </row>
    <row r="483" spans="3:16" s="9" customFormat="1">
      <c r="C483" s="404"/>
      <c r="D483" s="79"/>
      <c r="E483" s="79"/>
      <c r="F483" s="79"/>
      <c r="G483" s="79"/>
      <c r="H483" s="122"/>
      <c r="I483" s="109"/>
    </row>
    <row r="484" spans="3:16" s="9" customFormat="1">
      <c r="C484" s="137" t="s">
        <v>463</v>
      </c>
      <c r="D484" s="439"/>
      <c r="E484" s="553">
        <f>SUM(E480:E482)</f>
        <v>0.99999999999999989</v>
      </c>
      <c r="F484" s="554">
        <f>SUM(F480:F482)</f>
        <v>99.999999999999972</v>
      </c>
      <c r="G484" s="555">
        <f>SUM(G480:G482)</f>
        <v>31944.444444444438</v>
      </c>
      <c r="H484" s="142"/>
      <c r="I484" s="556">
        <f>SUM(I480:I482)</f>
        <v>82499999.999999985</v>
      </c>
    </row>
    <row r="485" spans="3:16" s="9" customFormat="1">
      <c r="C485" s="79"/>
      <c r="D485" s="79"/>
      <c r="E485" s="534"/>
      <c r="F485" s="336"/>
    </row>
    <row r="486" spans="3:16" s="9" customFormat="1"/>
    <row r="487" spans="3:16" s="9" customFormat="1">
      <c r="C487" s="1" t="s">
        <v>4</v>
      </c>
      <c r="D487" s="23" t="s">
        <v>609</v>
      </c>
      <c r="O487" s="9">
        <v>1</v>
      </c>
      <c r="P487" s="9" t="s">
        <v>195</v>
      </c>
    </row>
    <row r="488" spans="3:16" s="9" customFormat="1">
      <c r="D488" s="93"/>
      <c r="O488" s="9">
        <v>1000000</v>
      </c>
      <c r="P488" s="9" t="s">
        <v>598</v>
      </c>
    </row>
    <row r="489" spans="3:16" s="9" customFormat="1">
      <c r="O489" s="533">
        <f>O488/10</f>
        <v>100000</v>
      </c>
      <c r="P489" s="9" t="s">
        <v>608</v>
      </c>
    </row>
    <row r="490" spans="3:16" s="9" customFormat="1">
      <c r="D490" s="74">
        <f>I484</f>
        <v>82499999.999999985</v>
      </c>
      <c r="E490" s="39" t="s">
        <v>609</v>
      </c>
      <c r="F490"/>
    </row>
    <row r="491" spans="3:16" s="9" customFormat="1">
      <c r="D491" s="344">
        <v>1</v>
      </c>
      <c r="E491" s="124" t="s">
        <v>263</v>
      </c>
      <c r="F491"/>
      <c r="O491" s="9">
        <v>20</v>
      </c>
      <c r="P491" s="9" t="s">
        <v>303</v>
      </c>
    </row>
    <row r="492" spans="3:16" s="9" customFormat="1">
      <c r="D492" s="93"/>
      <c r="E492" s="34"/>
      <c r="O492" s="9">
        <v>0.2</v>
      </c>
      <c r="P492" s="9" t="s">
        <v>195</v>
      </c>
    </row>
    <row r="493" spans="3:16">
      <c r="D493" s="71"/>
      <c r="M493" s="9"/>
      <c r="O493" s="531">
        <f>O492*O489</f>
        <v>20000</v>
      </c>
    </row>
    <row r="494" spans="3:16">
      <c r="C494" s="1" t="s">
        <v>42</v>
      </c>
      <c r="D494" s="367"/>
      <c r="E494" s="124"/>
      <c r="M494" s="9"/>
    </row>
    <row r="495" spans="3:16">
      <c r="D495" s="544">
        <v>10000</v>
      </c>
      <c r="E495" s="124" t="s">
        <v>626</v>
      </c>
      <c r="M495" s="9"/>
    </row>
    <row r="496" spans="3:16">
      <c r="D496" s="367"/>
      <c r="E496" s="124"/>
      <c r="M496" s="9"/>
    </row>
    <row r="497" spans="3:13">
      <c r="D497" s="25"/>
      <c r="M497" s="9"/>
    </row>
    <row r="498" spans="3:13">
      <c r="D498" s="74">
        <f>SUM(D494:D495)</f>
        <v>10000</v>
      </c>
      <c r="E498" s="39" t="s">
        <v>43</v>
      </c>
    </row>
    <row r="499" spans="3:13" s="9" customFormat="1">
      <c r="D499" s="344">
        <v>10</v>
      </c>
      <c r="E499" s="124" t="s">
        <v>263</v>
      </c>
    </row>
    <row r="500" spans="3:13">
      <c r="C500" s="256" t="s">
        <v>3</v>
      </c>
    </row>
    <row r="501" spans="3:13">
      <c r="D501" s="46"/>
      <c r="G501" s="3"/>
      <c r="H501" s="3"/>
      <c r="I501" s="3"/>
    </row>
    <row r="502" spans="3:13" ht="19">
      <c r="C502" t="s">
        <v>50</v>
      </c>
      <c r="D502" s="37" t="s">
        <v>325</v>
      </c>
      <c r="E502" s="24"/>
      <c r="F502" s="1"/>
      <c r="G502" s="3"/>
      <c r="H502" s="3"/>
      <c r="I502" s="3"/>
      <c r="J502" s="3"/>
    </row>
    <row r="503" spans="3:13">
      <c r="F503" s="1"/>
      <c r="G503" s="3"/>
      <c r="H503" s="3"/>
      <c r="I503" s="364"/>
      <c r="J503" s="3"/>
    </row>
    <row r="504" spans="3:13">
      <c r="D504" s="49"/>
      <c r="I504" s="365"/>
    </row>
    <row r="505" spans="3:13">
      <c r="D505" s="160" t="s">
        <v>240</v>
      </c>
    </row>
    <row r="506" spans="3:13">
      <c r="D506" s="50"/>
    </row>
    <row r="507" spans="3:13">
      <c r="D507" s="51" t="s">
        <v>82</v>
      </c>
      <c r="E507" s="39"/>
      <c r="I507" s="366"/>
    </row>
    <row r="508" spans="3:13" ht="19">
      <c r="D508" s="54">
        <f>'Overall Assumptions'!$C$68</f>
        <v>225</v>
      </c>
      <c r="E508" s="1215" t="s">
        <v>99</v>
      </c>
      <c r="I508" s="366"/>
    </row>
    <row r="509" spans="3:13">
      <c r="D509" s="54">
        <f>'Overall Assumptions'!$C$130</f>
        <v>2</v>
      </c>
      <c r="E509" s="76" t="s">
        <v>84</v>
      </c>
      <c r="I509" s="366"/>
    </row>
    <row r="510" spans="3:13">
      <c r="D510" s="537"/>
      <c r="E510" s="461"/>
      <c r="I510" s="366"/>
    </row>
    <row r="511" spans="3:13">
      <c r="D511" s="54"/>
      <c r="E511" s="43"/>
      <c r="K511" s="79"/>
      <c r="L511" s="79"/>
    </row>
    <row r="512" spans="3:13">
      <c r="D512" s="1311"/>
      <c r="E512" s="96"/>
      <c r="K512" s="79"/>
      <c r="L512" s="79"/>
    </row>
    <row r="513" spans="3:12">
      <c r="D513" s="467">
        <f>D278</f>
        <v>31622.776601683792</v>
      </c>
      <c r="E513" s="96" t="s">
        <v>1126</v>
      </c>
      <c r="K513" s="79"/>
      <c r="L513" s="79"/>
    </row>
    <row r="514" spans="3:12">
      <c r="D514" s="54">
        <f>'Overall Assumptions'!$C$10</f>
        <v>0</v>
      </c>
      <c r="E514" s="43" t="s">
        <v>85</v>
      </c>
      <c r="K514" s="79"/>
      <c r="L514" s="79"/>
    </row>
    <row r="515" spans="3:12">
      <c r="D515" s="54"/>
      <c r="E515" s="528"/>
      <c r="K515" s="79"/>
      <c r="L515" s="79"/>
    </row>
    <row r="516" spans="3:12">
      <c r="D516" s="54">
        <f>G480</f>
        <v>10000</v>
      </c>
      <c r="E516" s="528" t="s">
        <v>1213</v>
      </c>
      <c r="K516" s="79"/>
      <c r="L516" s="79"/>
    </row>
    <row r="517" spans="3:12">
      <c r="D517" s="54">
        <f>G481</f>
        <v>14444.44444444444</v>
      </c>
      <c r="E517" s="528" t="s">
        <v>1214</v>
      </c>
      <c r="K517" s="79"/>
      <c r="L517" s="79"/>
    </row>
    <row r="518" spans="3:12">
      <c r="D518" s="54">
        <f>G482</f>
        <v>7499.9999999999982</v>
      </c>
      <c r="E518" s="528" t="s">
        <v>1215</v>
      </c>
      <c r="K518" s="79"/>
      <c r="L518" s="79"/>
    </row>
    <row r="519" spans="3:12">
      <c r="D519" s="54"/>
      <c r="E519" s="528"/>
      <c r="K519" s="79"/>
      <c r="L519" s="79"/>
    </row>
    <row r="520" spans="3:12">
      <c r="D520" s="54">
        <f>'Overall Assumptions'!$C$90</f>
        <v>80</v>
      </c>
      <c r="E520" s="43" t="s">
        <v>86</v>
      </c>
      <c r="K520" s="79"/>
      <c r="L520" s="79"/>
    </row>
    <row r="521" spans="3:12">
      <c r="D521" s="56">
        <f>'Overall Assumptions'!$C$81</f>
        <v>210</v>
      </c>
      <c r="E521" s="45" t="s">
        <v>87</v>
      </c>
      <c r="J521" s="127"/>
      <c r="K521" s="79"/>
      <c r="L521" s="79"/>
    </row>
    <row r="522" spans="3:12">
      <c r="D522" s="57"/>
      <c r="J522" s="79"/>
      <c r="K522" s="79"/>
      <c r="L522" s="79"/>
    </row>
    <row r="523" spans="3:12">
      <c r="C523" s="21"/>
      <c r="D523" s="58">
        <f>2*D514/D520/7.5</f>
        <v>0</v>
      </c>
      <c r="E523" s="59" t="s">
        <v>95</v>
      </c>
      <c r="J523" s="128"/>
      <c r="K523" s="79"/>
      <c r="L523" s="79"/>
    </row>
    <row r="524" spans="3:12">
      <c r="C524" s="21"/>
      <c r="D524" s="58"/>
      <c r="E524" s="60" t="s">
        <v>100</v>
      </c>
      <c r="J524" s="79"/>
      <c r="K524" s="79"/>
      <c r="L524" s="79"/>
    </row>
    <row r="525" spans="3:12">
      <c r="C525" s="21"/>
      <c r="D525" s="155">
        <f>D513/D520/7.5</f>
        <v>52.704627669472984</v>
      </c>
      <c r="E525" s="59" t="s">
        <v>656</v>
      </c>
      <c r="J525" s="128"/>
      <c r="K525" s="79"/>
      <c r="L525" s="79"/>
    </row>
    <row r="526" spans="3:12" ht="18" customHeight="1">
      <c r="C526" s="21"/>
      <c r="D526" s="58"/>
      <c r="E526" s="59"/>
      <c r="F526" s="19"/>
      <c r="J526" s="79"/>
      <c r="K526" s="79"/>
      <c r="L526" s="79"/>
    </row>
    <row r="527" spans="3:12" ht="18" customHeight="1">
      <c r="C527" s="21"/>
      <c r="D527" s="58">
        <f>(D516+D517+D518)</f>
        <v>31944.444444444438</v>
      </c>
      <c r="E527" s="59" t="s">
        <v>588</v>
      </c>
      <c r="F527" s="19"/>
      <c r="J527" s="79"/>
      <c r="K527" s="79"/>
      <c r="L527" s="79"/>
    </row>
    <row r="528" spans="3:12" ht="18" customHeight="1">
      <c r="C528" s="21"/>
      <c r="D528" s="58"/>
      <c r="E528" s="59"/>
      <c r="F528" s="19"/>
      <c r="J528" s="79"/>
      <c r="K528" s="79"/>
      <c r="L528" s="79"/>
    </row>
    <row r="529" spans="3:12" ht="18" customHeight="1">
      <c r="C529" s="21"/>
      <c r="D529" s="77">
        <f>SUM(D523:D527)</f>
        <v>31997.149072113913</v>
      </c>
      <c r="E529" s="16" t="s">
        <v>157</v>
      </c>
      <c r="F529" s="19"/>
      <c r="J529" s="79"/>
      <c r="K529" s="79"/>
      <c r="L529" s="79"/>
    </row>
    <row r="530" spans="3:12">
      <c r="C530" s="21"/>
      <c r="J530" s="79"/>
      <c r="K530" s="79"/>
      <c r="L530" s="79"/>
    </row>
    <row r="531" spans="3:12">
      <c r="C531" s="21"/>
      <c r="D531" s="77">
        <f>D529*D509</f>
        <v>63994.298144227825</v>
      </c>
      <c r="E531" s="16" t="s">
        <v>566</v>
      </c>
      <c r="J531" s="128"/>
      <c r="K531" s="79"/>
      <c r="L531" s="79"/>
    </row>
    <row r="532" spans="3:12">
      <c r="C532" s="21"/>
      <c r="D532" s="77"/>
      <c r="J532" s="128"/>
      <c r="K532" s="79"/>
      <c r="L532" s="79"/>
    </row>
    <row r="533" spans="3:12">
      <c r="C533" s="21"/>
      <c r="D533" s="64">
        <f>D531*D508</f>
        <v>14398717.082451262</v>
      </c>
      <c r="E533" s="47" t="s">
        <v>329</v>
      </c>
      <c r="J533" s="129"/>
      <c r="K533" s="76"/>
      <c r="L533" s="79"/>
    </row>
    <row r="534" spans="3:12">
      <c r="C534" s="21"/>
      <c r="J534" s="129"/>
      <c r="K534" s="76"/>
      <c r="L534" s="79"/>
    </row>
    <row r="535" spans="3:12">
      <c r="J535" s="79"/>
      <c r="K535" s="79"/>
      <c r="L535" s="79"/>
    </row>
    <row r="536" spans="3:12">
      <c r="H536" s="259"/>
      <c r="J536" s="65"/>
      <c r="K536" s="66"/>
      <c r="L536" s="79"/>
    </row>
    <row r="537" spans="3:12">
      <c r="D537" s="65"/>
      <c r="E537" s="66"/>
      <c r="J537" s="65"/>
      <c r="K537" s="66"/>
      <c r="L537" s="79"/>
    </row>
    <row r="538" spans="3:12">
      <c r="E538" s="66"/>
      <c r="J538" s="79"/>
      <c r="K538" s="79"/>
      <c r="L538" s="79"/>
    </row>
    <row r="539" spans="3:12" ht="19">
      <c r="C539" s="2" t="s">
        <v>132</v>
      </c>
      <c r="D539" s="37" t="s">
        <v>89</v>
      </c>
      <c r="J539" s="79"/>
      <c r="K539" s="79"/>
      <c r="L539" s="79"/>
    </row>
    <row r="540" spans="3:12">
      <c r="C540" t="s">
        <v>54</v>
      </c>
      <c r="J540" s="79"/>
      <c r="K540" s="79"/>
      <c r="L540" s="79"/>
    </row>
    <row r="541" spans="3:12">
      <c r="D541" s="160" t="s">
        <v>243</v>
      </c>
      <c r="J541" s="79"/>
      <c r="K541" s="79"/>
      <c r="L541" s="79"/>
    </row>
    <row r="542" spans="3:12">
      <c r="D542" s="16"/>
      <c r="J542" s="79"/>
      <c r="K542" s="79"/>
      <c r="L542" s="79"/>
    </row>
    <row r="543" spans="3:12">
      <c r="D543" s="67" t="s">
        <v>91</v>
      </c>
      <c r="E543" s="41"/>
      <c r="J543" s="79"/>
      <c r="K543" s="79"/>
      <c r="L543" s="79"/>
    </row>
    <row r="544" spans="3:12">
      <c r="D544" s="52">
        <f>'Overall Assumptions'!$C$93</f>
        <v>285</v>
      </c>
      <c r="E544" s="41" t="s">
        <v>93</v>
      </c>
      <c r="J544" s="79"/>
      <c r="K544" s="79"/>
      <c r="L544" s="79"/>
    </row>
    <row r="545" spans="4:15">
      <c r="D545" s="54">
        <f>'Overall Assumptions'!$C$10</f>
        <v>0</v>
      </c>
      <c r="E545" s="43" t="s">
        <v>85</v>
      </c>
      <c r="J545" s="79"/>
      <c r="K545" s="79"/>
      <c r="L545" s="79"/>
    </row>
    <row r="546" spans="4:15">
      <c r="D546" s="54">
        <f>'Overall Assumptions'!$C$90</f>
        <v>80</v>
      </c>
      <c r="E546" s="43" t="s">
        <v>86</v>
      </c>
      <c r="J546" s="79"/>
      <c r="K546" s="79"/>
      <c r="L546" s="79"/>
    </row>
    <row r="547" spans="4:15">
      <c r="D547" s="55"/>
      <c r="E547" s="43"/>
      <c r="J547" s="79"/>
      <c r="K547" s="79"/>
      <c r="L547" s="79"/>
    </row>
    <row r="548" spans="4:15">
      <c r="D548" s="56"/>
      <c r="E548" s="45"/>
      <c r="J548" s="127"/>
      <c r="K548" s="79"/>
      <c r="L548" s="79"/>
    </row>
    <row r="549" spans="4:15">
      <c r="D549" s="75"/>
      <c r="E549" s="76"/>
      <c r="J549" s="79"/>
      <c r="K549" s="79"/>
      <c r="L549" s="79"/>
    </row>
    <row r="550" spans="4:15">
      <c r="D550" s="46">
        <f>2*D545/D546/7.5</f>
        <v>0</v>
      </c>
      <c r="E550" s="59" t="s">
        <v>97</v>
      </c>
      <c r="J550" s="132"/>
      <c r="K550" s="133"/>
      <c r="L550" s="79"/>
    </row>
    <row r="551" spans="4:15">
      <c r="D551" s="46">
        <f>D525</f>
        <v>52.704627669472984</v>
      </c>
      <c r="E551" s="59" t="s">
        <v>589</v>
      </c>
      <c r="J551" s="79"/>
      <c r="K551" s="133"/>
      <c r="L551" s="79"/>
    </row>
    <row r="552" spans="4:15">
      <c r="D552" s="46">
        <f>D527</f>
        <v>31944.444444444438</v>
      </c>
      <c r="E552" s="59" t="s">
        <v>623</v>
      </c>
      <c r="J552" s="79"/>
      <c r="K552" s="133"/>
      <c r="L552" s="79"/>
    </row>
    <row r="553" spans="4:15">
      <c r="D553" s="46">
        <f>SUM(D550:D552)</f>
        <v>31997.149072113913</v>
      </c>
      <c r="E553" s="59" t="s">
        <v>135</v>
      </c>
      <c r="J553" s="128"/>
      <c r="K553" s="79"/>
      <c r="L553" s="79"/>
    </row>
    <row r="554" spans="4:15">
      <c r="D554" s="63"/>
      <c r="J554" s="129"/>
      <c r="K554" s="76"/>
      <c r="L554" s="79"/>
    </row>
    <row r="555" spans="4:15">
      <c r="D555" s="63"/>
      <c r="J555" s="129"/>
      <c r="K555" s="76"/>
      <c r="L555" s="79"/>
    </row>
    <row r="556" spans="4:15">
      <c r="D556" s="68">
        <f>D553*D544</f>
        <v>9119187.4855524655</v>
      </c>
      <c r="E556" s="47" t="s">
        <v>53</v>
      </c>
      <c r="J556" s="65"/>
      <c r="K556" s="66"/>
      <c r="L556" s="79"/>
    </row>
    <row r="557" spans="4:15">
      <c r="D557" s="63"/>
      <c r="J557" s="65"/>
      <c r="K557" s="66"/>
      <c r="L557" s="79"/>
    </row>
    <row r="558" spans="4:15">
      <c r="D558" s="46">
        <f>D553</f>
        <v>31997.149072113913</v>
      </c>
      <c r="E558" s="359" t="s">
        <v>795</v>
      </c>
      <c r="J558" s="65"/>
      <c r="K558" s="66"/>
      <c r="L558" s="79"/>
    </row>
    <row r="559" spans="4:15">
      <c r="D559" s="75">
        <f>ROUNDUP((D558/21),0)</f>
        <v>1524</v>
      </c>
      <c r="E559" s="99" t="s">
        <v>739</v>
      </c>
      <c r="J559" s="65"/>
      <c r="K559" s="66"/>
      <c r="L559" s="79"/>
    </row>
    <row r="560" spans="4:15">
      <c r="D560" s="92"/>
      <c r="E560" s="66"/>
      <c r="J560" s="65"/>
      <c r="K560" s="66"/>
      <c r="L560" s="79"/>
      <c r="M560" s="79"/>
      <c r="N560" s="79"/>
      <c r="O560" s="79"/>
    </row>
    <row r="561" spans="3:15">
      <c r="D561" s="92"/>
      <c r="E561" s="66"/>
      <c r="J561" s="65"/>
      <c r="K561" s="66"/>
      <c r="L561" s="79"/>
      <c r="M561" s="79"/>
      <c r="N561" s="79"/>
      <c r="O561" s="79"/>
    </row>
    <row r="562" spans="3:15">
      <c r="D562" s="92"/>
      <c r="E562" s="66"/>
      <c r="J562" s="65"/>
      <c r="K562" s="66"/>
      <c r="L562" s="79"/>
      <c r="M562" s="79"/>
      <c r="N562" s="79"/>
      <c r="O562" s="79"/>
    </row>
    <row r="563" spans="3:15">
      <c r="C563" t="s">
        <v>70</v>
      </c>
      <c r="D563" s="58"/>
      <c r="E563" s="59" t="s">
        <v>156</v>
      </c>
      <c r="J563" s="65"/>
      <c r="K563" s="66"/>
      <c r="L563" s="79"/>
      <c r="M563" s="79"/>
      <c r="N563" s="79"/>
      <c r="O563" s="79"/>
    </row>
    <row r="564" spans="3:15">
      <c r="D564" s="58"/>
      <c r="E564" s="59"/>
      <c r="J564" s="65"/>
      <c r="K564" s="66"/>
      <c r="L564" s="79"/>
      <c r="M564" s="79"/>
      <c r="N564" s="79"/>
      <c r="O564" s="79"/>
    </row>
    <row r="565" spans="3:15">
      <c r="D565" s="58"/>
      <c r="E565" s="59"/>
      <c r="J565" s="65"/>
      <c r="K565" s="66"/>
      <c r="L565" s="79"/>
      <c r="M565" s="79"/>
      <c r="N565" s="79"/>
      <c r="O565" s="79"/>
    </row>
    <row r="566" spans="3:15">
      <c r="D566" s="25">
        <f>D529</f>
        <v>31997.149072113913</v>
      </c>
      <c r="E566" s="16" t="s">
        <v>157</v>
      </c>
      <c r="J566" s="65"/>
      <c r="K566" s="66"/>
      <c r="L566" s="79"/>
      <c r="M566" s="79"/>
      <c r="N566" s="79"/>
      <c r="O566" s="79"/>
    </row>
    <row r="567" spans="3:15">
      <c r="D567" s="61">
        <f>FLOOR(D566,1)</f>
        <v>31997</v>
      </c>
      <c r="E567" s="16" t="s">
        <v>73</v>
      </c>
      <c r="J567" s="65"/>
      <c r="K567" s="66"/>
      <c r="L567" s="79"/>
      <c r="M567" s="79"/>
      <c r="N567" s="79"/>
      <c r="O567" s="79"/>
    </row>
    <row r="568" spans="3:15">
      <c r="D568" s="146">
        <f>D567*D509</f>
        <v>63994</v>
      </c>
      <c r="E568" s="66" t="s">
        <v>175</v>
      </c>
      <c r="J568" s="65"/>
      <c r="K568" s="66"/>
      <c r="L568" s="79"/>
      <c r="M568" s="79"/>
      <c r="N568" s="79"/>
      <c r="O568" s="79"/>
    </row>
    <row r="569" spans="3:15">
      <c r="D569" s="65"/>
      <c r="E569" s="66" t="s">
        <v>88</v>
      </c>
      <c r="J569" s="65"/>
      <c r="K569" s="66"/>
      <c r="L569" s="79"/>
      <c r="M569" s="79"/>
      <c r="N569" s="79"/>
      <c r="O569" s="79"/>
    </row>
    <row r="570" spans="3:15">
      <c r="D570" s="102">
        <f>D568*D521</f>
        <v>13438740</v>
      </c>
      <c r="E570" s="39" t="s">
        <v>74</v>
      </c>
      <c r="J570" s="129"/>
      <c r="K570" s="276"/>
      <c r="L570" s="276"/>
      <c r="M570" s="276"/>
      <c r="N570" s="276"/>
      <c r="O570" s="79"/>
    </row>
    <row r="571" spans="3:15">
      <c r="D571" s="65"/>
      <c r="E571" s="66"/>
      <c r="J571" s="65"/>
      <c r="K571" s="122"/>
      <c r="L571" s="136"/>
      <c r="M571" s="119"/>
      <c r="N571" s="119"/>
      <c r="O571" s="79"/>
    </row>
    <row r="572" spans="3:15">
      <c r="C572" t="s">
        <v>4</v>
      </c>
      <c r="D572" s="74">
        <f>D490</f>
        <v>82499999.999999985</v>
      </c>
      <c r="E572" s="39" t="str">
        <f>E490</f>
        <v>Consumables needed for bush regeneration</v>
      </c>
      <c r="J572" s="65"/>
      <c r="K572" s="122"/>
      <c r="L572" s="136"/>
      <c r="M572" s="119"/>
      <c r="N572" s="119"/>
      <c r="O572" s="79"/>
    </row>
    <row r="573" spans="3:15">
      <c r="D573" s="65"/>
      <c r="E573" s="66"/>
      <c r="J573" s="65"/>
      <c r="K573" s="122"/>
      <c r="L573" s="136"/>
      <c r="M573" s="119"/>
      <c r="N573" s="119"/>
      <c r="O573" s="79"/>
    </row>
    <row r="574" spans="3:15">
      <c r="D574" s="65"/>
      <c r="E574" s="66"/>
      <c r="J574" s="65"/>
      <c r="K574" s="122"/>
      <c r="L574" s="136"/>
      <c r="M574" s="119"/>
      <c r="N574" s="119"/>
      <c r="O574" s="79"/>
    </row>
    <row r="575" spans="3:15">
      <c r="D575" s="65"/>
      <c r="E575" s="66"/>
      <c r="J575" s="65"/>
      <c r="K575" s="122"/>
      <c r="L575" s="136"/>
      <c r="M575" s="119"/>
      <c r="N575" s="119"/>
      <c r="O575" s="79"/>
    </row>
    <row r="576" spans="3:15">
      <c r="D576" s="65"/>
      <c r="E576" s="66"/>
      <c r="J576" s="65"/>
      <c r="K576" s="122"/>
      <c r="L576" s="136"/>
      <c r="M576" s="119"/>
      <c r="N576" s="119"/>
      <c r="O576" s="79"/>
    </row>
    <row r="577" spans="3:15" s="9" customFormat="1">
      <c r="C577" s="121"/>
      <c r="D577" s="143" t="s">
        <v>172</v>
      </c>
      <c r="E577" s="144" t="s">
        <v>155</v>
      </c>
      <c r="F577" s="144" t="s">
        <v>173</v>
      </c>
      <c r="G577" s="144" t="s">
        <v>174</v>
      </c>
      <c r="H577" s="144" t="s">
        <v>166</v>
      </c>
      <c r="I577" s="145" t="s">
        <v>69</v>
      </c>
      <c r="J577" s="276" t="s">
        <v>391</v>
      </c>
      <c r="K577" s="122"/>
      <c r="L577" s="136"/>
      <c r="M577" s="119"/>
      <c r="N577" s="119"/>
      <c r="O577" s="122"/>
    </row>
    <row r="578" spans="3:15" s="9" customFormat="1">
      <c r="C578" s="121"/>
      <c r="D578" s="135" t="s">
        <v>3</v>
      </c>
      <c r="E578" s="136">
        <f>D531</f>
        <v>63994.298144227825</v>
      </c>
      <c r="F578" s="141">
        <f>D452</f>
        <v>100</v>
      </c>
      <c r="G578" s="122"/>
      <c r="H578" s="119">
        <f>D533</f>
        <v>14398717.082451262</v>
      </c>
      <c r="I578" s="119" t="str">
        <f>E533</f>
        <v>Cost for person hours</v>
      </c>
      <c r="J578" s="9">
        <f>$D$455</f>
        <v>5</v>
      </c>
      <c r="K578" s="122"/>
      <c r="L578" s="136"/>
      <c r="M578" s="119"/>
      <c r="N578" s="119"/>
      <c r="O578" s="122"/>
    </row>
    <row r="579" spans="3:15" s="9" customFormat="1">
      <c r="C579" s="121"/>
      <c r="D579" s="135" t="s">
        <v>132</v>
      </c>
      <c r="E579" s="136">
        <f>D553</f>
        <v>31997.149072113913</v>
      </c>
      <c r="F579" s="141">
        <f>F580</f>
        <v>100</v>
      </c>
      <c r="G579" s="141"/>
      <c r="H579" s="119">
        <f>D556</f>
        <v>9119187.4855524655</v>
      </c>
      <c r="I579" s="119" t="str">
        <f>E556</f>
        <v>Cost for ute hire for the whole activity</v>
      </c>
      <c r="J579" s="9">
        <f>$D$455</f>
        <v>5</v>
      </c>
      <c r="K579" s="122"/>
      <c r="L579" s="136"/>
      <c r="M579" s="119"/>
      <c r="N579" s="119"/>
      <c r="O579" s="122"/>
    </row>
    <row r="580" spans="3:15" s="9" customFormat="1">
      <c r="C580" s="121"/>
      <c r="D580" s="135" t="s">
        <v>169</v>
      </c>
      <c r="E580" s="136">
        <f>D568</f>
        <v>63994</v>
      </c>
      <c r="F580" s="141">
        <f>F578</f>
        <v>100</v>
      </c>
      <c r="G580" s="141">
        <f>D545</f>
        <v>0</v>
      </c>
      <c r="H580" s="119">
        <f>SUM(D570,D572)</f>
        <v>95938739.999999985</v>
      </c>
      <c r="I580" s="119" t="s">
        <v>1132</v>
      </c>
      <c r="J580" s="9">
        <f>$D$455</f>
        <v>5</v>
      </c>
      <c r="K580" s="122"/>
      <c r="L580" s="136"/>
      <c r="M580" s="119"/>
      <c r="N580" s="119"/>
      <c r="O580" s="122"/>
    </row>
    <row r="581" spans="3:15" s="9" customFormat="1">
      <c r="D581" s="135" t="s">
        <v>21</v>
      </c>
      <c r="E581" s="136"/>
      <c r="F581" s="141"/>
      <c r="G581" s="122"/>
      <c r="H581" s="119">
        <f>D498</f>
        <v>10000</v>
      </c>
      <c r="I581" s="119" t="str">
        <f>E498</f>
        <v>Total equipment cost</v>
      </c>
      <c r="J581" s="557">
        <f>$D$499</f>
        <v>10</v>
      </c>
      <c r="K581" s="122"/>
      <c r="L581" s="147"/>
      <c r="M581" s="119"/>
      <c r="N581" s="119"/>
      <c r="O581" s="122"/>
    </row>
    <row r="582" spans="3:15" s="9" customFormat="1">
      <c r="D582" s="137"/>
      <c r="E582" s="138"/>
      <c r="F582" s="142"/>
      <c r="G582" s="142"/>
      <c r="H582" s="139">
        <f>SUM(H578:H581)</f>
        <v>119466644.56800371</v>
      </c>
      <c r="I582" s="140" t="s">
        <v>165</v>
      </c>
      <c r="K582" s="122"/>
      <c r="L582" s="122"/>
      <c r="M582" s="122"/>
      <c r="N582" s="122"/>
      <c r="O582" s="122"/>
    </row>
    <row r="583" spans="3:15" s="9" customFormat="1">
      <c r="C583" s="121"/>
    </row>
    <row r="584" spans="3:15" s="9" customFormat="1">
      <c r="D584" s="105"/>
      <c r="E584" s="34"/>
    </row>
    <row r="585" spans="3:15">
      <c r="D585" s="25"/>
      <c r="H585" s="259"/>
    </row>
    <row r="586" spans="3:15" s="7" customFormat="1">
      <c r="D586" s="69"/>
      <c r="E586" s="36"/>
    </row>
    <row r="587" spans="3:15" s="7" customFormat="1">
      <c r="D587" s="35"/>
      <c r="E587" s="36"/>
    </row>
    <row r="588" spans="3:15">
      <c r="C588" s="1" t="s">
        <v>164</v>
      </c>
      <c r="D588" s="34" t="s">
        <v>653</v>
      </c>
      <c r="E588" s="34"/>
      <c r="G588" s="359"/>
    </row>
    <row r="589" spans="3:15">
      <c r="C589" s="9"/>
      <c r="D589" s="9" t="s">
        <v>168</v>
      </c>
      <c r="E589" s="34"/>
      <c r="G589" s="359"/>
    </row>
    <row r="590" spans="3:15">
      <c r="D590"/>
      <c r="E590"/>
      <c r="G590" s="359"/>
    </row>
    <row r="591" spans="3:15">
      <c r="D591" s="592" t="s">
        <v>179</v>
      </c>
      <c r="E591" s="274"/>
      <c r="G591" s="359"/>
    </row>
    <row r="592" spans="3:15">
      <c r="D592" s="974">
        <f>'Overall Assumptions'!$C$6</f>
        <v>100</v>
      </c>
      <c r="E592" s="246" t="s">
        <v>451</v>
      </c>
      <c r="G592" s="359"/>
    </row>
    <row r="593" spans="4:8">
      <c r="D593" s="408">
        <f>'Overall Assumptions'!$C$120</f>
        <v>0.3</v>
      </c>
      <c r="E593" s="483" t="str">
        <f>'Overall Assumptions'!$D$120</f>
        <v>Percentage of field that needs to be surveyed (ground)</v>
      </c>
      <c r="G593" s="359"/>
    </row>
    <row r="594" spans="4:8">
      <c r="D594" s="332">
        <f>D592*D593</f>
        <v>30</v>
      </c>
      <c r="E594" s="483" t="s">
        <v>450</v>
      </c>
      <c r="G594" s="359"/>
    </row>
    <row r="595" spans="4:8">
      <c r="D595" s="447">
        <v>1</v>
      </c>
      <c r="E595" s="483" t="s">
        <v>246</v>
      </c>
      <c r="G595" s="359"/>
    </row>
    <row r="596" spans="4:8">
      <c r="D596" s="482">
        <f>'Overall Assumptions'!$C$132</f>
        <v>0.5</v>
      </c>
      <c r="E596" s="43" t="s">
        <v>79</v>
      </c>
      <c r="G596" s="359"/>
    </row>
    <row r="597" spans="4:8">
      <c r="D597" s="54">
        <f>D594/D596</f>
        <v>60</v>
      </c>
      <c r="E597" s="483" t="s">
        <v>972</v>
      </c>
      <c r="G597" s="359"/>
    </row>
    <row r="598" spans="4:8">
      <c r="D598" s="42">
        <f>'Overall Assumptions'!$C$53</f>
        <v>4.46</v>
      </c>
      <c r="E598" s="631" t="s">
        <v>780</v>
      </c>
      <c r="G598" s="359"/>
    </row>
    <row r="599" spans="4:8">
      <c r="D599" s="42">
        <f>'Overall Assumptions'!$C$54</f>
        <v>3.3449999999999998</v>
      </c>
      <c r="E599" s="631" t="s">
        <v>781</v>
      </c>
      <c r="G599" s="359"/>
    </row>
    <row r="600" spans="4:8">
      <c r="D600" s="125">
        <f>'Overall Assumptions'!$C$55</f>
        <v>2.23</v>
      </c>
      <c r="E600" s="635" t="s">
        <v>782</v>
      </c>
      <c r="G600" s="359"/>
    </row>
    <row r="601" spans="4:8">
      <c r="G601" s="359"/>
    </row>
    <row r="602" spans="4:8">
      <c r="D602" s="25"/>
      <c r="G602" s="359"/>
    </row>
    <row r="603" spans="4:8">
      <c r="D603" s="151" t="s">
        <v>179</v>
      </c>
      <c r="E603" s="164"/>
      <c r="F603" s="255"/>
      <c r="G603" s="1090"/>
      <c r="H603" s="161"/>
    </row>
    <row r="604" spans="4:8">
      <c r="D604" s="444">
        <f>10/60</f>
        <v>0.16666666666666666</v>
      </c>
      <c r="E604" s="443" t="s">
        <v>1134</v>
      </c>
      <c r="F604" s="465"/>
      <c r="G604" s="1097"/>
      <c r="H604" s="466"/>
    </row>
    <row r="605" spans="4:8">
      <c r="D605" s="332">
        <f>D594/D596</f>
        <v>60</v>
      </c>
      <c r="E605" s="76" t="s">
        <v>253</v>
      </c>
      <c r="F605" s="79"/>
      <c r="G605" s="1119"/>
      <c r="H605" s="246"/>
    </row>
    <row r="606" spans="4:8">
      <c r="D606" s="154">
        <f>D604*D605</f>
        <v>10</v>
      </c>
      <c r="E606" s="333" t="s">
        <v>1135</v>
      </c>
      <c r="F606" s="439"/>
      <c r="G606" s="1098"/>
      <c r="H606" s="162"/>
    </row>
    <row r="607" spans="4:8" s="79" customFormat="1">
      <c r="D607" s="66"/>
      <c r="E607" s="76"/>
      <c r="G607" s="1119"/>
    </row>
    <row r="608" spans="4:8">
      <c r="D608"/>
      <c r="E608"/>
      <c r="F608" s="432"/>
      <c r="G608" s="1099"/>
    </row>
    <row r="609" spans="3:10" ht="19">
      <c r="C609" t="s">
        <v>50</v>
      </c>
      <c r="D609" s="37" t="s">
        <v>81</v>
      </c>
      <c r="E609" s="24"/>
      <c r="F609" s="1"/>
      <c r="G609" s="1100"/>
      <c r="H609" s="3"/>
      <c r="I609" s="3"/>
      <c r="J609" s="3"/>
    </row>
    <row r="610" spans="3:10">
      <c r="F610" s="1"/>
      <c r="G610" s="1100"/>
      <c r="H610" s="3"/>
      <c r="I610" s="3"/>
      <c r="J610" s="3"/>
    </row>
    <row r="611" spans="3:10">
      <c r="D611" s="160" t="s">
        <v>408</v>
      </c>
      <c r="G611" s="359"/>
    </row>
    <row r="612" spans="3:10">
      <c r="G612" s="359"/>
    </row>
    <row r="613" spans="3:10">
      <c r="D613" s="50"/>
      <c r="G613" s="359"/>
    </row>
    <row r="614" spans="3:10">
      <c r="D614" s="51" t="s">
        <v>82</v>
      </c>
      <c r="E614" s="273"/>
      <c r="F614" s="274"/>
      <c r="G614" s="359"/>
    </row>
    <row r="615" spans="3:10" ht="19">
      <c r="D615" s="54">
        <f>'Overall Assumptions'!$C$68</f>
        <v>225</v>
      </c>
      <c r="E615" s="1215" t="s">
        <v>99</v>
      </c>
      <c r="F615" s="246"/>
      <c r="G615" s="359"/>
    </row>
    <row r="616" spans="3:10">
      <c r="D616" s="54">
        <f>'Overall Assumptions'!$C$130</f>
        <v>2</v>
      </c>
      <c r="E616" s="76" t="s">
        <v>84</v>
      </c>
      <c r="F616" s="246"/>
      <c r="G616" s="359"/>
    </row>
    <row r="617" spans="3:10">
      <c r="D617" s="152"/>
      <c r="E617" s="76"/>
      <c r="F617" s="246"/>
      <c r="G617" s="359"/>
    </row>
    <row r="618" spans="3:10">
      <c r="D618" s="42">
        <f>'Overall Assumptions'!$C$53</f>
        <v>4.46</v>
      </c>
      <c r="E618" s="629" t="s">
        <v>780</v>
      </c>
      <c r="F618" s="246"/>
      <c r="G618" s="359"/>
    </row>
    <row r="619" spans="3:10">
      <c r="D619" s="42">
        <f>'Overall Assumptions'!$C$54</f>
        <v>3.3449999999999998</v>
      </c>
      <c r="E619" s="629" t="s">
        <v>781</v>
      </c>
      <c r="F619" s="246"/>
      <c r="G619" s="359"/>
    </row>
    <row r="620" spans="3:10">
      <c r="D620" s="42">
        <f>'Overall Assumptions'!$C$55</f>
        <v>2.23</v>
      </c>
      <c r="E620" s="629" t="s">
        <v>782</v>
      </c>
      <c r="F620" s="246"/>
      <c r="G620" s="359"/>
    </row>
    <row r="621" spans="3:10">
      <c r="D621" s="616"/>
      <c r="E621" s="833"/>
      <c r="F621" s="246"/>
      <c r="G621" s="359"/>
    </row>
    <row r="622" spans="3:10">
      <c r="D622" s="467">
        <f>D597</f>
        <v>60</v>
      </c>
      <c r="E622" s="1216" t="str">
        <f>E597</f>
        <v>Effective distance to be walked along</v>
      </c>
      <c r="F622" s="246"/>
      <c r="G622" s="359"/>
    </row>
    <row r="623" spans="3:10">
      <c r="D623" s="467"/>
      <c r="E623" s="76"/>
      <c r="F623" s="246"/>
      <c r="G623" s="359"/>
    </row>
    <row r="624" spans="3:10">
      <c r="D624" s="468">
        <f>D606/7.5</f>
        <v>1.3333333333333333</v>
      </c>
      <c r="E624" s="76" t="s">
        <v>464</v>
      </c>
      <c r="F624" s="246"/>
      <c r="G624" s="359"/>
    </row>
    <row r="625" spans="3:10">
      <c r="D625" s="54">
        <f>'Overall Assumptions'!$C$10</f>
        <v>0</v>
      </c>
      <c r="E625" s="76" t="s">
        <v>85</v>
      </c>
      <c r="F625" s="246"/>
      <c r="G625" s="359"/>
    </row>
    <row r="626" spans="3:10">
      <c r="D626" s="54">
        <f>'Overall Assumptions'!$C$90</f>
        <v>80</v>
      </c>
      <c r="E626" s="76" t="s">
        <v>86</v>
      </c>
      <c r="F626" s="246"/>
      <c r="G626" s="359"/>
    </row>
    <row r="627" spans="3:10">
      <c r="D627" s="56">
        <f>'Overall Assumptions'!$C$81</f>
        <v>210</v>
      </c>
      <c r="E627" s="333" t="s">
        <v>87</v>
      </c>
      <c r="F627" s="162"/>
      <c r="G627" s="359"/>
      <c r="J627" s="578"/>
    </row>
    <row r="628" spans="3:10">
      <c r="D628" s="57"/>
      <c r="G628" s="359"/>
    </row>
    <row r="629" spans="3:10">
      <c r="C629" s="21"/>
      <c r="G629" s="359"/>
      <c r="J629" s="90"/>
    </row>
    <row r="630" spans="3:10">
      <c r="C630" s="21"/>
      <c r="D630" s="59" t="s">
        <v>735</v>
      </c>
      <c r="E630" s="2" t="s">
        <v>218</v>
      </c>
      <c r="F630" s="2" t="s">
        <v>733</v>
      </c>
      <c r="G630" s="359" t="s">
        <v>796</v>
      </c>
    </row>
    <row r="631" spans="3:10">
      <c r="C631" s="21"/>
      <c r="D631" s="46">
        <f>D618</f>
        <v>4.46</v>
      </c>
      <c r="E631" s="46">
        <f>D619</f>
        <v>3.3449999999999998</v>
      </c>
      <c r="F631" s="1219">
        <f>D620</f>
        <v>2.23</v>
      </c>
      <c r="G631" s="359" t="s">
        <v>254</v>
      </c>
      <c r="J631" s="90"/>
    </row>
    <row r="632" spans="3:10">
      <c r="C632" s="21"/>
      <c r="D632" s="77">
        <f>2*D625/D626/7.5</f>
        <v>0</v>
      </c>
      <c r="E632" s="77">
        <f>D632</f>
        <v>0</v>
      </c>
      <c r="F632" s="77">
        <f>E632</f>
        <v>0</v>
      </c>
      <c r="G632" s="59" t="s">
        <v>95</v>
      </c>
      <c r="J632" s="90"/>
    </row>
    <row r="633" spans="3:10">
      <c r="C633" s="21"/>
      <c r="D633" s="77"/>
      <c r="G633" s="16" t="s">
        <v>778</v>
      </c>
      <c r="J633" s="90"/>
    </row>
    <row r="634" spans="3:10">
      <c r="C634" s="21"/>
      <c r="G634" s="359"/>
    </row>
    <row r="635" spans="3:10" ht="18" customHeight="1">
      <c r="C635" s="21"/>
      <c r="D635" s="77">
        <f>$D622/D631/7.5</f>
        <v>1.7937219730941705</v>
      </c>
      <c r="E635" s="77">
        <f>$D622/E631/7.5</f>
        <v>2.391629297458894</v>
      </c>
      <c r="F635" s="77">
        <f>$D622/F631/7.5</f>
        <v>3.5874439461883409</v>
      </c>
      <c r="G635" s="693" t="s">
        <v>96</v>
      </c>
    </row>
    <row r="636" spans="3:10" ht="18" customHeight="1">
      <c r="C636" s="21"/>
      <c r="D636" s="77">
        <f>$D624</f>
        <v>1.3333333333333333</v>
      </c>
      <c r="E636" s="77">
        <f>$D624</f>
        <v>1.3333333333333333</v>
      </c>
      <c r="F636" s="77">
        <f>$D624</f>
        <v>1.3333333333333333</v>
      </c>
      <c r="G636" s="693" t="s">
        <v>786</v>
      </c>
    </row>
    <row r="637" spans="3:10" ht="18" customHeight="1">
      <c r="C637" s="21"/>
      <c r="D637" s="77">
        <f>SUM(D635:D636)</f>
        <v>3.1270553064275037</v>
      </c>
      <c r="E637" s="77">
        <f>SUM(E635:E636)</f>
        <v>3.724962630792227</v>
      </c>
      <c r="F637" s="77">
        <f>SUM(F635:F636)</f>
        <v>4.9207772795216744</v>
      </c>
      <c r="G637" s="693" t="s">
        <v>171</v>
      </c>
    </row>
    <row r="638" spans="3:10" ht="18" customHeight="1">
      <c r="C638" s="21"/>
      <c r="D638" s="16"/>
      <c r="E638"/>
      <c r="G638" s="359"/>
    </row>
    <row r="639" spans="3:10" ht="18" customHeight="1">
      <c r="C639" s="21"/>
      <c r="D639" s="77">
        <f>D637*$D616</f>
        <v>6.2541106128550075</v>
      </c>
      <c r="E639" s="77">
        <f>E637*$D616</f>
        <v>7.449925261584454</v>
      </c>
      <c r="F639" s="77">
        <f>F637*$D616</f>
        <v>9.8415545590433489</v>
      </c>
      <c r="G639" s="99" t="s">
        <v>787</v>
      </c>
    </row>
    <row r="640" spans="3:10">
      <c r="C640" s="21"/>
      <c r="D640" s="16"/>
      <c r="E640"/>
      <c r="G640" s="99"/>
    </row>
    <row r="641" spans="3:11">
      <c r="C641" s="21"/>
      <c r="D641" s="63"/>
      <c r="E641" s="63"/>
      <c r="F641" s="63"/>
      <c r="G641" s="99"/>
      <c r="J641" s="90"/>
    </row>
    <row r="642" spans="3:11">
      <c r="C642" s="21"/>
      <c r="D642" s="63"/>
      <c r="E642" s="63"/>
      <c r="F642" s="63"/>
      <c r="G642" s="99"/>
      <c r="J642" s="259"/>
      <c r="K642" s="16"/>
    </row>
    <row r="643" spans="3:11">
      <c r="C643" s="21"/>
      <c r="D643" s="64">
        <f>D639*$D615</f>
        <v>1407.1748878923768</v>
      </c>
      <c r="E643" s="905">
        <f>E639*$D615</f>
        <v>1676.2331838565021</v>
      </c>
      <c r="F643" s="905">
        <f>F639*$D615</f>
        <v>2214.3497757847535</v>
      </c>
      <c r="G643" s="1101" t="s">
        <v>486</v>
      </c>
      <c r="J643" s="259"/>
      <c r="K643" s="16"/>
    </row>
    <row r="644" spans="3:11">
      <c r="F644" s="16"/>
      <c r="G644" s="99"/>
    </row>
    <row r="645" spans="3:11">
      <c r="D645" s="75"/>
      <c r="E645" s="75"/>
      <c r="F645" s="75"/>
      <c r="G645" s="99"/>
      <c r="J645" s="65"/>
      <c r="K645" s="24"/>
    </row>
    <row r="646" spans="3:11" ht="19">
      <c r="C646" t="s">
        <v>64</v>
      </c>
      <c r="D646" s="37" t="s">
        <v>89</v>
      </c>
      <c r="G646" s="359"/>
    </row>
    <row r="647" spans="3:11">
      <c r="C647" t="s">
        <v>54</v>
      </c>
      <c r="G647" s="359"/>
    </row>
    <row r="648" spans="3:11">
      <c r="G648" s="359"/>
    </row>
    <row r="649" spans="3:11">
      <c r="D649" s="16"/>
      <c r="G649" s="359"/>
    </row>
    <row r="650" spans="3:11">
      <c r="D650" s="67" t="s">
        <v>91</v>
      </c>
      <c r="E650" s="41"/>
      <c r="G650" s="359"/>
    </row>
    <row r="651" spans="3:11">
      <c r="D651" s="52">
        <f>'Overall Assumptions'!$C$93</f>
        <v>285</v>
      </c>
      <c r="E651" s="41" t="s">
        <v>93</v>
      </c>
      <c r="G651" s="359"/>
    </row>
    <row r="652" spans="3:11">
      <c r="D652" s="54">
        <f>'Overall Assumptions'!$C$10</f>
        <v>0</v>
      </c>
      <c r="E652" s="43" t="s">
        <v>85</v>
      </c>
      <c r="G652" s="359"/>
    </row>
    <row r="653" spans="3:11">
      <c r="D653" s="54"/>
      <c r="E653" s="43"/>
      <c r="G653" s="359"/>
    </row>
    <row r="654" spans="3:11">
      <c r="D654" s="616"/>
      <c r="E654" s="43"/>
      <c r="G654" s="359"/>
    </row>
    <row r="655" spans="3:11">
      <c r="D655" s="56"/>
      <c r="E655" s="45"/>
      <c r="G655" s="359"/>
      <c r="J655" s="578"/>
    </row>
    <row r="656" spans="3:11">
      <c r="D656" s="75"/>
      <c r="G656" s="359"/>
    </row>
    <row r="657" spans="3:11">
      <c r="D657" s="46">
        <f>D629</f>
        <v>0</v>
      </c>
      <c r="E657" s="46">
        <f>D657</f>
        <v>0</v>
      </c>
      <c r="F657" s="46">
        <f>E657</f>
        <v>0</v>
      </c>
      <c r="G657" s="693"/>
      <c r="J657" s="532"/>
      <c r="K657" s="59"/>
    </row>
    <row r="658" spans="3:11">
      <c r="D658" s="46">
        <f t="shared" ref="D658:F659" si="37">D635</f>
        <v>1.7937219730941705</v>
      </c>
      <c r="E658" s="46">
        <f t="shared" si="37"/>
        <v>2.391629297458894</v>
      </c>
      <c r="F658" s="46">
        <f t="shared" si="37"/>
        <v>3.5874439461883409</v>
      </c>
      <c r="G658" s="693" t="s">
        <v>98</v>
      </c>
      <c r="K658" s="59"/>
    </row>
    <row r="659" spans="3:11">
      <c r="D659" s="46">
        <f t="shared" si="37"/>
        <v>1.3333333333333333</v>
      </c>
      <c r="E659" s="46">
        <f t="shared" si="37"/>
        <v>1.3333333333333333</v>
      </c>
      <c r="F659" s="46">
        <f t="shared" si="37"/>
        <v>1.3333333333333333</v>
      </c>
      <c r="G659" s="693" t="str">
        <f>G636</f>
        <v>3rd term is the days required to do all activities (for one person)</v>
      </c>
      <c r="K659" s="59"/>
    </row>
    <row r="660" spans="3:11">
      <c r="D660" s="46"/>
      <c r="E660" s="46"/>
      <c r="F660" s="46"/>
      <c r="G660" s="693"/>
      <c r="K660" s="59"/>
    </row>
    <row r="661" spans="3:11">
      <c r="D661" s="46">
        <f>SUM(D657:D659)</f>
        <v>3.1270553064275037</v>
      </c>
      <c r="E661" s="46">
        <f>SUM(E657:E659)</f>
        <v>3.724962630792227</v>
      </c>
      <c r="F661" s="46">
        <f>SUM(F657:F659)</f>
        <v>4.9207772795216744</v>
      </c>
      <c r="G661" s="693" t="s">
        <v>135</v>
      </c>
      <c r="J661" s="90"/>
    </row>
    <row r="662" spans="3:11">
      <c r="D662" s="46"/>
      <c r="E662" s="59"/>
      <c r="G662" s="359"/>
      <c r="J662" s="90"/>
    </row>
    <row r="663" spans="3:11">
      <c r="D663" s="63"/>
      <c r="E663" s="63"/>
      <c r="F663" s="63"/>
      <c r="G663" s="99"/>
      <c r="J663" s="259"/>
      <c r="K663" s="16"/>
    </row>
    <row r="664" spans="3:11">
      <c r="D664" s="63"/>
      <c r="E664" s="63"/>
      <c r="F664" s="63"/>
      <c r="G664" s="99"/>
      <c r="J664" s="259"/>
      <c r="K664" s="16"/>
    </row>
    <row r="665" spans="3:11">
      <c r="D665" s="63"/>
      <c r="E665" s="63"/>
      <c r="F665" s="63"/>
      <c r="G665" s="99"/>
      <c r="J665" s="259"/>
      <c r="K665" s="16"/>
    </row>
    <row r="666" spans="3:11">
      <c r="D666" s="68">
        <f>D661*$D651</f>
        <v>891.21076233183851</v>
      </c>
      <c r="E666" s="906">
        <f>E661*$D651</f>
        <v>1061.6143497757846</v>
      </c>
      <c r="F666" s="906">
        <f>F661*$D651</f>
        <v>1402.4215246636772</v>
      </c>
      <c r="G666" s="1101" t="s">
        <v>53</v>
      </c>
      <c r="J666" s="65"/>
      <c r="K666" s="24"/>
    </row>
    <row r="667" spans="3:11">
      <c r="D667" s="432"/>
      <c r="G667" s="359"/>
      <c r="J667" s="65"/>
      <c r="K667" s="24"/>
    </row>
    <row r="668" spans="3:11">
      <c r="D668" s="46">
        <f>D661</f>
        <v>3.1270553064275037</v>
      </c>
      <c r="E668" s="46">
        <f>E661</f>
        <v>3.724962630792227</v>
      </c>
      <c r="F668" s="46">
        <f>F661</f>
        <v>4.9207772795216744</v>
      </c>
      <c r="G668" s="359" t="s">
        <v>795</v>
      </c>
      <c r="J668" s="65"/>
      <c r="K668" s="24"/>
    </row>
    <row r="669" spans="3:11">
      <c r="D669" s="75">
        <f>ROUNDUP((D661/21),0)</f>
        <v>1</v>
      </c>
      <c r="E669" s="75">
        <f>ROUNDUP((E661/21),0)</f>
        <v>1</v>
      </c>
      <c r="F669" s="75">
        <f>ROUNDUP((F661/21),0)</f>
        <v>1</v>
      </c>
      <c r="G669" s="99" t="s">
        <v>739</v>
      </c>
      <c r="J669" s="65"/>
      <c r="K669" s="24"/>
    </row>
    <row r="670" spans="3:11">
      <c r="D670" s="432"/>
      <c r="G670" s="359"/>
      <c r="J670" s="65"/>
      <c r="K670" s="24"/>
    </row>
    <row r="671" spans="3:11">
      <c r="D671" s="65"/>
      <c r="E671" s="24"/>
      <c r="G671" s="359"/>
      <c r="J671" s="65"/>
      <c r="K671" s="24"/>
    </row>
    <row r="672" spans="3:11">
      <c r="C672" t="s">
        <v>70</v>
      </c>
      <c r="D672" s="58"/>
      <c r="E672" s="59" t="s">
        <v>156</v>
      </c>
      <c r="G672" s="359"/>
      <c r="J672" s="65"/>
      <c r="K672" s="24"/>
    </row>
    <row r="673" spans="4:12">
      <c r="D673" s="160" t="s">
        <v>238</v>
      </c>
      <c r="E673" s="59"/>
      <c r="G673" s="359"/>
      <c r="J673" s="65"/>
      <c r="K673" s="24"/>
    </row>
    <row r="674" spans="4:12">
      <c r="D674" s="58"/>
      <c r="E674" s="59"/>
      <c r="G674" s="359"/>
      <c r="J674" s="65"/>
      <c r="K674" s="24"/>
    </row>
    <row r="675" spans="4:12">
      <c r="D675" s="25">
        <f>D637</f>
        <v>3.1270553064275037</v>
      </c>
      <c r="E675" s="25">
        <f>E637</f>
        <v>3.724962630792227</v>
      </c>
      <c r="F675" s="25">
        <f>F637</f>
        <v>4.9207772795216744</v>
      </c>
      <c r="G675" s="99" t="s">
        <v>157</v>
      </c>
      <c r="J675" s="65"/>
      <c r="K675" s="24"/>
    </row>
    <row r="676" spans="4:12">
      <c r="D676" s="61">
        <f>FLOOR(D675,1)</f>
        <v>3</v>
      </c>
      <c r="E676" s="61">
        <f>FLOOR(E675,1)</f>
        <v>3</v>
      </c>
      <c r="F676" s="61">
        <f>FLOOR(F675,1)</f>
        <v>4</v>
      </c>
      <c r="G676" s="99" t="s">
        <v>73</v>
      </c>
      <c r="J676" s="65"/>
      <c r="K676" s="24"/>
    </row>
    <row r="677" spans="4:12">
      <c r="D677" s="65"/>
      <c r="G677" s="1102"/>
      <c r="J677" s="65"/>
      <c r="K677" s="24"/>
    </row>
    <row r="678" spans="4:12">
      <c r="D678" s="65">
        <f>D676*$D616</f>
        <v>6</v>
      </c>
      <c r="E678" s="65">
        <f>E676*$D616</f>
        <v>6</v>
      </c>
      <c r="F678" s="65">
        <f>F676*$D616</f>
        <v>8</v>
      </c>
      <c r="G678" s="1102" t="s">
        <v>88</v>
      </c>
      <c r="J678" s="65"/>
      <c r="K678" s="24"/>
    </row>
    <row r="679" spans="4:12">
      <c r="D679" s="102">
        <f>D678*$D627</f>
        <v>1260</v>
      </c>
      <c r="E679" s="907">
        <f>E678*$D627</f>
        <v>1260</v>
      </c>
      <c r="F679" s="907">
        <f>F678*$D627</f>
        <v>1680</v>
      </c>
      <c r="G679" s="1101" t="s">
        <v>74</v>
      </c>
      <c r="J679" s="259"/>
      <c r="K679" s="16"/>
    </row>
    <row r="680" spans="4:12">
      <c r="D680" s="825"/>
      <c r="E680" s="825"/>
      <c r="G680" s="359"/>
      <c r="H680" s="1" t="s">
        <v>788</v>
      </c>
      <c r="I680" s="1" t="s">
        <v>779</v>
      </c>
      <c r="J680" s="1" t="s">
        <v>789</v>
      </c>
    </row>
    <row r="681" spans="4:12">
      <c r="D681" s="617" t="s">
        <v>172</v>
      </c>
      <c r="E681" s="618" t="s">
        <v>155</v>
      </c>
      <c r="F681" s="618" t="s">
        <v>173</v>
      </c>
      <c r="G681" s="1103" t="s">
        <v>174</v>
      </c>
      <c r="H681" s="618" t="s">
        <v>166</v>
      </c>
      <c r="I681" s="618" t="s">
        <v>166</v>
      </c>
      <c r="J681" s="618" t="s">
        <v>166</v>
      </c>
      <c r="K681" s="619" t="s">
        <v>69</v>
      </c>
    </row>
    <row r="682" spans="4:12">
      <c r="D682" s="404" t="s">
        <v>3</v>
      </c>
      <c r="E682" s="90">
        <f>D639</f>
        <v>6.2541106128550075</v>
      </c>
      <c r="F682" s="531">
        <f>D594</f>
        <v>30</v>
      </c>
      <c r="G682" s="359"/>
      <c r="H682" s="432">
        <f>D643</f>
        <v>1407.1748878923768</v>
      </c>
      <c r="I682" s="432">
        <f>E643</f>
        <v>1676.2331838565021</v>
      </c>
      <c r="J682" s="432">
        <f>F643</f>
        <v>2214.3497757847535</v>
      </c>
      <c r="K682" s="830" t="str">
        <f>G643</f>
        <v>Cost for labour</v>
      </c>
      <c r="L682" s="558">
        <f>D595</f>
        <v>1</v>
      </c>
    </row>
    <row r="683" spans="4:12">
      <c r="D683" s="404" t="s">
        <v>490</v>
      </c>
      <c r="E683" s="90">
        <f>D661</f>
        <v>3.1270553064275037</v>
      </c>
      <c r="F683" s="531">
        <f>F684</f>
        <v>30</v>
      </c>
      <c r="G683" s="1104">
        <f>D652</f>
        <v>0</v>
      </c>
      <c r="H683" s="432">
        <f>D666</f>
        <v>891.21076233183851</v>
      </c>
      <c r="I683" s="432">
        <f>E666</f>
        <v>1061.6143497757846</v>
      </c>
      <c r="J683" s="432">
        <f>F666</f>
        <v>1402.4215246636772</v>
      </c>
      <c r="K683" s="830" t="str">
        <f>G666</f>
        <v>Cost for ute hire for the whole activity</v>
      </c>
      <c r="L683" s="558">
        <f>L682</f>
        <v>1</v>
      </c>
    </row>
    <row r="684" spans="4:12">
      <c r="D684" s="404" t="s">
        <v>169</v>
      </c>
      <c r="E684" s="90">
        <f>D678</f>
        <v>6</v>
      </c>
      <c r="F684" s="531">
        <f>F682</f>
        <v>30</v>
      </c>
      <c r="G684" s="359"/>
      <c r="H684" s="432">
        <f>D679</f>
        <v>1260</v>
      </c>
      <c r="I684" s="432">
        <f>E679</f>
        <v>1260</v>
      </c>
      <c r="J684" s="432">
        <f>F679</f>
        <v>1680</v>
      </c>
      <c r="K684" s="830" t="str">
        <f>G679</f>
        <v>Accomodation + Food Cost</v>
      </c>
      <c r="L684" s="558">
        <f>L683</f>
        <v>1</v>
      </c>
    </row>
    <row r="685" spans="4:12">
      <c r="D685" s="404"/>
      <c r="E685" s="90"/>
      <c r="F685" s="531"/>
      <c r="G685" s="359"/>
      <c r="H685" s="432"/>
      <c r="I685" s="259"/>
      <c r="J685" s="259"/>
      <c r="K685" s="830"/>
      <c r="L685" s="558"/>
    </row>
    <row r="686" spans="4:12">
      <c r="D686" s="404"/>
      <c r="E686" s="90"/>
      <c r="F686" s="531"/>
      <c r="G686" s="359"/>
      <c r="H686" s="432"/>
      <c r="I686" s="259"/>
      <c r="J686" s="259"/>
      <c r="K686" s="830"/>
    </row>
    <row r="687" spans="4:12">
      <c r="D687" s="405"/>
      <c r="E687" s="439"/>
      <c r="F687" s="439"/>
      <c r="G687" s="1098"/>
      <c r="H687" s="622">
        <f>SUM(H682:H686)</f>
        <v>3558.3856502242152</v>
      </c>
      <c r="I687" s="622">
        <f>SUM(I682:I686)</f>
        <v>3997.8475336322867</v>
      </c>
      <c r="J687" s="622">
        <f>SUM(J682:J686)</f>
        <v>5296.7713004484303</v>
      </c>
      <c r="K687" s="623" t="s">
        <v>165</v>
      </c>
    </row>
    <row r="688" spans="4:12">
      <c r="D688"/>
      <c r="E688"/>
      <c r="F688" s="432"/>
      <c r="G688" s="1099"/>
    </row>
    <row r="689" spans="3:7" s="7" customFormat="1">
      <c r="D689" s="69"/>
      <c r="E689" s="36"/>
      <c r="G689" s="1089"/>
    </row>
    <row r="691" spans="3:7" s="7" customFormat="1">
      <c r="D691" s="35"/>
      <c r="E691" s="36"/>
    </row>
    <row r="692" spans="3:7" s="9" customFormat="1">
      <c r="D692" s="105"/>
      <c r="E692" s="34"/>
    </row>
    <row r="693" spans="3:7" s="9" customFormat="1">
      <c r="C693" s="120" t="s">
        <v>247</v>
      </c>
      <c r="D693" s="105"/>
      <c r="E693" s="34"/>
      <c r="G693" s="572"/>
    </row>
    <row r="694" spans="3:7" s="9" customFormat="1">
      <c r="D694" s="34" t="s">
        <v>258</v>
      </c>
      <c r="E694" s="34"/>
      <c r="G694" s="572"/>
    </row>
    <row r="695" spans="3:7" s="9" customFormat="1">
      <c r="D695" s="38" t="s">
        <v>91</v>
      </c>
      <c r="E695" s="39"/>
      <c r="F695" s="105"/>
      <c r="G695" s="572"/>
    </row>
    <row r="696" spans="3:7" s="9" customFormat="1">
      <c r="D696" s="402"/>
      <c r="E696" s="161"/>
      <c r="G696" s="572"/>
    </row>
    <row r="697" spans="3:7" s="9" customFormat="1">
      <c r="D697" s="332">
        <f>'Overall Assumptions'!$C$125</f>
        <v>3</v>
      </c>
      <c r="E697" s="131" t="str">
        <f>'Overall Assumptions'!$D$115</f>
        <v>weeks</v>
      </c>
      <c r="G697" s="572"/>
    </row>
    <row r="698" spans="3:7" s="9" customFormat="1">
      <c r="C698" s="105"/>
      <c r="D698" s="332">
        <f>D697*5</f>
        <v>15</v>
      </c>
      <c r="E698" s="43" t="str">
        <f>'Overall Assumptions'!$D$116</f>
        <v>days</v>
      </c>
      <c r="G698" s="572"/>
    </row>
    <row r="699" spans="3:7" s="9" customFormat="1">
      <c r="C699" s="105"/>
      <c r="D699" s="332"/>
      <c r="E699" s="43"/>
      <c r="G699" s="572"/>
    </row>
    <row r="700" spans="3:7" s="9" customFormat="1">
      <c r="C700" s="105"/>
      <c r="D700" s="268">
        <v>1</v>
      </c>
      <c r="E700" s="43" t="s">
        <v>259</v>
      </c>
      <c r="G700" s="572"/>
    </row>
    <row r="701" spans="3:7" s="9" customFormat="1">
      <c r="C701" s="105"/>
      <c r="D701" s="332"/>
      <c r="E701" s="43"/>
      <c r="G701" s="572"/>
    </row>
    <row r="702" spans="3:7" s="9" customFormat="1">
      <c r="C702" s="105"/>
      <c r="D702" s="332"/>
      <c r="E702" s="246"/>
      <c r="G702" s="572"/>
    </row>
    <row r="703" spans="3:7" s="9" customFormat="1">
      <c r="D703" s="614">
        <f>'Overall Assumptions'!$C$68</f>
        <v>225</v>
      </c>
      <c r="E703" s="246" t="str">
        <f>'Overall Assumptions'!$B$67</f>
        <v>Labour 1- APS Low (Entry lvl)</v>
      </c>
      <c r="G703" s="572"/>
    </row>
    <row r="704" spans="3:7" s="9" customFormat="1">
      <c r="D704" s="399">
        <f>'Overall Assumptions'!$C$72</f>
        <v>337.5</v>
      </c>
      <c r="E704" s="530" t="str">
        <f>'Overall Assumptions'!$B$71</f>
        <v>Labour 2 - APS High (Experienced)</v>
      </c>
      <c r="G704" s="572"/>
    </row>
    <row r="705" spans="1:42" s="9" customFormat="1">
      <c r="D705" s="112">
        <f>'Overall Assumptions'!$C$76</f>
        <v>487.5</v>
      </c>
      <c r="E705" s="45" t="str">
        <f>'Overall Assumptions'!$B$75</f>
        <v>Labour 3 - EL (Management)</v>
      </c>
      <c r="G705" s="572"/>
    </row>
    <row r="706" spans="1:42" s="9" customFormat="1">
      <c r="D706" s="33"/>
      <c r="E706" s="34"/>
      <c r="G706" s="572"/>
    </row>
    <row r="707" spans="1:42">
      <c r="C707" s="9"/>
      <c r="D707" s="247"/>
      <c r="E707" s="33"/>
      <c r="F707" s="9"/>
      <c r="G707" s="572"/>
      <c r="H707" s="9"/>
      <c r="I707" s="9"/>
      <c r="J707" s="9"/>
    </row>
    <row r="708" spans="1:42">
      <c r="C708" s="9"/>
      <c r="D708" s="65"/>
      <c r="E708" s="76"/>
      <c r="F708" s="79"/>
      <c r="G708" s="572"/>
      <c r="H708" s="9"/>
      <c r="I708" s="9"/>
      <c r="J708" s="9"/>
    </row>
    <row r="709" spans="1:42">
      <c r="C709" s="9"/>
      <c r="D709" s="65"/>
      <c r="E709" s="66"/>
      <c r="F709" s="79"/>
      <c r="G709" s="572"/>
      <c r="H709" s="9"/>
      <c r="I709" s="9"/>
      <c r="J709" s="9"/>
    </row>
    <row r="710" spans="1:42">
      <c r="C710" s="9"/>
      <c r="D710" s="33"/>
      <c r="E710" s="34"/>
      <c r="F710" s="9"/>
      <c r="G710" s="572"/>
      <c r="H710" s="9"/>
      <c r="I710" s="9"/>
      <c r="J710" s="9"/>
    </row>
    <row r="711" spans="1:42">
      <c r="C711" s="9"/>
      <c r="D711" s="175"/>
      <c r="E711" s="164" t="s">
        <v>155</v>
      </c>
      <c r="F711" s="255" t="s">
        <v>166</v>
      </c>
      <c r="G711" s="1090" t="s">
        <v>69</v>
      </c>
      <c r="H711" s="161"/>
      <c r="I711" s="9"/>
      <c r="J711" s="9"/>
    </row>
    <row r="712" spans="1:42">
      <c r="C712" s="9"/>
      <c r="D712" s="405" t="s">
        <v>3</v>
      </c>
      <c r="E712" s="1256">
        <f>SUM(D698,D708)</f>
        <v>15</v>
      </c>
      <c r="F712" s="321">
        <f>E712*D704</f>
        <v>5062.5</v>
      </c>
      <c r="G712" s="1091" t="s">
        <v>182</v>
      </c>
      <c r="H712" s="162"/>
      <c r="I712" s="9"/>
      <c r="J712" s="9"/>
    </row>
    <row r="713" spans="1:42">
      <c r="H713" s="9"/>
    </row>
    <row r="716" spans="1:42" s="182" customFormat="1">
      <c r="D716" s="183"/>
      <c r="E716" s="184"/>
    </row>
    <row r="718" spans="1:42" s="16" customFormat="1">
      <c r="A718"/>
      <c r="B718"/>
      <c r="C718" s="1"/>
      <c r="D718" s="24"/>
      <c r="F718"/>
      <c r="G718"/>
      <c r="H718"/>
      <c r="I718"/>
      <c r="J718"/>
      <c r="K718"/>
      <c r="L718"/>
      <c r="M718"/>
      <c r="N718"/>
      <c r="O718"/>
      <c r="P718"/>
      <c r="Q718" s="2791"/>
      <c r="R718" s="2791"/>
      <c r="S718" s="2791"/>
      <c r="T718"/>
      <c r="U718"/>
      <c r="V718"/>
      <c r="W718"/>
      <c r="X718"/>
      <c r="Y718"/>
      <c r="Z718"/>
      <c r="AA718"/>
      <c r="AB718"/>
      <c r="AC718"/>
      <c r="AD718"/>
      <c r="AE718"/>
      <c r="AF718"/>
      <c r="AG718"/>
      <c r="AH718"/>
      <c r="AI718"/>
      <c r="AJ718"/>
      <c r="AK718"/>
      <c r="AL718"/>
      <c r="AM718"/>
      <c r="AN718"/>
      <c r="AO718"/>
      <c r="AP718"/>
    </row>
    <row r="719" spans="1:42" s="16" customFormat="1">
      <c r="A719"/>
      <c r="B719"/>
      <c r="C719" s="199"/>
      <c r="D719" s="200"/>
      <c r="F719"/>
      <c r="G719"/>
      <c r="H719"/>
      <c r="I719"/>
      <c r="J719"/>
      <c r="K719"/>
      <c r="L719"/>
      <c r="M719"/>
      <c r="N719"/>
      <c r="O719"/>
      <c r="P719"/>
      <c r="Q719" s="2791"/>
      <c r="R719" s="2791"/>
      <c r="S719" s="2791"/>
      <c r="T719"/>
      <c r="U719"/>
      <c r="V719"/>
      <c r="W719"/>
      <c r="X719"/>
      <c r="Y719"/>
      <c r="Z719"/>
      <c r="AA719"/>
      <c r="AB719"/>
      <c r="AC719"/>
      <c r="AD719"/>
      <c r="AE719"/>
      <c r="AF719"/>
      <c r="AG719"/>
      <c r="AH719"/>
      <c r="AI719"/>
      <c r="AJ719"/>
      <c r="AK719"/>
      <c r="AL719"/>
      <c r="AM719"/>
      <c r="AN719"/>
      <c r="AO719"/>
      <c r="AP719"/>
    </row>
    <row r="720" spans="1:42" s="16" customFormat="1">
      <c r="A720"/>
      <c r="B720"/>
      <c r="C720" s="201" t="s">
        <v>728</v>
      </c>
      <c r="D720" s="202"/>
      <c r="F720"/>
      <c r="G720"/>
      <c r="H720"/>
      <c r="I720"/>
      <c r="J720"/>
      <c r="K720"/>
      <c r="L720"/>
      <c r="M720"/>
      <c r="N720"/>
      <c r="O720"/>
      <c r="P720"/>
      <c r="Q720" s="2791"/>
      <c r="R720" s="2791"/>
      <c r="S720" s="2791"/>
      <c r="T720"/>
      <c r="U720"/>
      <c r="V720"/>
      <c r="W720"/>
      <c r="X720"/>
      <c r="Y720"/>
      <c r="Z720"/>
      <c r="AA720"/>
      <c r="AB720"/>
      <c r="AC720"/>
      <c r="AD720"/>
      <c r="AE720"/>
      <c r="AF720"/>
      <c r="AG720"/>
      <c r="AH720"/>
      <c r="AI720"/>
      <c r="AJ720"/>
      <c r="AK720"/>
      <c r="AL720"/>
      <c r="AM720"/>
      <c r="AN720"/>
      <c r="AO720"/>
      <c r="AP720"/>
    </row>
    <row r="722" spans="1:42" s="16" customFormat="1">
      <c r="A722"/>
      <c r="B722"/>
      <c r="C722" s="198"/>
      <c r="D722" s="24"/>
      <c r="F722"/>
      <c r="G722"/>
      <c r="H722"/>
      <c r="I722"/>
      <c r="J722"/>
      <c r="K722"/>
      <c r="L722"/>
      <c r="M722"/>
      <c r="N722"/>
      <c r="O722"/>
      <c r="P722"/>
      <c r="Q722" s="2791"/>
      <c r="R722" s="2791"/>
      <c r="S722" s="2791"/>
      <c r="T722"/>
      <c r="U722"/>
      <c r="V722"/>
      <c r="W722"/>
      <c r="X722"/>
      <c r="Y722"/>
      <c r="Z722"/>
      <c r="AA722"/>
      <c r="AB722"/>
      <c r="AC722"/>
      <c r="AD722"/>
      <c r="AE722"/>
      <c r="AF722"/>
      <c r="AG722"/>
      <c r="AH722"/>
      <c r="AI722"/>
      <c r="AJ722"/>
      <c r="AK722"/>
      <c r="AL722"/>
      <c r="AM722"/>
      <c r="AN722"/>
      <c r="AO722"/>
      <c r="AP722"/>
    </row>
    <row r="723" spans="1:42" s="16" customFormat="1">
      <c r="A723"/>
      <c r="B723"/>
      <c r="C723"/>
      <c r="D723" s="24"/>
      <c r="F723"/>
      <c r="G723"/>
      <c r="H723"/>
      <c r="I723"/>
      <c r="J723"/>
      <c r="K723"/>
      <c r="L723"/>
      <c r="M723"/>
      <c r="N723"/>
      <c r="O723"/>
      <c r="P723"/>
      <c r="Q723" s="2791"/>
      <c r="R723" s="2791"/>
      <c r="S723" s="2791"/>
      <c r="T723"/>
      <c r="U723"/>
      <c r="V723"/>
      <c r="W723"/>
      <c r="X723"/>
      <c r="Y723"/>
      <c r="Z723"/>
      <c r="AA723"/>
      <c r="AB723"/>
      <c r="AC723"/>
      <c r="AD723"/>
      <c r="AE723"/>
      <c r="AF723"/>
      <c r="AG723"/>
      <c r="AH723"/>
      <c r="AI723"/>
      <c r="AJ723"/>
      <c r="AK723"/>
      <c r="AL723"/>
      <c r="AM723"/>
      <c r="AN723"/>
      <c r="AO723"/>
      <c r="AP723"/>
    </row>
    <row r="724" spans="1:42" s="16" customFormat="1">
      <c r="A724"/>
      <c r="B724"/>
      <c r="C724" s="160"/>
      <c r="D724" s="24"/>
      <c r="F724"/>
      <c r="G724"/>
      <c r="H724"/>
      <c r="I724"/>
      <c r="J724"/>
      <c r="K724"/>
      <c r="L724"/>
      <c r="M724"/>
      <c r="N724"/>
      <c r="O724"/>
      <c r="P724"/>
      <c r="Q724" s="2791"/>
      <c r="R724" s="2791"/>
      <c r="S724" s="2791"/>
      <c r="T724"/>
      <c r="U724"/>
      <c r="V724"/>
      <c r="W724"/>
      <c r="X724"/>
      <c r="Y724"/>
      <c r="Z724"/>
      <c r="AA724"/>
      <c r="AB724"/>
      <c r="AC724"/>
      <c r="AD724"/>
      <c r="AE724"/>
      <c r="AF724"/>
      <c r="AG724"/>
      <c r="AH724"/>
      <c r="AI724"/>
      <c r="AJ724"/>
      <c r="AK724"/>
      <c r="AL724"/>
      <c r="AM724"/>
      <c r="AN724"/>
      <c r="AO724"/>
      <c r="AP724"/>
    </row>
    <row r="725" spans="1:42" s="16" customFormat="1">
      <c r="A725"/>
      <c r="B725"/>
      <c r="C725"/>
      <c r="D725" s="24"/>
      <c r="F725"/>
      <c r="G725"/>
      <c r="H725"/>
      <c r="I725"/>
      <c r="J725"/>
      <c r="K725"/>
      <c r="L725"/>
      <c r="M725"/>
      <c r="N725"/>
      <c r="O725"/>
      <c r="P725"/>
      <c r="Q725" s="2791"/>
      <c r="R725" s="2791"/>
      <c r="S725" s="2791"/>
      <c r="T725"/>
      <c r="U725"/>
      <c r="V725"/>
      <c r="W725"/>
      <c r="X725"/>
      <c r="Y725"/>
      <c r="Z725"/>
      <c r="AA725"/>
      <c r="AB725"/>
      <c r="AC725"/>
      <c r="AD725"/>
      <c r="AE725"/>
      <c r="AF725"/>
      <c r="AG725"/>
      <c r="AH725"/>
      <c r="AI725"/>
      <c r="AJ725"/>
      <c r="AK725"/>
      <c r="AL725"/>
      <c r="AM725"/>
      <c r="AN725"/>
      <c r="AO725"/>
      <c r="AP725"/>
    </row>
    <row r="726" spans="1:42" s="16" customFormat="1">
      <c r="A726"/>
      <c r="B726"/>
      <c r="C726" s="90"/>
      <c r="D726"/>
      <c r="F726"/>
      <c r="G726"/>
      <c r="H726"/>
      <c r="I726"/>
      <c r="J726"/>
      <c r="K726"/>
      <c r="L726"/>
      <c r="M726"/>
      <c r="N726"/>
      <c r="O726"/>
      <c r="P726"/>
      <c r="Q726" s="2791"/>
      <c r="R726" s="2791"/>
      <c r="S726" s="2791"/>
      <c r="T726"/>
      <c r="U726"/>
      <c r="V726"/>
      <c r="W726"/>
      <c r="X726"/>
      <c r="Y726"/>
      <c r="Z726"/>
      <c r="AA726"/>
      <c r="AB726"/>
      <c r="AC726"/>
      <c r="AD726"/>
      <c r="AE726"/>
      <c r="AF726"/>
      <c r="AG726"/>
      <c r="AH726"/>
      <c r="AI726"/>
      <c r="AJ726"/>
      <c r="AK726"/>
      <c r="AL726"/>
      <c r="AM726"/>
      <c r="AN726"/>
      <c r="AO726"/>
      <c r="AP726"/>
    </row>
    <row r="727" spans="1:42" s="16" customFormat="1">
      <c r="A727"/>
      <c r="B727"/>
      <c r="C727" s="197"/>
      <c r="D727" s="24"/>
      <c r="F727" t="s">
        <v>1171</v>
      </c>
      <c r="G727"/>
      <c r="H727"/>
      <c r="I727"/>
      <c r="J727"/>
      <c r="K727"/>
      <c r="L727"/>
      <c r="M727"/>
      <c r="N727"/>
      <c r="O727"/>
      <c r="P727"/>
      <c r="Q727" s="2791"/>
      <c r="R727" s="2791"/>
      <c r="S727" s="2791"/>
      <c r="T727"/>
      <c r="U727"/>
      <c r="V727"/>
      <c r="W727"/>
      <c r="X727"/>
      <c r="Y727"/>
      <c r="Z727"/>
      <c r="AA727"/>
      <c r="AB727"/>
      <c r="AC727"/>
      <c r="AD727"/>
      <c r="AE727"/>
      <c r="AF727"/>
      <c r="AG727"/>
      <c r="AH727"/>
      <c r="AI727"/>
      <c r="AJ727"/>
      <c r="AK727"/>
      <c r="AL727"/>
      <c r="AM727"/>
      <c r="AN727"/>
      <c r="AO727"/>
      <c r="AP727"/>
    </row>
    <row r="728" spans="1:42">
      <c r="C728" s="594" t="s">
        <v>734</v>
      </c>
      <c r="D728" s="594" t="s">
        <v>740</v>
      </c>
      <c r="E728" s="1" t="s">
        <v>741</v>
      </c>
      <c r="F728" t="s">
        <v>1165</v>
      </c>
    </row>
    <row r="729" spans="1:42">
      <c r="C729" s="160" t="s">
        <v>745</v>
      </c>
      <c r="D729" s="160">
        <v>2</v>
      </c>
      <c r="E729" s="620">
        <f t="shared" ref="E729:E735" si="38">D729*1000*100</f>
        <v>200000</v>
      </c>
      <c r="F729">
        <f>D729/$D$732</f>
        <v>0.4</v>
      </c>
    </row>
    <row r="730" spans="1:42" s="16" customFormat="1">
      <c r="A730"/>
      <c r="B730"/>
      <c r="C730" s="160" t="s">
        <v>744</v>
      </c>
      <c r="D730" s="160">
        <v>3</v>
      </c>
      <c r="E730" s="620">
        <f t="shared" si="38"/>
        <v>300000</v>
      </c>
      <c r="F730">
        <f t="shared" ref="F730:F735" si="39">D730/$D$732</f>
        <v>0.6</v>
      </c>
      <c r="G730"/>
      <c r="H730"/>
      <c r="I730"/>
      <c r="J730"/>
      <c r="K730"/>
      <c r="L730"/>
      <c r="M730"/>
      <c r="N730"/>
      <c r="O730"/>
      <c r="P730"/>
      <c r="Q730" s="2791"/>
      <c r="R730" s="2791"/>
      <c r="S730" s="2791"/>
      <c r="T730"/>
      <c r="U730"/>
      <c r="V730"/>
      <c r="W730"/>
      <c r="X730"/>
      <c r="Y730"/>
      <c r="Z730"/>
      <c r="AA730"/>
      <c r="AB730"/>
      <c r="AC730"/>
      <c r="AD730"/>
      <c r="AE730"/>
      <c r="AF730"/>
      <c r="AG730"/>
      <c r="AH730"/>
      <c r="AI730"/>
      <c r="AJ730"/>
      <c r="AK730"/>
      <c r="AL730"/>
      <c r="AM730"/>
      <c r="AN730"/>
      <c r="AO730"/>
      <c r="AP730"/>
    </row>
    <row r="731" spans="1:42">
      <c r="C731" s="160" t="s">
        <v>747</v>
      </c>
      <c r="D731" s="160">
        <v>3</v>
      </c>
      <c r="E731" s="620">
        <f t="shared" si="38"/>
        <v>300000</v>
      </c>
      <c r="F731">
        <f t="shared" si="39"/>
        <v>0.6</v>
      </c>
    </row>
    <row r="732" spans="1:42" s="16" customFormat="1">
      <c r="A732"/>
      <c r="B732"/>
      <c r="C732" s="160" t="s">
        <v>743</v>
      </c>
      <c r="D732" s="160">
        <v>5</v>
      </c>
      <c r="E732" s="620">
        <f t="shared" si="38"/>
        <v>500000</v>
      </c>
      <c r="F732">
        <f t="shared" si="39"/>
        <v>1</v>
      </c>
      <c r="G732"/>
      <c r="H732"/>
      <c r="I732"/>
      <c r="J732"/>
      <c r="K732"/>
      <c r="L732"/>
      <c r="M732"/>
      <c r="N732"/>
      <c r="O732"/>
      <c r="P732"/>
      <c r="Q732" s="2791"/>
      <c r="R732" s="2791"/>
      <c r="S732" s="2791"/>
      <c r="T732"/>
      <c r="U732"/>
      <c r="V732"/>
      <c r="W732"/>
      <c r="X732"/>
      <c r="Y732"/>
      <c r="Z732"/>
      <c r="AA732"/>
      <c r="AB732"/>
      <c r="AC732"/>
      <c r="AD732"/>
      <c r="AE732"/>
      <c r="AF732"/>
      <c r="AG732"/>
      <c r="AH732"/>
      <c r="AI732"/>
      <c r="AJ732"/>
      <c r="AK732"/>
      <c r="AL732"/>
      <c r="AM732"/>
      <c r="AN732"/>
      <c r="AO732"/>
      <c r="AP732"/>
    </row>
    <row r="733" spans="1:42">
      <c r="C733" s="160" t="s">
        <v>748</v>
      </c>
      <c r="D733" s="160">
        <v>5</v>
      </c>
      <c r="E733" s="620">
        <f t="shared" si="38"/>
        <v>500000</v>
      </c>
      <c r="F733">
        <f t="shared" si="39"/>
        <v>1</v>
      </c>
    </row>
    <row r="734" spans="1:42">
      <c r="C734" s="160" t="s">
        <v>742</v>
      </c>
      <c r="D734" s="160">
        <v>10</v>
      </c>
      <c r="E734" s="620">
        <f t="shared" si="38"/>
        <v>1000000</v>
      </c>
      <c r="F734">
        <f t="shared" si="39"/>
        <v>2</v>
      </c>
    </row>
    <row r="735" spans="1:42">
      <c r="C735" s="160" t="s">
        <v>746</v>
      </c>
      <c r="D735" s="160">
        <v>10</v>
      </c>
      <c r="E735" s="620">
        <f t="shared" si="38"/>
        <v>1000000</v>
      </c>
      <c r="F735">
        <f t="shared" si="39"/>
        <v>2</v>
      </c>
    </row>
    <row r="736" spans="1:42" ht="15" customHeight="1">
      <c r="C736" s="2"/>
      <c r="D736" s="207"/>
      <c r="F736" s="2"/>
    </row>
    <row r="737" spans="3:10" ht="15" customHeight="1">
      <c r="C737" s="160"/>
      <c r="D737" s="160"/>
      <c r="E737" s="160"/>
      <c r="F737" s="160"/>
      <c r="G737" s="160"/>
      <c r="H737" s="160"/>
      <c r="I737" s="160"/>
    </row>
    <row r="738" spans="3:10" ht="15" customHeight="1">
      <c r="C738" s="2"/>
      <c r="D738" s="207"/>
      <c r="F738" s="2"/>
    </row>
    <row r="739" spans="3:10" ht="15" customHeight="1">
      <c r="C739" s="2" t="s">
        <v>734</v>
      </c>
      <c r="D739" s="207" t="s">
        <v>745</v>
      </c>
      <c r="E739" s="16" t="s">
        <v>744</v>
      </c>
      <c r="F739" s="2" t="s">
        <v>747</v>
      </c>
      <c r="G739" t="s">
        <v>743</v>
      </c>
      <c r="H739" t="s">
        <v>748</v>
      </c>
      <c r="I739" t="s">
        <v>742</v>
      </c>
      <c r="J739" t="s">
        <v>746</v>
      </c>
    </row>
    <row r="740" spans="3:10" ht="15" customHeight="1">
      <c r="C740" s="206" t="s">
        <v>740</v>
      </c>
      <c r="D740" s="207">
        <v>2</v>
      </c>
      <c r="E740" s="16">
        <v>3</v>
      </c>
      <c r="F740" s="2">
        <v>3</v>
      </c>
      <c r="G740">
        <v>5</v>
      </c>
      <c r="H740">
        <v>5</v>
      </c>
      <c r="I740">
        <v>10</v>
      </c>
      <c r="J740">
        <v>10</v>
      </c>
    </row>
    <row r="741" spans="3:10" ht="15" customHeight="1">
      <c r="C741" t="s">
        <v>741</v>
      </c>
      <c r="D741" s="207">
        <v>200000</v>
      </c>
      <c r="E741" s="16">
        <v>300000</v>
      </c>
      <c r="F741">
        <v>300000</v>
      </c>
      <c r="G741">
        <v>500000</v>
      </c>
      <c r="H741">
        <v>500000</v>
      </c>
      <c r="I741">
        <v>1000000</v>
      </c>
      <c r="J741">
        <v>1000000</v>
      </c>
    </row>
    <row r="742" spans="3:10" ht="15" customHeight="1">
      <c r="C742" t="s">
        <v>1165</v>
      </c>
      <c r="D742" s="207">
        <v>1</v>
      </c>
      <c r="E742" s="2">
        <v>1.5</v>
      </c>
      <c r="F742" s="2">
        <v>1.5</v>
      </c>
      <c r="G742">
        <v>2.5</v>
      </c>
      <c r="H742">
        <v>2.5</v>
      </c>
      <c r="I742">
        <v>5</v>
      </c>
      <c r="J742">
        <v>5</v>
      </c>
    </row>
    <row r="743" spans="3:10" ht="15" customHeight="1">
      <c r="D743" s="207"/>
      <c r="F743" s="2"/>
    </row>
    <row r="744" spans="3:10" ht="15" customHeight="1">
      <c r="D744" s="207"/>
      <c r="F744" s="2"/>
    </row>
    <row r="745" spans="3:10" ht="15" customHeight="1">
      <c r="D745" s="207"/>
    </row>
    <row r="746" spans="3:10" ht="15" customHeight="1">
      <c r="D746" s="207"/>
    </row>
    <row r="747" spans="3:10" ht="15" customHeight="1">
      <c r="D747" s="57"/>
    </row>
    <row r="748" spans="3:10">
      <c r="D748" s="16"/>
    </row>
    <row r="749" spans="3:10">
      <c r="C749" s="206"/>
      <c r="D749" s="208"/>
      <c r="E749" s="6"/>
    </row>
    <row r="750" spans="3:10">
      <c r="D750" s="207"/>
    </row>
    <row r="751" spans="3:10">
      <c r="D751" s="207"/>
      <c r="F751" s="2"/>
    </row>
    <row r="752" spans="3:10">
      <c r="D752" s="207"/>
      <c r="F752" s="2"/>
    </row>
    <row r="753" spans="3:10">
      <c r="D753" s="156"/>
      <c r="F753" s="2"/>
    </row>
    <row r="754" spans="3:10">
      <c r="C754" s="206"/>
      <c r="F754" s="2"/>
    </row>
    <row r="755" spans="3:10">
      <c r="C755" s="206"/>
      <c r="D755" s="207"/>
      <c r="F755" s="2"/>
    </row>
    <row r="756" spans="3:10">
      <c r="D756" s="207"/>
      <c r="G756" s="16"/>
    </row>
    <row r="757" spans="3:10">
      <c r="D757" s="16"/>
      <c r="G757" s="16"/>
      <c r="H757" s="16"/>
    </row>
    <row r="758" spans="3:10">
      <c r="D758" s="207"/>
      <c r="G758" s="207"/>
    </row>
    <row r="759" spans="3:10">
      <c r="D759" s="207"/>
      <c r="G759" s="204"/>
    </row>
    <row r="760" spans="3:10">
      <c r="G760" s="16"/>
    </row>
    <row r="761" spans="3:10">
      <c r="D761" s="57"/>
      <c r="G761" s="24"/>
      <c r="H761" s="16"/>
    </row>
    <row r="762" spans="3:10">
      <c r="G762" s="24"/>
      <c r="H762" s="16"/>
    </row>
    <row r="763" spans="3:10">
      <c r="D763" s="156"/>
      <c r="J763" s="16"/>
    </row>
    <row r="764" spans="3:10">
      <c r="D764" s="156"/>
      <c r="J764" s="16"/>
    </row>
    <row r="766" spans="3:10">
      <c r="D766" s="16"/>
    </row>
    <row r="767" spans="3:10">
      <c r="D767" s="16"/>
    </row>
    <row r="768" spans="3:10">
      <c r="D768" s="16"/>
    </row>
    <row r="769" spans="2:42">
      <c r="D769" s="16"/>
    </row>
    <row r="772" spans="2:42" s="24" customFormat="1">
      <c r="B772"/>
      <c r="C772" s="206"/>
      <c r="E772" s="16"/>
      <c r="F772"/>
      <c r="G772"/>
      <c r="H772"/>
      <c r="I772"/>
      <c r="J772"/>
      <c r="K772"/>
      <c r="L772"/>
      <c r="M772"/>
      <c r="N772"/>
      <c r="O772"/>
      <c r="P772"/>
      <c r="Q772" s="2791"/>
      <c r="R772" s="2791"/>
      <c r="S772" s="2791"/>
      <c r="T772"/>
      <c r="U772"/>
      <c r="V772"/>
      <c r="W772"/>
      <c r="X772"/>
      <c r="Y772"/>
      <c r="Z772"/>
      <c r="AA772"/>
      <c r="AB772"/>
      <c r="AC772"/>
      <c r="AD772"/>
      <c r="AE772"/>
      <c r="AF772"/>
      <c r="AG772"/>
      <c r="AH772"/>
      <c r="AI772"/>
      <c r="AJ772"/>
      <c r="AK772"/>
      <c r="AL772"/>
      <c r="AM772"/>
      <c r="AN772"/>
      <c r="AO772"/>
      <c r="AP772"/>
    </row>
    <row r="773" spans="2:42" s="24" customFormat="1">
      <c r="B773"/>
      <c r="C773" s="206"/>
      <c r="E773" s="16"/>
      <c r="F773"/>
      <c r="G773"/>
      <c r="H773"/>
      <c r="I773"/>
      <c r="J773"/>
      <c r="K773"/>
      <c r="L773"/>
      <c r="M773"/>
      <c r="N773"/>
      <c r="O773"/>
      <c r="P773"/>
      <c r="Q773" s="2791"/>
      <c r="R773" s="2791"/>
      <c r="S773" s="2791"/>
      <c r="T773"/>
      <c r="U773"/>
      <c r="V773"/>
      <c r="W773"/>
      <c r="X773"/>
      <c r="Y773"/>
      <c r="Z773"/>
      <c r="AA773"/>
      <c r="AB773"/>
      <c r="AC773"/>
      <c r="AD773"/>
      <c r="AE773"/>
      <c r="AF773"/>
      <c r="AG773"/>
      <c r="AH773"/>
      <c r="AI773"/>
      <c r="AJ773"/>
      <c r="AK773"/>
      <c r="AL773"/>
      <c r="AM773"/>
      <c r="AN773"/>
      <c r="AO773"/>
      <c r="AP773"/>
    </row>
    <row r="774" spans="2:42" s="24" customFormat="1">
      <c r="B774"/>
      <c r="C774" s="206"/>
      <c r="E774" s="16"/>
      <c r="F774"/>
      <c r="G774"/>
      <c r="H774"/>
      <c r="I774"/>
      <c r="J774"/>
      <c r="K774"/>
      <c r="L774"/>
      <c r="M774"/>
      <c r="N774"/>
      <c r="O774"/>
      <c r="P774"/>
      <c r="Q774" s="2791"/>
      <c r="R774" s="2791"/>
      <c r="S774" s="2791"/>
      <c r="T774"/>
      <c r="U774"/>
      <c r="V774"/>
      <c r="W774"/>
      <c r="X774"/>
      <c r="Y774"/>
      <c r="Z774"/>
      <c r="AA774"/>
      <c r="AB774"/>
      <c r="AC774"/>
      <c r="AD774"/>
      <c r="AE774"/>
      <c r="AF774"/>
      <c r="AG774"/>
      <c r="AH774"/>
      <c r="AI774"/>
      <c r="AJ774"/>
      <c r="AK774"/>
      <c r="AL774"/>
      <c r="AM774"/>
      <c r="AN774"/>
      <c r="AO774"/>
      <c r="AP774"/>
    </row>
    <row r="775" spans="2:42" s="24" customFormat="1">
      <c r="B775"/>
      <c r="C775" s="206"/>
      <c r="E775" s="16"/>
      <c r="F775"/>
      <c r="G775"/>
      <c r="H775"/>
      <c r="I775"/>
      <c r="J775"/>
      <c r="K775"/>
      <c r="L775"/>
      <c r="M775"/>
      <c r="N775"/>
      <c r="O775"/>
      <c r="P775"/>
      <c r="Q775" s="2791"/>
      <c r="R775" s="2791"/>
      <c r="S775" s="2791"/>
      <c r="T775"/>
      <c r="U775"/>
      <c r="V775"/>
      <c r="W775"/>
      <c r="X775"/>
      <c r="Y775"/>
      <c r="Z775"/>
      <c r="AA775"/>
      <c r="AB775"/>
      <c r="AC775"/>
      <c r="AD775"/>
      <c r="AE775"/>
      <c r="AF775"/>
      <c r="AG775"/>
      <c r="AH775"/>
      <c r="AI775"/>
      <c r="AJ775"/>
      <c r="AK775"/>
      <c r="AL775"/>
      <c r="AM775"/>
      <c r="AN775"/>
      <c r="AO775"/>
      <c r="AP775"/>
    </row>
    <row r="776" spans="2:42" s="24" customFormat="1">
      <c r="B776"/>
      <c r="C776" s="206"/>
      <c r="E776" s="16"/>
      <c r="F776"/>
      <c r="G776"/>
      <c r="H776"/>
      <c r="I776"/>
      <c r="J776"/>
      <c r="K776"/>
      <c r="L776"/>
      <c r="M776"/>
      <c r="N776"/>
      <c r="O776"/>
      <c r="P776"/>
      <c r="Q776" s="2791"/>
      <c r="R776" s="2791"/>
      <c r="S776" s="2791"/>
      <c r="T776"/>
      <c r="U776"/>
      <c r="V776"/>
      <c r="W776"/>
      <c r="X776"/>
      <c r="Y776"/>
      <c r="Z776"/>
      <c r="AA776"/>
      <c r="AB776"/>
      <c r="AC776"/>
      <c r="AD776"/>
      <c r="AE776"/>
      <c r="AF776"/>
      <c r="AG776"/>
      <c r="AH776"/>
      <c r="AI776"/>
      <c r="AJ776"/>
      <c r="AK776"/>
      <c r="AL776"/>
      <c r="AM776"/>
      <c r="AN776"/>
      <c r="AO776"/>
      <c r="AP776"/>
    </row>
    <row r="777" spans="2:42" s="24" customFormat="1">
      <c r="B777"/>
      <c r="C777" s="206"/>
      <c r="E777" s="16"/>
      <c r="F777"/>
      <c r="G777"/>
      <c r="H777"/>
      <c r="I777"/>
      <c r="J777"/>
      <c r="K777"/>
      <c r="L777"/>
      <c r="M777"/>
      <c r="N777"/>
      <c r="O777"/>
      <c r="P777"/>
      <c r="Q777" s="2791"/>
      <c r="R777" s="2791"/>
      <c r="S777" s="2791"/>
      <c r="T777"/>
      <c r="U777"/>
      <c r="V777"/>
      <c r="W777"/>
      <c r="X777"/>
      <c r="Y777"/>
      <c r="Z777"/>
      <c r="AA777"/>
      <c r="AB777"/>
      <c r="AC777"/>
      <c r="AD777"/>
      <c r="AE777"/>
      <c r="AF777"/>
      <c r="AG777"/>
      <c r="AH777"/>
      <c r="AI777"/>
      <c r="AJ777"/>
      <c r="AK777"/>
      <c r="AL777"/>
      <c r="AM777"/>
      <c r="AN777"/>
      <c r="AO777"/>
      <c r="AP777"/>
    </row>
    <row r="778" spans="2:42" s="24" customFormat="1">
      <c r="B778"/>
      <c r="C778" s="206"/>
      <c r="E778" s="16"/>
      <c r="F778"/>
      <c r="G778"/>
      <c r="H778"/>
      <c r="I778"/>
      <c r="J778"/>
      <c r="K778"/>
      <c r="L778"/>
      <c r="M778"/>
      <c r="N778"/>
      <c r="O778"/>
      <c r="P778"/>
      <c r="Q778" s="2791"/>
      <c r="R778" s="2791"/>
      <c r="S778" s="2791"/>
      <c r="T778"/>
      <c r="U778"/>
      <c r="V778"/>
      <c r="W778"/>
      <c r="X778"/>
      <c r="Y778"/>
      <c r="Z778"/>
      <c r="AA778"/>
      <c r="AB778"/>
      <c r="AC778"/>
      <c r="AD778"/>
      <c r="AE778"/>
      <c r="AF778"/>
      <c r="AG778"/>
      <c r="AH778"/>
      <c r="AI778"/>
      <c r="AJ778"/>
      <c r="AK778"/>
      <c r="AL778"/>
      <c r="AM778"/>
      <c r="AN778"/>
      <c r="AO778"/>
      <c r="AP778"/>
    </row>
  </sheetData>
  <sortState xmlns:xlrd2="http://schemas.microsoft.com/office/spreadsheetml/2017/richdata2" ref="C729:F735">
    <sortCondition ref="D729"/>
  </sortState>
  <dataConsolidate/>
  <mergeCells count="53">
    <mergeCell ref="D63:D66"/>
    <mergeCell ref="C47:C50"/>
    <mergeCell ref="D47:D50"/>
    <mergeCell ref="C51:C54"/>
    <mergeCell ref="D51:D54"/>
    <mergeCell ref="C55:C58"/>
    <mergeCell ref="D55:D58"/>
    <mergeCell ref="C59:C62"/>
    <mergeCell ref="D59:D62"/>
    <mergeCell ref="C43:C46"/>
    <mergeCell ref="D43:D46"/>
    <mergeCell ref="AB21:AB22"/>
    <mergeCell ref="AD21:AD22"/>
    <mergeCell ref="AE21:AE22"/>
    <mergeCell ref="D27:D30"/>
    <mergeCell ref="D31:D34"/>
    <mergeCell ref="D35:D38"/>
    <mergeCell ref="C23:C26"/>
    <mergeCell ref="D23:D26"/>
    <mergeCell ref="V21:V22"/>
    <mergeCell ref="W21:W22"/>
    <mergeCell ref="Q21:Q22"/>
    <mergeCell ref="R21:R22"/>
    <mergeCell ref="S21:S22"/>
    <mergeCell ref="C39:C42"/>
    <mergeCell ref="U17:AE18"/>
    <mergeCell ref="L19:P20"/>
    <mergeCell ref="U19:U20"/>
    <mergeCell ref="V19:Z20"/>
    <mergeCell ref="AA19:AB20"/>
    <mergeCell ref="Q17:S20"/>
    <mergeCell ref="AJ21:AJ22"/>
    <mergeCell ref="Y21:Y22"/>
    <mergeCell ref="Z21:Z22"/>
    <mergeCell ref="AA21:AA22"/>
    <mergeCell ref="L21:M21"/>
    <mergeCell ref="N21:N22"/>
    <mergeCell ref="O21:O22"/>
    <mergeCell ref="P21:P22"/>
    <mergeCell ref="AC19:AC22"/>
    <mergeCell ref="AD19:AE20"/>
    <mergeCell ref="U21:U22"/>
    <mergeCell ref="AH19:AK20"/>
    <mergeCell ref="AK21:AK22"/>
    <mergeCell ref="X21:X22"/>
    <mergeCell ref="D39:D42"/>
    <mergeCell ref="B17:K20"/>
    <mergeCell ref="L17:P18"/>
    <mergeCell ref="C21:C22"/>
    <mergeCell ref="D21:D22"/>
    <mergeCell ref="E21:E22"/>
    <mergeCell ref="F21:G21"/>
    <mergeCell ref="H21:I21"/>
  </mergeCells>
  <hyperlinks>
    <hyperlink ref="L314" r:id="rId1" display="https://specialistsales.com.au/shop/woody-weeds/woody-weed-herbicides/liquid-chemicals/raizon-herbicide-triclopyr-picloram/?attribute_pa_size=5-litre&amp;gclid=CjwKCAjwtNf6BRAwEiwAkt6UQu9U1DcwPzEFvydMQllNbvCYHBEvL6z40f0X1GUym-s8iP-7KXdpoxoC9UgQAvD_BwE" xr:uid="{00000000-0004-0000-1700-000000000000}"/>
    <hyperlink ref="M362" r:id="rId2" display="https://specialistsales.com.au/shop/woody-weeds/woody-weed-herbicides/liquid-chemicals/roundup-biactive-herbicide-glyphosate/?attribute_pa_size=20-litre&amp;gclid=EAIaIQobChMInuG-nofZ6wIVYZ_CCh2u5AaIEAkYASABEgJor_D_BwE" xr:uid="{00000000-0004-0000-1700-000001000000}"/>
  </hyperlinks>
  <pageMargins left="0.7" right="0.7" top="0.75" bottom="0.75" header="0.3" footer="0.3"/>
  <pageSetup paperSize="9" orientation="portrait" horizontalDpi="0" verticalDpi="0"/>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BG104"/>
  <sheetViews>
    <sheetView showGridLines="0" topLeftCell="C21" zoomScaleNormal="100" workbookViewId="0">
      <selection activeCell="H36" sqref="H36"/>
    </sheetView>
  </sheetViews>
  <sheetFormatPr baseColWidth="10" defaultColWidth="11" defaultRowHeight="16"/>
  <cols>
    <col min="1" max="1" width="4.6640625" customWidth="1"/>
    <col min="2" max="2" width="17.5" customWidth="1"/>
    <col min="3" max="3" width="45.1640625" customWidth="1"/>
    <col min="4" max="4" width="15.33203125" customWidth="1"/>
    <col min="5" max="5" width="13.33203125" customWidth="1"/>
    <col min="6" max="8" width="14.33203125" customWidth="1"/>
    <col min="9" max="9" width="20" customWidth="1"/>
    <col min="10" max="16" width="12.5" customWidth="1"/>
    <col min="17" max="20" width="14.33203125" customWidth="1"/>
    <col min="21" max="49" width="11.83203125" customWidth="1"/>
    <col min="50" max="50" width="12.1640625" customWidth="1"/>
    <col min="51" max="53" width="13.5" customWidth="1"/>
    <col min="54" max="54" width="48.83203125" customWidth="1"/>
    <col min="55" max="55" width="13.5" customWidth="1"/>
  </cols>
  <sheetData>
    <row r="1" spans="2:59">
      <c r="B1" s="8" t="s">
        <v>1035</v>
      </c>
    </row>
    <row r="3" spans="2:59">
      <c r="B3" s="8" t="s">
        <v>844</v>
      </c>
      <c r="H3" s="692"/>
      <c r="I3" s="692"/>
      <c r="J3" s="692"/>
      <c r="K3" s="692"/>
      <c r="L3" s="692"/>
      <c r="M3" s="692"/>
      <c r="N3" s="692"/>
      <c r="O3" s="692"/>
      <c r="P3" s="692"/>
      <c r="Q3" s="692"/>
      <c r="R3" s="692"/>
      <c r="S3" s="692"/>
      <c r="T3" s="692"/>
    </row>
    <row r="4" spans="2:59" ht="17" thickBot="1">
      <c r="B4" t="s">
        <v>839</v>
      </c>
      <c r="C4" t="s">
        <v>845</v>
      </c>
      <c r="D4" s="1"/>
      <c r="E4" s="1"/>
      <c r="F4" s="1"/>
      <c r="G4" s="1"/>
      <c r="H4" s="1"/>
      <c r="I4" s="1"/>
      <c r="J4" s="1"/>
      <c r="K4" s="1"/>
      <c r="L4" s="1"/>
      <c r="M4" s="1"/>
      <c r="N4" s="1"/>
      <c r="O4" s="1"/>
      <c r="P4" s="1"/>
      <c r="Q4" s="1"/>
      <c r="R4" s="1"/>
      <c r="S4" s="1"/>
      <c r="T4" s="1"/>
    </row>
    <row r="5" spans="2:59">
      <c r="C5" s="804" t="s">
        <v>838</v>
      </c>
      <c r="D5" s="805"/>
      <c r="E5" s="805"/>
      <c r="F5" s="805"/>
      <c r="G5" s="805"/>
      <c r="H5" s="805"/>
      <c r="I5" s="79"/>
      <c r="J5" s="79"/>
      <c r="K5" s="79"/>
      <c r="L5" s="79"/>
      <c r="M5" s="79"/>
      <c r="N5" s="79"/>
      <c r="O5" s="79"/>
      <c r="P5" s="79"/>
      <c r="Q5" s="79"/>
      <c r="R5" s="79"/>
      <c r="S5" s="79"/>
      <c r="T5" s="79"/>
    </row>
    <row r="6" spans="2:59">
      <c r="C6" s="807"/>
      <c r="D6" s="2791" t="s">
        <v>2175</v>
      </c>
    </row>
    <row r="7" spans="2:59">
      <c r="C7" s="807" t="s">
        <v>827</v>
      </c>
      <c r="D7" s="2791" t="s">
        <v>2181</v>
      </c>
    </row>
    <row r="8" spans="2:59">
      <c r="C8" s="807"/>
    </row>
    <row r="9" spans="2:59">
      <c r="C9" s="807" t="s">
        <v>827</v>
      </c>
      <c r="D9" s="2791" t="s">
        <v>2371</v>
      </c>
    </row>
    <row r="10" spans="2:59">
      <c r="C10" s="807" t="s">
        <v>827</v>
      </c>
      <c r="D10" s="2791" t="s">
        <v>2378</v>
      </c>
    </row>
    <row r="11" spans="2:59" ht="17" thickBot="1">
      <c r="C11" s="808"/>
      <c r="D11" s="574"/>
      <c r="E11" s="574"/>
      <c r="F11" s="574"/>
      <c r="G11" s="574"/>
      <c r="H11" s="574"/>
      <c r="I11" s="79"/>
      <c r="J11" s="79"/>
      <c r="K11" s="79"/>
      <c r="L11" s="79"/>
      <c r="M11" s="79"/>
      <c r="N11" s="79"/>
      <c r="O11" s="79"/>
      <c r="P11" s="79"/>
      <c r="Q11" s="79"/>
      <c r="R11" s="79"/>
      <c r="S11" s="79"/>
      <c r="T11" s="79"/>
      <c r="BG11" s="587">
        <v>0</v>
      </c>
    </row>
    <row r="12" spans="2:59">
      <c r="C12" s="360" t="s">
        <v>851</v>
      </c>
      <c r="BG12" s="587"/>
    </row>
    <row r="13" spans="2:59">
      <c r="BG13" s="587"/>
    </row>
    <row r="14" spans="2:59">
      <c r="B14" s="1394" t="s">
        <v>942</v>
      </c>
      <c r="C14" s="1395" t="s">
        <v>1170</v>
      </c>
      <c r="BG14" s="587"/>
    </row>
    <row r="15" spans="2:59">
      <c r="C15" s="1396" t="s">
        <v>1169</v>
      </c>
    </row>
    <row r="16" spans="2:59">
      <c r="B16" s="8" t="s">
        <v>730</v>
      </c>
      <c r="C16" s="1394"/>
    </row>
    <row r="17" spans="2:20" ht="17">
      <c r="B17" s="3" t="s">
        <v>847</v>
      </c>
      <c r="H17" s="562"/>
      <c r="I17" s="562"/>
      <c r="J17" s="562"/>
      <c r="K17" s="562"/>
      <c r="L17" s="562"/>
      <c r="M17" s="562"/>
      <c r="N17" s="562"/>
      <c r="O17" s="562"/>
      <c r="P17" s="562"/>
      <c r="Q17" s="562"/>
      <c r="R17" s="562"/>
      <c r="S17" s="562"/>
      <c r="T17" s="562"/>
    </row>
    <row r="18" spans="2:20" ht="17">
      <c r="B18" s="3"/>
      <c r="H18" s="562"/>
      <c r="I18" s="562"/>
      <c r="J18" s="562"/>
      <c r="K18" s="562"/>
      <c r="L18" s="562"/>
      <c r="M18" s="562"/>
      <c r="N18" s="562"/>
      <c r="O18" s="562"/>
      <c r="P18" s="562"/>
      <c r="Q18" s="562"/>
      <c r="R18" s="562"/>
      <c r="S18" s="562"/>
      <c r="T18" s="562"/>
    </row>
    <row r="19" spans="2:20" ht="17">
      <c r="C19" t="s">
        <v>1162</v>
      </c>
      <c r="H19" s="562"/>
      <c r="I19" s="562"/>
      <c r="J19" s="562"/>
      <c r="K19" s="562"/>
      <c r="L19" s="562"/>
      <c r="M19" s="562"/>
      <c r="N19" s="562"/>
      <c r="O19" s="562"/>
      <c r="P19" s="562"/>
      <c r="Q19" s="562"/>
      <c r="R19" s="562"/>
      <c r="S19" s="562"/>
      <c r="T19" s="562"/>
    </row>
    <row r="20" spans="2:20">
      <c r="C20" t="s">
        <v>1163</v>
      </c>
      <c r="H20" s="692"/>
      <c r="I20" s="692"/>
      <c r="J20" s="692"/>
      <c r="K20" s="692"/>
      <c r="L20" s="692"/>
      <c r="M20" s="692"/>
      <c r="N20" s="692"/>
      <c r="O20" s="692"/>
      <c r="P20" s="692"/>
      <c r="Q20" s="692"/>
      <c r="R20" s="692"/>
      <c r="S20" s="692"/>
      <c r="T20" s="692"/>
    </row>
    <row r="21" spans="2:20">
      <c r="C21" t="s">
        <v>843</v>
      </c>
      <c r="H21" s="692"/>
      <c r="I21" s="692"/>
      <c r="J21" s="692"/>
      <c r="K21" s="692"/>
      <c r="L21" s="692"/>
      <c r="M21" s="692"/>
      <c r="N21" s="692"/>
      <c r="O21" s="692"/>
      <c r="P21" s="692"/>
      <c r="Q21" s="692"/>
      <c r="R21" s="692"/>
      <c r="S21" s="692"/>
      <c r="T21" s="692"/>
    </row>
    <row r="22" spans="2:20" ht="17">
      <c r="C22" t="s">
        <v>867</v>
      </c>
      <c r="H22" s="562"/>
      <c r="I22" s="562"/>
      <c r="J22" s="562"/>
      <c r="K22" s="562"/>
      <c r="L22" s="562"/>
      <c r="M22" s="562"/>
      <c r="N22" s="562"/>
      <c r="O22" s="562"/>
      <c r="P22" s="562"/>
      <c r="Q22" s="562"/>
      <c r="R22" s="562"/>
      <c r="S22" s="562"/>
      <c r="T22" s="562"/>
    </row>
    <row r="23" spans="2:20" ht="17">
      <c r="C23" t="s">
        <v>805</v>
      </c>
      <c r="D23" s="31"/>
      <c r="H23" s="562"/>
      <c r="I23" s="562"/>
      <c r="J23" s="562"/>
      <c r="K23" s="562"/>
      <c r="L23" s="562"/>
      <c r="M23" s="562"/>
      <c r="N23" s="562"/>
      <c r="O23" s="562"/>
      <c r="P23" s="562"/>
      <c r="Q23" s="562"/>
      <c r="R23" s="562"/>
      <c r="S23" s="562"/>
      <c r="T23" s="562"/>
    </row>
    <row r="24" spans="2:20" ht="17">
      <c r="D24" s="31"/>
      <c r="H24" s="562"/>
      <c r="I24" s="562"/>
      <c r="J24" s="562"/>
      <c r="K24" s="562"/>
      <c r="L24" s="562"/>
      <c r="M24" s="562"/>
      <c r="N24" s="562"/>
      <c r="O24" s="562"/>
      <c r="P24" s="562"/>
      <c r="Q24" s="562"/>
      <c r="R24" s="562"/>
      <c r="S24" s="562"/>
      <c r="T24" s="562"/>
    </row>
    <row r="25" spans="2:20" ht="17">
      <c r="D25" s="31"/>
      <c r="H25" s="562"/>
      <c r="I25" s="562"/>
      <c r="J25" s="562"/>
      <c r="K25" s="562"/>
      <c r="L25" s="562"/>
      <c r="M25" s="562"/>
      <c r="N25" s="562"/>
      <c r="O25" s="562"/>
      <c r="P25" s="562"/>
      <c r="Q25" s="562"/>
      <c r="R25" s="562"/>
      <c r="S25" s="562"/>
      <c r="T25" s="562"/>
    </row>
    <row r="26" spans="2:20" ht="17">
      <c r="D26" s="31"/>
      <c r="H26" s="562"/>
      <c r="I26" s="562"/>
      <c r="J26" s="562"/>
      <c r="K26" s="562"/>
      <c r="L26" s="562"/>
      <c r="M26" s="562"/>
      <c r="N26" s="562"/>
      <c r="O26" s="562"/>
      <c r="P26" s="562"/>
      <c r="Q26" s="562"/>
      <c r="R26" s="562"/>
      <c r="S26" s="562"/>
      <c r="T26" s="562"/>
    </row>
    <row r="27" spans="2:20" ht="17">
      <c r="B27" s="3" t="s">
        <v>846</v>
      </c>
      <c r="H27" s="562"/>
      <c r="I27" s="562"/>
      <c r="J27" s="562"/>
      <c r="K27" s="562"/>
      <c r="L27" s="562"/>
      <c r="M27" s="562"/>
      <c r="N27" s="562"/>
      <c r="O27" s="562"/>
      <c r="P27" s="562"/>
      <c r="Q27" s="562"/>
      <c r="R27" s="562"/>
      <c r="S27" s="562"/>
      <c r="T27" s="562"/>
    </row>
    <row r="28" spans="2:20" ht="17">
      <c r="C28" s="1" t="s">
        <v>1727</v>
      </c>
      <c r="H28" s="562"/>
      <c r="I28" s="562"/>
      <c r="J28" s="562"/>
      <c r="K28" s="562"/>
      <c r="L28" s="562"/>
      <c r="M28" s="562"/>
      <c r="N28" s="562"/>
      <c r="O28" s="562"/>
      <c r="P28" s="562"/>
      <c r="Q28" s="562"/>
      <c r="R28" s="562"/>
      <c r="S28" s="562"/>
      <c r="T28" s="562"/>
    </row>
    <row r="29" spans="2:20" ht="17">
      <c r="C29" s="693" t="s">
        <v>1726</v>
      </c>
      <c r="D29" s="31"/>
      <c r="H29" s="562"/>
      <c r="I29" s="562"/>
      <c r="J29" s="562"/>
      <c r="K29" s="562"/>
      <c r="L29" s="562"/>
      <c r="M29" s="562"/>
      <c r="N29" s="562"/>
      <c r="O29" s="562"/>
      <c r="P29" s="562"/>
      <c r="Q29" s="562"/>
      <c r="R29" s="562"/>
      <c r="S29" s="562"/>
    </row>
    <row r="30" spans="2:20">
      <c r="C30" t="s">
        <v>836</v>
      </c>
      <c r="H30" s="692"/>
      <c r="I30" s="692"/>
      <c r="J30" s="692"/>
      <c r="K30" s="692"/>
      <c r="L30" s="692"/>
      <c r="M30" s="692"/>
      <c r="N30" s="692"/>
      <c r="O30" s="692"/>
      <c r="P30" s="692"/>
      <c r="Q30" s="692"/>
      <c r="R30" s="692"/>
      <c r="S30" s="692"/>
    </row>
    <row r="31" spans="2:20">
      <c r="D31" t="s">
        <v>2370</v>
      </c>
      <c r="H31" s="692"/>
      <c r="I31" s="692"/>
      <c r="J31" s="692"/>
      <c r="K31" s="692"/>
      <c r="L31" s="692"/>
      <c r="M31" s="692"/>
      <c r="N31" s="692"/>
      <c r="O31" s="692"/>
      <c r="P31" s="692"/>
      <c r="Q31" s="692"/>
      <c r="R31" s="692"/>
      <c r="S31" s="692"/>
    </row>
    <row r="32" spans="2:20">
      <c r="H32" s="692"/>
      <c r="I32" s="692"/>
      <c r="J32" s="692"/>
      <c r="K32" s="692"/>
      <c r="L32" s="692"/>
      <c r="M32" s="692"/>
      <c r="N32" s="692"/>
      <c r="O32" s="692"/>
      <c r="P32" s="692"/>
      <c r="Q32" s="692"/>
      <c r="R32" s="692"/>
      <c r="S32" s="692"/>
    </row>
    <row r="33" spans="2:52">
      <c r="H33" s="692"/>
      <c r="I33" s="692"/>
      <c r="J33" s="692"/>
      <c r="K33" s="692"/>
      <c r="L33" s="692"/>
      <c r="M33" s="692"/>
      <c r="N33" s="692"/>
      <c r="O33" s="692"/>
      <c r="P33" s="692"/>
      <c r="Q33" s="692"/>
      <c r="R33" s="692"/>
      <c r="S33" s="692"/>
    </row>
    <row r="34" spans="2:52">
      <c r="H34" s="692"/>
      <c r="J34" s="207"/>
      <c r="K34" s="16"/>
      <c r="L34" s="2"/>
      <c r="Q34" s="692"/>
      <c r="R34" s="692"/>
      <c r="S34" s="692"/>
    </row>
    <row r="35" spans="2:52">
      <c r="B35" s="1"/>
      <c r="C35" s="360"/>
      <c r="I35" s="206"/>
      <c r="J35" s="207" t="s">
        <v>1179</v>
      </c>
      <c r="K35" s="16"/>
      <c r="L35" s="2"/>
      <c r="AY35" s="587"/>
    </row>
    <row r="36" spans="2:52">
      <c r="B36" s="8" t="s">
        <v>1036</v>
      </c>
      <c r="C36" s="100"/>
      <c r="F36" s="1" t="s">
        <v>864</v>
      </c>
      <c r="G36" s="1" t="s">
        <v>864</v>
      </c>
      <c r="H36" s="1" t="s">
        <v>864</v>
      </c>
      <c r="J36" s="1258" t="s">
        <v>1176</v>
      </c>
      <c r="K36" s="16"/>
      <c r="R36" s="1" t="s">
        <v>1178</v>
      </c>
      <c r="T36" s="1"/>
      <c r="U36" s="1"/>
      <c r="V36" s="1"/>
      <c r="W36" s="1"/>
      <c r="X36" s="1"/>
      <c r="Y36" s="1"/>
      <c r="Z36" s="1"/>
      <c r="AA36" s="1"/>
      <c r="AB36" s="1"/>
      <c r="AC36" s="1"/>
      <c r="AE36" s="1" t="s">
        <v>820</v>
      </c>
      <c r="AY36" s="587"/>
    </row>
    <row r="37" spans="2:52">
      <c r="B37" t="s">
        <v>841</v>
      </c>
      <c r="AP37" t="s">
        <v>1053</v>
      </c>
      <c r="AY37" s="587"/>
    </row>
    <row r="38" spans="2:52">
      <c r="C38" t="s">
        <v>829</v>
      </c>
      <c r="R38" s="259">
        <f>'Overall Assumptions'!$C$179</f>
        <v>208.4</v>
      </c>
      <c r="V38" s="259">
        <f>'Overall Assumptions'!$C$179</f>
        <v>208.4</v>
      </c>
      <c r="AC38" s="259"/>
      <c r="AY38" s="587"/>
    </row>
    <row r="39" spans="2:52">
      <c r="C39" s="360" t="s">
        <v>1052</v>
      </c>
      <c r="D39" s="1"/>
      <c r="E39" s="1"/>
      <c r="AC39" s="79"/>
      <c r="AY39" s="587"/>
    </row>
    <row r="40" spans="2:52">
      <c r="C40" s="4" t="s">
        <v>730</v>
      </c>
      <c r="D40" s="593" t="s">
        <v>832</v>
      </c>
      <c r="F40" s="3741" t="s">
        <v>799</v>
      </c>
      <c r="G40" s="3742"/>
      <c r="H40" s="3743"/>
      <c r="I40" s="79"/>
      <c r="J40" s="3889" t="s">
        <v>800</v>
      </c>
      <c r="K40" s="3890"/>
      <c r="L40" s="3890"/>
      <c r="M40" s="3890"/>
      <c r="N40" s="3890"/>
      <c r="O40" s="3890"/>
      <c r="P40" s="3891"/>
      <c r="Q40" s="1270"/>
      <c r="R40" s="3741" t="s">
        <v>1105</v>
      </c>
      <c r="S40" s="3742"/>
      <c r="T40" s="3743"/>
      <c r="U40" s="79"/>
      <c r="V40" s="3889" t="s">
        <v>1164</v>
      </c>
      <c r="W40" s="3890"/>
      <c r="X40" s="3890"/>
      <c r="Y40" s="3890"/>
      <c r="Z40" s="3890"/>
      <c r="AA40" s="3890"/>
      <c r="AB40" s="3891"/>
      <c r="AC40" s="79"/>
      <c r="AE40" s="3741"/>
      <c r="AF40" s="3742"/>
      <c r="AG40" s="3743"/>
      <c r="AH40" s="79"/>
      <c r="AI40" s="3889" t="s">
        <v>1164</v>
      </c>
      <c r="AJ40" s="3890"/>
      <c r="AK40" s="3890"/>
      <c r="AL40" s="3890"/>
      <c r="AM40" s="3890"/>
      <c r="AN40" s="3890"/>
      <c r="AO40" s="3891"/>
      <c r="AP40">
        <v>0</v>
      </c>
      <c r="AQ40">
        <v>1</v>
      </c>
      <c r="AR40">
        <v>2</v>
      </c>
      <c r="AS40">
        <v>3</v>
      </c>
      <c r="AZ40" s="587"/>
    </row>
    <row r="41" spans="2:52" ht="16" customHeight="1">
      <c r="C41" s="402" t="s">
        <v>819</v>
      </c>
      <c r="D41" s="3828" t="s">
        <v>801</v>
      </c>
      <c r="F41" s="3883" t="s">
        <v>850</v>
      </c>
      <c r="G41" s="3884"/>
      <c r="H41" s="3885"/>
      <c r="I41" s="79"/>
      <c r="J41" s="3895" t="s">
        <v>1166</v>
      </c>
      <c r="K41" s="3896"/>
      <c r="L41" s="3896"/>
      <c r="M41" s="3896"/>
      <c r="N41" s="3896"/>
      <c r="O41" s="3896"/>
      <c r="P41" s="3897"/>
      <c r="Q41" s="1272"/>
      <c r="R41" s="3741" t="s">
        <v>825</v>
      </c>
      <c r="S41" s="3742"/>
      <c r="T41" s="3743"/>
      <c r="U41" s="79"/>
      <c r="V41" s="3895" t="s">
        <v>1166</v>
      </c>
      <c r="W41" s="3896"/>
      <c r="X41" s="3896"/>
      <c r="Y41" s="3896"/>
      <c r="Z41" s="3896"/>
      <c r="AA41" s="3896"/>
      <c r="AB41" s="3897"/>
      <c r="AC41" s="1323"/>
      <c r="AE41" s="3741"/>
      <c r="AF41" s="3742"/>
      <c r="AG41" s="3743"/>
      <c r="AH41" s="79"/>
      <c r="AI41" s="3895" t="s">
        <v>1166</v>
      </c>
      <c r="AJ41" s="3896"/>
      <c r="AK41" s="3896"/>
      <c r="AL41" s="3896"/>
      <c r="AM41" s="3896"/>
      <c r="AN41" s="3896"/>
      <c r="AO41" s="3897"/>
      <c r="AP41" s="402" t="s">
        <v>821</v>
      </c>
      <c r="AQ41" s="255"/>
      <c r="AR41" s="255"/>
      <c r="AS41" s="161"/>
      <c r="AT41" s="79"/>
      <c r="AZ41" s="587"/>
    </row>
    <row r="42" spans="2:52" ht="16" customHeight="1">
      <c r="C42" s="404"/>
      <c r="D42" s="3829"/>
      <c r="F42" s="3889"/>
      <c r="G42" s="3890"/>
      <c r="H42" s="3891"/>
      <c r="I42" s="79"/>
      <c r="J42" s="878">
        <f t="shared" ref="J42:P42" ca="1" si="0">OFFSET($K$84,J70,0)</f>
        <v>0.4</v>
      </c>
      <c r="K42" s="1397">
        <f t="shared" ca="1" si="0"/>
        <v>0.6</v>
      </c>
      <c r="L42" s="1397">
        <f t="shared" ca="1" si="0"/>
        <v>0.6</v>
      </c>
      <c r="M42" s="1398">
        <f t="shared" ca="1" si="0"/>
        <v>1</v>
      </c>
      <c r="N42" s="1398">
        <f t="shared" ca="1" si="0"/>
        <v>1</v>
      </c>
      <c r="O42" s="1398">
        <f t="shared" ca="1" si="0"/>
        <v>2</v>
      </c>
      <c r="P42" s="1399">
        <f t="shared" ca="1" si="0"/>
        <v>2</v>
      </c>
      <c r="Q42" s="604"/>
      <c r="R42" s="3889"/>
      <c r="S42" s="3890"/>
      <c r="T42" s="3891"/>
      <c r="U42" s="79"/>
      <c r="V42" s="878">
        <f t="shared" ref="V42:AB42" ca="1" si="1">J42</f>
        <v>0.4</v>
      </c>
      <c r="W42" s="1397">
        <f t="shared" ca="1" si="1"/>
        <v>0.6</v>
      </c>
      <c r="X42" s="1397">
        <f t="shared" ca="1" si="1"/>
        <v>0.6</v>
      </c>
      <c r="Y42" s="1398">
        <f t="shared" ca="1" si="1"/>
        <v>1</v>
      </c>
      <c r="Z42" s="1398">
        <f t="shared" ca="1" si="1"/>
        <v>1</v>
      </c>
      <c r="AA42" s="1398">
        <f t="shared" ca="1" si="1"/>
        <v>2</v>
      </c>
      <c r="AB42" s="1399">
        <f t="shared" ca="1" si="1"/>
        <v>2</v>
      </c>
      <c r="AC42" s="1323"/>
      <c r="AE42" s="3889" t="s">
        <v>804</v>
      </c>
      <c r="AF42" s="3890"/>
      <c r="AG42" s="3891"/>
      <c r="AH42" s="79"/>
      <c r="AI42" s="878">
        <f t="shared" ref="AI42:AO42" ca="1" si="2">J42</f>
        <v>0.4</v>
      </c>
      <c r="AJ42" s="1397">
        <f t="shared" ca="1" si="2"/>
        <v>0.6</v>
      </c>
      <c r="AK42" s="1397">
        <f t="shared" ca="1" si="2"/>
        <v>0.6</v>
      </c>
      <c r="AL42" s="1398">
        <f t="shared" ca="1" si="2"/>
        <v>1</v>
      </c>
      <c r="AM42" s="1398">
        <f t="shared" ca="1" si="2"/>
        <v>1</v>
      </c>
      <c r="AN42" s="1398">
        <f t="shared" ca="1" si="2"/>
        <v>2</v>
      </c>
      <c r="AO42" s="1399">
        <f t="shared" ca="1" si="2"/>
        <v>2</v>
      </c>
      <c r="AP42" s="480" t="s">
        <v>3</v>
      </c>
      <c r="AQ42" s="161" t="s">
        <v>132</v>
      </c>
      <c r="AR42" s="161" t="s">
        <v>4</v>
      </c>
      <c r="AS42" s="161" t="s">
        <v>21</v>
      </c>
      <c r="AT42" s="79"/>
      <c r="AZ42" s="587"/>
    </row>
    <row r="43" spans="2:52" ht="16" customHeight="1">
      <c r="C43" s="404"/>
      <c r="D43" s="3829"/>
      <c r="F43" s="3895" t="s">
        <v>796</v>
      </c>
      <c r="G43" s="3896"/>
      <c r="H43" s="3897"/>
      <c r="I43" s="79"/>
      <c r="J43" s="3946" t="s">
        <v>734</v>
      </c>
      <c r="K43" s="3947"/>
      <c r="L43" s="3947"/>
      <c r="M43" s="3947"/>
      <c r="N43" s="3947"/>
      <c r="O43" s="3947"/>
      <c r="P43" s="3948"/>
      <c r="Q43" s="604"/>
      <c r="R43" s="3895"/>
      <c r="S43" s="3896"/>
      <c r="T43" s="3897"/>
      <c r="U43" s="79"/>
      <c r="V43" s="3946" t="s">
        <v>734</v>
      </c>
      <c r="W43" s="3947"/>
      <c r="X43" s="3947"/>
      <c r="Y43" s="3947"/>
      <c r="Z43" s="3947"/>
      <c r="AA43" s="3947"/>
      <c r="AB43" s="3948"/>
      <c r="AC43" s="3132" t="s">
        <v>2161</v>
      </c>
      <c r="AE43" s="3895" t="s">
        <v>796</v>
      </c>
      <c r="AF43" s="3896"/>
      <c r="AG43" s="3897"/>
      <c r="AH43" s="79"/>
      <c r="AI43" s="3946" t="s">
        <v>734</v>
      </c>
      <c r="AJ43" s="3947"/>
      <c r="AK43" s="3947"/>
      <c r="AL43" s="3947"/>
      <c r="AM43" s="3947"/>
      <c r="AN43" s="3947"/>
      <c r="AO43" s="3948"/>
      <c r="AP43" s="1238"/>
      <c r="AQ43" s="604"/>
      <c r="AR43" s="604"/>
      <c r="AS43" s="246"/>
      <c r="AT43" s="79"/>
      <c r="AZ43" s="587"/>
    </row>
    <row r="44" spans="2:52">
      <c r="B44" s="79"/>
      <c r="C44" s="404"/>
      <c r="D44" s="3829"/>
      <c r="F44" s="404" t="s">
        <v>802</v>
      </c>
      <c r="G44" s="79" t="s">
        <v>803</v>
      </c>
      <c r="H44" s="246" t="s">
        <v>733</v>
      </c>
      <c r="I44" s="274" t="s">
        <v>1161</v>
      </c>
      <c r="J44" s="1390" t="s">
        <v>745</v>
      </c>
      <c r="K44" s="273" t="s">
        <v>744</v>
      </c>
      <c r="L44" s="334" t="s">
        <v>747</v>
      </c>
      <c r="M44" s="401" t="s">
        <v>743</v>
      </c>
      <c r="N44" s="401" t="s">
        <v>748</v>
      </c>
      <c r="O44" s="401" t="s">
        <v>742</v>
      </c>
      <c r="P44" s="274" t="s">
        <v>746</v>
      </c>
      <c r="Q44" s="246"/>
      <c r="R44" s="405" t="s">
        <v>802</v>
      </c>
      <c r="S44" s="439" t="s">
        <v>803</v>
      </c>
      <c r="T44" s="162" t="s">
        <v>733</v>
      </c>
      <c r="U44" s="593" t="s">
        <v>1161</v>
      </c>
      <c r="V44" s="1390" t="s">
        <v>745</v>
      </c>
      <c r="W44" s="273" t="s">
        <v>744</v>
      </c>
      <c r="X44" s="334" t="s">
        <v>747</v>
      </c>
      <c r="Y44" s="401" t="s">
        <v>743</v>
      </c>
      <c r="Z44" s="401" t="s">
        <v>748</v>
      </c>
      <c r="AA44" s="401" t="s">
        <v>742</v>
      </c>
      <c r="AB44" s="274" t="s">
        <v>746</v>
      </c>
      <c r="AC44" s="1323"/>
      <c r="AE44" s="405" t="s">
        <v>802</v>
      </c>
      <c r="AF44" s="439" t="s">
        <v>803</v>
      </c>
      <c r="AG44" s="162" t="s">
        <v>733</v>
      </c>
      <c r="AH44" s="593"/>
      <c r="AI44" s="1390" t="s">
        <v>745</v>
      </c>
      <c r="AJ44" s="273" t="s">
        <v>744</v>
      </c>
      <c r="AK44" s="334" t="s">
        <v>747</v>
      </c>
      <c r="AL44" s="401" t="s">
        <v>743</v>
      </c>
      <c r="AM44" s="401" t="s">
        <v>748</v>
      </c>
      <c r="AN44" s="401" t="s">
        <v>742</v>
      </c>
      <c r="AO44" s="274" t="s">
        <v>746</v>
      </c>
      <c r="AP44" s="481"/>
      <c r="AQ44" s="162"/>
      <c r="AR44" s="162"/>
      <c r="AS44" s="162"/>
      <c r="AZ44" s="587"/>
    </row>
    <row r="45" spans="2:52">
      <c r="B45" s="480" t="s">
        <v>862</v>
      </c>
      <c r="C45" s="255" t="s">
        <v>57</v>
      </c>
      <c r="D45" s="749"/>
      <c r="F45" s="1181">
        <f>'Habitat Restoration'!$AB$23</f>
        <v>85.55624999999992</v>
      </c>
      <c r="G45" s="1180">
        <f>'Habitat Restoration'!$AB$23</f>
        <v>85.55624999999992</v>
      </c>
      <c r="H45" s="1183">
        <f>'Habitat Restoration'!$AB$23</f>
        <v>85.55624999999992</v>
      </c>
      <c r="I45" s="1261"/>
      <c r="J45" s="843"/>
      <c r="K45" s="1329"/>
      <c r="L45" s="844"/>
      <c r="M45" s="1329"/>
      <c r="N45" s="844"/>
      <c r="O45" s="1329"/>
      <c r="P45" s="844"/>
      <c r="Q45" s="1259"/>
      <c r="R45" s="1280"/>
      <c r="S45" s="1279"/>
      <c r="T45" s="1207"/>
      <c r="U45" s="480"/>
      <c r="V45" s="843"/>
      <c r="W45" s="1329"/>
      <c r="X45" s="844"/>
      <c r="Y45" s="1329"/>
      <c r="Z45" s="844"/>
      <c r="AA45" s="1329"/>
      <c r="AB45" s="844"/>
      <c r="AC45" s="122"/>
      <c r="AD45" s="480" t="s">
        <v>57</v>
      </c>
      <c r="AE45" s="1280"/>
      <c r="AF45" s="1279"/>
      <c r="AG45" s="1207"/>
      <c r="AH45" s="480"/>
      <c r="AI45" s="843"/>
      <c r="AJ45" s="1329"/>
      <c r="AK45" s="844"/>
      <c r="AL45" s="1329"/>
      <c r="AM45" s="844"/>
      <c r="AN45" s="1329"/>
      <c r="AO45" s="844"/>
      <c r="AP45" s="1334">
        <f ca="1">OFFSET('Habitat Restoration'!$AC$23,AP$40+$AT45,0)</f>
        <v>1</v>
      </c>
      <c r="AQ45" s="1208" t="str">
        <f ca="1">OFFSET('Habitat Restoration'!$AC$23,AQ$40+$AT45,0)</f>
        <v/>
      </c>
      <c r="AR45" s="1335" t="str">
        <f ca="1">OFFSET('Habitat Restoration'!$AC$23,AR$40+$AT45,0)</f>
        <v/>
      </c>
      <c r="AS45" s="1208" t="str">
        <f ca="1">OFFSET('Habitat Restoration'!$AC$23,AS$40+$AT45,0)</f>
        <v/>
      </c>
      <c r="AT45" s="587">
        <v>0</v>
      </c>
      <c r="AU45" s="578">
        <f t="shared" ref="AU45:AU51" ca="1" si="3">SUM(AP45:AS45)</f>
        <v>1</v>
      </c>
      <c r="AZ45" s="587"/>
    </row>
    <row r="46" spans="2:52" ht="16" customHeight="1">
      <c r="B46" s="591" t="s">
        <v>863</v>
      </c>
      <c r="C46" s="122" t="s">
        <v>58</v>
      </c>
      <c r="D46" s="606"/>
      <c r="F46" s="841">
        <f>'Habitat Restoration'!$AB$27</f>
        <v>56.921695067264523</v>
      </c>
      <c r="G46" s="689">
        <f>'Habitat Restoration'!$AB$31</f>
        <v>64.360260089686037</v>
      </c>
      <c r="H46" s="842">
        <f>'Habitat Restoration'!$AB$35</f>
        <v>85.243390134529079</v>
      </c>
      <c r="I46" s="625"/>
      <c r="J46" s="843"/>
      <c r="K46" s="691"/>
      <c r="L46" s="844"/>
      <c r="M46" s="691"/>
      <c r="N46" s="844"/>
      <c r="O46" s="691"/>
      <c r="P46" s="844"/>
      <c r="Q46" s="1259"/>
      <c r="R46" s="2882">
        <f>'Habitat Restoration'!$S$28</f>
        <v>0.99999999999999911</v>
      </c>
      <c r="S46" s="2333">
        <f>'Habitat Restoration'!$S$32</f>
        <v>0.99999999999999911</v>
      </c>
      <c r="T46" s="3104">
        <f>'Habitat Restoration'!$S$36</f>
        <v>0.99999999999999911</v>
      </c>
      <c r="U46" s="1682"/>
      <c r="V46" s="843"/>
      <c r="W46" s="691"/>
      <c r="X46" s="844"/>
      <c r="Y46" s="691"/>
      <c r="Z46" s="844"/>
      <c r="AA46" s="691"/>
      <c r="AB46" s="844"/>
      <c r="AC46" s="122"/>
      <c r="AD46" s="1179" t="s">
        <v>58</v>
      </c>
      <c r="AE46" s="1281">
        <f>'Habitat Restoration'!$G$28</f>
        <v>3.1270553064275037</v>
      </c>
      <c r="AF46" s="621">
        <f>'Habitat Restoration'!$G$32</f>
        <v>3.724962630792227</v>
      </c>
      <c r="AG46" s="687">
        <f>'Habitat Restoration'!$G$36</f>
        <v>4.9207772795216744</v>
      </c>
      <c r="AH46" s="591"/>
      <c r="AI46" s="843"/>
      <c r="AJ46" s="691"/>
      <c r="AK46" s="844"/>
      <c r="AL46" s="691"/>
      <c r="AM46" s="844"/>
      <c r="AN46" s="691"/>
      <c r="AO46" s="844"/>
      <c r="AP46" s="1331">
        <f ca="1">OFFSET('Habitat Restoration'!$AC$23,AP$40+$AT46,0)</f>
        <v>0.45956785255615878</v>
      </c>
      <c r="AQ46" s="751">
        <f ca="1">OFFSET('Habitat Restoration'!$AC$23,AQ$40+$AT46,0)</f>
        <v>0.22389203073248765</v>
      </c>
      <c r="AR46" s="608">
        <f ca="1">OFFSET('Habitat Restoration'!$AC$23,AR$40+$AT46,0)</f>
        <v>0.31654011671135351</v>
      </c>
      <c r="AS46" s="751">
        <f ca="1">OFFSET('Habitat Restoration'!$AC$23,AS$40+$AT46,0)</f>
        <v>0</v>
      </c>
      <c r="AT46" s="587">
        <v>4</v>
      </c>
      <c r="AU46" s="578">
        <f t="shared" ca="1" si="3"/>
        <v>1</v>
      </c>
      <c r="AZ46" s="587"/>
    </row>
    <row r="47" spans="2:52" s="2953" customFormat="1" ht="16" customHeight="1">
      <c r="B47" s="591" t="s">
        <v>862</v>
      </c>
      <c r="C47" s="122" t="s">
        <v>2299</v>
      </c>
      <c r="D47" s="3456">
        <f>'Habitat Restoration'!$H$39</f>
        <v>927000</v>
      </c>
      <c r="F47" s="843"/>
      <c r="G47" s="691"/>
      <c r="H47" s="844"/>
      <c r="I47" s="625"/>
      <c r="J47" s="843"/>
      <c r="K47" s="691"/>
      <c r="L47" s="844"/>
      <c r="M47" s="691"/>
      <c r="N47" s="844"/>
      <c r="O47" s="691"/>
      <c r="P47" s="844"/>
      <c r="Q47" s="1259"/>
      <c r="R47" s="2882"/>
      <c r="S47" s="2333"/>
      <c r="T47" s="3104"/>
      <c r="U47" s="1682"/>
      <c r="V47" s="843"/>
      <c r="W47" s="843"/>
      <c r="X47" s="690"/>
      <c r="Y47" s="843"/>
      <c r="Z47" s="690"/>
      <c r="AA47" s="843"/>
      <c r="AB47" s="690"/>
      <c r="AC47" s="122"/>
      <c r="AD47" s="606"/>
      <c r="AE47" s="1283"/>
      <c r="AF47" s="1282"/>
      <c r="AG47" s="803"/>
      <c r="AH47" s="606"/>
      <c r="AI47" s="843"/>
      <c r="AJ47" s="843"/>
      <c r="AK47" s="690"/>
      <c r="AL47" s="843"/>
      <c r="AM47" s="690"/>
      <c r="AN47" s="843"/>
      <c r="AO47" s="690"/>
      <c r="AP47" s="1331">
        <f ca="1">OFFSET('Habitat Restoration'!$AC$23,AP$40+$AT47,0)</f>
        <v>0.4841679453201283</v>
      </c>
      <c r="AQ47" s="751">
        <f ca="1">OFFSET('Habitat Restoration'!$AC$23,AQ$40+$AT47,0)</f>
        <v>0.2358766913098061</v>
      </c>
      <c r="AR47" s="608">
        <f ca="1">OFFSET('Habitat Restoration'!$AC$23,AR$40+$AT47,0)</f>
        <v>0.2799553633700656</v>
      </c>
      <c r="AS47" s="751">
        <f ca="1">OFFSET('Habitat Restoration'!$AC$23,AS$40+$AT47,0)</f>
        <v>0</v>
      </c>
      <c r="AT47" s="587">
        <v>8</v>
      </c>
      <c r="AU47" s="578">
        <f t="shared" ca="1" si="3"/>
        <v>1</v>
      </c>
      <c r="AZ47" s="587"/>
    </row>
    <row r="48" spans="2:52">
      <c r="B48" s="591" t="s">
        <v>863</v>
      </c>
      <c r="C48" s="122" t="s">
        <v>1211</v>
      </c>
      <c r="D48" s="606"/>
      <c r="F48" s="845"/>
      <c r="G48" s="691"/>
      <c r="H48" s="844"/>
      <c r="I48" s="842">
        <f>'Habitat Restoration'!$AB$43</f>
        <v>189536.50064087703</v>
      </c>
      <c r="J48" s="190">
        <f t="shared" ref="J48:P49" ca="1" si="4">$I48*J$42</f>
        <v>75814.600256350808</v>
      </c>
      <c r="K48" s="342">
        <f t="shared" ca="1" si="4"/>
        <v>113721.90038452622</v>
      </c>
      <c r="L48" s="340">
        <f t="shared" ca="1" si="4"/>
        <v>113721.90038452622</v>
      </c>
      <c r="M48" s="342">
        <f t="shared" ca="1" si="4"/>
        <v>189536.50064087703</v>
      </c>
      <c r="N48" s="340">
        <f t="shared" ca="1" si="4"/>
        <v>189536.50064087703</v>
      </c>
      <c r="O48" s="342">
        <f t="shared" ca="1" si="4"/>
        <v>379073.00128175406</v>
      </c>
      <c r="P48" s="340">
        <f t="shared" ca="1" si="4"/>
        <v>379073.00128175406</v>
      </c>
      <c r="Q48" s="1259"/>
      <c r="R48" s="2885"/>
      <c r="S48" s="2883"/>
      <c r="T48" s="2884"/>
      <c r="U48" s="3001">
        <f>'Habitat Restoration'!$S$44</f>
        <v>458.9999999999996</v>
      </c>
      <c r="V48" s="2882">
        <f ca="1">ROUNDUP((AI48/21),0)*$AC48</f>
        <v>183.99999999999983</v>
      </c>
      <c r="W48" s="2882">
        <f t="shared" ref="W48:AB49" ca="1" si="5">ROUNDUP((AJ48/21),0)*$AC48</f>
        <v>275.99999999999977</v>
      </c>
      <c r="X48" s="2882">
        <f t="shared" ca="1" si="5"/>
        <v>275.99999999999977</v>
      </c>
      <c r="Y48" s="2882">
        <f t="shared" ca="1" si="5"/>
        <v>458.9999999999996</v>
      </c>
      <c r="Z48" s="2882">
        <f t="shared" ca="1" si="5"/>
        <v>458.9999999999996</v>
      </c>
      <c r="AA48" s="2882">
        <f t="shared" ca="1" si="5"/>
        <v>917.9999999999992</v>
      </c>
      <c r="AB48" s="2882">
        <f t="shared" ca="1" si="5"/>
        <v>917.9999999999992</v>
      </c>
      <c r="AC48" s="3133">
        <f>'Habitat Restoration'!$R$44</f>
        <v>0.99999999999999911</v>
      </c>
      <c r="AD48" s="1179" t="s">
        <v>1159</v>
      </c>
      <c r="AE48" s="1283"/>
      <c r="AF48" s="1282"/>
      <c r="AG48" s="803"/>
      <c r="AH48" s="694">
        <f>'Habitat Restoration'!$G$44</f>
        <v>9636.0379610028049</v>
      </c>
      <c r="AI48" s="1281">
        <f t="shared" ref="AI48:AO49" ca="1" si="6">$AH48*AI$42</f>
        <v>3854.4151844011221</v>
      </c>
      <c r="AJ48" s="1281">
        <f t="shared" ca="1" si="6"/>
        <v>5781.6227766016827</v>
      </c>
      <c r="AK48" s="1281">
        <f t="shared" ca="1" si="6"/>
        <v>5781.6227766016827</v>
      </c>
      <c r="AL48" s="1281">
        <f t="shared" ca="1" si="6"/>
        <v>9636.0379610028049</v>
      </c>
      <c r="AM48" s="1281">
        <f t="shared" ca="1" si="6"/>
        <v>9636.0379610028049</v>
      </c>
      <c r="AN48" s="1281">
        <f t="shared" ca="1" si="6"/>
        <v>19272.07592200561</v>
      </c>
      <c r="AO48" s="1281">
        <f t="shared" ca="1" si="6"/>
        <v>19272.07592200561</v>
      </c>
      <c r="AP48" s="1331">
        <f ca="1">OFFSET('Habitat Restoration'!$AC$23,AP$40+$AT48,0)</f>
        <v>0.42530212012041235</v>
      </c>
      <c r="AQ48" s="751">
        <f ca="1">OFFSET('Habitat Restoration'!$AC$23,AQ$40+$AT48,0)</f>
        <v>0.20719846877661122</v>
      </c>
      <c r="AR48" s="608">
        <f ca="1">OFFSET('Habitat Restoration'!$AC$23,AR$40+$AT48,0)</f>
        <v>0.36741810028427307</v>
      </c>
      <c r="AS48" s="751">
        <f ca="1">OFFSET('Habitat Restoration'!$AC$23,AS$40+$AT48,0)</f>
        <v>8.1310818703293614E-5</v>
      </c>
      <c r="AT48" s="587">
        <v>20</v>
      </c>
      <c r="AU48" s="578">
        <f t="shared" ca="1" si="3"/>
        <v>0.99999999999999989</v>
      </c>
      <c r="AZ48" s="587"/>
    </row>
    <row r="49" spans="2:52">
      <c r="B49" s="591" t="s">
        <v>863</v>
      </c>
      <c r="C49" s="122" t="s">
        <v>1212</v>
      </c>
      <c r="D49" s="606"/>
      <c r="F49" s="845"/>
      <c r="G49" s="691"/>
      <c r="H49" s="844"/>
      <c r="I49" s="842">
        <f>'Habitat Restoration'!$AB$47</f>
        <v>382313.59045702277</v>
      </c>
      <c r="J49" s="190">
        <f t="shared" ca="1" si="4"/>
        <v>152925.43618280912</v>
      </c>
      <c r="K49" s="342">
        <f t="shared" ca="1" si="4"/>
        <v>229388.15427421365</v>
      </c>
      <c r="L49" s="340">
        <f t="shared" ca="1" si="4"/>
        <v>229388.15427421365</v>
      </c>
      <c r="M49" s="342">
        <f t="shared" ca="1" si="4"/>
        <v>382313.59045702277</v>
      </c>
      <c r="N49" s="340">
        <f t="shared" ca="1" si="4"/>
        <v>382313.59045702277</v>
      </c>
      <c r="O49" s="342">
        <f t="shared" ca="1" si="4"/>
        <v>764627.18091404554</v>
      </c>
      <c r="P49" s="340">
        <f t="shared" ca="1" si="4"/>
        <v>764627.18091404554</v>
      </c>
      <c r="Q49" s="1259"/>
      <c r="R49" s="2885"/>
      <c r="S49" s="2883"/>
      <c r="T49" s="2884"/>
      <c r="U49" s="3001">
        <f>'Habitat Restoration'!$S$48</f>
        <v>329.16511631094534</v>
      </c>
      <c r="V49" s="2882">
        <f ca="1">ROUNDUP((AI49/21),0)*$AC49</f>
        <v>131.7524415680293</v>
      </c>
      <c r="W49" s="2882">
        <f t="shared" ca="1" si="5"/>
        <v>197.62866235204396</v>
      </c>
      <c r="X49" s="2882">
        <f t="shared" ca="1" si="5"/>
        <v>197.62866235204396</v>
      </c>
      <c r="Y49" s="2882">
        <f t="shared" ca="1" si="5"/>
        <v>329.16511631094534</v>
      </c>
      <c r="Z49" s="2882">
        <f t="shared" ca="1" si="5"/>
        <v>329.16511631094534</v>
      </c>
      <c r="AA49" s="2882">
        <f t="shared" ca="1" si="5"/>
        <v>658.33023262189067</v>
      </c>
      <c r="AB49" s="2882">
        <f t="shared" ca="1" si="5"/>
        <v>658.33023262189067</v>
      </c>
      <c r="AC49" s="3133">
        <f>'Habitat Restoration'!$R$48</f>
        <v>0.2159876091279169</v>
      </c>
      <c r="AD49" s="1179" t="s">
        <v>1160</v>
      </c>
      <c r="AE49" s="1283"/>
      <c r="AF49" s="1282"/>
      <c r="AG49" s="803"/>
      <c r="AH49" s="694">
        <f>'Habitat Restoration'!$G$48</f>
        <v>31997.149072113913</v>
      </c>
      <c r="AI49" s="1281">
        <f t="shared" ca="1" si="6"/>
        <v>12798.859628845566</v>
      </c>
      <c r="AJ49" s="1281">
        <f t="shared" ca="1" si="6"/>
        <v>19198.289443268346</v>
      </c>
      <c r="AK49" s="1281">
        <f t="shared" ca="1" si="6"/>
        <v>19198.289443268346</v>
      </c>
      <c r="AL49" s="1281">
        <f t="shared" ca="1" si="6"/>
        <v>31997.149072113913</v>
      </c>
      <c r="AM49" s="1281">
        <f t="shared" ca="1" si="6"/>
        <v>31997.149072113913</v>
      </c>
      <c r="AN49" s="1281">
        <f t="shared" ca="1" si="6"/>
        <v>63994.298144227825</v>
      </c>
      <c r="AO49" s="1281">
        <f t="shared" ca="1" si="6"/>
        <v>63994.298144227825</v>
      </c>
      <c r="AP49" s="1331">
        <f ca="1">OFFSET('Habitat Restoration'!$AC$23,AP$40+$AT49,0)</f>
        <v>0.15122106373741198</v>
      </c>
      <c r="AQ49" s="751">
        <f ca="1">OFFSET('Habitat Restoration'!$AC$23,AQ$40+$AT49,0)</f>
        <v>7.3671800282328934E-2</v>
      </c>
      <c r="AR49" s="608">
        <f ca="1">OFFSET('Habitat Restoration'!$AC$23,AR$40+$AT49,0)</f>
        <v>0.77506682517670422</v>
      </c>
      <c r="AS49" s="751">
        <f ca="1">OFFSET('Habitat Restoration'!$AC$23,AS$40+$AT49,0)</f>
        <v>4.03108035548621E-5</v>
      </c>
      <c r="AT49" s="587">
        <v>24</v>
      </c>
      <c r="AU49" s="578">
        <f t="shared" ca="1" si="3"/>
        <v>0.99999999999999989</v>
      </c>
      <c r="AZ49" s="587"/>
    </row>
    <row r="50" spans="2:52">
      <c r="B50" s="591" t="s">
        <v>862</v>
      </c>
      <c r="C50" s="122" t="s">
        <v>59</v>
      </c>
      <c r="D50" s="606"/>
      <c r="F50" s="841">
        <f>'Habitat Restoration'!$AB$51</f>
        <v>56.921695067264523</v>
      </c>
      <c r="G50" s="689">
        <f>'Habitat Restoration'!$AB$55</f>
        <v>64.360260089686037</v>
      </c>
      <c r="H50" s="842">
        <f>'Habitat Restoration'!$AB$59</f>
        <v>85.243390134529079</v>
      </c>
      <c r="I50" s="625"/>
      <c r="J50" s="843"/>
      <c r="K50" s="691"/>
      <c r="L50" s="690"/>
      <c r="M50" s="691"/>
      <c r="N50" s="690"/>
      <c r="O50" s="691"/>
      <c r="P50" s="844"/>
      <c r="Q50" s="1259"/>
      <c r="R50" s="2882">
        <f>'Habitat Restoration'!$S$52</f>
        <v>0.99999999999999911</v>
      </c>
      <c r="S50" s="2333">
        <f>'Habitat Restoration'!$S$56</f>
        <v>0.99999999999999911</v>
      </c>
      <c r="T50" s="3104">
        <f>'Habitat Restoration'!$S$60</f>
        <v>0.99999999999999911</v>
      </c>
      <c r="U50" s="1682"/>
      <c r="V50" s="3139"/>
      <c r="W50" s="3112"/>
      <c r="X50" s="3140"/>
      <c r="Y50" s="3112"/>
      <c r="Z50" s="3140"/>
      <c r="AA50" s="3112"/>
      <c r="AB50" s="3113"/>
      <c r="AC50" s="122"/>
      <c r="AD50" s="1179" t="s">
        <v>59</v>
      </c>
      <c r="AE50" s="1281">
        <f>'Habitat Restoration'!$G$52</f>
        <v>3.1270553064275037</v>
      </c>
      <c r="AF50" s="621">
        <f>'Habitat Restoration'!$G$56</f>
        <v>3.724962630792227</v>
      </c>
      <c r="AG50" s="687">
        <f>'Habitat Restoration'!$G$60</f>
        <v>4.9207772795216744</v>
      </c>
      <c r="AH50" s="591"/>
      <c r="AI50" s="843"/>
      <c r="AJ50" s="691"/>
      <c r="AK50" s="690"/>
      <c r="AL50" s="691"/>
      <c r="AM50" s="690"/>
      <c r="AN50" s="691"/>
      <c r="AO50" s="844"/>
      <c r="AP50" s="1331">
        <f ca="1">OFFSET('Habitat Restoration'!$AC$23,AP$40+$AT50,0)</f>
        <v>0.45956785255615878</v>
      </c>
      <c r="AQ50" s="1331">
        <f ca="1">OFFSET('Habitat Restoration'!$AC$23,AQ$40+$AT50,0)</f>
        <v>0.22389203073248765</v>
      </c>
      <c r="AR50" s="1331">
        <f ca="1">OFFSET('Habitat Restoration'!$AC$23,AR$40+$AT50,0)</f>
        <v>0.31654011671135351</v>
      </c>
      <c r="AS50" s="751" t="str">
        <f ca="1">OFFSET('Habitat Restoration'!$AC$23,AS$40+$AT50,0)</f>
        <v/>
      </c>
      <c r="AT50" s="587">
        <v>28</v>
      </c>
      <c r="AU50" s="578">
        <f t="shared" ca="1" si="3"/>
        <v>1</v>
      </c>
      <c r="AZ50" s="587"/>
    </row>
    <row r="51" spans="2:52">
      <c r="B51" s="591" t="s">
        <v>862</v>
      </c>
      <c r="C51" s="79" t="s">
        <v>1104</v>
      </c>
      <c r="D51" s="606"/>
      <c r="F51" s="841">
        <f>'Habitat Restoration'!$AB$63</f>
        <v>85.55624999999992</v>
      </c>
      <c r="G51" s="689">
        <f>'Habitat Restoration'!$AB$63</f>
        <v>85.55624999999992</v>
      </c>
      <c r="H51" s="842">
        <f>'Habitat Restoration'!$AB$63</f>
        <v>85.55624999999992</v>
      </c>
      <c r="I51" s="625"/>
      <c r="J51" s="843"/>
      <c r="K51" s="691"/>
      <c r="L51" s="690"/>
      <c r="M51" s="691"/>
      <c r="N51" s="690"/>
      <c r="O51" s="691"/>
      <c r="P51" s="844"/>
      <c r="Q51" s="1259"/>
      <c r="R51" s="2885"/>
      <c r="S51" s="2883"/>
      <c r="T51" s="2884"/>
      <c r="U51" s="1682"/>
      <c r="V51" s="3139"/>
      <c r="W51" s="3112"/>
      <c r="X51" s="3140"/>
      <c r="Y51" s="3112"/>
      <c r="Z51" s="3140"/>
      <c r="AA51" s="3112"/>
      <c r="AB51" s="3113"/>
      <c r="AC51" s="122"/>
      <c r="AD51" s="591" t="s">
        <v>1104</v>
      </c>
      <c r="AE51" s="1283"/>
      <c r="AF51" s="1282"/>
      <c r="AG51" s="803"/>
      <c r="AH51" s="591"/>
      <c r="AI51" s="843"/>
      <c r="AJ51" s="691"/>
      <c r="AK51" s="690"/>
      <c r="AL51" s="691"/>
      <c r="AM51" s="690"/>
      <c r="AN51" s="691"/>
      <c r="AO51" s="844"/>
      <c r="AP51" s="1331">
        <f ca="1">OFFSET('Habitat Restoration'!$AC$23,AP$40+$AT51,0)</f>
        <v>1</v>
      </c>
      <c r="AQ51" s="1331" t="str">
        <f ca="1">OFFSET('Habitat Restoration'!$AC$23,AQ$40+$AT51,0)</f>
        <v/>
      </c>
      <c r="AR51" s="1331" t="str">
        <f ca="1">OFFSET('Habitat Restoration'!$AC$23,AR$40+$AT51,0)</f>
        <v/>
      </c>
      <c r="AS51" s="751" t="str">
        <f ca="1">OFFSET('Habitat Restoration'!$AC$23,AS$40+$AT51,0)</f>
        <v/>
      </c>
      <c r="AT51" s="587">
        <v>40</v>
      </c>
      <c r="AU51" s="578">
        <f t="shared" ca="1" si="3"/>
        <v>1</v>
      </c>
    </row>
    <row r="52" spans="2:52">
      <c r="B52" s="481"/>
      <c r="C52" s="439"/>
      <c r="D52" s="607"/>
      <c r="F52" s="1262"/>
      <c r="G52" s="1392"/>
      <c r="H52" s="1184"/>
      <c r="I52" s="626"/>
      <c r="J52" s="843"/>
      <c r="K52" s="691"/>
      <c r="L52" s="844"/>
      <c r="M52" s="691"/>
      <c r="N52" s="844"/>
      <c r="O52" s="691"/>
      <c r="P52" s="844"/>
      <c r="Q52" s="1259"/>
      <c r="R52" s="2885"/>
      <c r="S52" s="2883"/>
      <c r="T52" s="2884"/>
      <c r="U52" s="3136"/>
      <c r="V52" s="3139"/>
      <c r="W52" s="3112"/>
      <c r="X52" s="3113"/>
      <c r="Y52" s="3112"/>
      <c r="Z52" s="3113"/>
      <c r="AA52" s="3112"/>
      <c r="AB52" s="3113"/>
      <c r="AC52" s="122"/>
      <c r="AD52" s="481"/>
      <c r="AE52" s="1285"/>
      <c r="AF52" s="1284"/>
      <c r="AG52" s="1205"/>
      <c r="AH52" s="481"/>
      <c r="AI52" s="843"/>
      <c r="AJ52" s="691"/>
      <c r="AK52" s="844"/>
      <c r="AL52" s="691"/>
      <c r="AM52" s="844"/>
      <c r="AN52" s="691"/>
      <c r="AO52" s="844"/>
      <c r="AP52" s="1331"/>
      <c r="AQ52" s="1331"/>
      <c r="AR52" s="1331"/>
      <c r="AS52" s="751"/>
      <c r="AT52" s="587"/>
      <c r="AU52" s="578"/>
      <c r="AV52" s="578"/>
    </row>
    <row r="53" spans="2:52">
      <c r="B53" s="593"/>
      <c r="C53" s="1325" t="s">
        <v>833</v>
      </c>
      <c r="D53" s="1326">
        <f>SUM(D45:D51)</f>
        <v>927000</v>
      </c>
      <c r="E53" s="1327" t="s">
        <v>826</v>
      </c>
      <c r="F53" s="1265">
        <f>SUM(F45:F51)</f>
        <v>284.95589013452889</v>
      </c>
      <c r="G53" s="1326">
        <f>SUM(G45:G51)</f>
        <v>299.83302017937194</v>
      </c>
      <c r="H53" s="1266">
        <f>SUM(H45:H51)</f>
        <v>341.599280269058</v>
      </c>
      <c r="I53" s="79"/>
      <c r="J53" s="778">
        <f t="shared" ref="J53:P53" ca="1" si="7">SUM(J45:J51)</f>
        <v>228740.03643915994</v>
      </c>
      <c r="K53" s="778">
        <f t="shared" ca="1" si="7"/>
        <v>343110.05465873989</v>
      </c>
      <c r="L53" s="778">
        <f t="shared" ca="1" si="7"/>
        <v>343110.05465873989</v>
      </c>
      <c r="M53" s="778">
        <f t="shared" ca="1" si="7"/>
        <v>571850.09109789983</v>
      </c>
      <c r="N53" s="778">
        <f t="shared" ca="1" si="7"/>
        <v>571850.09109789983</v>
      </c>
      <c r="O53" s="778">
        <f t="shared" ca="1" si="7"/>
        <v>1143700.1821957997</v>
      </c>
      <c r="P53" s="778">
        <f t="shared" ca="1" si="7"/>
        <v>1143700.1821957997</v>
      </c>
      <c r="Q53" s="1271" t="s">
        <v>2226</v>
      </c>
      <c r="R53" s="3003">
        <f>SUM(R45:R51)</f>
        <v>1.9999999999999982</v>
      </c>
      <c r="S53" s="3135">
        <f>SUM(S45:S51)</f>
        <v>1.9999999999999982</v>
      </c>
      <c r="T53" s="3008">
        <f>SUM(T45:T51)</f>
        <v>1.9999999999999982</v>
      </c>
      <c r="U53" s="2333"/>
      <c r="V53" s="3007">
        <f t="shared" ref="V53:AB53" ca="1" si="8">SUM(V45:V51)</f>
        <v>315.7524415680291</v>
      </c>
      <c r="W53" s="3007">
        <f t="shared" ca="1" si="8"/>
        <v>473.62866235204376</v>
      </c>
      <c r="X53" s="3007">
        <f t="shared" ca="1" si="8"/>
        <v>473.62866235204376</v>
      </c>
      <c r="Y53" s="3007">
        <f t="shared" ca="1" si="8"/>
        <v>788.165116310945</v>
      </c>
      <c r="Z53" s="3007">
        <f t="shared" ca="1" si="8"/>
        <v>788.165116310945</v>
      </c>
      <c r="AA53" s="3007">
        <f t="shared" ca="1" si="8"/>
        <v>1576.33023262189</v>
      </c>
      <c r="AB53" s="3007">
        <f t="shared" ca="1" si="8"/>
        <v>1576.33023262189</v>
      </c>
      <c r="AC53" s="276"/>
      <c r="AE53" s="1336"/>
      <c r="AF53" s="1337"/>
      <c r="AG53" s="1338"/>
      <c r="AH53" s="621"/>
      <c r="AI53" s="1391">
        <f t="shared" ref="AI53:AO53" ca="1" si="9">SUM(AI45:AI51)</f>
        <v>16653.274813246688</v>
      </c>
      <c r="AJ53" s="1391">
        <f t="shared" ca="1" si="9"/>
        <v>24979.912219870028</v>
      </c>
      <c r="AK53" s="1391">
        <f t="shared" ca="1" si="9"/>
        <v>24979.912219870028</v>
      </c>
      <c r="AL53" s="1391">
        <f t="shared" ca="1" si="9"/>
        <v>41633.187033116716</v>
      </c>
      <c r="AM53" s="1391">
        <f t="shared" ca="1" si="9"/>
        <v>41633.187033116716</v>
      </c>
      <c r="AN53" s="1391">
        <f t="shared" ca="1" si="9"/>
        <v>83266.374066233431</v>
      </c>
      <c r="AO53" s="1391">
        <f t="shared" ca="1" si="9"/>
        <v>83266.374066233431</v>
      </c>
      <c r="AP53" s="1332"/>
      <c r="AQ53" s="1333"/>
      <c r="AR53" s="1333"/>
      <c r="AS53" s="368"/>
      <c r="AT53" s="10"/>
      <c r="AU53" s="1"/>
    </row>
    <row r="54" spans="2:52">
      <c r="B54" s="811"/>
      <c r="E54" s="16"/>
      <c r="F54" s="16"/>
      <c r="H54" s="1"/>
      <c r="I54" s="1"/>
      <c r="J54" s="1"/>
      <c r="K54" s="1"/>
      <c r="L54" s="1"/>
      <c r="M54" s="1"/>
      <c r="N54" s="1"/>
      <c r="O54" s="1"/>
      <c r="P54" s="1"/>
      <c r="AS54" s="609"/>
      <c r="AT54" s="609"/>
      <c r="AU54" s="609"/>
      <c r="AV54" s="609"/>
    </row>
    <row r="55" spans="2:52">
      <c r="B55" s="811"/>
      <c r="C55" s="16"/>
      <c r="D55" s="16"/>
      <c r="AP55" s="609"/>
    </row>
    <row r="56" spans="2:52">
      <c r="B56" s="811"/>
      <c r="C56" s="28" t="s">
        <v>822</v>
      </c>
      <c r="D56" s="28"/>
      <c r="E56" s="3"/>
      <c r="F56" s="592" t="s">
        <v>802</v>
      </c>
      <c r="G56" s="401" t="s">
        <v>803</v>
      </c>
      <c r="H56" s="274" t="s">
        <v>733</v>
      </c>
      <c r="I56" s="79"/>
      <c r="J56" s="1390" t="s">
        <v>745</v>
      </c>
      <c r="K56" s="273" t="s">
        <v>744</v>
      </c>
      <c r="L56" s="334" t="s">
        <v>747</v>
      </c>
      <c r="M56" s="401" t="s">
        <v>743</v>
      </c>
      <c r="N56" s="401" t="s">
        <v>748</v>
      </c>
      <c r="O56" s="401" t="s">
        <v>742</v>
      </c>
      <c r="P56" s="274" t="s">
        <v>746</v>
      </c>
      <c r="Q56" s="3"/>
      <c r="R56" s="3"/>
      <c r="AP56" s="609"/>
    </row>
    <row r="57" spans="2:52" ht="15" customHeight="1">
      <c r="B57" s="480" t="s">
        <v>862</v>
      </c>
      <c r="C57" s="255" t="s">
        <v>57</v>
      </c>
      <c r="D57" s="749"/>
      <c r="E57" s="1209"/>
      <c r="F57" s="1181">
        <f>'Habitat Restoration'!$Z$23</f>
        <v>34.931249999999963</v>
      </c>
      <c r="G57" s="1180">
        <f>'Habitat Restoration'!$Z$23</f>
        <v>34.931249999999963</v>
      </c>
      <c r="H57" s="1183">
        <f>'Habitat Restoration'!$Z$23</f>
        <v>34.931249999999963</v>
      </c>
      <c r="I57" s="749"/>
      <c r="J57" s="1393"/>
      <c r="K57" s="1329"/>
      <c r="L57" s="1328"/>
      <c r="M57" s="1329"/>
      <c r="N57" s="1328"/>
      <c r="O57" s="1329"/>
      <c r="P57" s="1328"/>
      <c r="Q57" s="768"/>
      <c r="R57" s="768"/>
      <c r="AP57" s="609"/>
    </row>
    <row r="58" spans="2:52">
      <c r="B58" s="591" t="s">
        <v>863</v>
      </c>
      <c r="C58" s="122" t="s">
        <v>58</v>
      </c>
      <c r="D58" s="606"/>
      <c r="E58" s="1209"/>
      <c r="F58" s="841">
        <f>'Habitat Restoration'!$Z$27</f>
        <v>21.337838565022402</v>
      </c>
      <c r="G58" s="689">
        <f>'Habitat Restoration'!$Z$31</f>
        <v>24.381784753363203</v>
      </c>
      <c r="H58" s="842">
        <f>'Habitat Restoration'!$Z$35</f>
        <v>32.275677130044819</v>
      </c>
      <c r="I58" s="606"/>
      <c r="J58" s="843"/>
      <c r="K58" s="691"/>
      <c r="L58" s="844"/>
      <c r="M58" s="691"/>
      <c r="N58" s="844"/>
      <c r="O58" s="691"/>
      <c r="P58" s="844"/>
      <c r="Q58" s="779"/>
      <c r="R58" s="779"/>
      <c r="S58" s="620"/>
      <c r="AP58" s="609"/>
    </row>
    <row r="59" spans="2:52" s="2953" customFormat="1">
      <c r="B59" s="591" t="s">
        <v>862</v>
      </c>
      <c r="C59" s="122" t="s">
        <v>2299</v>
      </c>
      <c r="D59" s="3456">
        <f>'Habitat Restoration'!$Z$39</f>
        <v>639629.99999999953</v>
      </c>
      <c r="E59" s="1209"/>
      <c r="F59" s="845"/>
      <c r="G59" s="691"/>
      <c r="H59" s="844"/>
      <c r="I59" s="606"/>
      <c r="J59" s="843"/>
      <c r="K59" s="843"/>
      <c r="L59" s="690"/>
      <c r="M59" s="843"/>
      <c r="N59" s="690"/>
      <c r="O59" s="843"/>
      <c r="P59" s="844"/>
      <c r="Q59" s="779"/>
      <c r="R59" s="779"/>
      <c r="S59" s="620"/>
      <c r="AP59" s="609"/>
    </row>
    <row r="60" spans="2:52">
      <c r="B60" s="591" t="s">
        <v>863</v>
      </c>
      <c r="C60" s="122" t="s">
        <v>1211</v>
      </c>
      <c r="D60" s="606"/>
      <c r="E60" s="1209"/>
      <c r="F60" s="845"/>
      <c r="G60" s="691"/>
      <c r="H60" s="844"/>
      <c r="I60" s="689">
        <f>'Habitat Restoration'!$Z$43</f>
        <v>70001.066729013197</v>
      </c>
      <c r="J60" s="190">
        <f t="shared" ref="J60:P61" ca="1" si="10">$I60*J$42</f>
        <v>28000.42669160528</v>
      </c>
      <c r="K60" s="190">
        <f t="shared" ca="1" si="10"/>
        <v>42000.640037407917</v>
      </c>
      <c r="L60" s="190">
        <f t="shared" ca="1" si="10"/>
        <v>42000.640037407917</v>
      </c>
      <c r="M60" s="190">
        <f t="shared" ca="1" si="10"/>
        <v>70001.066729013197</v>
      </c>
      <c r="N60" s="190">
        <f t="shared" ca="1" si="10"/>
        <v>70001.066729013197</v>
      </c>
      <c r="O60" s="190">
        <f t="shared" ca="1" si="10"/>
        <v>140002.13345802639</v>
      </c>
      <c r="P60" s="342">
        <f t="shared" ca="1" si="10"/>
        <v>140002.13345802639</v>
      </c>
      <c r="Q60" s="779"/>
      <c r="R60" s="779"/>
      <c r="S60" s="620"/>
      <c r="AP60" s="609"/>
    </row>
    <row r="61" spans="2:52">
      <c r="B61" s="591" t="s">
        <v>863</v>
      </c>
      <c r="C61" s="122" t="s">
        <v>1212</v>
      </c>
      <c r="D61" s="606"/>
      <c r="E61" s="1209"/>
      <c r="F61" s="845"/>
      <c r="G61" s="691"/>
      <c r="H61" s="844"/>
      <c r="I61" s="689">
        <f>'Habitat Restoration'!$Z$47</f>
        <v>124290.18501166457</v>
      </c>
      <c r="J61" s="190">
        <f t="shared" ca="1" si="10"/>
        <v>49716.074004665832</v>
      </c>
      <c r="K61" s="190">
        <f t="shared" ca="1" si="10"/>
        <v>74574.111006998734</v>
      </c>
      <c r="L61" s="190">
        <f t="shared" ca="1" si="10"/>
        <v>74574.111006998734</v>
      </c>
      <c r="M61" s="190">
        <f t="shared" ca="1" si="10"/>
        <v>124290.18501166457</v>
      </c>
      <c r="N61" s="190">
        <f t="shared" ca="1" si="10"/>
        <v>124290.18501166457</v>
      </c>
      <c r="O61" s="190">
        <f t="shared" ca="1" si="10"/>
        <v>248580.37002332913</v>
      </c>
      <c r="P61" s="342">
        <f t="shared" ca="1" si="10"/>
        <v>248580.37002332913</v>
      </c>
      <c r="Q61" s="779"/>
      <c r="R61" s="779"/>
      <c r="S61" s="620"/>
      <c r="AP61" s="609"/>
    </row>
    <row r="62" spans="2:52">
      <c r="B62" s="591" t="s">
        <v>862</v>
      </c>
      <c r="C62" s="122" t="s">
        <v>59</v>
      </c>
      <c r="D62" s="606"/>
      <c r="E62" s="1209"/>
      <c r="F62" s="841">
        <f>'Habitat Restoration'!$Z$51</f>
        <v>21.337838565022402</v>
      </c>
      <c r="G62" s="689">
        <f>'Habitat Restoration'!$Z$55</f>
        <v>24.381784753363203</v>
      </c>
      <c r="H62" s="842">
        <f>'Habitat Restoration'!$Z$59</f>
        <v>32.275677130044819</v>
      </c>
      <c r="I62" s="606"/>
      <c r="J62" s="843"/>
      <c r="K62" s="691"/>
      <c r="L62" s="690"/>
      <c r="M62" s="691"/>
      <c r="N62" s="690"/>
      <c r="O62" s="691"/>
      <c r="P62" s="844"/>
      <c r="Q62" s="779"/>
      <c r="R62" s="779"/>
      <c r="AP62" s="609"/>
    </row>
    <row r="63" spans="2:52">
      <c r="B63" s="591" t="s">
        <v>862</v>
      </c>
      <c r="C63" s="79" t="s">
        <v>1104</v>
      </c>
      <c r="D63" s="606"/>
      <c r="E63" s="1209"/>
      <c r="F63" s="841">
        <f>'Habitat Restoration'!$Z$63</f>
        <v>34.931249999999963</v>
      </c>
      <c r="G63" s="689">
        <f>'Habitat Restoration'!$Z$63</f>
        <v>34.931249999999963</v>
      </c>
      <c r="H63" s="842">
        <f>'Habitat Restoration'!$Z$63</f>
        <v>34.931249999999963</v>
      </c>
      <c r="I63" s="606"/>
      <c r="J63" s="843"/>
      <c r="K63" s="691"/>
      <c r="L63" s="690"/>
      <c r="M63" s="691"/>
      <c r="N63" s="690"/>
      <c r="O63" s="691"/>
      <c r="P63" s="844"/>
      <c r="Q63" s="779"/>
      <c r="R63" s="779"/>
      <c r="AP63" s="609"/>
    </row>
    <row r="64" spans="2:52">
      <c r="B64" s="481"/>
      <c r="C64" s="439"/>
      <c r="D64" s="607"/>
      <c r="E64" s="1209"/>
      <c r="F64" s="1262"/>
      <c r="G64" s="1392"/>
      <c r="H64" s="1184"/>
      <c r="I64" s="607"/>
      <c r="J64" s="1262"/>
      <c r="K64" s="1392"/>
      <c r="L64" s="1184"/>
      <c r="M64" s="1392"/>
      <c r="N64" s="1184"/>
      <c r="O64" s="1392"/>
      <c r="P64" s="1184"/>
      <c r="Q64" s="779"/>
      <c r="R64" s="779"/>
      <c r="AP64" s="609"/>
    </row>
    <row r="65" spans="1:51">
      <c r="B65" s="811"/>
      <c r="C65" s="764" t="s">
        <v>766</v>
      </c>
      <c r="D65" s="1326">
        <f>SUM(D57:D63)</f>
        <v>639629.99999999953</v>
      </c>
      <c r="E65" s="1330"/>
      <c r="F65" s="1267">
        <f>SUM(F57:F64)</f>
        <v>112.53817713004473</v>
      </c>
      <c r="G65" s="1267">
        <f>SUM(G57:G64)</f>
        <v>118.62606950672634</v>
      </c>
      <c r="H65" s="1268">
        <f>SUM(H57:H64)</f>
        <v>134.41385426008958</v>
      </c>
      <c r="I65" s="1388"/>
      <c r="J65" s="1267">
        <f t="shared" ref="J65:P65" ca="1" si="11">SUM(J57:J64)</f>
        <v>77716.500696271105</v>
      </c>
      <c r="K65" s="1267">
        <f t="shared" ca="1" si="11"/>
        <v>116574.75104440664</v>
      </c>
      <c r="L65" s="1267">
        <f t="shared" ca="1" si="11"/>
        <v>116574.75104440664</v>
      </c>
      <c r="M65" s="1267">
        <f t="shared" ca="1" si="11"/>
        <v>194291.25174067775</v>
      </c>
      <c r="N65" s="1267">
        <f t="shared" ca="1" si="11"/>
        <v>194291.25174067775</v>
      </c>
      <c r="O65" s="1267">
        <f t="shared" ca="1" si="11"/>
        <v>388582.5034813555</v>
      </c>
      <c r="P65" s="1286">
        <f t="shared" ca="1" si="11"/>
        <v>388582.5034813555</v>
      </c>
      <c r="Q65" s="779"/>
      <c r="R65" s="779"/>
      <c r="AP65" s="609"/>
    </row>
    <row r="68" spans="1:51">
      <c r="AY68" s="587"/>
    </row>
    <row r="70" spans="1:51">
      <c r="J70">
        <v>0</v>
      </c>
      <c r="K70">
        <f t="shared" ref="K70:P70" si="12">J70+1</f>
        <v>1</v>
      </c>
      <c r="L70">
        <f t="shared" si="12"/>
        <v>2</v>
      </c>
      <c r="M70">
        <f t="shared" si="12"/>
        <v>3</v>
      </c>
      <c r="N70">
        <f t="shared" si="12"/>
        <v>4</v>
      </c>
      <c r="O70">
        <f t="shared" si="12"/>
        <v>5</v>
      </c>
      <c r="P70">
        <f t="shared" si="12"/>
        <v>6</v>
      </c>
    </row>
    <row r="71" spans="1:51">
      <c r="A71" s="3373"/>
      <c r="B71" s="3629" t="s">
        <v>2450</v>
      </c>
      <c r="C71" s="3629" t="s">
        <v>2450</v>
      </c>
      <c r="D71" s="3629" t="s">
        <v>2451</v>
      </c>
      <c r="E71" s="3629"/>
      <c r="J71" t="s">
        <v>1172</v>
      </c>
    </row>
    <row r="72" spans="1:51">
      <c r="A72" s="3373"/>
      <c r="B72" s="3630" t="s">
        <v>2452</v>
      </c>
      <c r="C72" s="3630" t="s">
        <v>2453</v>
      </c>
      <c r="D72" s="3629" t="s">
        <v>742</v>
      </c>
      <c r="E72" s="3629"/>
      <c r="J72" s="197"/>
      <c r="K72" s="24"/>
      <c r="L72" s="16"/>
      <c r="M72" s="1" t="s">
        <v>1171</v>
      </c>
    </row>
    <row r="73" spans="1:51">
      <c r="A73" s="3373"/>
      <c r="B73" s="3630" t="s">
        <v>2454</v>
      </c>
      <c r="C73" s="3630" t="s">
        <v>2455</v>
      </c>
      <c r="D73" s="3629" t="s">
        <v>743</v>
      </c>
      <c r="E73" s="3629"/>
      <c r="J73" s="594" t="s">
        <v>1173</v>
      </c>
      <c r="K73" s="594" t="s">
        <v>740</v>
      </c>
      <c r="L73" s="1" t="s">
        <v>741</v>
      </c>
      <c r="M73" t="s">
        <v>1174</v>
      </c>
    </row>
    <row r="74" spans="1:51">
      <c r="A74" s="3373"/>
      <c r="B74" s="3630" t="s">
        <v>2456</v>
      </c>
      <c r="C74" s="3630" t="s">
        <v>2457</v>
      </c>
      <c r="D74" s="3629" t="s">
        <v>743</v>
      </c>
      <c r="E74" s="3629"/>
      <c r="J74" s="160" t="s">
        <v>745</v>
      </c>
      <c r="K74" s="160">
        <v>2</v>
      </c>
      <c r="L74" s="620">
        <f t="shared" ref="L74:L80" si="13">K74*1000*100</f>
        <v>200000</v>
      </c>
    </row>
    <row r="75" spans="1:51">
      <c r="A75" s="3373"/>
      <c r="B75" s="3630" t="s">
        <v>2458</v>
      </c>
      <c r="C75" s="3630" t="s">
        <v>2459</v>
      </c>
      <c r="D75" s="3629" t="s">
        <v>743</v>
      </c>
      <c r="E75" s="3629"/>
      <c r="J75" s="160" t="s">
        <v>744</v>
      </c>
      <c r="K75" s="160">
        <v>3</v>
      </c>
      <c r="L75" s="620">
        <f t="shared" si="13"/>
        <v>300000</v>
      </c>
    </row>
    <row r="76" spans="1:51">
      <c r="A76" s="3373"/>
      <c r="B76" s="3630" t="s">
        <v>2460</v>
      </c>
      <c r="C76" s="3630" t="s">
        <v>2461</v>
      </c>
      <c r="D76" s="3629" t="s">
        <v>743</v>
      </c>
      <c r="E76" s="3629"/>
      <c r="J76" s="160" t="s">
        <v>747</v>
      </c>
      <c r="K76" s="160">
        <v>3</v>
      </c>
      <c r="L76" s="620">
        <f t="shared" si="13"/>
        <v>300000</v>
      </c>
    </row>
    <row r="77" spans="1:51">
      <c r="A77" s="3373"/>
      <c r="B77" s="3630" t="s">
        <v>2462</v>
      </c>
      <c r="C77" s="3630" t="s">
        <v>2463</v>
      </c>
      <c r="D77" s="3629" t="s">
        <v>743</v>
      </c>
      <c r="E77" s="3629"/>
      <c r="J77" s="160" t="s">
        <v>743</v>
      </c>
      <c r="K77" s="160">
        <v>5</v>
      </c>
      <c r="L77" s="620">
        <f t="shared" si="13"/>
        <v>500000</v>
      </c>
    </row>
    <row r="78" spans="1:51">
      <c r="A78" s="3373"/>
      <c r="B78" s="3630" t="s">
        <v>2464</v>
      </c>
      <c r="C78" s="3630" t="s">
        <v>2465</v>
      </c>
      <c r="D78" s="3629" t="s">
        <v>743</v>
      </c>
      <c r="E78" s="3629"/>
      <c r="J78" s="160" t="s">
        <v>748</v>
      </c>
      <c r="K78" s="160">
        <v>5</v>
      </c>
      <c r="L78" s="620">
        <f t="shared" si="13"/>
        <v>500000</v>
      </c>
    </row>
    <row r="79" spans="1:51">
      <c r="A79" s="3373"/>
      <c r="B79" s="3630" t="s">
        <v>2466</v>
      </c>
      <c r="C79" s="3630" t="s">
        <v>2467</v>
      </c>
      <c r="D79" s="3629" t="s">
        <v>743</v>
      </c>
      <c r="E79" s="3629"/>
      <c r="J79" s="160" t="s">
        <v>742</v>
      </c>
      <c r="K79" s="160">
        <v>10</v>
      </c>
      <c r="L79" s="620">
        <f t="shared" si="13"/>
        <v>1000000</v>
      </c>
    </row>
    <row r="80" spans="1:51">
      <c r="A80" s="3373"/>
      <c r="B80" s="3630" t="s">
        <v>2468</v>
      </c>
      <c r="C80" s="3630" t="s">
        <v>2469</v>
      </c>
      <c r="D80" s="3629" t="s">
        <v>743</v>
      </c>
      <c r="E80" s="3629"/>
      <c r="J80" s="160" t="s">
        <v>746</v>
      </c>
      <c r="K80" s="160">
        <v>10</v>
      </c>
      <c r="L80" s="620">
        <f t="shared" si="13"/>
        <v>1000000</v>
      </c>
    </row>
    <row r="81" spans="1:12">
      <c r="A81" s="3373"/>
      <c r="B81" s="3630" t="s">
        <v>2470</v>
      </c>
      <c r="C81" s="3630" t="s">
        <v>2471</v>
      </c>
      <c r="D81" s="3629" t="s">
        <v>743</v>
      </c>
      <c r="E81" s="3629"/>
    </row>
    <row r="82" spans="1:12">
      <c r="A82" s="3373"/>
      <c r="B82" s="3630" t="s">
        <v>2472</v>
      </c>
      <c r="C82" s="3630" t="s">
        <v>2473</v>
      </c>
      <c r="D82" s="3629" t="s">
        <v>743</v>
      </c>
      <c r="E82" s="3629"/>
    </row>
    <row r="83" spans="1:12">
      <c r="A83" s="3373"/>
      <c r="B83" s="3630" t="s">
        <v>2474</v>
      </c>
      <c r="C83" s="3630" t="s">
        <v>2475</v>
      </c>
      <c r="D83" s="3629" t="s">
        <v>743</v>
      </c>
      <c r="E83" s="3629"/>
      <c r="K83" s="592" t="s">
        <v>1180</v>
      </c>
      <c r="L83" s="274" t="s">
        <v>1174</v>
      </c>
    </row>
    <row r="84" spans="1:12">
      <c r="A84" s="3373"/>
      <c r="B84" s="3630" t="s">
        <v>2476</v>
      </c>
      <c r="C84" s="3630" t="s">
        <v>2477</v>
      </c>
      <c r="D84" s="3629" t="s">
        <v>743</v>
      </c>
      <c r="E84" s="3629"/>
      <c r="K84" s="404">
        <f t="shared" ref="K84:K90" si="14">K74/$K$77</f>
        <v>0.4</v>
      </c>
      <c r="L84" s="1412" t="s">
        <v>745</v>
      </c>
    </row>
    <row r="85" spans="1:12">
      <c r="A85" s="3373"/>
      <c r="B85" s="3630" t="s">
        <v>2478</v>
      </c>
      <c r="C85" s="3630" t="s">
        <v>2479</v>
      </c>
      <c r="D85" s="3629" t="s">
        <v>743</v>
      </c>
      <c r="E85" s="3629"/>
      <c r="K85" s="404">
        <f t="shared" si="14"/>
        <v>0.6</v>
      </c>
      <c r="L85" s="1412" t="s">
        <v>744</v>
      </c>
    </row>
    <row r="86" spans="1:12">
      <c r="A86" s="3373"/>
      <c r="B86" s="3630" t="s">
        <v>2480</v>
      </c>
      <c r="C86" s="3630" t="s">
        <v>2481</v>
      </c>
      <c r="D86" s="3629" t="s">
        <v>743</v>
      </c>
      <c r="E86" s="3629"/>
      <c r="K86" s="404">
        <f t="shared" si="14"/>
        <v>0.6</v>
      </c>
      <c r="L86" s="1412" t="s">
        <v>747</v>
      </c>
    </row>
    <row r="87" spans="1:12">
      <c r="A87" s="3373"/>
      <c r="B87" s="3630" t="s">
        <v>2482</v>
      </c>
      <c r="C87" s="3630" t="s">
        <v>2483</v>
      </c>
      <c r="D87" s="3629" t="s">
        <v>744</v>
      </c>
      <c r="E87" s="3629"/>
      <c r="K87" s="404">
        <f t="shared" si="14"/>
        <v>1</v>
      </c>
      <c r="L87" s="1412" t="s">
        <v>743</v>
      </c>
    </row>
    <row r="88" spans="1:12">
      <c r="A88" s="3373"/>
      <c r="B88" s="3630" t="s">
        <v>2484</v>
      </c>
      <c r="C88" s="3630" t="s">
        <v>2485</v>
      </c>
      <c r="D88" s="3629" t="s">
        <v>744</v>
      </c>
      <c r="E88" s="3629"/>
      <c r="K88" s="404">
        <f t="shared" si="14"/>
        <v>1</v>
      </c>
      <c r="L88" s="1412" t="s">
        <v>748</v>
      </c>
    </row>
    <row r="89" spans="1:12">
      <c r="A89" s="3373"/>
      <c r="B89" s="3630" t="s">
        <v>2486</v>
      </c>
      <c r="C89" s="3630" t="s">
        <v>2487</v>
      </c>
      <c r="D89" s="3629" t="s">
        <v>744</v>
      </c>
      <c r="E89" s="3629"/>
      <c r="K89" s="404">
        <f t="shared" si="14"/>
        <v>2</v>
      </c>
      <c r="L89" s="1412" t="s">
        <v>742</v>
      </c>
    </row>
    <row r="90" spans="1:12">
      <c r="A90" s="3373"/>
      <c r="B90" s="3630" t="s">
        <v>2488</v>
      </c>
      <c r="C90" s="3630" t="s">
        <v>2489</v>
      </c>
      <c r="D90" s="3629" t="s">
        <v>745</v>
      </c>
      <c r="E90" s="3629"/>
      <c r="K90" s="405">
        <f t="shared" si="14"/>
        <v>2</v>
      </c>
      <c r="L90" s="1413" t="s">
        <v>746</v>
      </c>
    </row>
    <row r="91" spans="1:12">
      <c r="A91" s="3373"/>
      <c r="B91" s="3630" t="s">
        <v>2490</v>
      </c>
      <c r="C91" s="3630" t="s">
        <v>2491</v>
      </c>
      <c r="D91" s="3629" t="s">
        <v>745</v>
      </c>
      <c r="E91" s="3629"/>
    </row>
    <row r="92" spans="1:12">
      <c r="A92" s="3373"/>
      <c r="B92" s="3630" t="s">
        <v>2492</v>
      </c>
      <c r="C92" s="3630" t="s">
        <v>2493</v>
      </c>
      <c r="D92" s="3629" t="s">
        <v>746</v>
      </c>
      <c r="E92" s="3629"/>
    </row>
    <row r="93" spans="1:12">
      <c r="A93" s="3373"/>
      <c r="B93" s="3630" t="s">
        <v>2494</v>
      </c>
      <c r="C93" s="3630" t="s">
        <v>2495</v>
      </c>
      <c r="D93" s="3629" t="s">
        <v>747</v>
      </c>
      <c r="E93" s="3629"/>
    </row>
    <row r="94" spans="1:12">
      <c r="A94" s="3373"/>
      <c r="B94" s="3630" t="s">
        <v>2496</v>
      </c>
      <c r="C94" s="3630" t="s">
        <v>2497</v>
      </c>
      <c r="D94" s="3629" t="s">
        <v>748</v>
      </c>
      <c r="E94" s="3629"/>
      <c r="I94" s="320"/>
      <c r="J94" s="3981" t="s">
        <v>2622</v>
      </c>
      <c r="K94" s="3981"/>
      <c r="L94" s="3981"/>
    </row>
    <row r="95" spans="1:12">
      <c r="A95" s="3373"/>
      <c r="B95" s="3630" t="s">
        <v>2498</v>
      </c>
      <c r="C95" s="3630" t="s">
        <v>2499</v>
      </c>
      <c r="D95" s="3629" t="s">
        <v>2500</v>
      </c>
      <c r="E95" s="3629"/>
      <c r="I95" s="79"/>
      <c r="J95" s="3732" t="s">
        <v>679</v>
      </c>
      <c r="K95" s="3732" t="s">
        <v>25</v>
      </c>
      <c r="L95" s="3732" t="s">
        <v>680</v>
      </c>
    </row>
    <row r="96" spans="1:12">
      <c r="A96" s="3373"/>
      <c r="B96" s="3630" t="s">
        <v>2501</v>
      </c>
      <c r="C96" s="3630" t="s">
        <v>2502</v>
      </c>
      <c r="D96" s="3629" t="s">
        <v>2500</v>
      </c>
      <c r="E96" s="3629"/>
      <c r="I96" s="3736" t="s">
        <v>2621</v>
      </c>
      <c r="J96" s="3733">
        <f>'Habitat Restoration'!D328</f>
        <v>2.7</v>
      </c>
      <c r="K96" s="3733">
        <f>'Habitat Restoration'!E328</f>
        <v>1.95</v>
      </c>
      <c r="L96" s="3733">
        <f>'Habitat Restoration'!F328</f>
        <v>0.67500000000000004</v>
      </c>
    </row>
    <row r="97" spans="1:12">
      <c r="A97" s="3373"/>
      <c r="B97" s="3630" t="s">
        <v>2503</v>
      </c>
      <c r="C97" s="3630" t="s">
        <v>2504</v>
      </c>
      <c r="D97" s="3629" t="s">
        <v>743</v>
      </c>
      <c r="E97" s="3629"/>
      <c r="I97" s="255" t="s">
        <v>2624</v>
      </c>
      <c r="J97" s="3250">
        <f>'Habitat Restoration'!F280</f>
        <v>4.9999999999999996E-2</v>
      </c>
      <c r="K97" s="3250">
        <f>'Habitat Restoration'!F281</f>
        <v>9.9999999999999992E-2</v>
      </c>
      <c r="L97" s="3250">
        <f>'Habitat Restoration'!F282</f>
        <v>0.14999999999999997</v>
      </c>
    </row>
    <row r="98" spans="1:12">
      <c r="A98" s="3373"/>
      <c r="B98" s="3630" t="s">
        <v>2505</v>
      </c>
      <c r="C98" s="3630" t="s">
        <v>2506</v>
      </c>
      <c r="D98" s="3629" t="s">
        <v>2500</v>
      </c>
      <c r="E98" s="3629"/>
      <c r="I98" s="3737" t="s">
        <v>2619</v>
      </c>
      <c r="J98" s="3734">
        <f>'Habitat Restoration'!D314</f>
        <v>0.54849999999999999</v>
      </c>
      <c r="K98" s="3734">
        <f>'Habitat Restoration'!E314</f>
        <v>0.34281249999999996</v>
      </c>
      <c r="L98" s="3734">
        <f>'Habitat Restoration'!F314</f>
        <v>0.137125</v>
      </c>
    </row>
    <row r="99" spans="1:12">
      <c r="A99" s="3373"/>
      <c r="B99" s="3630" t="s">
        <v>2507</v>
      </c>
      <c r="C99" s="3630" t="s">
        <v>2508</v>
      </c>
      <c r="D99" s="3629" t="s">
        <v>2500</v>
      </c>
      <c r="E99" s="3629"/>
      <c r="I99" t="s">
        <v>2623</v>
      </c>
      <c r="J99" s="976">
        <f>'Habitat Restoration'!D457</f>
        <v>0.16666666666666666</v>
      </c>
      <c r="K99" s="976">
        <f>'Habitat Restoration'!D458</f>
        <v>0.33333333333333331</v>
      </c>
      <c r="L99" s="976">
        <f>'Habitat Restoration'!D459</f>
        <v>0.49999999999999989</v>
      </c>
    </row>
    <row r="100" spans="1:12">
      <c r="A100" s="3373"/>
      <c r="B100" s="3630" t="s">
        <v>2509</v>
      </c>
      <c r="C100" s="3630" t="s">
        <v>2510</v>
      </c>
      <c r="D100" s="3629" t="s">
        <v>743</v>
      </c>
      <c r="E100" s="3629"/>
      <c r="I100" s="3735" t="s">
        <v>2620</v>
      </c>
      <c r="J100" s="3734">
        <f>'Habitat Restoration'!D476</f>
        <v>18</v>
      </c>
      <c r="K100" s="3734">
        <f>'Habitat Restoration'!E476</f>
        <v>9</v>
      </c>
      <c r="L100" s="3734">
        <f>'Habitat Restoration'!F476</f>
        <v>4.5</v>
      </c>
    </row>
    <row r="101" spans="1:12">
      <c r="A101" s="3373"/>
      <c r="B101" s="3630" t="s">
        <v>2511</v>
      </c>
      <c r="C101" s="3630" t="s">
        <v>2512</v>
      </c>
      <c r="D101" s="3629" t="s">
        <v>743</v>
      </c>
      <c r="E101" s="3629"/>
    </row>
    <row r="102" spans="1:12">
      <c r="A102" s="3373"/>
      <c r="B102" s="3630" t="s">
        <v>2513</v>
      </c>
      <c r="C102" s="3630" t="s">
        <v>2514</v>
      </c>
      <c r="D102" s="3629" t="s">
        <v>743</v>
      </c>
      <c r="E102" s="3629"/>
    </row>
    <row r="103" spans="1:12">
      <c r="A103" s="3373"/>
      <c r="B103" s="3630" t="s">
        <v>2515</v>
      </c>
      <c r="C103" s="3630" t="s">
        <v>2516</v>
      </c>
      <c r="D103" s="3629" t="s">
        <v>743</v>
      </c>
      <c r="E103" s="3629"/>
    </row>
    <row r="104" spans="1:12">
      <c r="A104" s="2953"/>
      <c r="B104" s="3630" t="s">
        <v>2517</v>
      </c>
      <c r="C104" s="3630" t="s">
        <v>2518</v>
      </c>
      <c r="D104" s="3629" t="s">
        <v>2500</v>
      </c>
      <c r="E104" s="3629"/>
    </row>
  </sheetData>
  <mergeCells count="23">
    <mergeCell ref="AI43:AO43"/>
    <mergeCell ref="AE42:AG42"/>
    <mergeCell ref="AE43:AG43"/>
    <mergeCell ref="J43:P43"/>
    <mergeCell ref="V43:AB43"/>
    <mergeCell ref="F40:H40"/>
    <mergeCell ref="R40:T40"/>
    <mergeCell ref="AE40:AG40"/>
    <mergeCell ref="AI40:AO40"/>
    <mergeCell ref="AE41:AG41"/>
    <mergeCell ref="AI41:AO41"/>
    <mergeCell ref="J40:P40"/>
    <mergeCell ref="J41:P41"/>
    <mergeCell ref="V40:AB40"/>
    <mergeCell ref="V41:AB41"/>
    <mergeCell ref="J94:L94"/>
    <mergeCell ref="D41:D44"/>
    <mergeCell ref="F41:H41"/>
    <mergeCell ref="R41:T41"/>
    <mergeCell ref="F42:H42"/>
    <mergeCell ref="R42:T42"/>
    <mergeCell ref="F43:H43"/>
    <mergeCell ref="R43:T43"/>
  </mergeCells>
  <pageMargins left="0.7" right="0.7" top="0.75" bottom="0.75" header="0.3" footer="0.3"/>
  <pageSetup paperSize="9"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U1003"/>
  <sheetViews>
    <sheetView showGridLines="0" zoomScaleNormal="100" workbookViewId="0">
      <selection activeCell="H36" sqref="H36"/>
    </sheetView>
  </sheetViews>
  <sheetFormatPr baseColWidth="10" defaultColWidth="10.83203125" defaultRowHeight="16"/>
  <cols>
    <col min="1" max="1" width="2.6640625" style="2791" customWidth="1"/>
    <col min="2" max="2" width="4.83203125" style="2791" customWidth="1"/>
    <col min="3" max="3" width="28.5" style="2791" customWidth="1"/>
    <col min="4" max="4" width="45.33203125" style="24" customWidth="1"/>
    <col min="5" max="5" width="12.5" style="16" customWidth="1"/>
    <col min="6" max="6" width="19.6640625" style="2791" customWidth="1"/>
    <col min="7" max="7" width="28" style="359" customWidth="1"/>
    <col min="8" max="8" width="15.33203125" style="2791" customWidth="1"/>
    <col min="9" max="9" width="31.6640625" style="2791" customWidth="1"/>
    <col min="10" max="10" width="18.6640625" style="2791" customWidth="1"/>
    <col min="11" max="11" width="16" style="2791" customWidth="1"/>
    <col min="12" max="12" width="13.83203125" style="2953" customWidth="1"/>
    <col min="13" max="14" width="6.6640625" style="2791" customWidth="1"/>
    <col min="15" max="15" width="15" style="2791" customWidth="1"/>
    <col min="16" max="16" width="13.6640625" style="2791" customWidth="1"/>
    <col min="17" max="20" width="15.1640625" style="2791" customWidth="1"/>
    <col min="21" max="21" width="22.6640625" style="2791" customWidth="1"/>
    <col min="22" max="22" width="2.6640625" style="2791" customWidth="1"/>
    <col min="23" max="23" width="22.6640625" style="2791" customWidth="1"/>
    <col min="24" max="26" width="11.6640625" style="2791" customWidth="1"/>
    <col min="27" max="28" width="18.83203125" style="2791" customWidth="1"/>
    <col min="29" max="29" width="18.83203125" style="2953" customWidth="1"/>
    <col min="30" max="30" width="19.33203125" style="2791" customWidth="1"/>
    <col min="31" max="31" width="16.6640625" style="2791" customWidth="1"/>
    <col min="32" max="32" width="16.6640625" style="2953" customWidth="1"/>
    <col min="33" max="33" width="15.1640625" style="2791" customWidth="1"/>
    <col min="34" max="34" width="16.6640625" style="2791" customWidth="1"/>
    <col min="35" max="35" width="21" style="2791" customWidth="1"/>
    <col min="36" max="36" width="23.5" style="2791" customWidth="1"/>
    <col min="37" max="37" width="37.5" style="2791" customWidth="1"/>
    <col min="38" max="38" width="10.83203125" style="2791"/>
    <col min="39" max="39" width="14.33203125" style="2791" customWidth="1"/>
    <col min="40" max="40" width="12.6640625" style="2791" bestFit="1" customWidth="1"/>
    <col min="41" max="42" width="12.83203125" style="2791" customWidth="1"/>
    <col min="43" max="46" width="10.83203125" style="2791"/>
    <col min="47" max="47" width="12.5" style="2791" bestFit="1" customWidth="1"/>
    <col min="48" max="16384" width="10.83203125" style="2791"/>
  </cols>
  <sheetData>
    <row r="1" spans="2:40">
      <c r="B1" s="3" t="s">
        <v>19</v>
      </c>
      <c r="C1" s="24"/>
      <c r="D1" s="16"/>
      <c r="E1" s="2791"/>
      <c r="F1" s="359"/>
      <c r="G1" s="2791"/>
      <c r="H1" s="359"/>
    </row>
    <row r="2" spans="2:40">
      <c r="C2" s="24" t="s">
        <v>10</v>
      </c>
      <c r="D2" s="2791" t="s">
        <v>2114</v>
      </c>
      <c r="E2" s="2791"/>
      <c r="F2" s="359"/>
      <c r="G2" s="2791"/>
      <c r="H2" s="359"/>
    </row>
    <row r="3" spans="2:40">
      <c r="C3" s="24" t="s">
        <v>0</v>
      </c>
      <c r="D3" s="16" t="s">
        <v>2101</v>
      </c>
      <c r="E3" s="2791"/>
      <c r="F3" s="359"/>
      <c r="G3" s="2791"/>
      <c r="H3" s="359"/>
    </row>
    <row r="4" spans="2:40">
      <c r="B4" s="3"/>
      <c r="C4" s="24" t="s">
        <v>1</v>
      </c>
      <c r="D4" s="693" t="s">
        <v>2116</v>
      </c>
      <c r="E4" s="2791"/>
      <c r="F4" s="359"/>
      <c r="G4" s="2791"/>
      <c r="H4" s="359"/>
    </row>
    <row r="5" spans="2:40">
      <c r="B5" s="3" t="s">
        <v>20</v>
      </c>
      <c r="C5" s="24"/>
      <c r="E5" s="2791"/>
      <c r="F5" s="359"/>
      <c r="H5" s="1"/>
      <c r="I5" s="359"/>
      <c r="L5" s="2953" t="s">
        <v>2210</v>
      </c>
    </row>
    <row r="6" spans="2:40">
      <c r="C6" s="24" t="s">
        <v>2</v>
      </c>
      <c r="D6" s="16" t="s">
        <v>2115</v>
      </c>
      <c r="E6" s="2791"/>
      <c r="F6" s="359"/>
      <c r="H6" s="6"/>
      <c r="I6" s="359"/>
      <c r="K6" s="2791" t="s">
        <v>2211</v>
      </c>
      <c r="L6" s="578">
        <f>L23</f>
        <v>1</v>
      </c>
      <c r="O6" s="2791" t="s">
        <v>2222</v>
      </c>
      <c r="V6" s="15"/>
    </row>
    <row r="7" spans="2:40">
      <c r="C7" s="24" t="s">
        <v>22</v>
      </c>
      <c r="D7" s="2791" t="s">
        <v>2117</v>
      </c>
      <c r="F7" s="359"/>
      <c r="H7" s="6"/>
      <c r="I7" s="359"/>
      <c r="K7" s="2791" t="s">
        <v>2212</v>
      </c>
      <c r="L7" s="578">
        <f>L27</f>
        <v>0.33333333333333331</v>
      </c>
      <c r="O7" s="578">
        <f>SUM(H9,L8)</f>
        <v>1</v>
      </c>
    </row>
    <row r="8" spans="2:40">
      <c r="C8" s="24" t="s">
        <v>7</v>
      </c>
      <c r="D8" s="627" t="s">
        <v>2118</v>
      </c>
      <c r="E8" s="2791"/>
      <c r="F8" s="359"/>
      <c r="H8" s="2946">
        <v>1</v>
      </c>
      <c r="I8" s="2791" t="s">
        <v>2081</v>
      </c>
      <c r="K8" s="2791" t="s">
        <v>2213</v>
      </c>
      <c r="L8" s="578">
        <f>L31</f>
        <v>0.33333333333333331</v>
      </c>
      <c r="O8" s="2791" t="s">
        <v>2221</v>
      </c>
      <c r="Y8" s="15"/>
    </row>
    <row r="9" spans="2:40">
      <c r="C9" s="24" t="s">
        <v>8</v>
      </c>
      <c r="D9" s="238" t="s">
        <v>2021</v>
      </c>
      <c r="E9" s="2791"/>
      <c r="F9" s="359"/>
      <c r="H9" s="578">
        <f>1-H10</f>
        <v>0.66666666666666674</v>
      </c>
      <c r="I9" s="2791" t="s">
        <v>2150</v>
      </c>
      <c r="K9" s="266" t="s">
        <v>2219</v>
      </c>
      <c r="L9" s="578">
        <f>L35</f>
        <v>6.6666666666666666E-2</v>
      </c>
      <c r="O9" s="578">
        <f>SUM(L9,L10)</f>
        <v>0.33333333333333331</v>
      </c>
      <c r="W9" s="5"/>
    </row>
    <row r="10" spans="2:40" ht="19">
      <c r="C10" s="24"/>
      <c r="D10" s="16"/>
      <c r="F10" s="359"/>
      <c r="H10" s="2947">
        <f>1/3</f>
        <v>0.33333333333333331</v>
      </c>
      <c r="I10" s="359" t="s">
        <v>2145</v>
      </c>
      <c r="K10" s="266" t="s">
        <v>2220</v>
      </c>
      <c r="L10" s="578">
        <f>L39</f>
        <v>0.26666666666666666</v>
      </c>
      <c r="AH10" s="2774"/>
      <c r="AK10" s="2775"/>
    </row>
    <row r="11" spans="2:40" ht="19">
      <c r="B11" s="904" t="s">
        <v>140</v>
      </c>
      <c r="C11" s="825"/>
      <c r="D11" s="16"/>
      <c r="F11" s="359"/>
      <c r="H11" s="2947">
        <f>1/5</f>
        <v>0.2</v>
      </c>
      <c r="I11" s="359" t="s">
        <v>2146</v>
      </c>
      <c r="K11" s="31" t="s">
        <v>2214</v>
      </c>
      <c r="L11" s="3279">
        <f>L43</f>
        <v>0.26666666666666666</v>
      </c>
      <c r="AD11" s="2953" t="s">
        <v>2305</v>
      </c>
      <c r="AE11" s="2953"/>
      <c r="AH11" s="2774"/>
      <c r="AK11" s="2775"/>
    </row>
    <row r="12" spans="2:40" ht="19">
      <c r="C12" s="31" t="s">
        <v>960</v>
      </c>
      <c r="D12" s="16"/>
      <c r="F12" s="359"/>
      <c r="H12" s="2947">
        <f>0.8</f>
        <v>0.8</v>
      </c>
      <c r="I12" s="359" t="s">
        <v>2147</v>
      </c>
      <c r="K12" s="2791" t="s">
        <v>2215</v>
      </c>
      <c r="L12" s="578">
        <f>L47</f>
        <v>0.26666666666666666</v>
      </c>
      <c r="AD12" s="204">
        <f>SUMIF(V23:V104,"L",AD23:AD104)-AD13-AD15</f>
        <v>227370.23507231032</v>
      </c>
      <c r="AE12" s="2953" t="s">
        <v>2307</v>
      </c>
      <c r="AH12" s="2774"/>
      <c r="AK12" s="2775"/>
    </row>
    <row r="13" spans="2:40" ht="19">
      <c r="C13" s="31" t="s">
        <v>961</v>
      </c>
      <c r="D13" s="16"/>
      <c r="F13" s="359"/>
      <c r="H13" s="15">
        <f>H10*H11</f>
        <v>6.6666666666666666E-2</v>
      </c>
      <c r="I13" s="359" t="s">
        <v>2148</v>
      </c>
      <c r="K13" s="2791" t="s">
        <v>2216</v>
      </c>
      <c r="L13" s="578">
        <f>L51</f>
        <v>0.26666666666666666</v>
      </c>
      <c r="AD13" s="454">
        <f>AD55</f>
        <v>1566629.9999999986</v>
      </c>
      <c r="AE13" s="2953" t="s">
        <v>2304</v>
      </c>
      <c r="AH13" s="2774"/>
      <c r="AK13" s="2775"/>
    </row>
    <row r="14" spans="2:40" ht="16" customHeight="1">
      <c r="C14" s="2791" t="s">
        <v>976</v>
      </c>
      <c r="D14" s="16"/>
      <c r="F14" s="359"/>
      <c r="H14" s="2948">
        <f>H10*H12</f>
        <v>0.26666666666666666</v>
      </c>
      <c r="I14" s="99" t="s">
        <v>2149</v>
      </c>
      <c r="K14" s="2791" t="s">
        <v>2217</v>
      </c>
      <c r="L14" s="578">
        <f>L59</f>
        <v>0.26666666666666666</v>
      </c>
      <c r="M14" s="5" t="s">
        <v>399</v>
      </c>
      <c r="N14" s="5"/>
      <c r="AD14" s="2953"/>
      <c r="AE14" s="2953"/>
      <c r="AH14" s="813"/>
      <c r="AK14" s="814"/>
    </row>
    <row r="15" spans="2:40" ht="16" customHeight="1">
      <c r="C15" s="1394" t="s">
        <v>2119</v>
      </c>
      <c r="D15" s="31"/>
      <c r="E15" s="31"/>
      <c r="F15" s="99"/>
      <c r="G15" s="99"/>
      <c r="J15" s="31"/>
      <c r="K15" s="2791" t="s">
        <v>2218</v>
      </c>
      <c r="L15" s="578">
        <f>L63</f>
        <v>1</v>
      </c>
      <c r="M15" s="949">
        <f>'Overall Assumptions'!$C$21</f>
        <v>0.04</v>
      </c>
      <c r="N15" s="2791" t="s">
        <v>16</v>
      </c>
      <c r="W15" s="2791" t="s">
        <v>2136</v>
      </c>
      <c r="X15" s="2791" t="s">
        <v>906</v>
      </c>
      <c r="AD15" s="454">
        <v>0</v>
      </c>
      <c r="AE15" s="2953" t="s">
        <v>2306</v>
      </c>
      <c r="AH15" s="813"/>
      <c r="AK15" s="814"/>
      <c r="AM15" s="2791" t="s">
        <v>955</v>
      </c>
    </row>
    <row r="16" spans="2:40" ht="17" customHeight="1" thickBot="1">
      <c r="E16" s="31"/>
      <c r="F16" s="99"/>
      <c r="G16" s="99"/>
      <c r="H16" s="31"/>
      <c r="I16" s="99"/>
      <c r="J16" s="31"/>
      <c r="K16" s="31"/>
      <c r="L16" s="31"/>
      <c r="M16" s="950">
        <f>'Overall Assumptions'!$C$22</f>
        <v>80</v>
      </c>
      <c r="N16" s="2791" t="s">
        <v>186</v>
      </c>
      <c r="V16" s="16"/>
      <c r="W16" s="7">
        <v>1</v>
      </c>
      <c r="X16" s="578">
        <f>'Overall Assumptions'!$C$13</f>
        <v>0.3</v>
      </c>
      <c r="Y16" s="578">
        <f>'Overall Assumptions'!$C$14</f>
        <v>0.1</v>
      </c>
      <c r="Z16" s="578">
        <f>'Overall Assumptions'!$C$15</f>
        <v>0.3</v>
      </c>
      <c r="AD16" s="813"/>
      <c r="AE16" s="814"/>
      <c r="AF16" s="814"/>
      <c r="AM16" s="7">
        <f>'Overall Assumptions'!$C$23</f>
        <v>5</v>
      </c>
      <c r="AN16" s="2791" t="s">
        <v>187</v>
      </c>
    </row>
    <row r="17" spans="1:42" ht="16" customHeight="1">
      <c r="B17" s="3784" t="s">
        <v>962</v>
      </c>
      <c r="C17" s="3785"/>
      <c r="D17" s="3785"/>
      <c r="E17" s="3785"/>
      <c r="F17" s="3785"/>
      <c r="G17" s="3785"/>
      <c r="H17" s="3785"/>
      <c r="I17" s="3785"/>
      <c r="J17" s="3785"/>
      <c r="K17" s="3786"/>
      <c r="L17" s="2950"/>
      <c r="M17" s="3796" t="s">
        <v>908</v>
      </c>
      <c r="N17" s="3797"/>
      <c r="O17" s="3797"/>
      <c r="P17" s="3797"/>
      <c r="Q17" s="3797"/>
      <c r="R17" s="4008" t="s">
        <v>2110</v>
      </c>
      <c r="S17" s="4009"/>
      <c r="T17" s="4009"/>
      <c r="U17" s="4010"/>
      <c r="V17" s="16"/>
      <c r="W17" s="3796" t="s">
        <v>731</v>
      </c>
      <c r="X17" s="3797"/>
      <c r="Y17" s="3797"/>
      <c r="Z17" s="3797"/>
      <c r="AA17" s="3797"/>
      <c r="AB17" s="3797"/>
      <c r="AC17" s="3797"/>
      <c r="AD17" s="3797"/>
      <c r="AE17" s="3797"/>
      <c r="AF17" s="3797"/>
      <c r="AG17" s="3797"/>
      <c r="AH17" s="3797"/>
      <c r="AI17" s="3797"/>
      <c r="AJ17" s="3798"/>
    </row>
    <row r="18" spans="1:42" ht="17" customHeight="1" thickBot="1">
      <c r="B18" s="3787"/>
      <c r="C18" s="4007"/>
      <c r="D18" s="4007"/>
      <c r="E18" s="4007"/>
      <c r="F18" s="4007"/>
      <c r="G18" s="4007"/>
      <c r="H18" s="4007"/>
      <c r="I18" s="4007"/>
      <c r="J18" s="4007"/>
      <c r="K18" s="3789"/>
      <c r="L18" s="2951"/>
      <c r="M18" s="3982"/>
      <c r="N18" s="3983"/>
      <c r="O18" s="3983"/>
      <c r="P18" s="3983"/>
      <c r="Q18" s="3983"/>
      <c r="R18" s="4011"/>
      <c r="S18" s="4012"/>
      <c r="T18" s="4012"/>
      <c r="U18" s="4013"/>
      <c r="V18" s="16"/>
      <c r="W18" s="3799"/>
      <c r="X18" s="3800"/>
      <c r="Y18" s="3800"/>
      <c r="Z18" s="3800"/>
      <c r="AA18" s="3800"/>
      <c r="AB18" s="3800"/>
      <c r="AC18" s="3800"/>
      <c r="AD18" s="3800"/>
      <c r="AE18" s="3800"/>
      <c r="AF18" s="3800"/>
      <c r="AG18" s="3800"/>
      <c r="AH18" s="3800"/>
      <c r="AI18" s="3800"/>
      <c r="AJ18" s="3801"/>
    </row>
    <row r="19" spans="1:42" s="576" customFormat="1" ht="21" customHeight="1">
      <c r="B19" s="3787"/>
      <c r="C19" s="4007"/>
      <c r="D19" s="4007"/>
      <c r="E19" s="4007"/>
      <c r="F19" s="4007"/>
      <c r="G19" s="4007"/>
      <c r="H19" s="4007"/>
      <c r="I19" s="4007"/>
      <c r="J19" s="4007"/>
      <c r="K19" s="3789"/>
      <c r="L19" s="2951"/>
      <c r="M19" s="3984" t="s">
        <v>189</v>
      </c>
      <c r="N19" s="3985"/>
      <c r="O19" s="3985"/>
      <c r="P19" s="3985"/>
      <c r="Q19" s="3985"/>
      <c r="R19" s="4011"/>
      <c r="S19" s="4012"/>
      <c r="T19" s="4012"/>
      <c r="U19" s="4013"/>
      <c r="V19" s="627"/>
      <c r="W19" s="3808" t="s">
        <v>905</v>
      </c>
      <c r="X19" s="3990" t="s">
        <v>815</v>
      </c>
      <c r="Y19" s="3991"/>
      <c r="Z19" s="3991"/>
      <c r="AA19" s="3991"/>
      <c r="AB19" s="3991"/>
      <c r="AC19" s="3992"/>
      <c r="AD19" s="3822" t="s">
        <v>910</v>
      </c>
      <c r="AE19" s="3988"/>
      <c r="AF19" s="3988"/>
      <c r="AG19" s="3823"/>
      <c r="AH19" s="3820" t="s">
        <v>911</v>
      </c>
      <c r="AI19" s="3822" t="s">
        <v>1034</v>
      </c>
      <c r="AJ19" s="3823"/>
      <c r="AK19" s="903"/>
      <c r="AL19" s="903"/>
      <c r="AM19" s="3761" t="s">
        <v>188</v>
      </c>
      <c r="AN19" s="3762"/>
      <c r="AO19" s="3762"/>
      <c r="AP19" s="3763"/>
    </row>
    <row r="20" spans="1:42" s="576" customFormat="1" ht="21" customHeight="1" thickBot="1">
      <c r="B20" s="3787"/>
      <c r="C20" s="4007"/>
      <c r="D20" s="4007"/>
      <c r="E20" s="4007"/>
      <c r="F20" s="4007"/>
      <c r="G20" s="4007"/>
      <c r="H20" s="4007"/>
      <c r="I20" s="4007"/>
      <c r="J20" s="4007"/>
      <c r="K20" s="3789"/>
      <c r="L20" s="2951"/>
      <c r="M20" s="3986"/>
      <c r="N20" s="3987"/>
      <c r="O20" s="3987"/>
      <c r="P20" s="3987"/>
      <c r="Q20" s="3987"/>
      <c r="R20" s="4014"/>
      <c r="S20" s="4015"/>
      <c r="T20" s="4015"/>
      <c r="U20" s="4016"/>
      <c r="W20" s="3809"/>
      <c r="X20" s="3810"/>
      <c r="Y20" s="3811"/>
      <c r="Z20" s="3811"/>
      <c r="AA20" s="3811"/>
      <c r="AB20" s="3811"/>
      <c r="AC20" s="3812"/>
      <c r="AD20" s="3818"/>
      <c r="AE20" s="3989"/>
      <c r="AF20" s="3989"/>
      <c r="AG20" s="3819"/>
      <c r="AH20" s="3821"/>
      <c r="AI20" s="3824"/>
      <c r="AJ20" s="3825"/>
      <c r="AK20" s="903"/>
      <c r="AL20" s="903"/>
      <c r="AM20" s="3764"/>
      <c r="AN20" s="3765"/>
      <c r="AO20" s="3765"/>
      <c r="AP20" s="3766"/>
    </row>
    <row r="21" spans="1:42" s="893" customFormat="1" ht="26" customHeight="1">
      <c r="B21" s="2776"/>
      <c r="C21" s="3767" t="s">
        <v>185</v>
      </c>
      <c r="D21" s="3769" t="s">
        <v>13</v>
      </c>
      <c r="E21" s="3769" t="s">
        <v>30</v>
      </c>
      <c r="F21" s="3773" t="s">
        <v>2335</v>
      </c>
      <c r="G21" s="3774"/>
      <c r="H21" s="3773" t="s">
        <v>12</v>
      </c>
      <c r="I21" s="3774"/>
      <c r="J21" s="1159" t="s">
        <v>63</v>
      </c>
      <c r="K21" s="1160"/>
      <c r="L21" s="4004" t="s">
        <v>2151</v>
      </c>
      <c r="M21" s="4005" t="s">
        <v>66</v>
      </c>
      <c r="N21" s="4006"/>
      <c r="O21" s="3777" t="s">
        <v>180</v>
      </c>
      <c r="P21" s="3779" t="s">
        <v>806</v>
      </c>
      <c r="Q21" s="3746" t="s">
        <v>807</v>
      </c>
      <c r="R21" s="3993" t="s">
        <v>2111</v>
      </c>
      <c r="S21" s="3994" t="s">
        <v>2109</v>
      </c>
      <c r="T21" s="3995" t="s">
        <v>2113</v>
      </c>
      <c r="U21" s="3997" t="s">
        <v>2209</v>
      </c>
      <c r="V21" s="1029"/>
      <c r="W21" s="3826" t="s">
        <v>907</v>
      </c>
      <c r="X21" s="3780" t="s">
        <v>816</v>
      </c>
      <c r="Y21" s="3747" t="s">
        <v>818</v>
      </c>
      <c r="Z21" s="3747" t="s">
        <v>817</v>
      </c>
      <c r="AA21" s="3783" t="s">
        <v>909</v>
      </c>
      <c r="AB21" s="3760" t="s">
        <v>812</v>
      </c>
      <c r="AC21" s="4004" t="s">
        <v>2294</v>
      </c>
      <c r="AD21" s="3826" t="s">
        <v>813</v>
      </c>
      <c r="AE21" s="3745" t="s">
        <v>814</v>
      </c>
      <c r="AF21" s="3999" t="s">
        <v>2153</v>
      </c>
      <c r="AG21" s="3999" t="s">
        <v>2348</v>
      </c>
      <c r="AH21" s="3827"/>
      <c r="AI21" s="3758" t="s">
        <v>210</v>
      </c>
      <c r="AJ21" s="3760" t="s">
        <v>211</v>
      </c>
      <c r="AK21" s="2773"/>
      <c r="AL21" s="2773"/>
      <c r="AM21" s="909" t="s">
        <v>66</v>
      </c>
      <c r="AN21" s="895"/>
      <c r="AO21" s="3748" t="s">
        <v>190</v>
      </c>
      <c r="AP21" s="3748" t="s">
        <v>181</v>
      </c>
    </row>
    <row r="22" spans="1:42" s="893" customFormat="1" ht="38" customHeight="1">
      <c r="B22" s="2777" t="s">
        <v>205</v>
      </c>
      <c r="C22" s="3768"/>
      <c r="D22" s="3770"/>
      <c r="E22" s="3770"/>
      <c r="F22" s="3559" t="s">
        <v>2309</v>
      </c>
      <c r="G22" s="3560" t="s">
        <v>2334</v>
      </c>
      <c r="H22" s="896" t="s">
        <v>15</v>
      </c>
      <c r="I22" s="1210" t="s">
        <v>14</v>
      </c>
      <c r="J22" s="1161" t="s">
        <v>69</v>
      </c>
      <c r="K22" s="925" t="s">
        <v>204</v>
      </c>
      <c r="L22" s="3998"/>
      <c r="M22" s="1158" t="s">
        <v>17</v>
      </c>
      <c r="N22" s="943" t="s">
        <v>18</v>
      </c>
      <c r="O22" s="3777"/>
      <c r="P22" s="3779"/>
      <c r="Q22" s="3746"/>
      <c r="R22" s="3993"/>
      <c r="S22" s="3994"/>
      <c r="T22" s="3996"/>
      <c r="U22" s="3998"/>
      <c r="V22" s="1030"/>
      <c r="W22" s="3781"/>
      <c r="X22" s="3781"/>
      <c r="Y22" s="3782"/>
      <c r="Z22" s="3782"/>
      <c r="AA22" s="3782"/>
      <c r="AB22" s="3757"/>
      <c r="AC22" s="3998"/>
      <c r="AD22" s="3781"/>
      <c r="AE22" s="3782"/>
      <c r="AF22" s="4000"/>
      <c r="AG22" s="4000"/>
      <c r="AH22" s="3757"/>
      <c r="AI22" s="3759"/>
      <c r="AJ22" s="3757"/>
      <c r="AK22" s="2773"/>
      <c r="AL22" s="893" t="s">
        <v>732</v>
      </c>
      <c r="AM22" s="2778" t="s">
        <v>17</v>
      </c>
      <c r="AN22" s="898" t="s">
        <v>18</v>
      </c>
      <c r="AO22" s="3749"/>
      <c r="AP22" s="3749"/>
    </row>
    <row r="23" spans="1:42" ht="19" customHeight="1">
      <c r="B23" s="260">
        <v>1.1000000000000001</v>
      </c>
      <c r="C23" s="3844" t="s">
        <v>201</v>
      </c>
      <c r="D23" s="3847" t="s">
        <v>131</v>
      </c>
      <c r="E23" s="12" t="s">
        <v>3</v>
      </c>
      <c r="F23" s="1172"/>
      <c r="G23" s="1172">
        <f>$E$97</f>
        <v>3</v>
      </c>
      <c r="H23" s="188">
        <f>F97</f>
        <v>1012.5</v>
      </c>
      <c r="I23" s="921" t="s">
        <v>407</v>
      </c>
      <c r="J23" s="377" t="str">
        <f>IF(K23=1,"Annual","Done every "&amp;K23&amp;" years")</f>
        <v>Done every 20 years</v>
      </c>
      <c r="K23" s="12">
        <f>$D$84</f>
        <v>20</v>
      </c>
      <c r="L23" s="727">
        <v>1</v>
      </c>
      <c r="M23" s="1043">
        <f>$M$16/K23</f>
        <v>4</v>
      </c>
      <c r="N23" s="171">
        <f>$M$16/M23</f>
        <v>20</v>
      </c>
      <c r="O23" s="240">
        <f>$H23*(1-(1+$M$15)^-(M23*N23))/((1+$M$15)^N23-1)*(1+((1+$M$15)^N23-1))</f>
        <v>1781.7330967837013</v>
      </c>
      <c r="P23" s="191">
        <f t="shared" ref="P23:P61" si="0">O23/(1+$M$15)*($M$15)/(1-(1+$M$15)^-$M$16)</f>
        <v>71.636079045900658</v>
      </c>
      <c r="Q23" s="240">
        <f>SUM(P23:P26)</f>
        <v>71.636079045900658</v>
      </c>
      <c r="R23" s="3204" t="s">
        <v>1197</v>
      </c>
      <c r="S23" s="3036" t="s">
        <v>1197</v>
      </c>
      <c r="T23" s="3016" t="s">
        <v>1197</v>
      </c>
      <c r="U23" s="3016" t="s">
        <v>1197</v>
      </c>
      <c r="V23" s="1031" t="s">
        <v>808</v>
      </c>
      <c r="W23" s="583">
        <f>P23/$W$16</f>
        <v>71.636079045900658</v>
      </c>
      <c r="X23" s="583">
        <f>IF($V23="L",SUM($W23:W23)*X$16,"")</f>
        <v>21.490823713770197</v>
      </c>
      <c r="Y23" s="1474"/>
      <c r="Z23" s="583">
        <f>IF($W23="","",SUM($W23:Y23)*Z$16)</f>
        <v>27.938070827901257</v>
      </c>
      <c r="AA23" s="240">
        <f t="shared" ref="AA23:AA66" si="1">IF($W23="","",SUM(X23:Z23))</f>
        <v>49.428894541671454</v>
      </c>
      <c r="AB23" s="240">
        <f>SUM(X23:Z26)</f>
        <v>49.428894541671454</v>
      </c>
      <c r="AC23" s="583">
        <f>AB23*L23</f>
        <v>49.428894541671454</v>
      </c>
      <c r="AD23" s="191">
        <f t="shared" ref="AD23:AD66" si="2">IF($W23="","",SUM(W23,AA23))</f>
        <v>121.06497358757211</v>
      </c>
      <c r="AE23" s="240">
        <f>SUM(AD23:AD26)</f>
        <v>121.06497358757211</v>
      </c>
      <c r="AF23" s="195">
        <f>AD23*L$23</f>
        <v>121.06497358757211</v>
      </c>
      <c r="AG23" s="195">
        <f>AE23*$L23</f>
        <v>121.06497358757211</v>
      </c>
      <c r="AH23" s="889">
        <f t="shared" ref="AH23:AH29" ca="1" si="3">IF(AD23="","",AD23/OFFSET($AE$23,AK23,0))</f>
        <v>1</v>
      </c>
      <c r="AI23" s="941"/>
      <c r="AJ23" s="1063"/>
      <c r="AK23" s="587">
        <v>0</v>
      </c>
      <c r="AL23" s="816">
        <f ca="1">SUM(AH23:AH26)-1</f>
        <v>0</v>
      </c>
      <c r="AM23" s="13">
        <f>$AM$16/K23</f>
        <v>0.25</v>
      </c>
      <c r="AN23" s="13">
        <f>$AM$16/AM23</f>
        <v>20</v>
      </c>
      <c r="AO23" s="14">
        <f>$H23*(1-(1+$M$15)^-(AM23*AN23))/((1+$M$15)^AN23-1)*(1+((1+$M$15)^AN23-1))</f>
        <v>331.6675402591024</v>
      </c>
      <c r="AP23" s="191">
        <f>SUM(AO23:AO26)</f>
        <v>331.6675402591024</v>
      </c>
    </row>
    <row r="24" spans="1:42" ht="19" customHeight="1">
      <c r="B24" s="261"/>
      <c r="C24" s="3845"/>
      <c r="D24" s="3848"/>
      <c r="E24" s="12" t="s">
        <v>308</v>
      </c>
      <c r="F24" s="1172"/>
      <c r="G24" s="1172"/>
      <c r="H24" s="188"/>
      <c r="I24" s="921"/>
      <c r="J24" s="377"/>
      <c r="K24" s="12"/>
      <c r="L24" s="3265"/>
      <c r="M24" s="1044"/>
      <c r="N24" s="944"/>
      <c r="O24" s="611"/>
      <c r="P24" s="342"/>
      <c r="Q24" s="242"/>
      <c r="R24" s="3205"/>
      <c r="S24" s="3037"/>
      <c r="T24" s="3017"/>
      <c r="U24" s="3017"/>
      <c r="V24" s="1032" t="s">
        <v>809</v>
      </c>
      <c r="W24" s="585"/>
      <c r="X24" s="585" t="str">
        <f>IF($V24="L",SUM($W24:W24)*X$16,"")</f>
        <v/>
      </c>
      <c r="Y24" s="1475"/>
      <c r="Z24" s="585" t="str">
        <f>IF($W24="","",SUM($W24:Y24)*Z$16)</f>
        <v/>
      </c>
      <c r="AA24" s="242" t="str">
        <f t="shared" si="1"/>
        <v/>
      </c>
      <c r="AB24" s="242"/>
      <c r="AC24" s="3297"/>
      <c r="AD24" s="342" t="str">
        <f t="shared" si="2"/>
        <v/>
      </c>
      <c r="AE24" s="242"/>
      <c r="AF24" s="193"/>
      <c r="AG24" s="193"/>
      <c r="AH24" s="890" t="str">
        <f t="shared" ca="1" si="3"/>
        <v/>
      </c>
      <c r="AI24" s="582"/>
      <c r="AJ24" s="573"/>
      <c r="AK24" s="587">
        <f>AK23</f>
        <v>0</v>
      </c>
      <c r="AL24" s="587"/>
      <c r="AM24" s="13"/>
      <c r="AN24" s="13"/>
      <c r="AO24" s="189"/>
      <c r="AP24" s="342"/>
    </row>
    <row r="25" spans="1:42" ht="16" customHeight="1">
      <c r="B25" s="261"/>
      <c r="C25" s="3845"/>
      <c r="D25" s="3848"/>
      <c r="E25" s="12" t="s">
        <v>4</v>
      </c>
      <c r="F25" s="1172"/>
      <c r="G25" s="1172"/>
      <c r="H25" s="188"/>
      <c r="I25" s="921"/>
      <c r="J25" s="377"/>
      <c r="K25" s="12"/>
      <c r="L25" s="3265"/>
      <c r="M25" s="1044"/>
      <c r="N25" s="944"/>
      <c r="O25" s="611"/>
      <c r="P25" s="342"/>
      <c r="Q25" s="242"/>
      <c r="R25" s="3205"/>
      <c r="S25" s="3037"/>
      <c r="T25" s="3017"/>
      <c r="U25" s="3017"/>
      <c r="V25" s="1032" t="s">
        <v>810</v>
      </c>
      <c r="W25" s="585"/>
      <c r="X25" s="585" t="str">
        <f>IF($V25="L",SUM($W25:W25)*X$16,"")</f>
        <v/>
      </c>
      <c r="Y25" s="1475"/>
      <c r="Z25" s="585" t="str">
        <f>IF($W25="","",SUM($W25:Y25)*Z$16)</f>
        <v/>
      </c>
      <c r="AA25" s="242" t="str">
        <f t="shared" si="1"/>
        <v/>
      </c>
      <c r="AB25" s="242"/>
      <c r="AC25" s="3297"/>
      <c r="AD25" s="342" t="str">
        <f t="shared" si="2"/>
        <v/>
      </c>
      <c r="AE25" s="242"/>
      <c r="AF25" s="193"/>
      <c r="AG25" s="193"/>
      <c r="AH25" s="890" t="str">
        <f t="shared" ca="1" si="3"/>
        <v/>
      </c>
      <c r="AI25" s="582"/>
      <c r="AJ25" s="573"/>
      <c r="AK25" s="587">
        <f>AK24</f>
        <v>0</v>
      </c>
      <c r="AL25" s="587"/>
      <c r="AM25" s="13"/>
      <c r="AN25" s="13"/>
      <c r="AO25" s="189"/>
      <c r="AP25" s="342"/>
    </row>
    <row r="26" spans="1:42" ht="19" customHeight="1">
      <c r="B26" s="923"/>
      <c r="C26" s="3846"/>
      <c r="D26" s="3849"/>
      <c r="E26" s="12" t="s">
        <v>21</v>
      </c>
      <c r="F26" s="1172"/>
      <c r="G26" s="1172"/>
      <c r="H26" s="188"/>
      <c r="I26" s="921"/>
      <c r="J26" s="377"/>
      <c r="K26" s="12"/>
      <c r="L26" s="3266"/>
      <c r="M26" s="1045"/>
      <c r="N26" s="945"/>
      <c r="O26" s="243"/>
      <c r="P26" s="343"/>
      <c r="Q26" s="244"/>
      <c r="R26" s="3206"/>
      <c r="S26" s="3079"/>
      <c r="T26" s="3018"/>
      <c r="U26" s="3018"/>
      <c r="V26" s="1033" t="s">
        <v>811</v>
      </c>
      <c r="W26" s="891"/>
      <c r="X26" s="891" t="str">
        <f>IF($V26="L",SUM($W26:W26)*X$16,"")</f>
        <v/>
      </c>
      <c r="Y26" s="1478"/>
      <c r="Z26" s="891" t="str">
        <f>IF($W26="","",SUM($W26:Y26)*Z$16)</f>
        <v/>
      </c>
      <c r="AA26" s="244" t="str">
        <f t="shared" si="1"/>
        <v/>
      </c>
      <c r="AB26" s="244"/>
      <c r="AC26" s="3301"/>
      <c r="AD26" s="343" t="str">
        <f t="shared" si="2"/>
        <v/>
      </c>
      <c r="AE26" s="244"/>
      <c r="AF26" s="196"/>
      <c r="AG26" s="196"/>
      <c r="AH26" s="892" t="str">
        <f t="shared" ca="1" si="3"/>
        <v/>
      </c>
      <c r="AI26" s="942"/>
      <c r="AJ26" s="1065"/>
      <c r="AK26" s="587">
        <f>AK25</f>
        <v>0</v>
      </c>
      <c r="AL26" s="587"/>
      <c r="AM26" s="13"/>
      <c r="AN26" s="13"/>
      <c r="AO26" s="189"/>
      <c r="AP26" s="342"/>
    </row>
    <row r="27" spans="1:42" ht="18" customHeight="1">
      <c r="A27" s="390"/>
      <c r="B27" s="710">
        <v>2.1</v>
      </c>
      <c r="C27" s="2768" t="s">
        <v>1005</v>
      </c>
      <c r="D27" s="3850" t="s">
        <v>2120</v>
      </c>
      <c r="E27" s="373" t="s">
        <v>3</v>
      </c>
      <c r="F27" s="1176"/>
      <c r="G27" s="1176">
        <f t="shared" ref="G27:G29" si="4">E175</f>
        <v>2</v>
      </c>
      <c r="H27" s="370">
        <f>H175</f>
        <v>450</v>
      </c>
      <c r="I27" s="370" t="str">
        <f>I175</f>
        <v>Cost for labour</v>
      </c>
      <c r="J27" s="375" t="str">
        <f>IF(K27=1,"Annual","Done every "&amp;K27&amp;" years")</f>
        <v>Done every 20 years</v>
      </c>
      <c r="K27" s="371">
        <f t="shared" ref="K27:K29" si="5">J175</f>
        <v>20</v>
      </c>
      <c r="L27" s="3267">
        <f>$H$10</f>
        <v>0.33333333333333331</v>
      </c>
      <c r="M27" s="386">
        <f>$M$16/K27</f>
        <v>4</v>
      </c>
      <c r="N27" s="371">
        <f>$M$16/M27</f>
        <v>20</v>
      </c>
      <c r="O27" s="370">
        <f>$H27*(1-(1+$M$15)^-(M27*N27))/((1+$M$15)^N27-1)*(1+((1+$M$15)^N27-1))</f>
        <v>791.88137634831173</v>
      </c>
      <c r="P27" s="640">
        <f>O27/(1+$M$15)*($M$15)/(1-(1+$M$15)^-$M$16)</f>
        <v>31.838257353733624</v>
      </c>
      <c r="Q27" s="3319">
        <f>SUM(P27:P30)</f>
        <v>81.71819387458298</v>
      </c>
      <c r="R27" s="3321"/>
      <c r="S27" s="980"/>
      <c r="T27" s="980"/>
      <c r="U27" s="2971"/>
      <c r="V27" s="1034" t="s">
        <v>808</v>
      </c>
      <c r="W27" s="642">
        <f t="shared" ref="W27:W33" si="6">P27/$W$16</f>
        <v>31.838257353733624</v>
      </c>
      <c r="X27" s="644">
        <f>IF($V27="L",SUM($W27:W27)*X$16,"")</f>
        <v>9.5514772061200865</v>
      </c>
      <c r="Y27" s="644">
        <f>IF($W27="","",IF(OR($V27="L",$V27="T",$V27="C"),SUM($W27:X27)*Y$16,""))</f>
        <v>4.1389734559853713</v>
      </c>
      <c r="Z27" s="644">
        <f>IF($W27="","",SUM($W27:Y27)*Z$16)</f>
        <v>13.658612404751723</v>
      </c>
      <c r="AA27" s="388">
        <f t="shared" si="1"/>
        <v>27.349063066857184</v>
      </c>
      <c r="AB27" s="392">
        <f>SUM(X27:Z30)</f>
        <v>48.797435770822403</v>
      </c>
      <c r="AC27" s="642">
        <f>AB27*L27</f>
        <v>16.265811923607465</v>
      </c>
      <c r="AD27" s="734">
        <f t="shared" si="2"/>
        <v>59.187320420590808</v>
      </c>
      <c r="AE27" s="391">
        <f>SUM(AD27:AD30)</f>
        <v>130.5156296454054</v>
      </c>
      <c r="AF27" s="2971">
        <f>AD27*L$27</f>
        <v>19.729106806863602</v>
      </c>
      <c r="AG27" s="2971">
        <f>AE27*L27</f>
        <v>43.505209881801797</v>
      </c>
      <c r="AH27" s="888">
        <f t="shared" ca="1" si="3"/>
        <v>0.45348837209302317</v>
      </c>
      <c r="AI27" s="641"/>
      <c r="AJ27" s="1066"/>
      <c r="AK27" s="587">
        <v>4</v>
      </c>
      <c r="AL27" s="816">
        <f ca="1">SUM(AH27:AH30)-1</f>
        <v>0</v>
      </c>
      <c r="AM27" s="387">
        <f>$AM$16/K27</f>
        <v>0.25</v>
      </c>
      <c r="AN27" s="387">
        <f>$AM$16/AM27</f>
        <v>20</v>
      </c>
      <c r="AO27" s="370">
        <f>$H27*(1-(1+$M$15)^-(AM27*AN27))/((1+$M$15)^AN27-1)*(1+((1+$M$15)^AN27-1))</f>
        <v>147.40779567071218</v>
      </c>
      <c r="AP27" s="980">
        <f>SUM(AO27:AO30)</f>
        <v>378.34667555482793</v>
      </c>
    </row>
    <row r="28" spans="1:42" ht="19" customHeight="1">
      <c r="A28" s="390"/>
      <c r="B28" s="710"/>
      <c r="C28" s="2769"/>
      <c r="D28" s="3851"/>
      <c r="E28" s="373" t="s">
        <v>308</v>
      </c>
      <c r="F28" s="1176">
        <f>D161</f>
        <v>1</v>
      </c>
      <c r="G28" s="1176">
        <f t="shared" si="4"/>
        <v>1</v>
      </c>
      <c r="H28" s="370">
        <f t="shared" ref="H28:I29" si="7">H176</f>
        <v>285</v>
      </c>
      <c r="I28" s="370" t="str">
        <f t="shared" si="7"/>
        <v>Cost for ute hire for the whole activity</v>
      </c>
      <c r="J28" s="375" t="str">
        <f>IF(K28=1,"Annual","Done every "&amp;K28&amp;" years")</f>
        <v>Done every 20 years</v>
      </c>
      <c r="K28" s="371">
        <f t="shared" si="5"/>
        <v>20</v>
      </c>
      <c r="L28" s="3268"/>
      <c r="M28" s="386">
        <f>$M$16/K28</f>
        <v>4</v>
      </c>
      <c r="N28" s="371">
        <f>$M$16/M28</f>
        <v>20</v>
      </c>
      <c r="O28" s="370">
        <f>$H28*(1-(1+$M$15)^-(M28*N28))/((1+$M$15)^N28-1)*(1+((1+$M$15)^N28-1))</f>
        <v>501.52487168726407</v>
      </c>
      <c r="P28" s="640">
        <f>O28/(1+$M$15)*($M$15)/(1-(1+$M$15)^-$M$16)</f>
        <v>20.164229657364629</v>
      </c>
      <c r="Q28" s="391"/>
      <c r="R28" s="3322">
        <f>1*(1-(1+$M$15)^-(M28*N28))/((1+$M$15)^N28-1)*(1+((1+$M$15)^N28-1))</f>
        <v>1.7597363918851372</v>
      </c>
      <c r="S28" s="2955">
        <f>R28/(1+$M$15)*($M$15)/(1-(1+$M$15)^-$M$16)</f>
        <v>7.0751683008296956E-2</v>
      </c>
      <c r="T28" s="2957">
        <f>S28*F28</f>
        <v>7.0751683008296956E-2</v>
      </c>
      <c r="U28" s="3323">
        <f>T28*L27</f>
        <v>2.3583894336098983E-2</v>
      </c>
      <c r="V28" s="1034" t="s">
        <v>809</v>
      </c>
      <c r="W28" s="639">
        <f t="shared" si="6"/>
        <v>20.164229657364629</v>
      </c>
      <c r="X28" s="644" t="str">
        <f>IF($V28="L",SUM($W28:W28)*X$16,"")</f>
        <v/>
      </c>
      <c r="Y28" s="644">
        <f>IF($W28="","",IF(OR($V28="L",$V28="T",$V28="C"),SUM($W28:X28)*Y$16,""))</f>
        <v>2.0164229657364632</v>
      </c>
      <c r="Z28" s="644">
        <f>IF($W28="","",SUM($W28:Y28)*Z$16)</f>
        <v>6.6541957869303276</v>
      </c>
      <c r="AA28" s="817">
        <f t="shared" si="1"/>
        <v>8.6706187526667904</v>
      </c>
      <c r="AB28" s="392"/>
      <c r="AC28" s="3289"/>
      <c r="AD28" s="734">
        <f t="shared" si="2"/>
        <v>28.83484841003142</v>
      </c>
      <c r="AE28" s="391"/>
      <c r="AF28" s="2971">
        <f t="shared" ref="AF28:AF29" si="8">AD28*L$27</f>
        <v>9.6116161366771387</v>
      </c>
      <c r="AG28" s="2971"/>
      <c r="AH28" s="729">
        <f t="shared" ca="1" si="3"/>
        <v>0.22093023255813948</v>
      </c>
      <c r="AI28" s="641"/>
      <c r="AJ28" s="1066"/>
      <c r="AK28" s="587">
        <f>AK27</f>
        <v>4</v>
      </c>
      <c r="AL28" s="587"/>
      <c r="AM28" s="387">
        <f>$AM$16/K28</f>
        <v>0.25</v>
      </c>
      <c r="AN28" s="387">
        <f>$AM$16/AM28</f>
        <v>20</v>
      </c>
      <c r="AO28" s="370">
        <f>$H28*(1-(1+$M$15)^-(AM28*AN28))/((1+$M$15)^AN28-1)*(1+((1+$M$15)^AN28-1))</f>
        <v>93.35827059145106</v>
      </c>
      <c r="AP28" s="981"/>
    </row>
    <row r="29" spans="1:42" ht="19" customHeight="1">
      <c r="A29" s="390"/>
      <c r="B29" s="710"/>
      <c r="C29" s="2769"/>
      <c r="D29" s="3851"/>
      <c r="E29" s="373" t="s">
        <v>4</v>
      </c>
      <c r="F29" s="1176"/>
      <c r="G29" s="1176">
        <f t="shared" si="4"/>
        <v>2</v>
      </c>
      <c r="H29" s="370">
        <f t="shared" si="7"/>
        <v>420</v>
      </c>
      <c r="I29" s="370" t="str">
        <f t="shared" si="7"/>
        <v>Accomodation + Food Cost</v>
      </c>
      <c r="J29" s="375" t="str">
        <f>IF(K29=1,"Annual","Done every "&amp;K29&amp;" years")</f>
        <v>Done every 20 years</v>
      </c>
      <c r="K29" s="371">
        <f t="shared" si="5"/>
        <v>20</v>
      </c>
      <c r="L29" s="3268"/>
      <c r="M29" s="386">
        <f>$M$16/K29</f>
        <v>4</v>
      </c>
      <c r="N29" s="371">
        <f>$M$16/M29</f>
        <v>20</v>
      </c>
      <c r="O29" s="370">
        <f>$H29*(1-(1+$M$15)^-(M29*N29))/((1+$M$15)^N29-1)*(1+((1+$M$15)^N29-1))</f>
        <v>739.08928459175775</v>
      </c>
      <c r="P29" s="640">
        <f>O29/(1+$M$15)*($M$15)/(1-(1+$M$15)^-$M$16)</f>
        <v>29.715706863484723</v>
      </c>
      <c r="Q29" s="3280"/>
      <c r="R29" s="3324"/>
      <c r="S29" s="982"/>
      <c r="T29" s="2958"/>
      <c r="U29" s="3325"/>
      <c r="V29" s="1034" t="s">
        <v>810</v>
      </c>
      <c r="W29" s="639">
        <f t="shared" si="6"/>
        <v>29.715706863484723</v>
      </c>
      <c r="X29" s="644" t="str">
        <f>IF($V29="L",SUM($W29:W29)*X$16,"")</f>
        <v/>
      </c>
      <c r="Y29" s="644">
        <f>IF($W29="","",IF(OR($V29="L",$V29="T",$V29="C"),SUM($W29:X29)*Y$16,""))</f>
        <v>2.9715706863484725</v>
      </c>
      <c r="Z29" s="644">
        <f>IF($W29="","",SUM($W29:Y29)*Z$16)</f>
        <v>9.8061832649499596</v>
      </c>
      <c r="AA29" s="817">
        <f t="shared" si="1"/>
        <v>12.777753951298433</v>
      </c>
      <c r="AB29" s="393"/>
      <c r="AC29" s="3289"/>
      <c r="AD29" s="735">
        <f t="shared" si="2"/>
        <v>42.493460814783155</v>
      </c>
      <c r="AE29" s="3280"/>
      <c r="AF29" s="2971">
        <f t="shared" si="8"/>
        <v>14.164486938261051</v>
      </c>
      <c r="AG29" s="2971"/>
      <c r="AH29" s="729">
        <f t="shared" ca="1" si="3"/>
        <v>0.32558139534883723</v>
      </c>
      <c r="AI29" s="643"/>
      <c r="AJ29" s="1066"/>
      <c r="AK29" s="587">
        <f>AK28</f>
        <v>4</v>
      </c>
      <c r="AL29" s="587"/>
      <c r="AM29" s="387">
        <f>$AM$16/K29</f>
        <v>0.25</v>
      </c>
      <c r="AN29" s="387">
        <f>$AM$16/AM29</f>
        <v>20</v>
      </c>
      <c r="AO29" s="370">
        <f>$H29*(1-(1+$M$15)^-(AM29*AN29))/((1+$M$15)^AN29-1)*(1+((1+$M$15)^AN29-1))</f>
        <v>137.58060929266469</v>
      </c>
      <c r="AP29" s="982"/>
    </row>
    <row r="30" spans="1:42" ht="19" customHeight="1">
      <c r="A30" s="390"/>
      <c r="B30" s="710"/>
      <c r="C30" s="2769"/>
      <c r="D30" s="3851"/>
      <c r="E30" s="373" t="s">
        <v>21</v>
      </c>
      <c r="F30" s="1176"/>
      <c r="G30" s="1176"/>
      <c r="H30" s="370"/>
      <c r="I30" s="1086"/>
      <c r="J30" s="375"/>
      <c r="K30" s="371"/>
      <c r="L30" s="3268"/>
      <c r="M30" s="386"/>
      <c r="N30" s="371"/>
      <c r="O30" s="370"/>
      <c r="P30" s="640"/>
      <c r="Q30" s="3280"/>
      <c r="R30" s="3324"/>
      <c r="S30" s="982"/>
      <c r="T30" s="2958"/>
      <c r="U30" s="3325"/>
      <c r="V30" s="1034" t="s">
        <v>811</v>
      </c>
      <c r="W30" s="639">
        <f t="shared" si="6"/>
        <v>0</v>
      </c>
      <c r="X30" s="644" t="str">
        <f>IF($V30="L",SUM($W30:W30)*X$16,"")</f>
        <v/>
      </c>
      <c r="Y30" s="644" t="str">
        <f>IF($W30="","",IF(OR($V30="L",$V30="T",$V30="C"),SUM($W30:X30)*Y$16,""))</f>
        <v/>
      </c>
      <c r="Z30" s="644">
        <f>IF($W30="","",SUM($W30:Y30)*Z$16)</f>
        <v>0</v>
      </c>
      <c r="AA30" s="817"/>
      <c r="AB30" s="393"/>
      <c r="AC30" s="3289"/>
      <c r="AD30" s="735"/>
      <c r="AE30" s="3280"/>
      <c r="AF30" s="2971"/>
      <c r="AG30" s="2971"/>
      <c r="AH30" s="729"/>
      <c r="AI30" s="643"/>
      <c r="AJ30" s="1066"/>
      <c r="AK30" s="587">
        <f>AK29</f>
        <v>4</v>
      </c>
      <c r="AL30" s="587"/>
      <c r="AM30" s="387"/>
      <c r="AN30" s="387"/>
      <c r="AO30" s="370"/>
      <c r="AP30" s="982"/>
    </row>
    <row r="31" spans="1:42" s="2899" customFormat="1" ht="18" customHeight="1">
      <c r="B31" s="2900">
        <f>B23+0.1</f>
        <v>1.2000000000000002</v>
      </c>
      <c r="C31" s="4001" t="s">
        <v>2121</v>
      </c>
      <c r="D31" s="2901" t="s">
        <v>2129</v>
      </c>
      <c r="E31" s="2902" t="s">
        <v>3</v>
      </c>
      <c r="F31" s="2903"/>
      <c r="G31" s="2903">
        <f t="shared" ref="G31:G33" si="9">E255</f>
        <v>30</v>
      </c>
      <c r="H31" s="2904">
        <f t="shared" ref="H31:I33" si="10">G255</f>
        <v>6750</v>
      </c>
      <c r="I31" s="2905" t="str">
        <f t="shared" si="10"/>
        <v>Cost for labour</v>
      </c>
      <c r="J31" s="2906" t="str">
        <f>IF(K31=1,"Annual","Done every "&amp;K31&amp;" years")</f>
        <v>Done every 20 years</v>
      </c>
      <c r="K31" s="2907">
        <f t="shared" ref="K31:K33" si="11">I255</f>
        <v>20</v>
      </c>
      <c r="L31" s="2993">
        <f>$H$10</f>
        <v>0.33333333333333331</v>
      </c>
      <c r="M31" s="2908">
        <f>$M$16/K31</f>
        <v>4</v>
      </c>
      <c r="N31" s="2907">
        <f>$M$16/M31</f>
        <v>20</v>
      </c>
      <c r="O31" s="2904">
        <f>$H31*(1-(1+$M$15)^-(M31*N31))/((1+$M$15)^N31-1)*(1+((1+$M$15)^N31-1))</f>
        <v>11878.220645224676</v>
      </c>
      <c r="P31" s="2909">
        <f t="shared" ref="P31:P50" si="12">O31/(1+$M$15)*($M$15)/(1-(1+$M$15)^-$M$16)</f>
        <v>477.57386030600441</v>
      </c>
      <c r="Q31" s="3281">
        <f>SUM(P31:P34)</f>
        <v>1225.7729081187447</v>
      </c>
      <c r="R31" s="3326"/>
      <c r="S31" s="2981"/>
      <c r="T31" s="2959"/>
      <c r="U31" s="3327"/>
      <c r="V31" s="2911" t="s">
        <v>808</v>
      </c>
      <c r="W31" s="2912">
        <f t="shared" si="6"/>
        <v>477.57386030600441</v>
      </c>
      <c r="X31" s="2913">
        <f>IF($V31="L",SUM($W31:W31)*X$16,"")</f>
        <v>143.27215809180132</v>
      </c>
      <c r="Y31" s="2913">
        <f>IF($W31="","",IF(OR($V31="L",$V31="T",$V31="C"),SUM($W31:X31)*Y$16,""))</f>
        <v>62.084601839780568</v>
      </c>
      <c r="Z31" s="2913">
        <f>IF($W31="","",SUM($W31:Y31)*Z$16)</f>
        <v>204.87918607127588</v>
      </c>
      <c r="AA31" s="2914">
        <f>IF($W31="","",SUM(X31:Z31))</f>
        <v>410.23594600285776</v>
      </c>
      <c r="AB31" s="2910">
        <f>SUM(X31:Z34)</f>
        <v>731.96153656233605</v>
      </c>
      <c r="AC31" s="2912">
        <f>AB31*L31</f>
        <v>243.98717885411202</v>
      </c>
      <c r="AD31" s="2915">
        <f>IF($W31="","",SUM(W31,AA31))</f>
        <v>887.80980630886211</v>
      </c>
      <c r="AE31" s="3281">
        <f>SUM(AD31:AD34)</f>
        <v>1957.7344446810807</v>
      </c>
      <c r="AF31" s="2972">
        <f>AD31*L$31</f>
        <v>295.936602102954</v>
      </c>
      <c r="AG31" s="2972">
        <f>AE31*L31</f>
        <v>652.57814822702687</v>
      </c>
      <c r="AH31" s="2916">
        <f ca="1">IF(AD31="","",AD31/OFFSET($AE$23,AK31,0))</f>
        <v>0.45348837209302323</v>
      </c>
      <c r="AI31" s="2917"/>
      <c r="AJ31" s="2918"/>
      <c r="AK31" s="2919">
        <v>8</v>
      </c>
      <c r="AL31" s="2920">
        <f ca="1">SUM(AH31:AH34)-1</f>
        <v>0</v>
      </c>
      <c r="AM31" s="2921">
        <f>$AM$16/K31</f>
        <v>0.25</v>
      </c>
      <c r="AN31" s="2921">
        <f>$AM$16/AM31</f>
        <v>20</v>
      </c>
      <c r="AO31" s="2922">
        <f>$H31*(1-(1+$M$15)^-(AM31*AN31))/((1+$M$15)^AN31-1)*(1+((1+$M$15)^AN31-1))</f>
        <v>2211.1169350606829</v>
      </c>
      <c r="AP31" s="2923">
        <f>SUM(AO31:AO34)</f>
        <v>5675.2001333224189</v>
      </c>
    </row>
    <row r="32" spans="1:42" s="2899" customFormat="1" ht="19" customHeight="1">
      <c r="B32" s="2900"/>
      <c r="C32" s="4002"/>
      <c r="D32" s="2924"/>
      <c r="E32" s="2925" t="s">
        <v>308</v>
      </c>
      <c r="F32" s="2926">
        <f>$D$240</f>
        <v>1</v>
      </c>
      <c r="G32" s="2926">
        <f t="shared" si="9"/>
        <v>15</v>
      </c>
      <c r="H32" s="2904">
        <f t="shared" si="10"/>
        <v>4275</v>
      </c>
      <c r="I32" s="2927" t="str">
        <f t="shared" si="10"/>
        <v>Cost for ute hire for the whole activity</v>
      </c>
      <c r="J32" s="2928" t="str">
        <f>IF(K32=1,"Annual","Done every "&amp;K32&amp;" years")</f>
        <v>Done every 20 years</v>
      </c>
      <c r="K32" s="2929">
        <f t="shared" si="11"/>
        <v>20</v>
      </c>
      <c r="L32" s="2993"/>
      <c r="M32" s="2930">
        <f>$M$16/K32</f>
        <v>4</v>
      </c>
      <c r="N32" s="2929">
        <f>$M$16/M32</f>
        <v>20</v>
      </c>
      <c r="O32" s="2922">
        <f>$H32*(1-(1+$M$15)^-(M32*N32))/((1+$M$15)^N32-1)*(1+((1+$M$15)^N32-1))</f>
        <v>7522.8730753089612</v>
      </c>
      <c r="P32" s="2931">
        <f t="shared" si="12"/>
        <v>302.46344486046945</v>
      </c>
      <c r="Q32" s="3281"/>
      <c r="R32" s="3326">
        <f>1*(1-(1+$M$15)^-(M32*N32))/((1+$M$15)^N32-1)*(1+((1+$M$15)^N32-1))</f>
        <v>1.7597363918851372</v>
      </c>
      <c r="S32" s="2981">
        <f>R32/(1+$M$15)*($M$15)/(1-(1+$M$15)^-$M$16)</f>
        <v>7.0751683008296956E-2</v>
      </c>
      <c r="T32" s="2959">
        <f>S32*F32</f>
        <v>7.0751683008296956E-2</v>
      </c>
      <c r="U32" s="3327">
        <f>T32*L31</f>
        <v>2.3583894336098983E-2</v>
      </c>
      <c r="V32" s="2911" t="s">
        <v>809</v>
      </c>
      <c r="W32" s="2932">
        <f t="shared" si="6"/>
        <v>302.46344486046945</v>
      </c>
      <c r="X32" s="2913" t="str">
        <f>IF($V32="L",SUM($W32:W32)*X$16,"")</f>
        <v/>
      </c>
      <c r="Y32" s="2913">
        <f>IF($W32="","",IF(OR($V32="L",$V32="T",$V32="C"),SUM($W32:X32)*Y$16,""))</f>
        <v>30.246344486046947</v>
      </c>
      <c r="Z32" s="2913">
        <f>IF($W32="","",SUM($W32:Y32)*Z$16)</f>
        <v>99.812936803954912</v>
      </c>
      <c r="AA32" s="3207">
        <f>IF($W32="","",SUM(X32:Z32))</f>
        <v>130.05928129000185</v>
      </c>
      <c r="AB32" s="2910"/>
      <c r="AC32" s="3290"/>
      <c r="AD32" s="2915">
        <f>IF($W32="","",SUM(W32,AA32))</f>
        <v>432.52272615047127</v>
      </c>
      <c r="AE32" s="3281"/>
      <c r="AF32" s="2972">
        <f t="shared" ref="AF32:AF33" si="13">AD32*L$31</f>
        <v>144.17424205015709</v>
      </c>
      <c r="AG32" s="2972"/>
      <c r="AH32" s="2933">
        <f ca="1">IF(AD32="","",AD32/OFFSET($AE$23,AK32,0))</f>
        <v>0.22093023255813951</v>
      </c>
      <c r="AI32" s="2917"/>
      <c r="AJ32" s="2918"/>
      <c r="AK32" s="2919">
        <f>AK31</f>
        <v>8</v>
      </c>
      <c r="AL32" s="2919"/>
      <c r="AM32" s="2921">
        <f>$AM$16/K32</f>
        <v>0.25</v>
      </c>
      <c r="AN32" s="2921">
        <f>$AM$16/AM32</f>
        <v>20</v>
      </c>
      <c r="AO32" s="2922">
        <f>$H32*(1-(1+$M$15)^-(AM32*AN32))/((1+$M$15)^AN32-1)*(1+((1+$M$15)^AN32-1))</f>
        <v>1400.3740588717656</v>
      </c>
      <c r="AP32" s="2934"/>
    </row>
    <row r="33" spans="2:42" s="2899" customFormat="1" ht="19" customHeight="1">
      <c r="B33" s="2900"/>
      <c r="C33" s="4002"/>
      <c r="D33" s="2924"/>
      <c r="E33" s="2925" t="s">
        <v>4</v>
      </c>
      <c r="F33" s="2926"/>
      <c r="G33" s="2926">
        <f t="shared" si="9"/>
        <v>30</v>
      </c>
      <c r="H33" s="2904">
        <f t="shared" si="10"/>
        <v>6300</v>
      </c>
      <c r="I33" s="2927" t="str">
        <f t="shared" si="10"/>
        <v>Accomodation + Food Cost</v>
      </c>
      <c r="J33" s="2928" t="str">
        <f>IF(K33=1,"Annual","Done every "&amp;K33&amp;" years")</f>
        <v>Done every 20 years</v>
      </c>
      <c r="K33" s="2929">
        <f t="shared" si="11"/>
        <v>20</v>
      </c>
      <c r="L33" s="2993"/>
      <c r="M33" s="2930">
        <f>$M$16/K33</f>
        <v>4</v>
      </c>
      <c r="N33" s="2929">
        <f>$M$16/M33</f>
        <v>20</v>
      </c>
      <c r="O33" s="2922">
        <f>$H33*(1-(1+$M$15)^-(M33*N33))/((1+$M$15)^N33-1)*(1+((1+$M$15)^N33-1))</f>
        <v>11086.339268876365</v>
      </c>
      <c r="P33" s="2931">
        <f t="shared" si="12"/>
        <v>445.73560295227082</v>
      </c>
      <c r="Q33" s="3282"/>
      <c r="R33" s="3326"/>
      <c r="S33" s="2981"/>
      <c r="T33" s="2959"/>
      <c r="U33" s="3327"/>
      <c r="V33" s="2911" t="s">
        <v>810</v>
      </c>
      <c r="W33" s="2932">
        <f t="shared" si="6"/>
        <v>445.73560295227082</v>
      </c>
      <c r="X33" s="2913" t="str">
        <f>IF($V33="L",SUM($W33:W33)*X$16,"")</f>
        <v/>
      </c>
      <c r="Y33" s="2913">
        <f>IF($W33="","",IF(OR($V33="L",$V33="T",$V33="C"),SUM($W33:X33)*Y$16,""))</f>
        <v>44.573560295227082</v>
      </c>
      <c r="Z33" s="2913">
        <f>IF($W33="","",SUM($W33:Y33)*Z$16)</f>
        <v>147.09274897424936</v>
      </c>
      <c r="AA33" s="3207">
        <f>IF($W33="","",SUM(X33:Z33))</f>
        <v>191.66630926947644</v>
      </c>
      <c r="AB33" s="2935"/>
      <c r="AC33" s="3290"/>
      <c r="AD33" s="2936">
        <f>IF($W33="","",SUM(W33,AA33))</f>
        <v>637.40191222174724</v>
      </c>
      <c r="AE33" s="3282"/>
      <c r="AF33" s="2972">
        <f t="shared" si="13"/>
        <v>212.46730407391573</v>
      </c>
      <c r="AG33" s="2972"/>
      <c r="AH33" s="2933">
        <f ca="1">IF(AD33="","",AD33/OFFSET($AE$23,AK33,0))</f>
        <v>0.32558139534883723</v>
      </c>
      <c r="AI33" s="2937"/>
      <c r="AJ33" s="2918"/>
      <c r="AK33" s="2919">
        <f>AK32</f>
        <v>8</v>
      </c>
      <c r="AL33" s="2919"/>
      <c r="AM33" s="2921">
        <f>$AM$16/K33</f>
        <v>0.25</v>
      </c>
      <c r="AN33" s="2921">
        <f>$AM$16/AM33</f>
        <v>20</v>
      </c>
      <c r="AO33" s="2922">
        <f>$H33*(1-(1+$M$15)^-(AM33*AN33))/((1+$M$15)^AN33-1)*(1+((1+$M$15)^AN33-1))</f>
        <v>2063.7091393899705</v>
      </c>
      <c r="AP33" s="2938"/>
    </row>
    <row r="34" spans="2:42" s="2899" customFormat="1" ht="19" customHeight="1">
      <c r="B34" s="2900"/>
      <c r="C34" s="4003"/>
      <c r="D34" s="2924"/>
      <c r="E34" s="2939"/>
      <c r="F34" s="2940"/>
      <c r="G34" s="2940"/>
      <c r="H34" s="2923"/>
      <c r="I34" s="2941"/>
      <c r="J34" s="2942"/>
      <c r="K34" s="2943"/>
      <c r="L34" s="2993"/>
      <c r="M34" s="2944"/>
      <c r="N34" s="2943"/>
      <c r="O34" s="2923"/>
      <c r="P34" s="2945"/>
      <c r="Q34" s="3282"/>
      <c r="R34" s="3326"/>
      <c r="S34" s="2981"/>
      <c r="T34" s="2959"/>
      <c r="U34" s="3327"/>
      <c r="V34" s="2911" t="s">
        <v>811</v>
      </c>
      <c r="W34" s="2932"/>
      <c r="X34" s="2913" t="str">
        <f>IF($V34="L",SUM($W34:W34)*X$16,"")</f>
        <v/>
      </c>
      <c r="Y34" s="2913" t="str">
        <f>IF($W34="","",IF(OR($V34="L",$V34="T",$V34="C"),SUM($W34:X34)*Y$16,""))</f>
        <v/>
      </c>
      <c r="Z34" s="2913" t="str">
        <f>IF($W34="","",SUM($W34:Y34)*Z$16)</f>
        <v/>
      </c>
      <c r="AA34" s="3207"/>
      <c r="AB34" s="2935"/>
      <c r="AC34" s="3290"/>
      <c r="AD34" s="2936"/>
      <c r="AE34" s="3282"/>
      <c r="AF34" s="2972"/>
      <c r="AG34" s="2972"/>
      <c r="AH34" s="2933"/>
      <c r="AI34" s="2937"/>
      <c r="AJ34" s="2918"/>
      <c r="AK34" s="2919">
        <f>AK33</f>
        <v>8</v>
      </c>
      <c r="AL34" s="2919"/>
      <c r="AM34" s="2921"/>
      <c r="AN34" s="2921"/>
      <c r="AO34" s="2922"/>
      <c r="AP34" s="2938"/>
    </row>
    <row r="35" spans="2:42" s="1414" customFormat="1" ht="19" customHeight="1">
      <c r="B35" s="2893">
        <f>B31+0.11</f>
        <v>1.3100000000000003</v>
      </c>
      <c r="C35" s="3919" t="s">
        <v>2125</v>
      </c>
      <c r="D35" s="3922" t="s">
        <v>2130</v>
      </c>
      <c r="E35" s="1635" t="s">
        <v>3</v>
      </c>
      <c r="F35" s="1636"/>
      <c r="G35" s="1636">
        <f t="shared" ref="G35:G37" si="14">E371</f>
        <v>60</v>
      </c>
      <c r="H35" s="1637">
        <f t="shared" ref="H35:H37" si="15">G371</f>
        <v>530000</v>
      </c>
      <c r="I35" s="2898" t="str">
        <f>K371</f>
        <v>Labour+Equipment costs for construction</v>
      </c>
      <c r="J35" s="1638" t="str">
        <f>IF(K35=1,"Annual","Done every "&amp;K35&amp;" years")</f>
        <v>Done every 20 years</v>
      </c>
      <c r="K35" s="178">
        <f>H371</f>
        <v>20</v>
      </c>
      <c r="L35" s="3269">
        <f>$H$13</f>
        <v>6.6666666666666666E-2</v>
      </c>
      <c r="M35" s="177">
        <f>$M$16/K35</f>
        <v>4</v>
      </c>
      <c r="N35" s="178">
        <f>$M$16/M35</f>
        <v>20</v>
      </c>
      <c r="O35" s="1637">
        <f>$H35*(1-(1+$M$15)^-(M35*N35))/((1+$M$15)^N35-1)*(1+((1+$M$15)^N35-1))</f>
        <v>932660.28769912268</v>
      </c>
      <c r="P35" s="1639">
        <f t="shared" si="12"/>
        <v>37498.391994397381</v>
      </c>
      <c r="Q35" s="3320">
        <f>SUM(P35:P38)</f>
        <v>38994.790090022863</v>
      </c>
      <c r="R35" s="3208"/>
      <c r="S35" s="3030"/>
      <c r="T35" s="2960"/>
      <c r="U35" s="2961"/>
      <c r="V35" s="1653" t="s">
        <v>808</v>
      </c>
      <c r="W35" s="205">
        <f t="shared" ref="W35:W41" si="16">P35/$W$16</f>
        <v>37498.391994397381</v>
      </c>
      <c r="X35" s="1865">
        <f>IF($V35="L",SUM($W35:W35)*X$16,"")</f>
        <v>11249.517598319215</v>
      </c>
      <c r="Y35" s="1865">
        <f>IF($W35="","",IF(OR($V35="L",$V35="T",$V35="C"),SUM($W35:X35)*Y$16,""))</f>
        <v>4874.7909592716596</v>
      </c>
      <c r="Z35" s="1865">
        <f>IF($W35="","",SUM($W35:Y35)*Z$16)</f>
        <v>16086.810165596477</v>
      </c>
      <c r="AA35" s="180">
        <f>IF($W35="","",SUM(X35:Z35))</f>
        <v>32211.118723187348</v>
      </c>
      <c r="AB35" s="1652">
        <f>SUM(X35:Z38)</f>
        <v>32854.569904306307</v>
      </c>
      <c r="AC35" s="205">
        <f>AB35*L35</f>
        <v>2190.3046602870872</v>
      </c>
      <c r="AD35" s="1654">
        <f>IF($W35="","",SUM(W35,AA35))</f>
        <v>69709.510717584722</v>
      </c>
      <c r="AE35" s="3283">
        <f>SUM(AD35:AD38)</f>
        <v>71849.359994329163</v>
      </c>
      <c r="AF35" s="2973">
        <f>AD35*L$35</f>
        <v>4647.3007145056481</v>
      </c>
      <c r="AG35" s="2973">
        <f>AE35*L35</f>
        <v>4789.9573329552777</v>
      </c>
      <c r="AH35" s="2895">
        <f ca="1">IF(AD35="","",AD35/OFFSET($AE$23,AK35,0))</f>
        <v>0.97021755967049206</v>
      </c>
      <c r="AI35" s="1415"/>
      <c r="AJ35" s="181"/>
      <c r="AK35" s="1647">
        <f>AK31+4</f>
        <v>12</v>
      </c>
      <c r="AL35" s="1648">
        <f ca="1">SUM(AH35:AH38)-1</f>
        <v>0</v>
      </c>
      <c r="AM35" s="1649">
        <f>$AM$16/K35</f>
        <v>0.25</v>
      </c>
      <c r="AN35" s="1649">
        <f>$AM$16/AM35</f>
        <v>20</v>
      </c>
      <c r="AO35" s="1637">
        <f>$H35*(1-(1+$M$15)^-(AM35*AN35))/((1+$M$15)^AN35-1)*(1+((1+$M$15)^AN35-1))</f>
        <v>173613.62601217211</v>
      </c>
      <c r="AP35" s="1650">
        <f>SUM(AO35:AO38)</f>
        <v>180541.79240869559</v>
      </c>
    </row>
    <row r="36" spans="2:42" s="1414" customFormat="1" ht="19" customHeight="1">
      <c r="B36" s="2893"/>
      <c r="C36" s="3920"/>
      <c r="D36" s="3923"/>
      <c r="E36" s="1635" t="s">
        <v>308</v>
      </c>
      <c r="F36" s="1636">
        <f>$D$333</f>
        <v>2</v>
      </c>
      <c r="G36" s="1636">
        <f t="shared" si="14"/>
        <v>30</v>
      </c>
      <c r="H36" s="2896">
        <f t="shared" si="15"/>
        <v>8550</v>
      </c>
      <c r="I36" s="2898" t="str">
        <f t="shared" ref="I36:I37" si="17">K372</f>
        <v>On site Vehicle Costs</v>
      </c>
      <c r="J36" s="1638" t="str">
        <f>IF(K36=1,"Annual","Done every "&amp;K36&amp;" years")</f>
        <v>Done every 20 years</v>
      </c>
      <c r="K36" s="178">
        <f t="shared" ref="K36:K37" si="18">H372</f>
        <v>20</v>
      </c>
      <c r="L36" s="3270"/>
      <c r="M36" s="177">
        <f>$M$16/K36</f>
        <v>4</v>
      </c>
      <c r="N36" s="178">
        <f>$M$16/M36</f>
        <v>20</v>
      </c>
      <c r="O36" s="1637">
        <f>$H36*(1-(1+$M$15)^-(M36*N36))/((1+$M$15)^N36-1)*(1+((1+$M$15)^N36-1))</f>
        <v>15045.746150617922</v>
      </c>
      <c r="P36" s="1639">
        <f t="shared" si="12"/>
        <v>604.9268897209389</v>
      </c>
      <c r="Q36" s="3283"/>
      <c r="R36" s="3209">
        <f>1*(1-(1+$M$15)^-(M36*N36))/((1+$M$15)^N36-1)*(1+((1+$M$15)^N36-1))</f>
        <v>1.7597363918851372</v>
      </c>
      <c r="S36" s="2982">
        <f>R36/(1+$M$15)*($M$15)/(1-(1+$M$15)^-$M$16)</f>
        <v>7.0751683008296956E-2</v>
      </c>
      <c r="T36" s="2961">
        <f>S36*F36</f>
        <v>0.14150336601659391</v>
      </c>
      <c r="U36" s="2961">
        <f>T36*L35</f>
        <v>9.4335577344395946E-3</v>
      </c>
      <c r="V36" s="1653" t="s">
        <v>809</v>
      </c>
      <c r="W36" s="1643">
        <f t="shared" si="16"/>
        <v>604.9268897209389</v>
      </c>
      <c r="X36" s="1865" t="str">
        <f>IF($V36="L",SUM($W36:W36)*X$16,"")</f>
        <v/>
      </c>
      <c r="Y36" s="1865">
        <f>IF($W36="","",IF(OR($V36="L",$V36="T",$V36="C"),SUM($W36:X36)*Y$16,""))</f>
        <v>60.492688972093895</v>
      </c>
      <c r="Z36" s="1865">
        <f>IF($W36="","",SUM($W36:Y36)*Z$16)</f>
        <v>199.62587360790982</v>
      </c>
      <c r="AA36" s="3210">
        <f>IF($W36="","",SUM(X36:Z36))</f>
        <v>260.1185625800037</v>
      </c>
      <c r="AB36" s="1652"/>
      <c r="AC36" s="3291"/>
      <c r="AD36" s="1654">
        <f>IF($W36="","",SUM(W36,AA36))</f>
        <v>865.04545230094254</v>
      </c>
      <c r="AE36" s="3283"/>
      <c r="AF36" s="2973">
        <f t="shared" ref="AF36:AF37" si="19">AD36*L$35</f>
        <v>57.669696820062832</v>
      </c>
      <c r="AG36" s="2973"/>
      <c r="AH36" s="1646">
        <f ca="1">IF(AD36="","",AD36/OFFSET($AE$23,AK36,0))</f>
        <v>1.2039709920439344E-2</v>
      </c>
      <c r="AI36" s="1415"/>
      <c r="AJ36" s="181"/>
      <c r="AK36" s="1647">
        <f>AK35</f>
        <v>12</v>
      </c>
      <c r="AL36" s="1647"/>
      <c r="AM36" s="1649">
        <f>$AM$16/K36</f>
        <v>0.25</v>
      </c>
      <c r="AN36" s="1649">
        <f>$AM$16/AM36</f>
        <v>20</v>
      </c>
      <c r="AO36" s="1637">
        <f>$H36*(1-(1+$M$15)^-(AM36*AN36))/((1+$M$15)^AN36-1)*(1+((1+$M$15)^AN36-1))</f>
        <v>2800.7481177435311</v>
      </c>
      <c r="AP36" s="1656"/>
    </row>
    <row r="37" spans="2:42" s="1414" customFormat="1" ht="19" customHeight="1">
      <c r="B37" s="2893"/>
      <c r="C37" s="3920"/>
      <c r="D37" s="3923"/>
      <c r="E37" s="1635" t="s">
        <v>4</v>
      </c>
      <c r="F37" s="1636"/>
      <c r="G37" s="1636">
        <f t="shared" si="14"/>
        <v>60</v>
      </c>
      <c r="H37" s="2896">
        <f t="shared" si="15"/>
        <v>12600</v>
      </c>
      <c r="I37" s="2898" t="str">
        <f t="shared" si="17"/>
        <v>Accomodation</v>
      </c>
      <c r="J37" s="1638" t="str">
        <f>IF(K37=1,"Annual","Done every "&amp;K37&amp;" years")</f>
        <v>Done every 20 years</v>
      </c>
      <c r="K37" s="178">
        <f t="shared" si="18"/>
        <v>20</v>
      </c>
      <c r="L37" s="3270"/>
      <c r="M37" s="177">
        <f>$M$16/K37</f>
        <v>4</v>
      </c>
      <c r="N37" s="178">
        <f>$M$16/M37</f>
        <v>20</v>
      </c>
      <c r="O37" s="1637">
        <f>$H37*(1-(1+$M$15)^-(M37*N37))/((1+$M$15)^N37-1)*(1+((1+$M$15)^N37-1))</f>
        <v>22172.67853775273</v>
      </c>
      <c r="P37" s="1639">
        <f t="shared" si="12"/>
        <v>891.47120590454165</v>
      </c>
      <c r="Q37" s="3284"/>
      <c r="R37" s="3209"/>
      <c r="S37" s="2982"/>
      <c r="T37" s="2961"/>
      <c r="U37" s="2961"/>
      <c r="V37" s="1653" t="s">
        <v>810</v>
      </c>
      <c r="W37" s="1643">
        <f t="shared" si="16"/>
        <v>891.47120590454165</v>
      </c>
      <c r="X37" s="1865" t="str">
        <f>IF($V37="L",SUM($W37:W37)*X$16,"")</f>
        <v/>
      </c>
      <c r="Y37" s="1865">
        <f>IF($W37="","",IF(OR($V37="L",$V37="T",$V37="C"),SUM($W37:X37)*Y$16,""))</f>
        <v>89.147120590454165</v>
      </c>
      <c r="Z37" s="1865">
        <f>IF($W37="","",SUM($W37:Y37)*Z$16)</f>
        <v>294.18549794849872</v>
      </c>
      <c r="AA37" s="3210">
        <f>IF($W37="","",SUM(X37:Z37))</f>
        <v>383.33261853895289</v>
      </c>
      <c r="AB37" s="1864"/>
      <c r="AC37" s="3291"/>
      <c r="AD37" s="1867">
        <f>IF($W37="","",SUM(W37,AA37))</f>
        <v>1274.8038244434945</v>
      </c>
      <c r="AE37" s="3284"/>
      <c r="AF37" s="2973">
        <f t="shared" si="19"/>
        <v>84.986921629566297</v>
      </c>
      <c r="AG37" s="2973"/>
      <c r="AH37" s="1646">
        <f ca="1">IF(AD37="","",AD37/OFFSET($AE$23,AK37,0))</f>
        <v>1.774273040906851E-2</v>
      </c>
      <c r="AI37" s="1868"/>
      <c r="AJ37" s="181"/>
      <c r="AK37" s="1647">
        <f>AK36</f>
        <v>12</v>
      </c>
      <c r="AL37" s="1647"/>
      <c r="AM37" s="1649">
        <f>$AM$16/K37</f>
        <v>0.25</v>
      </c>
      <c r="AN37" s="1649">
        <f>$AM$16/AM37</f>
        <v>20</v>
      </c>
      <c r="AO37" s="1637">
        <f>$H37*(1-(1+$M$15)^-(AM37*AN37))/((1+$M$15)^AN37-1)*(1+((1+$M$15)^AN37-1))</f>
        <v>4127.4182787799409</v>
      </c>
      <c r="AP37" s="1869"/>
    </row>
    <row r="38" spans="2:42" s="1414" customFormat="1" ht="19" customHeight="1">
      <c r="B38" s="2893"/>
      <c r="C38" s="3921"/>
      <c r="D38" s="3923"/>
      <c r="E38" s="1635" t="s">
        <v>21</v>
      </c>
      <c r="F38" s="1636"/>
      <c r="G38" s="1636"/>
      <c r="H38" s="1637"/>
      <c r="I38" s="2449"/>
      <c r="J38" s="1638"/>
      <c r="K38" s="178"/>
      <c r="L38" s="3270"/>
      <c r="M38" s="177"/>
      <c r="N38" s="178"/>
      <c r="O38" s="1637"/>
      <c r="P38" s="1639"/>
      <c r="Q38" s="3284"/>
      <c r="R38" s="3209"/>
      <c r="S38" s="2982"/>
      <c r="T38" s="2961"/>
      <c r="U38" s="2961"/>
      <c r="V38" s="1653" t="s">
        <v>811</v>
      </c>
      <c r="W38" s="1643">
        <f t="shared" si="16"/>
        <v>0</v>
      </c>
      <c r="X38" s="1865" t="str">
        <f>IF($V38="L",SUM($W38:W38)*X$16,"")</f>
        <v/>
      </c>
      <c r="Y38" s="1865" t="str">
        <f>IF($W38="","",IF(OR($V38="L",$V38="T",$V38="C"),SUM($W38:X38)*Y$16,""))</f>
        <v/>
      </c>
      <c r="Z38" s="1865">
        <f>IF($W38="","",SUM($W38:Y38)*Z$16)</f>
        <v>0</v>
      </c>
      <c r="AA38" s="3210"/>
      <c r="AB38" s="1864"/>
      <c r="AC38" s="3291"/>
      <c r="AD38" s="1867"/>
      <c r="AE38" s="3284"/>
      <c r="AF38" s="2973"/>
      <c r="AG38" s="2973"/>
      <c r="AH38" s="1646"/>
      <c r="AI38" s="1868"/>
      <c r="AJ38" s="181"/>
      <c r="AK38" s="1647">
        <f>AK37</f>
        <v>12</v>
      </c>
      <c r="AL38" s="1647"/>
      <c r="AM38" s="1649"/>
      <c r="AN38" s="1649"/>
      <c r="AO38" s="1637"/>
      <c r="AP38" s="1869"/>
    </row>
    <row r="39" spans="2:42" s="1875" customFormat="1" ht="19" customHeight="1">
      <c r="B39" s="2889">
        <f>B23+0.12</f>
        <v>1.2200000000000002</v>
      </c>
      <c r="C39" s="3927" t="s">
        <v>2126</v>
      </c>
      <c r="D39" s="3925" t="s">
        <v>2131</v>
      </c>
      <c r="E39" s="1878" t="s">
        <v>3</v>
      </c>
      <c r="F39" s="1879"/>
      <c r="G39" s="1879">
        <f t="shared" ref="G39:G41" si="20">F371</f>
        <v>120</v>
      </c>
      <c r="H39" s="1880">
        <f>I371</f>
        <v>1140000</v>
      </c>
      <c r="I39" s="1880" t="str">
        <f>K371</f>
        <v>Labour+Equipment costs for construction</v>
      </c>
      <c r="J39" s="1882" t="str">
        <f>IF(K39=1,"Annual","Done every "&amp;K39&amp;" years")</f>
        <v>Done every 20 years</v>
      </c>
      <c r="K39" s="1883">
        <f>J371</f>
        <v>20</v>
      </c>
      <c r="L39" s="3271">
        <f>$H$14</f>
        <v>0.26666666666666666</v>
      </c>
      <c r="M39" s="2890">
        <f>$M$16/K39</f>
        <v>4</v>
      </c>
      <c r="N39" s="2891">
        <f>$M$16/M39</f>
        <v>20</v>
      </c>
      <c r="O39" s="2338">
        <f>$H39*(1-(1+$M$15)^-(M39*N39))/((1+$M$15)^N39-1)*(1+((1+$M$15)^N39-1))</f>
        <v>2006099.4867490565</v>
      </c>
      <c r="P39" s="2892">
        <f t="shared" si="12"/>
        <v>80656.918629458538</v>
      </c>
      <c r="Q39" s="3285">
        <f>SUM(P39:P42)</f>
        <v>83649.714820709502</v>
      </c>
      <c r="R39" s="3211"/>
      <c r="S39" s="2983"/>
      <c r="T39" s="2962"/>
      <c r="U39" s="2962"/>
      <c r="V39" s="1887" t="s">
        <v>808</v>
      </c>
      <c r="W39" s="1888">
        <f t="shared" si="16"/>
        <v>80656.918629458538</v>
      </c>
      <c r="X39" s="1888">
        <f>IF($V39="L",SUM($W39:W39)*X$16,"")</f>
        <v>24197.075588837561</v>
      </c>
      <c r="Y39" s="1888">
        <f>IF($W39="","",IF(OR($V39="L",$V39="T",$V39="C"),SUM($W39:X39)*Y$16,""))</f>
        <v>10485.39942182961</v>
      </c>
      <c r="Z39" s="1888">
        <f>IF($W39="","",SUM($W39:Y39)*Z$16)</f>
        <v>34601.818092037713</v>
      </c>
      <c r="AA39" s="2452">
        <f>IF($W39="","",SUM(X39:Z39))</f>
        <v>69284.293102704891</v>
      </c>
      <c r="AB39" s="1886">
        <f>SUM(X39:Z42)</f>
        <v>70571.195464942808</v>
      </c>
      <c r="AC39" s="1888">
        <f>AB39*L39</f>
        <v>18818.985457318082</v>
      </c>
      <c r="AD39" s="1889">
        <f>IF($W39="","",SUM(W39,AA39))</f>
        <v>149941.21173216344</v>
      </c>
      <c r="AE39" s="3285">
        <f>SUM(AD39:AD42)</f>
        <v>154220.91028565232</v>
      </c>
      <c r="AF39" s="2974">
        <f>AD39*L$39</f>
        <v>39984.323128576914</v>
      </c>
      <c r="AG39" s="2974">
        <f>AE39*L39</f>
        <v>41125.576076173951</v>
      </c>
      <c r="AH39" s="1891">
        <f ca="1">IF(AD39="","",AD39/OFFSET($AE$23,AK39,0))</f>
        <v>0.9722495571737847</v>
      </c>
      <c r="AI39" s="1892"/>
      <c r="AJ39" s="1893"/>
      <c r="AK39" s="1894">
        <f>AK35+4</f>
        <v>16</v>
      </c>
      <c r="AL39" s="1895">
        <f ca="1">SUM(AH39:AH42)-1</f>
        <v>0</v>
      </c>
      <c r="AM39" s="1896">
        <f>$AM$16/K39</f>
        <v>0.25</v>
      </c>
      <c r="AN39" s="1896">
        <f>$AM$16/AM39</f>
        <v>20</v>
      </c>
      <c r="AO39" s="1880">
        <f>$H39*(1-(1+$M$15)^-(AM39*AN39))/((1+$M$15)^AN39-1)*(1+((1+$M$15)^AN39-1))</f>
        <v>373433.08236580412</v>
      </c>
      <c r="AP39" s="1890">
        <f>SUM(AO39:AO42)</f>
        <v>387289.41515885107</v>
      </c>
    </row>
    <row r="40" spans="2:42" s="1875" customFormat="1" ht="19" customHeight="1">
      <c r="B40" s="1897"/>
      <c r="C40" s="3928"/>
      <c r="D40" s="3926"/>
      <c r="E40" s="1878" t="s">
        <v>308</v>
      </c>
      <c r="F40" s="1879">
        <f>$F$333</f>
        <v>3</v>
      </c>
      <c r="G40" s="1879">
        <f t="shared" si="20"/>
        <v>60</v>
      </c>
      <c r="H40" s="1880">
        <f t="shared" ref="H40:H41" si="21">I372</f>
        <v>17100</v>
      </c>
      <c r="I40" s="1880" t="str">
        <f t="shared" ref="I40:I41" si="22">K372</f>
        <v>On site Vehicle Costs</v>
      </c>
      <c r="J40" s="1882" t="str">
        <f>IF(K40=1,"Annual","Done every "&amp;K40&amp;" years")</f>
        <v>Done every 20 years</v>
      </c>
      <c r="K40" s="1883">
        <f t="shared" ref="K40:K41" si="23">J372</f>
        <v>20</v>
      </c>
      <c r="L40" s="2366"/>
      <c r="M40" s="1884">
        <f>$M$16/K40</f>
        <v>4</v>
      </c>
      <c r="N40" s="1883">
        <f>$M$16/M40</f>
        <v>20</v>
      </c>
      <c r="O40" s="1880">
        <f>$H40*(1-(1+$M$15)^-(M40*N40))/((1+$M$15)^N40-1)*(1+((1+$M$15)^N40-1))</f>
        <v>30091.492301235845</v>
      </c>
      <c r="P40" s="1885">
        <f t="shared" si="12"/>
        <v>1209.8537794418778</v>
      </c>
      <c r="Q40" s="2363"/>
      <c r="R40" s="3212">
        <f>1*(1-(1+$M$15)^-(M40*N40))/((1+$M$15)^N40-1)*(1+((1+$M$15)^N40-1))</f>
        <v>1.7597363918851372</v>
      </c>
      <c r="S40" s="2984">
        <f>R40/(1+$M$15)*($M$15)/(1-(1+$M$15)^-$M$16)</f>
        <v>7.0751683008296956E-2</v>
      </c>
      <c r="T40" s="2963">
        <f>S40*F40</f>
        <v>0.21225504902489087</v>
      </c>
      <c r="U40" s="2963">
        <f>T40*L39</f>
        <v>5.6601346406637561E-2</v>
      </c>
      <c r="V40" s="1900" t="s">
        <v>809</v>
      </c>
      <c r="W40" s="1888">
        <f t="shared" si="16"/>
        <v>1209.8537794418778</v>
      </c>
      <c r="X40" s="1901" t="str">
        <f>IF($V40="L",SUM($W40:W40)*X$16,"")</f>
        <v/>
      </c>
      <c r="Y40" s="1901">
        <f>IF($W40="","",IF(OR($V40="L",$V40="T",$V40="C"),SUM($W40:X40)*Y$16,""))</f>
        <v>120.98537794418779</v>
      </c>
      <c r="Z40" s="1901">
        <f>IF($W40="","",SUM($W40:Y40)*Z$16)</f>
        <v>399.25174721581965</v>
      </c>
      <c r="AA40" s="2309">
        <f>IF($W40="","",SUM(X40:Z40))</f>
        <v>520.23712516000739</v>
      </c>
      <c r="AB40" s="1899"/>
      <c r="AC40" s="3292"/>
      <c r="AD40" s="1902">
        <f>IF($W40="","",SUM(W40,AA40))</f>
        <v>1730.0909046018851</v>
      </c>
      <c r="AE40" s="2363"/>
      <c r="AF40" s="2974">
        <f t="shared" ref="AF40:AF42" si="24">AD40*L$39</f>
        <v>461.35757456050266</v>
      </c>
      <c r="AG40" s="2975"/>
      <c r="AH40" s="1891">
        <f ca="1">IF(AD40="","",AD40/OFFSET($AE$23,AK40,0))</f>
        <v>1.1218264121235971E-2</v>
      </c>
      <c r="AI40" s="2337"/>
      <c r="AJ40" s="1893"/>
      <c r="AK40" s="1894">
        <f>AK39</f>
        <v>16</v>
      </c>
      <c r="AL40" s="1894"/>
      <c r="AM40" s="1896">
        <f>$AM$16/K40</f>
        <v>0.25</v>
      </c>
      <c r="AN40" s="1896">
        <f>$AM$16/AM40</f>
        <v>20</v>
      </c>
      <c r="AO40" s="1880">
        <f>$H40*(1-(1+$M$15)^-(AM40*AN40))/((1+$M$15)^AN40-1)*(1+((1+$M$15)^AN40-1))</f>
        <v>5601.4962354870622</v>
      </c>
      <c r="AP40" s="1903"/>
    </row>
    <row r="41" spans="2:42" s="1875" customFormat="1" ht="19" customHeight="1">
      <c r="B41" s="1897"/>
      <c r="C41" s="3928"/>
      <c r="D41" s="3926"/>
      <c r="E41" s="1878" t="s">
        <v>4</v>
      </c>
      <c r="F41" s="1879"/>
      <c r="G41" s="1879">
        <f t="shared" si="20"/>
        <v>120</v>
      </c>
      <c r="H41" s="1880">
        <f t="shared" si="21"/>
        <v>25200</v>
      </c>
      <c r="I41" s="1880" t="str">
        <f t="shared" si="22"/>
        <v>Accomodation</v>
      </c>
      <c r="J41" s="1882" t="str">
        <f>IF(K41=1,"Annual","Done every "&amp;K41&amp;" years")</f>
        <v>Done every 20 years</v>
      </c>
      <c r="K41" s="1883">
        <f t="shared" si="23"/>
        <v>20</v>
      </c>
      <c r="L41" s="2366"/>
      <c r="M41" s="1884">
        <f>$M$16/K41</f>
        <v>4</v>
      </c>
      <c r="N41" s="1883">
        <f>$M$16/M41</f>
        <v>20</v>
      </c>
      <c r="O41" s="1880">
        <f>$H41*(1-(1+$M$15)^-(M41*N41))/((1+$M$15)^N41-1)*(1+((1+$M$15)^N41-1))</f>
        <v>44345.357075505461</v>
      </c>
      <c r="P41" s="1885">
        <f t="shared" si="12"/>
        <v>1782.9424118090833</v>
      </c>
      <c r="Q41" s="3286"/>
      <c r="R41" s="3212"/>
      <c r="S41" s="2984"/>
      <c r="T41" s="2963"/>
      <c r="U41" s="2963"/>
      <c r="V41" s="1900" t="s">
        <v>810</v>
      </c>
      <c r="W41" s="1888">
        <f t="shared" si="16"/>
        <v>1782.9424118090833</v>
      </c>
      <c r="X41" s="1906" t="str">
        <f>IF($V41="L",SUM($W41:W41)*X$16,"")</f>
        <v/>
      </c>
      <c r="Y41" s="1906">
        <f>IF($W41="","",IF(OR($V41="L",$V41="T",$V41="C"),SUM($W41:X41)*Y$16,""))</f>
        <v>178.29424118090833</v>
      </c>
      <c r="Z41" s="1906">
        <f>IF($W41="","",SUM($W41:Y41)*Z$16)</f>
        <v>588.37099589699744</v>
      </c>
      <c r="AA41" s="3213">
        <f>IF($W41="","",SUM(X41:Z41))</f>
        <v>766.66523707790577</v>
      </c>
      <c r="AB41" s="1905"/>
      <c r="AC41" s="3292"/>
      <c r="AD41" s="1907">
        <f>IF($W41="","",SUM(W41,AA41))</f>
        <v>2549.607648886989</v>
      </c>
      <c r="AE41" s="3286"/>
      <c r="AF41" s="2974">
        <f t="shared" si="24"/>
        <v>679.89537303653037</v>
      </c>
      <c r="AG41" s="2975"/>
      <c r="AH41" s="1891">
        <f ca="1">IF(AD41="","",AD41/OFFSET($AE$23,AK41,0))</f>
        <v>1.653217870497933E-2</v>
      </c>
      <c r="AI41" s="1909"/>
      <c r="AJ41" s="1893"/>
      <c r="AK41" s="1894">
        <f>AK40</f>
        <v>16</v>
      </c>
      <c r="AL41" s="1894"/>
      <c r="AM41" s="1896">
        <f>$AM$16/K41</f>
        <v>0.25</v>
      </c>
      <c r="AN41" s="1896">
        <f>$AM$16/AM41</f>
        <v>20</v>
      </c>
      <c r="AO41" s="1880">
        <f>$H41*(1-(1+$M$15)^-(AM41*AN41))/((1+$M$15)^AN41-1)*(1+((1+$M$15)^AN41-1))</f>
        <v>8254.8365575598818</v>
      </c>
      <c r="AP41" s="1908"/>
    </row>
    <row r="42" spans="2:42" s="1875" customFormat="1" ht="19" customHeight="1">
      <c r="B42" s="1897"/>
      <c r="C42" s="4026"/>
      <c r="D42" s="4027"/>
      <c r="E42" s="1878" t="s">
        <v>21</v>
      </c>
      <c r="F42" s="1879"/>
      <c r="G42" s="1879"/>
      <c r="H42" s="1880"/>
      <c r="I42" s="2886"/>
      <c r="J42" s="1882"/>
      <c r="K42" s="1883"/>
      <c r="L42" s="2366"/>
      <c r="M42" s="1884"/>
      <c r="N42" s="1883"/>
      <c r="O42" s="1880"/>
      <c r="P42" s="1885"/>
      <c r="Q42" s="3286"/>
      <c r="R42" s="3212"/>
      <c r="S42" s="2984"/>
      <c r="T42" s="2963"/>
      <c r="U42" s="2963"/>
      <c r="V42" s="1900" t="s">
        <v>811</v>
      </c>
      <c r="W42" s="1888"/>
      <c r="X42" s="1906" t="str">
        <f>IF($V42="L",SUM($W42:W42)*X$16,"")</f>
        <v/>
      </c>
      <c r="Y42" s="1906" t="str">
        <f>IF($W42="","",IF(OR($V42="L",$V42="T",$V42="C"),SUM($W42:X42)*Y$16,""))</f>
        <v/>
      </c>
      <c r="Z42" s="1906" t="str">
        <f>IF($W42="","",SUM($W42:Y42)*Z$16)</f>
        <v/>
      </c>
      <c r="AA42" s="3213"/>
      <c r="AB42" s="1905"/>
      <c r="AC42" s="3292"/>
      <c r="AD42" s="1907"/>
      <c r="AE42" s="3286"/>
      <c r="AF42" s="2974">
        <f t="shared" si="24"/>
        <v>0</v>
      </c>
      <c r="AG42" s="2975"/>
      <c r="AH42" s="1891"/>
      <c r="AI42" s="1909"/>
      <c r="AJ42" s="1893"/>
      <c r="AK42" s="1894">
        <f>AK41</f>
        <v>16</v>
      </c>
      <c r="AL42" s="1894"/>
      <c r="AM42" s="1896"/>
      <c r="AN42" s="1896"/>
      <c r="AO42" s="1880"/>
      <c r="AP42" s="1908"/>
    </row>
    <row r="43" spans="2:42" s="1699" customFormat="1" ht="19" customHeight="1" collapsed="1">
      <c r="B43" s="1700">
        <v>7.1</v>
      </c>
      <c r="C43" s="3967" t="s">
        <v>655</v>
      </c>
      <c r="D43" s="4028" t="s">
        <v>2132</v>
      </c>
      <c r="E43" s="1701" t="s">
        <v>3</v>
      </c>
      <c r="F43" s="1702"/>
      <c r="G43" s="1702">
        <f t="shared" ref="G43:G45" si="25">E571</f>
        <v>7.666666666666667</v>
      </c>
      <c r="H43" s="1703">
        <f>F571</f>
        <v>1725</v>
      </c>
      <c r="I43" s="1703" t="str">
        <f>G571</f>
        <v>Cost for person hours</v>
      </c>
      <c r="J43" s="1704" t="str">
        <f t="shared" ref="J43:J53" si="26">IF(K43=1,"Annual","Done every "&amp;K43&amp;" years")</f>
        <v>Annual</v>
      </c>
      <c r="K43" s="2180">
        <f t="shared" ref="K43:K46" si="27">H571</f>
        <v>1</v>
      </c>
      <c r="L43" s="3272">
        <f>$H$14</f>
        <v>0.26666666666666666</v>
      </c>
      <c r="M43" s="1706">
        <f t="shared" ref="M43:M53" si="28">$M$16/K43</f>
        <v>80</v>
      </c>
      <c r="N43" s="1707">
        <f t="shared" ref="N43:N53" si="29">$M$16/M43</f>
        <v>1</v>
      </c>
      <c r="O43" s="1703">
        <f t="shared" ref="O43:O53" si="30">$H43*(1-(1+$M$15)^-(M43*N43))/((1+$M$15)^N43-1)*(1+((1+$M$15)^N43-1))</f>
        <v>42904.212973221918</v>
      </c>
      <c r="P43" s="1708">
        <f t="shared" si="12"/>
        <v>1724.9999999999984</v>
      </c>
      <c r="Q43" s="2810">
        <f>SUM(P43:P46)</f>
        <v>5592.0898493282302</v>
      </c>
      <c r="R43" s="3214"/>
      <c r="S43" s="2985"/>
      <c r="T43" s="2964"/>
      <c r="U43" s="2964"/>
      <c r="V43" s="1710" t="s">
        <v>808</v>
      </c>
      <c r="W43" s="2170">
        <f t="shared" ref="W43:W61" si="31">P43/$W$16</f>
        <v>1724.9999999999984</v>
      </c>
      <c r="X43" s="1712">
        <f>IF($V43="L",SUM($W43:W43)*X$16,"")</f>
        <v>517.49999999999955</v>
      </c>
      <c r="Y43" s="1712">
        <f>IF($W43="","",IF(OR($V43="L",$V43="T",$V43="C"),SUM($W43:X43)*Y$16,""))</f>
        <v>224.24999999999983</v>
      </c>
      <c r="Z43" s="1712">
        <f>IF($W43="","",SUM($W43:Y43)*Z$16)</f>
        <v>740.02499999999941</v>
      </c>
      <c r="AA43" s="1713">
        <f t="shared" ref="AA43:AA50" si="32">IF($W43="","",SUM(X43:Z43))</f>
        <v>1481.7749999999987</v>
      </c>
      <c r="AB43" s="1709">
        <f>SUM(X43:Z46)</f>
        <v>2990.5099547984678</v>
      </c>
      <c r="AC43" s="1712">
        <f>AB43*L43</f>
        <v>797.46932127959144</v>
      </c>
      <c r="AD43" s="1714">
        <f t="shared" ref="AD43:AD50" si="33">IF($W43="","",SUM(W43,AA43))</f>
        <v>3206.7749999999969</v>
      </c>
      <c r="AE43" s="2810">
        <f>SUM(AD43:AD46)</f>
        <v>8582.5998041266994</v>
      </c>
      <c r="AF43" s="2976">
        <f>AD43*L$43</f>
        <v>855.13999999999919</v>
      </c>
      <c r="AG43" s="2976">
        <f>AE43*L43</f>
        <v>2288.6932811004531</v>
      </c>
      <c r="AH43" s="2169">
        <f t="shared" ref="AH43:AH66" ca="1" si="34">IF(AD43="","",AD43/OFFSET($AE$23,AK43,0))</f>
        <v>0.37363678526151367</v>
      </c>
      <c r="AI43" s="2647"/>
      <c r="AJ43" s="2171"/>
      <c r="AK43" s="1715">
        <f>AK39+4</f>
        <v>20</v>
      </c>
      <c r="AL43" s="1716">
        <f ca="1">SUM(AH43:AH46)-1</f>
        <v>0</v>
      </c>
      <c r="AM43" s="1717">
        <f>$AM$16/K43</f>
        <v>5</v>
      </c>
      <c r="AN43" s="1717">
        <f t="shared" ref="AN43:AN45" si="35">$AM$16/AM43</f>
        <v>1</v>
      </c>
      <c r="AO43" s="1703">
        <f t="shared" ref="AO43:AO45" si="36">$H43*(1-(1+$M$15)^-(AM43*AN43))/((1+$M$15)^AN43-1)*(1+((1+$M$15)^AN43-1))</f>
        <v>7986.5692618430758</v>
      </c>
      <c r="AP43" s="1718">
        <f>SUM(AO43:AO46)</f>
        <v>20402.09629521026</v>
      </c>
    </row>
    <row r="44" spans="2:42" s="1699" customFormat="1" ht="19" customHeight="1">
      <c r="B44" s="1719"/>
      <c r="C44" s="3968"/>
      <c r="D44" s="4029"/>
      <c r="E44" s="1701" t="s">
        <v>308</v>
      </c>
      <c r="F44" s="1702">
        <f>$D$555</f>
        <v>1</v>
      </c>
      <c r="G44" s="1702">
        <f t="shared" si="25"/>
        <v>3.8333333333333335</v>
      </c>
      <c r="H44" s="1703">
        <f t="shared" ref="H44:I46" si="37">F572</f>
        <v>1092.5</v>
      </c>
      <c r="I44" s="1703" t="str">
        <f t="shared" si="37"/>
        <v>Cost for ute hire for the whole activity</v>
      </c>
      <c r="J44" s="1704" t="str">
        <f t="shared" si="26"/>
        <v>Annual</v>
      </c>
      <c r="K44" s="2180">
        <f t="shared" si="27"/>
        <v>1</v>
      </c>
      <c r="L44" s="3273"/>
      <c r="M44" s="1706">
        <f t="shared" si="28"/>
        <v>80</v>
      </c>
      <c r="N44" s="1707">
        <f t="shared" si="29"/>
        <v>1</v>
      </c>
      <c r="O44" s="1703">
        <f t="shared" si="30"/>
        <v>27172.668216373884</v>
      </c>
      <c r="P44" s="1708">
        <f t="shared" si="12"/>
        <v>1092.4999999999991</v>
      </c>
      <c r="Q44" s="2811"/>
      <c r="R44" s="3215">
        <f>1*(1-(1+$M$15)^-(M44*N44))/((1+$M$15)^N44-1)*(1+((1+$M$15)^N44-1))</f>
        <v>24.872007520708362</v>
      </c>
      <c r="S44" s="2986">
        <f>R44/(1+$M$15)*($M$15)/(1-(1+$M$15)^-$M$16)</f>
        <v>0.99999999999999911</v>
      </c>
      <c r="T44" s="2965">
        <f>S44*F44</f>
        <v>0.99999999999999911</v>
      </c>
      <c r="U44" s="2965">
        <f>T44*L43</f>
        <v>0.26666666666666644</v>
      </c>
      <c r="V44" s="1721" t="s">
        <v>809</v>
      </c>
      <c r="W44" s="1712">
        <f t="shared" si="31"/>
        <v>1092.4999999999991</v>
      </c>
      <c r="X44" s="1722" t="str">
        <f>IF($V44="L",SUM($W44:W44)*X$16,"")</f>
        <v/>
      </c>
      <c r="Y44" s="1722">
        <f>IF($W44="","",IF(OR($V44="L",$V44="T",$V44="C"),SUM($W44:X44)*Y$16,""))</f>
        <v>109.24999999999991</v>
      </c>
      <c r="Z44" s="1722">
        <f>IF($W44="","",SUM($W44:Y44)*Z$16)</f>
        <v>360.52499999999969</v>
      </c>
      <c r="AA44" s="1723">
        <f t="shared" si="32"/>
        <v>469.77499999999964</v>
      </c>
      <c r="AB44" s="1720"/>
      <c r="AC44" s="3293"/>
      <c r="AD44" s="1724">
        <f t="shared" si="33"/>
        <v>1562.2749999999987</v>
      </c>
      <c r="AE44" s="2811"/>
      <c r="AF44" s="2976">
        <f t="shared" ref="AF44:AF46" si="38">AD44*L$43</f>
        <v>416.60666666666634</v>
      </c>
      <c r="AG44" s="2977"/>
      <c r="AH44" s="2169">
        <f t="shared" ca="1" si="34"/>
        <v>0.18202817743509644</v>
      </c>
      <c r="AI44" s="2173"/>
      <c r="AJ44" s="2171"/>
      <c r="AK44" s="1715">
        <f>AK43</f>
        <v>20</v>
      </c>
      <c r="AL44" s="1715"/>
      <c r="AM44" s="1717">
        <f>$AM$16/K44</f>
        <v>5</v>
      </c>
      <c r="AN44" s="1717">
        <f t="shared" si="35"/>
        <v>1</v>
      </c>
      <c r="AO44" s="1703">
        <f t="shared" si="36"/>
        <v>5058.160532500614</v>
      </c>
      <c r="AP44" s="1725"/>
    </row>
    <row r="45" spans="2:42" s="1699" customFormat="1" ht="16" customHeight="1">
      <c r="B45" s="1719"/>
      <c r="C45" s="3968"/>
      <c r="D45" s="4029"/>
      <c r="E45" s="1701" t="s">
        <v>4</v>
      </c>
      <c r="F45" s="1702"/>
      <c r="G45" s="1702">
        <f t="shared" si="25"/>
        <v>6</v>
      </c>
      <c r="H45" s="1703">
        <f t="shared" si="37"/>
        <v>1589.1</v>
      </c>
      <c r="I45" s="1703" t="str">
        <f t="shared" si="37"/>
        <v>Accomodation + Food Cost</v>
      </c>
      <c r="J45" s="1704" t="str">
        <f t="shared" si="26"/>
        <v>Annual</v>
      </c>
      <c r="K45" s="2180">
        <f t="shared" si="27"/>
        <v>1</v>
      </c>
      <c r="L45" s="3273"/>
      <c r="M45" s="1706">
        <f t="shared" si="28"/>
        <v>80</v>
      </c>
      <c r="N45" s="1707">
        <f t="shared" si="29"/>
        <v>1</v>
      </c>
      <c r="O45" s="1703">
        <f t="shared" si="30"/>
        <v>39524.107151157659</v>
      </c>
      <c r="P45" s="1708">
        <f t="shared" si="12"/>
        <v>1589.0999999999988</v>
      </c>
      <c r="Q45" s="2811"/>
      <c r="R45" s="3215"/>
      <c r="S45" s="2986"/>
      <c r="T45" s="2965"/>
      <c r="U45" s="2965"/>
      <c r="V45" s="1721" t="s">
        <v>810</v>
      </c>
      <c r="W45" s="1712">
        <f t="shared" si="31"/>
        <v>1589.0999999999988</v>
      </c>
      <c r="X45" s="1722" t="str">
        <f>IF($V45="L",SUM($W45:W45)*X$16,"")</f>
        <v/>
      </c>
      <c r="Y45" s="1722">
        <f>IF($W45="","",IF(OR($V45="L",$V45="T",$V45="C"),SUM($W45:X45)*Y$16,""))</f>
        <v>158.90999999999988</v>
      </c>
      <c r="Z45" s="1722">
        <f>IF($W45="","",SUM($W45:Y45)*Z$16)</f>
        <v>524.40299999999957</v>
      </c>
      <c r="AA45" s="1723">
        <f t="shared" si="32"/>
        <v>683.31299999999942</v>
      </c>
      <c r="AB45" s="1720"/>
      <c r="AC45" s="3293"/>
      <c r="AD45" s="1724">
        <f t="shared" si="33"/>
        <v>2272.4129999999982</v>
      </c>
      <c r="AE45" s="2811"/>
      <c r="AF45" s="2976">
        <f t="shared" si="38"/>
        <v>605.97679999999946</v>
      </c>
      <c r="AG45" s="2977"/>
      <c r="AH45" s="2169">
        <f t="shared" ca="1" si="34"/>
        <v>0.264769772779965</v>
      </c>
      <c r="AI45" s="2647"/>
      <c r="AJ45" s="2171"/>
      <c r="AK45" s="1715">
        <f>AK44</f>
        <v>20</v>
      </c>
      <c r="AL45" s="1715"/>
      <c r="AM45" s="1717">
        <f>$AM$16/K45</f>
        <v>5</v>
      </c>
      <c r="AN45" s="1717">
        <f t="shared" si="35"/>
        <v>1</v>
      </c>
      <c r="AO45" s="1703">
        <f t="shared" si="36"/>
        <v>7357.3665008665694</v>
      </c>
      <c r="AP45" s="1725"/>
    </row>
    <row r="46" spans="2:42" s="1699" customFormat="1" ht="19" customHeight="1">
      <c r="B46" s="1719"/>
      <c r="C46" s="3969"/>
      <c r="D46" s="4030"/>
      <c r="E46" s="1701" t="s">
        <v>21</v>
      </c>
      <c r="F46" s="1702"/>
      <c r="G46" s="1702"/>
      <c r="H46" s="1703">
        <f t="shared" si="37"/>
        <v>10000</v>
      </c>
      <c r="I46" s="1703" t="str">
        <f t="shared" si="37"/>
        <v>Total equipment cost</v>
      </c>
      <c r="J46" s="1704" t="str">
        <f t="shared" si="26"/>
        <v>Done every 10 years</v>
      </c>
      <c r="K46" s="1707">
        <f t="shared" si="27"/>
        <v>10</v>
      </c>
      <c r="L46" s="3273"/>
      <c r="M46" s="1706">
        <f t="shared" si="28"/>
        <v>8</v>
      </c>
      <c r="N46" s="1707">
        <f t="shared" si="29"/>
        <v>10</v>
      </c>
      <c r="O46" s="1703">
        <f t="shared" si="30"/>
        <v>29485.512448215297</v>
      </c>
      <c r="P46" s="1708">
        <f t="shared" si="12"/>
        <v>1185.4898493282344</v>
      </c>
      <c r="Q46" s="2811"/>
      <c r="R46" s="3215"/>
      <c r="S46" s="2986"/>
      <c r="T46" s="2965"/>
      <c r="U46" s="2965"/>
      <c r="V46" s="1727" t="s">
        <v>811</v>
      </c>
      <c r="W46" s="1712">
        <f t="shared" si="31"/>
        <v>1185.4898493282344</v>
      </c>
      <c r="X46" s="1722" t="str">
        <f>IF($V46="L",SUM($W46:W46)*X$16,"")</f>
        <v/>
      </c>
      <c r="Y46" s="1722" t="str">
        <f>IF($W46="","",IF(OR($V46="L",$V46="T",$V46="C"),$W46*#REF!,""))</f>
        <v/>
      </c>
      <c r="Z46" s="1722">
        <f>IF($W46="","",SUM($W46:Y46)*Z$16)</f>
        <v>355.64695479847029</v>
      </c>
      <c r="AA46" s="1723">
        <f t="shared" si="32"/>
        <v>355.64695479847029</v>
      </c>
      <c r="AB46" s="1720"/>
      <c r="AC46" s="3293"/>
      <c r="AD46" s="1724">
        <f t="shared" si="33"/>
        <v>1541.1368041267046</v>
      </c>
      <c r="AE46" s="2811"/>
      <c r="AF46" s="2976">
        <f t="shared" si="38"/>
        <v>410.96981443378792</v>
      </c>
      <c r="AG46" s="2977"/>
      <c r="AH46" s="2169">
        <f t="shared" ca="1" si="34"/>
        <v>0.17956526452342481</v>
      </c>
      <c r="AI46" s="2647"/>
      <c r="AJ46" s="2171"/>
      <c r="AK46" s="1715">
        <f>AK45</f>
        <v>20</v>
      </c>
      <c r="AL46" s="1715"/>
      <c r="AM46" s="1717"/>
      <c r="AN46" s="1717"/>
      <c r="AO46" s="1703"/>
      <c r="AP46" s="1725"/>
    </row>
    <row r="47" spans="2:42" s="2207" customFormat="1" ht="19" customHeight="1">
      <c r="B47" s="2648">
        <v>7.2</v>
      </c>
      <c r="C47" s="4017" t="s">
        <v>1270</v>
      </c>
      <c r="D47" s="4020" t="s">
        <v>2133</v>
      </c>
      <c r="E47" s="2187" t="s">
        <v>3</v>
      </c>
      <c r="F47" s="2188"/>
      <c r="G47" s="2188">
        <f t="shared" ref="G47:G49" si="39">E723</f>
        <v>7.668000000000001</v>
      </c>
      <c r="H47" s="2189">
        <f>H723</f>
        <v>1725.3000000000002</v>
      </c>
      <c r="I47" s="2189" t="str">
        <f>I723</f>
        <v>Cost for person hours</v>
      </c>
      <c r="J47" s="2191" t="str">
        <f t="shared" si="26"/>
        <v>Done every 5 years</v>
      </c>
      <c r="K47" s="2224">
        <f t="shared" ref="K47:K50" si="40">J723</f>
        <v>5</v>
      </c>
      <c r="L47" s="3274">
        <f>$H$14</f>
        <v>0.26666666666666666</v>
      </c>
      <c r="M47" s="2193">
        <f t="shared" si="28"/>
        <v>16</v>
      </c>
      <c r="N47" s="2192">
        <f t="shared" si="29"/>
        <v>5</v>
      </c>
      <c r="O47" s="2189">
        <f t="shared" si="30"/>
        <v>9268.389995232752</v>
      </c>
      <c r="P47" s="2194">
        <f t="shared" si="12"/>
        <v>372.64342202839515</v>
      </c>
      <c r="Q47" s="2812">
        <f>SUM(P47:P50)</f>
        <v>4204.5624898421656</v>
      </c>
      <c r="R47" s="3216"/>
      <c r="S47" s="2987"/>
      <c r="T47" s="2966"/>
      <c r="U47" s="2966"/>
      <c r="V47" s="2196" t="s">
        <v>808</v>
      </c>
      <c r="W47" s="2201">
        <f t="shared" si="31"/>
        <v>372.64342202839515</v>
      </c>
      <c r="X47" s="2197">
        <f>IF($V47="L",SUM($W47:W47)*X$16,"")</f>
        <v>111.79302660851855</v>
      </c>
      <c r="Y47" s="2197">
        <f>IF($W47="","",IF(OR($V47="L",$V47="T",$V47="C"),SUM($W47:X47)*Y$16,""))</f>
        <v>48.443644863691375</v>
      </c>
      <c r="Z47" s="2197">
        <f>IF($W47="","",SUM($W47:Y47)*Z$16)</f>
        <v>159.86402805018153</v>
      </c>
      <c r="AA47" s="2198">
        <f t="shared" si="32"/>
        <v>320.10069952239144</v>
      </c>
      <c r="AB47" s="2195">
        <f>SUM(X47:Z50)</f>
        <v>1813.7122182696421</v>
      </c>
      <c r="AC47" s="2197">
        <f>AB47*L47</f>
        <v>483.65659153857121</v>
      </c>
      <c r="AD47" s="2199">
        <f t="shared" si="33"/>
        <v>692.74412155078653</v>
      </c>
      <c r="AE47" s="2812">
        <f>SUM(AD47:AD50)</f>
        <v>6018.2747081118086</v>
      </c>
      <c r="AF47" s="2978">
        <f>AD47*L$47</f>
        <v>184.73176574687642</v>
      </c>
      <c r="AG47" s="2978">
        <f>AE47*L47</f>
        <v>1604.8732554964822</v>
      </c>
      <c r="AH47" s="2200">
        <f t="shared" ca="1" si="34"/>
        <v>0.11510676317534367</v>
      </c>
      <c r="AI47" s="2650"/>
      <c r="AJ47" s="2202"/>
      <c r="AK47" s="2203">
        <f>AK43+4</f>
        <v>24</v>
      </c>
      <c r="AL47" s="2204">
        <f ca="1">SUM(AH47:AH50)-1</f>
        <v>0</v>
      </c>
      <c r="AM47" s="2205">
        <f>$AM$16/K47</f>
        <v>1</v>
      </c>
      <c r="AN47" s="2205">
        <f>$AM$16/AM47</f>
        <v>5</v>
      </c>
      <c r="AO47" s="2189">
        <f>$H47*(1-(1+$M$15)^-(AM47*AN47))/((1+$M$15)^AN47-1)*(1+((1+$M$15)^AN47-1))</f>
        <v>1725.3000000000002</v>
      </c>
      <c r="AP47" s="2206">
        <f>SUM(AO47:AO50)</f>
        <v>13977.990000000002</v>
      </c>
    </row>
    <row r="48" spans="2:42" s="2207" customFormat="1" ht="19" customHeight="1">
      <c r="B48" s="2651"/>
      <c r="C48" s="4018"/>
      <c r="D48" s="4021"/>
      <c r="E48" s="2187" t="s">
        <v>308</v>
      </c>
      <c r="F48" s="2188">
        <f>$D$704</f>
        <v>1</v>
      </c>
      <c r="G48" s="2188">
        <f t="shared" si="39"/>
        <v>3.8340000000000005</v>
      </c>
      <c r="H48" s="2189">
        <f t="shared" ref="H48:I50" si="41">H724</f>
        <v>1092.69</v>
      </c>
      <c r="I48" s="2189" t="str">
        <f t="shared" si="41"/>
        <v>Cost for ute hire for the whole activity</v>
      </c>
      <c r="J48" s="2191" t="str">
        <f t="shared" si="26"/>
        <v>Done every 5 years</v>
      </c>
      <c r="K48" s="2224">
        <f t="shared" si="40"/>
        <v>5</v>
      </c>
      <c r="L48" s="3275"/>
      <c r="M48" s="2193">
        <f t="shared" si="28"/>
        <v>16</v>
      </c>
      <c r="N48" s="2192">
        <f t="shared" si="29"/>
        <v>5</v>
      </c>
      <c r="O48" s="2189">
        <f t="shared" si="30"/>
        <v>5869.9803303140761</v>
      </c>
      <c r="P48" s="2194">
        <f t="shared" si="12"/>
        <v>236.00750061798362</v>
      </c>
      <c r="Q48" s="2813"/>
      <c r="R48" s="3217">
        <f>1*(1-(1+$M$15)^-(M48*N48))/((1+$M$15)^N48-1)*(1+((1+$M$15)^N48-1))</f>
        <v>5.3720454386093719</v>
      </c>
      <c r="S48" s="2988">
        <f>R48/(1+$M$15)*($M$15)/(1-(1+$M$15)^-$M$16)</f>
        <v>0.2159876091279169</v>
      </c>
      <c r="T48" s="2967">
        <f>S48*F48</f>
        <v>0.2159876091279169</v>
      </c>
      <c r="U48" s="2967">
        <f>T48*L47</f>
        <v>5.7596695767444507E-2</v>
      </c>
      <c r="V48" s="2211" t="s">
        <v>809</v>
      </c>
      <c r="W48" s="2197">
        <f t="shared" si="31"/>
        <v>236.00750061798362</v>
      </c>
      <c r="X48" s="2212" t="str">
        <f>IF($V48="L",SUM($W48:W48)*X$16,"")</f>
        <v/>
      </c>
      <c r="Y48" s="2212">
        <f>IF($W48="","",IF(OR($V48="L",$V48="T",$V48="C"),SUM($W48:X48)*Y$16,""))</f>
        <v>23.600750061798365</v>
      </c>
      <c r="Z48" s="2212">
        <f>IF($W48="","",SUM($W48:Y48)*Z$16)</f>
        <v>77.88247520393459</v>
      </c>
      <c r="AA48" s="2213">
        <f t="shared" si="32"/>
        <v>101.48322526573295</v>
      </c>
      <c r="AB48" s="2210"/>
      <c r="AC48" s="3294"/>
      <c r="AD48" s="2214">
        <f t="shared" si="33"/>
        <v>337.49072588371655</v>
      </c>
      <c r="AE48" s="2813"/>
      <c r="AF48" s="2978">
        <f t="shared" ref="AF48:AF49" si="42">AD48*L$47</f>
        <v>89.99752690232441</v>
      </c>
      <c r="AG48" s="2979"/>
      <c r="AH48" s="2200">
        <f t="shared" ca="1" si="34"/>
        <v>5.6077653854654616E-2</v>
      </c>
      <c r="AI48" s="2215"/>
      <c r="AJ48" s="2202"/>
      <c r="AK48" s="2203">
        <f>AK47</f>
        <v>24</v>
      </c>
      <c r="AL48" s="2203"/>
      <c r="AM48" s="2205">
        <f>$AM$16/K48</f>
        <v>1</v>
      </c>
      <c r="AN48" s="2205">
        <f>$AM$16/AM48</f>
        <v>5</v>
      </c>
      <c r="AO48" s="2189">
        <f>$H48*(1-(1+$M$15)^-(AM48*AN48))/((1+$M$15)^AN48-1)*(1+((1+$M$15)^AN48-1))</f>
        <v>1092.69</v>
      </c>
      <c r="AP48" s="2216"/>
    </row>
    <row r="49" spans="2:42" s="2207" customFormat="1" ht="16" customHeight="1">
      <c r="B49" s="2651"/>
      <c r="C49" s="4018"/>
      <c r="D49" s="4021"/>
      <c r="E49" s="2187" t="s">
        <v>4</v>
      </c>
      <c r="F49" s="2188"/>
      <c r="G49" s="2188">
        <f t="shared" si="39"/>
        <v>6</v>
      </c>
      <c r="H49" s="2189">
        <f t="shared" si="41"/>
        <v>11160</v>
      </c>
      <c r="I49" s="2189" t="str">
        <f t="shared" si="41"/>
        <v>Consumables (Bush regen material + Accomodation)</v>
      </c>
      <c r="J49" s="2191" t="str">
        <f t="shared" si="26"/>
        <v>Done every 5 years</v>
      </c>
      <c r="K49" s="2224">
        <f t="shared" si="40"/>
        <v>5</v>
      </c>
      <c r="L49" s="3275"/>
      <c r="M49" s="2193">
        <f t="shared" si="28"/>
        <v>16</v>
      </c>
      <c r="N49" s="2192">
        <f t="shared" si="29"/>
        <v>5</v>
      </c>
      <c r="O49" s="2189">
        <f t="shared" si="30"/>
        <v>59952.027094880592</v>
      </c>
      <c r="P49" s="2194">
        <f t="shared" si="12"/>
        <v>2410.4217178675526</v>
      </c>
      <c r="Q49" s="2813"/>
      <c r="R49" s="3217"/>
      <c r="S49" s="2988"/>
      <c r="T49" s="2967"/>
      <c r="U49" s="2967"/>
      <c r="V49" s="2211" t="s">
        <v>810</v>
      </c>
      <c r="W49" s="2197">
        <f t="shared" si="31"/>
        <v>2410.4217178675526</v>
      </c>
      <c r="X49" s="2212" t="str">
        <f>IF($V49="L",SUM($W49:W49)*X$16,"")</f>
        <v/>
      </c>
      <c r="Y49" s="2212">
        <f>IF($W49="","",IF(OR($V49="L",$V49="T",$V49="C"),SUM($W49:X49)*Y$16,""))</f>
        <v>241.04217178675526</v>
      </c>
      <c r="Z49" s="2212">
        <f>IF($W49="","",SUM($W49:Y49)*Z$16)</f>
        <v>795.43916689629236</v>
      </c>
      <c r="AA49" s="2213">
        <f t="shared" si="32"/>
        <v>1036.4813386830476</v>
      </c>
      <c r="AB49" s="2210"/>
      <c r="AC49" s="3294"/>
      <c r="AD49" s="2214">
        <f t="shared" si="33"/>
        <v>3446.9030565506</v>
      </c>
      <c r="AE49" s="2813"/>
      <c r="AF49" s="2978">
        <f t="shared" si="42"/>
        <v>919.1741484134933</v>
      </c>
      <c r="AG49" s="2979"/>
      <c r="AH49" s="2200">
        <f t="shared" ca="1" si="34"/>
        <v>0.57273940185958072</v>
      </c>
      <c r="AI49" s="2650"/>
      <c r="AJ49" s="2202"/>
      <c r="AK49" s="2203">
        <f>AK48</f>
        <v>24</v>
      </c>
      <c r="AL49" s="2203"/>
      <c r="AM49" s="2205">
        <f>$AM$16/K49</f>
        <v>1</v>
      </c>
      <c r="AN49" s="2205">
        <f>$AM$16/AM49</f>
        <v>5</v>
      </c>
      <c r="AO49" s="2189">
        <f>$H49*(1-(1+$M$15)^-(AM49*AN49))/((1+$M$15)^AN49-1)*(1+((1+$M$15)^AN49-1))</f>
        <v>11160.000000000002</v>
      </c>
      <c r="AP49" s="2216"/>
    </row>
    <row r="50" spans="2:42" s="2207" customFormat="1" ht="19" customHeight="1">
      <c r="B50" s="2651"/>
      <c r="C50" s="4019"/>
      <c r="D50" s="4022"/>
      <c r="E50" s="2187" t="s">
        <v>21</v>
      </c>
      <c r="F50" s="2188"/>
      <c r="G50" s="2188"/>
      <c r="H50" s="2189">
        <f t="shared" si="41"/>
        <v>10000</v>
      </c>
      <c r="I50" s="2189" t="str">
        <f t="shared" si="41"/>
        <v>Total equipment cost</v>
      </c>
      <c r="J50" s="2191" t="str">
        <f t="shared" si="26"/>
        <v>Done every 10 years</v>
      </c>
      <c r="K50" s="2192">
        <f t="shared" si="40"/>
        <v>10</v>
      </c>
      <c r="L50" s="3275"/>
      <c r="M50" s="2193">
        <f t="shared" si="28"/>
        <v>8</v>
      </c>
      <c r="N50" s="2192">
        <f t="shared" si="29"/>
        <v>10</v>
      </c>
      <c r="O50" s="2189">
        <f t="shared" si="30"/>
        <v>29485.512448215297</v>
      </c>
      <c r="P50" s="2194">
        <f t="shared" si="12"/>
        <v>1185.4898493282344</v>
      </c>
      <c r="Q50" s="2813"/>
      <c r="R50" s="3217"/>
      <c r="S50" s="2988"/>
      <c r="T50" s="2967"/>
      <c r="U50" s="2967"/>
      <c r="V50" s="2226" t="s">
        <v>811</v>
      </c>
      <c r="W50" s="2197">
        <f t="shared" si="31"/>
        <v>1185.4898493282344</v>
      </c>
      <c r="X50" s="2212" t="str">
        <f>IF($V50="L",SUM($W50:W50)*X$16,"")</f>
        <v/>
      </c>
      <c r="Y50" s="2212" t="str">
        <f>IF($W50="","",IF(OR($V50="L",$V50="T",$V50="C"),$W50*#REF!,""))</f>
        <v/>
      </c>
      <c r="Z50" s="2212">
        <f>IF($W50="","",SUM($W50:Y50)*Z$16)</f>
        <v>355.64695479847029</v>
      </c>
      <c r="AA50" s="2213">
        <f t="shared" si="32"/>
        <v>355.64695479847029</v>
      </c>
      <c r="AB50" s="2210"/>
      <c r="AC50" s="3294"/>
      <c r="AD50" s="2214">
        <f t="shared" si="33"/>
        <v>1541.1368041267046</v>
      </c>
      <c r="AE50" s="2813"/>
      <c r="AF50" s="2979"/>
      <c r="AG50" s="2979"/>
      <c r="AH50" s="2200">
        <f t="shared" ca="1" si="34"/>
        <v>0.25607618111042085</v>
      </c>
      <c r="AI50" s="2650"/>
      <c r="AJ50" s="2202"/>
      <c r="AK50" s="2203">
        <f>AK49</f>
        <v>24</v>
      </c>
      <c r="AL50" s="2203"/>
      <c r="AM50" s="2205"/>
      <c r="AN50" s="2205"/>
      <c r="AO50" s="2189"/>
      <c r="AP50" s="2216"/>
    </row>
    <row r="51" spans="2:42" s="266" customFormat="1" ht="19" customHeight="1">
      <c r="B51" s="2642" t="e">
        <f>B11+0.2</f>
        <v>#VALUE!</v>
      </c>
      <c r="C51" s="3955" t="s">
        <v>2032</v>
      </c>
      <c r="D51" s="3958" t="s">
        <v>2128</v>
      </c>
      <c r="E51" s="1955" t="s">
        <v>3</v>
      </c>
      <c r="F51" s="1956"/>
      <c r="G51" s="1956">
        <f t="shared" ref="G51:G53" si="43">E798</f>
        <v>6</v>
      </c>
      <c r="H51" s="1957">
        <f t="shared" ref="H51:I53" si="44">H798</f>
        <v>1350</v>
      </c>
      <c r="I51" s="1957" t="str">
        <f t="shared" si="44"/>
        <v>Cost for all personnel to hunt invasive species</v>
      </c>
      <c r="J51" s="1959" t="str">
        <f t="shared" si="26"/>
        <v>Annual</v>
      </c>
      <c r="K51" s="2686">
        <f>J798</f>
        <v>1</v>
      </c>
      <c r="L51" s="2994">
        <f>$H$14</f>
        <v>0.26666666666666666</v>
      </c>
      <c r="M51" s="1961">
        <f t="shared" si="28"/>
        <v>80</v>
      </c>
      <c r="N51" s="1960">
        <f t="shared" si="29"/>
        <v>1</v>
      </c>
      <c r="O51" s="1957">
        <f t="shared" si="30"/>
        <v>33577.210152956286</v>
      </c>
      <c r="P51" s="1962">
        <f t="shared" si="0"/>
        <v>1349.9999999999986</v>
      </c>
      <c r="Q51" s="1243">
        <f>SUM(P51:P54)</f>
        <v>3464.9999999999968</v>
      </c>
      <c r="R51" s="3328"/>
      <c r="S51" s="2989"/>
      <c r="T51" s="2968"/>
      <c r="U51" s="3329"/>
      <c r="V51" s="1964" t="s">
        <v>808</v>
      </c>
      <c r="W51" s="1969">
        <f t="shared" si="31"/>
        <v>1349.9999999999986</v>
      </c>
      <c r="X51" s="1965">
        <f>IF($V51="L",SUM($W51:W51)*X$16,"")</f>
        <v>404.9999999999996</v>
      </c>
      <c r="Y51" s="1965">
        <f>IF($W51="","",IF(OR($V51="L",$V51="T",$V51="C"),SUM($W51:X51)*Y$16,""))</f>
        <v>175.49999999999983</v>
      </c>
      <c r="Z51" s="1965">
        <f>IF($W51="","",SUM($W51:Y51)*Z$16)</f>
        <v>579.14999999999941</v>
      </c>
      <c r="AA51" s="1966">
        <f t="shared" si="1"/>
        <v>1159.6499999999987</v>
      </c>
      <c r="AB51" s="1963">
        <f>SUM(X51:Z54)</f>
        <v>2069.0999999999981</v>
      </c>
      <c r="AC51" s="1965">
        <f>AB51*L51</f>
        <v>551.75999999999954</v>
      </c>
      <c r="AD51" s="1967">
        <f t="shared" si="2"/>
        <v>2509.6499999999974</v>
      </c>
      <c r="AE51" s="1243">
        <f>SUM(AD51:AD54)</f>
        <v>5534.0999999999949</v>
      </c>
      <c r="AF51" s="3295">
        <f>AD51*L$51</f>
        <v>669.23999999999933</v>
      </c>
      <c r="AG51" s="3295">
        <f>AE51*L51</f>
        <v>1475.7599999999986</v>
      </c>
      <c r="AH51" s="2687">
        <f t="shared" ca="1" si="34"/>
        <v>0.45348837209302317</v>
      </c>
      <c r="AI51" s="2688"/>
      <c r="AJ51" s="466"/>
      <c r="AK51" s="1482">
        <f>AK47+4</f>
        <v>28</v>
      </c>
      <c r="AL51" s="1971">
        <f ca="1">SUM(AH51:AH54)-1</f>
        <v>0</v>
      </c>
      <c r="AM51" s="1972">
        <f>$AM$16/K51</f>
        <v>5</v>
      </c>
      <c r="AN51" s="1972">
        <f t="shared" ref="AN51:AN53" si="45">$AM$16/AM51</f>
        <v>1</v>
      </c>
      <c r="AO51" s="1957">
        <f t="shared" ref="AO51:AO53" si="46">$H51*(1-(1+$M$15)^-(AM51*AN51))/((1+$M$15)^AN51-1)*(1+((1+$M$15)^AN51-1))</f>
        <v>6250.3585527467558</v>
      </c>
      <c r="AP51" s="1973">
        <f>SUM(AO51:AO54)</f>
        <v>16042.586952050005</v>
      </c>
    </row>
    <row r="52" spans="2:42" s="266" customFormat="1" ht="19" customHeight="1">
      <c r="B52" s="2646"/>
      <c r="C52" s="3956"/>
      <c r="D52" s="3959"/>
      <c r="E52" s="1955" t="s">
        <v>308</v>
      </c>
      <c r="F52" s="1956">
        <f>$D$785</f>
        <v>1</v>
      </c>
      <c r="G52" s="1956">
        <f t="shared" si="43"/>
        <v>3</v>
      </c>
      <c r="H52" s="1957">
        <f t="shared" si="44"/>
        <v>855</v>
      </c>
      <c r="I52" s="1957" t="str">
        <f t="shared" si="44"/>
        <v>Cost for ute hire for the whole activity</v>
      </c>
      <c r="J52" s="1959" t="str">
        <f t="shared" si="26"/>
        <v>Annual</v>
      </c>
      <c r="K52" s="2686">
        <f t="shared" ref="K52:K53" si="47">J799</f>
        <v>1</v>
      </c>
      <c r="L52" s="2995"/>
      <c r="M52" s="1961">
        <f t="shared" si="28"/>
        <v>80</v>
      </c>
      <c r="N52" s="1960">
        <f t="shared" si="29"/>
        <v>1</v>
      </c>
      <c r="O52" s="1957">
        <f t="shared" si="30"/>
        <v>21265.566430205647</v>
      </c>
      <c r="P52" s="1962">
        <f t="shared" si="0"/>
        <v>854.9999999999992</v>
      </c>
      <c r="Q52" s="2161"/>
      <c r="R52" s="3330">
        <f>1*(1-(1+$M$15)^-(M52*N52))/((1+$M$15)^N52-1)*(1+((1+$M$15)^N52-1))</f>
        <v>24.872007520708362</v>
      </c>
      <c r="S52" s="2990">
        <f>R52/(1+$M$15)*($M$15)/(1-(1+$M$15)^-$M$16)</f>
        <v>0.99999999999999911</v>
      </c>
      <c r="T52" s="2969">
        <f>S52*F52</f>
        <v>0.99999999999999911</v>
      </c>
      <c r="U52" s="3331">
        <f>T52*L51</f>
        <v>0.26666666666666644</v>
      </c>
      <c r="V52" s="1977" t="s">
        <v>809</v>
      </c>
      <c r="W52" s="1965">
        <f t="shared" si="31"/>
        <v>854.9999999999992</v>
      </c>
      <c r="X52" s="1978" t="str">
        <f>IF($V52="L",SUM($W52:W52)*X$16,"")</f>
        <v/>
      </c>
      <c r="Y52" s="1978">
        <f>IF($W52="","",IF(OR($V52="L",$V52="T",$V52="C"),SUM($W52:X52)*Y$16,""))</f>
        <v>85.499999999999929</v>
      </c>
      <c r="Z52" s="1978">
        <f>IF($W52="","",SUM($W52:Y52)*Z$16)</f>
        <v>282.14999999999969</v>
      </c>
      <c r="AA52" s="1979">
        <f t="shared" si="1"/>
        <v>367.64999999999964</v>
      </c>
      <c r="AB52" s="1976"/>
      <c r="AC52" s="3302"/>
      <c r="AD52" s="1980">
        <f t="shared" si="2"/>
        <v>1222.6499999999987</v>
      </c>
      <c r="AE52" s="2161"/>
      <c r="AF52" s="3295">
        <f t="shared" ref="AF52:AF54" si="48">AD52*L$51</f>
        <v>326.03999999999968</v>
      </c>
      <c r="AG52" s="3296"/>
      <c r="AH52" s="2687">
        <f t="shared" ca="1" si="34"/>
        <v>0.22093023255813951</v>
      </c>
      <c r="AI52" s="2689"/>
      <c r="AJ52" s="452"/>
      <c r="AK52" s="1482">
        <f>AK51</f>
        <v>28</v>
      </c>
      <c r="AL52" s="1482"/>
      <c r="AM52" s="1972">
        <f>$AM$16/K52</f>
        <v>5</v>
      </c>
      <c r="AN52" s="1972">
        <f t="shared" si="45"/>
        <v>1</v>
      </c>
      <c r="AO52" s="1957">
        <f t="shared" si="46"/>
        <v>3958.5604167396114</v>
      </c>
      <c r="AP52" s="1982"/>
    </row>
    <row r="53" spans="2:42" s="266" customFormat="1" ht="16" customHeight="1">
      <c r="B53" s="2646"/>
      <c r="C53" s="3956"/>
      <c r="D53" s="3959"/>
      <c r="E53" s="1955" t="s">
        <v>4</v>
      </c>
      <c r="F53" s="1956"/>
      <c r="G53" s="1956">
        <f t="shared" si="43"/>
        <v>6</v>
      </c>
      <c r="H53" s="1957">
        <f t="shared" si="44"/>
        <v>1260</v>
      </c>
      <c r="I53" s="1957" t="str">
        <f t="shared" si="44"/>
        <v>Accomodation + Food Cost</v>
      </c>
      <c r="J53" s="1959" t="str">
        <f t="shared" si="26"/>
        <v>Annual</v>
      </c>
      <c r="K53" s="2686">
        <f t="shared" si="47"/>
        <v>1</v>
      </c>
      <c r="L53" s="2995"/>
      <c r="M53" s="1961">
        <f t="shared" si="28"/>
        <v>80</v>
      </c>
      <c r="N53" s="1960">
        <f t="shared" si="29"/>
        <v>1</v>
      </c>
      <c r="O53" s="1957">
        <f t="shared" si="30"/>
        <v>31338.729476092536</v>
      </c>
      <c r="P53" s="1962">
        <f t="shared" si="0"/>
        <v>1259.9999999999991</v>
      </c>
      <c r="Q53" s="2161"/>
      <c r="R53" s="3330"/>
      <c r="S53" s="2990"/>
      <c r="T53" s="2969"/>
      <c r="U53" s="3331"/>
      <c r="V53" s="1977" t="s">
        <v>810</v>
      </c>
      <c r="W53" s="1965">
        <f t="shared" si="31"/>
        <v>1259.9999999999991</v>
      </c>
      <c r="X53" s="1978" t="str">
        <f>IF($V53="L",SUM($W53:W53)*X$16,"")</f>
        <v/>
      </c>
      <c r="Y53" s="1978">
        <f>IF($W53="","",IF(OR($V53="L",$V53="T",$V53="C"),SUM($W53:X53)*Y$16,""))</f>
        <v>125.99999999999991</v>
      </c>
      <c r="Z53" s="1978">
        <f>IF($W53="","",SUM($W53:Y53)*Z$16)</f>
        <v>415.79999999999973</v>
      </c>
      <c r="AA53" s="1979">
        <f t="shared" si="1"/>
        <v>541.79999999999961</v>
      </c>
      <c r="AB53" s="1976"/>
      <c r="AC53" s="3302"/>
      <c r="AD53" s="1980">
        <f t="shared" si="2"/>
        <v>1801.7999999999988</v>
      </c>
      <c r="AE53" s="2161"/>
      <c r="AF53" s="3295">
        <f t="shared" si="48"/>
        <v>480.47999999999968</v>
      </c>
      <c r="AG53" s="3296"/>
      <c r="AH53" s="2687">
        <f t="shared" ca="1" si="34"/>
        <v>0.32558139534883729</v>
      </c>
      <c r="AI53" s="2690"/>
      <c r="AJ53" s="452"/>
      <c r="AK53" s="1482">
        <f>AK52</f>
        <v>28</v>
      </c>
      <c r="AL53" s="1482"/>
      <c r="AM53" s="1972">
        <f>$AM$16/K53</f>
        <v>5</v>
      </c>
      <c r="AN53" s="1972">
        <f t="shared" si="45"/>
        <v>1</v>
      </c>
      <c r="AO53" s="1957">
        <f t="shared" si="46"/>
        <v>5833.6679825636384</v>
      </c>
      <c r="AP53" s="1982"/>
    </row>
    <row r="54" spans="2:42" s="266" customFormat="1" ht="19" customHeight="1">
      <c r="B54" s="2646"/>
      <c r="C54" s="3957"/>
      <c r="D54" s="3960"/>
      <c r="E54" s="1955"/>
      <c r="F54" s="1956"/>
      <c r="G54" s="1956"/>
      <c r="H54" s="1957"/>
      <c r="I54" s="1990"/>
      <c r="J54" s="1959"/>
      <c r="K54" s="2691"/>
      <c r="L54" s="2995"/>
      <c r="M54" s="1961"/>
      <c r="N54" s="1960"/>
      <c r="O54" s="1957"/>
      <c r="P54" s="1962"/>
      <c r="Q54" s="2161"/>
      <c r="R54" s="3330"/>
      <c r="S54" s="2990"/>
      <c r="T54" s="2969"/>
      <c r="U54" s="3331"/>
      <c r="V54" s="1993" t="s">
        <v>811</v>
      </c>
      <c r="W54" s="1965">
        <f t="shared" si="31"/>
        <v>0</v>
      </c>
      <c r="X54" s="1978" t="str">
        <f>IF($V54="L",SUM($W54:W54)*X$16,"")</f>
        <v/>
      </c>
      <c r="Y54" s="1978" t="str">
        <f>IF($W54="","",IF(OR($V54="L",$V54="T",$V54="C"),SUM($W54:X54)*Y$16,""))</f>
        <v/>
      </c>
      <c r="Z54" s="1978">
        <f>IF($W54="","",SUM($W54:Y54)*Z$16)</f>
        <v>0</v>
      </c>
      <c r="AA54" s="1979">
        <f t="shared" si="1"/>
        <v>0</v>
      </c>
      <c r="AB54" s="1976"/>
      <c r="AC54" s="3302"/>
      <c r="AD54" s="1980">
        <f t="shared" si="2"/>
        <v>0</v>
      </c>
      <c r="AE54" s="2161"/>
      <c r="AF54" s="3295">
        <f t="shared" si="48"/>
        <v>0</v>
      </c>
      <c r="AG54" s="3296"/>
      <c r="AH54" s="2687">
        <f t="shared" ca="1" si="34"/>
        <v>0</v>
      </c>
      <c r="AI54" s="2692"/>
      <c r="AJ54" s="453"/>
      <c r="AK54" s="1482">
        <f>AK53</f>
        <v>28</v>
      </c>
      <c r="AL54" s="1482"/>
      <c r="AM54" s="1972"/>
      <c r="AN54" s="1972"/>
      <c r="AO54" s="1957"/>
      <c r="AP54" s="1982"/>
    </row>
    <row r="55" spans="2:42" s="3373" customFormat="1" ht="19" customHeight="1" collapsed="1">
      <c r="B55" s="3350">
        <v>3</v>
      </c>
      <c r="C55" s="4023" t="s">
        <v>2292</v>
      </c>
      <c r="D55" s="3866" t="s">
        <v>2026</v>
      </c>
      <c r="E55" s="3351" t="s">
        <v>1205</v>
      </c>
      <c r="F55" s="3352"/>
      <c r="G55" s="3352">
        <f>$E$828</f>
        <v>2640</v>
      </c>
      <c r="H55" s="3353">
        <f t="shared" ref="H55:I55" si="49">F828</f>
        <v>927000</v>
      </c>
      <c r="I55" s="3353" t="str">
        <f t="shared" si="49"/>
        <v>Cost for liaison officers</v>
      </c>
      <c r="J55" s="3354" t="str">
        <f>IF(K55=1,"Annual","Done every "&amp;K55&amp;" years")</f>
        <v>Annual</v>
      </c>
      <c r="K55" s="3434">
        <f>$D$814</f>
        <v>1</v>
      </c>
      <c r="L55" s="3435">
        <v>1</v>
      </c>
      <c r="M55" s="3356">
        <f t="shared" ref="M55" si="50">$M$16/K55</f>
        <v>80</v>
      </c>
      <c r="N55" s="3357">
        <f t="shared" ref="N55" si="51">$M$16/M55</f>
        <v>1</v>
      </c>
      <c r="O55" s="3353">
        <f t="shared" ref="O55" si="52">$H55*(1-(1+$M$15)^-(M55*N55))/((1+$M$15)^N55-1)*(1+((1+$M$15)^N55-1))</f>
        <v>23056350.971696652</v>
      </c>
      <c r="P55" s="3358">
        <f t="shared" ref="P55" si="53">O55/(1+$M$15)*($M$15)/(1-(1+$M$15)^-$M$16)</f>
        <v>926999.99999999919</v>
      </c>
      <c r="Q55" s="3436">
        <f>SUM(P55:P58)</f>
        <v>926999.99999999919</v>
      </c>
      <c r="R55" s="3437"/>
      <c r="S55" s="3360"/>
      <c r="T55" s="3438"/>
      <c r="U55" s="3439"/>
      <c r="V55" s="3361" t="s">
        <v>808</v>
      </c>
      <c r="W55" s="3440">
        <f t="shared" ref="W55" si="54">P55/$W$16</f>
        <v>926999.99999999919</v>
      </c>
      <c r="X55" s="3363">
        <f>IF($V55="L",SUM($W55:W55)*X$16,"")</f>
        <v>278099.99999999977</v>
      </c>
      <c r="Y55" s="2715"/>
      <c r="Z55" s="3363">
        <f>IF($W55="","",SUM($W55:Y55)*Z$16)</f>
        <v>361529.99999999971</v>
      </c>
      <c r="AA55" s="3364">
        <f t="shared" ref="AA55" si="55">IF($W55="","",SUM(X55:Z55))</f>
        <v>639629.99999999953</v>
      </c>
      <c r="AB55" s="3359">
        <f>SUM(X55:Z58)</f>
        <v>639629.99999999953</v>
      </c>
      <c r="AC55" s="3363">
        <f>AB55*L55</f>
        <v>639629.99999999953</v>
      </c>
      <c r="AD55" s="3470">
        <f t="shared" ref="AD55:AD58" si="56">IF($W55="","",SUM(W55,AA55))</f>
        <v>1566629.9999999986</v>
      </c>
      <c r="AE55" s="3436">
        <f>SUM(AD55:AD58)</f>
        <v>1566629.9999999986</v>
      </c>
      <c r="AF55" s="3441">
        <f>AD55*L$55</f>
        <v>1566629.9999999986</v>
      </c>
      <c r="AG55" s="3441">
        <f>AE55*L55</f>
        <v>1566629.9999999986</v>
      </c>
      <c r="AH55" s="3442">
        <f t="shared" ref="AH55:AH58" ca="1" si="57">IF(AD55="","",AD55/OFFSET($AE$23,AK55,0))</f>
        <v>1</v>
      </c>
      <c r="AI55" s="3443"/>
      <c r="AJ55" s="3444"/>
      <c r="AK55" s="3369">
        <f>AK51+4</f>
        <v>32</v>
      </c>
      <c r="AL55" s="3370">
        <f ca="1">SUM(AH55:AH58)-1</f>
        <v>0</v>
      </c>
      <c r="AM55" s="3371">
        <f>$AM$16/K55</f>
        <v>5</v>
      </c>
      <c r="AN55" s="3371">
        <f t="shared" ref="AN55" si="58">$AM$16/AM55</f>
        <v>1</v>
      </c>
      <c r="AO55" s="3353">
        <f t="shared" ref="AO55" si="59">$H55*(1-(1+$M$15)^-(AM55*AN55))/((1+$M$15)^AN55-1)*(1+((1+$M$15)^AN55-1))</f>
        <v>4291912.8728861054</v>
      </c>
      <c r="AP55" s="3372">
        <f>SUM(AO55:AO58)</f>
        <v>4291912.8728861054</v>
      </c>
    </row>
    <row r="56" spans="2:42" s="3373" customFormat="1" ht="19" customHeight="1">
      <c r="B56" s="3374"/>
      <c r="C56" s="4024"/>
      <c r="D56" s="3867"/>
      <c r="E56" s="3351" t="s">
        <v>308</v>
      </c>
      <c r="F56" s="3352"/>
      <c r="G56" s="3352"/>
      <c r="H56" s="3353"/>
      <c r="I56" s="3445"/>
      <c r="J56" s="3354"/>
      <c r="K56" s="3434"/>
      <c r="L56" s="3356"/>
      <c r="M56" s="3356"/>
      <c r="N56" s="3357"/>
      <c r="O56" s="3353"/>
      <c r="P56" s="3358"/>
      <c r="Q56" s="3446"/>
      <c r="R56" s="3447" t="s">
        <v>1197</v>
      </c>
      <c r="S56" s="3377" t="s">
        <v>1197</v>
      </c>
      <c r="T56" s="3448" t="s">
        <v>1197</v>
      </c>
      <c r="U56" s="3449" t="s">
        <v>1197</v>
      </c>
      <c r="V56" s="3378" t="s">
        <v>809</v>
      </c>
      <c r="W56" s="3363"/>
      <c r="X56" s="3379" t="str">
        <f>IF($V56="L",SUM($W56:W56)*X$16,"")</f>
        <v/>
      </c>
      <c r="Y56" s="2716"/>
      <c r="Z56" s="3379" t="str">
        <f>IF($W56="","",SUM($W56:Y56)*Z$16)</f>
        <v/>
      </c>
      <c r="AA56" s="3380"/>
      <c r="AB56" s="3376"/>
      <c r="AC56" s="3450"/>
      <c r="AD56" s="3381" t="str">
        <f t="shared" si="56"/>
        <v/>
      </c>
      <c r="AE56" s="3446"/>
      <c r="AF56" s="3441"/>
      <c r="AG56" s="3451"/>
      <c r="AH56" s="3442" t="str">
        <f t="shared" ca="1" si="57"/>
        <v/>
      </c>
      <c r="AI56" s="3452"/>
      <c r="AJ56" s="3386"/>
      <c r="AK56" s="3369">
        <f>AK55</f>
        <v>32</v>
      </c>
      <c r="AL56" s="3369"/>
      <c r="AM56" s="3371"/>
      <c r="AN56" s="3371"/>
      <c r="AO56" s="3353"/>
      <c r="AP56" s="3383"/>
    </row>
    <row r="57" spans="2:42" s="3373" customFormat="1" ht="16" customHeight="1">
      <c r="B57" s="3374"/>
      <c r="C57" s="4024"/>
      <c r="D57" s="3867"/>
      <c r="E57" s="3351" t="s">
        <v>4</v>
      </c>
      <c r="F57" s="3352"/>
      <c r="G57" s="3352"/>
      <c r="H57" s="3353"/>
      <c r="I57" s="3445"/>
      <c r="J57" s="3354"/>
      <c r="K57" s="3434"/>
      <c r="L57" s="3356"/>
      <c r="M57" s="3356"/>
      <c r="N57" s="3357"/>
      <c r="O57" s="3353"/>
      <c r="P57" s="3358"/>
      <c r="Q57" s="3446"/>
      <c r="R57" s="3447"/>
      <c r="S57" s="3377"/>
      <c r="T57" s="3448"/>
      <c r="U57" s="3449"/>
      <c r="V57" s="3378" t="s">
        <v>810</v>
      </c>
      <c r="W57" s="3363"/>
      <c r="X57" s="3379" t="str">
        <f>IF($V57="L",SUM($W57:W57)*X$16,"")</f>
        <v/>
      </c>
      <c r="Y57" s="2716"/>
      <c r="Z57" s="3379" t="str">
        <f>IF($W57="","",SUM($W57:Y57)*Z$16)</f>
        <v/>
      </c>
      <c r="AA57" s="3380"/>
      <c r="AB57" s="3376"/>
      <c r="AC57" s="3450"/>
      <c r="AD57" s="3381" t="str">
        <f t="shared" si="56"/>
        <v/>
      </c>
      <c r="AE57" s="3446"/>
      <c r="AF57" s="3441"/>
      <c r="AG57" s="3451"/>
      <c r="AH57" s="3442" t="str">
        <f t="shared" ca="1" si="57"/>
        <v/>
      </c>
      <c r="AI57" s="3453"/>
      <c r="AJ57" s="3386"/>
      <c r="AK57" s="3369">
        <f>AK56</f>
        <v>32</v>
      </c>
      <c r="AL57" s="3369"/>
      <c r="AM57" s="3371"/>
      <c r="AN57" s="3371"/>
      <c r="AO57" s="3353"/>
      <c r="AP57" s="3383"/>
    </row>
    <row r="58" spans="2:42" s="3373" customFormat="1" ht="19" customHeight="1">
      <c r="B58" s="3374"/>
      <c r="C58" s="4025"/>
      <c r="D58" s="3868"/>
      <c r="E58" s="3351" t="s">
        <v>21</v>
      </c>
      <c r="F58" s="3352"/>
      <c r="G58" s="3352"/>
      <c r="H58" s="3353"/>
      <c r="I58" s="3445"/>
      <c r="J58" s="3354"/>
      <c r="K58" s="3434"/>
      <c r="L58" s="3356"/>
      <c r="M58" s="3356"/>
      <c r="N58" s="3357"/>
      <c r="O58" s="3353"/>
      <c r="P58" s="3358"/>
      <c r="Q58" s="3446"/>
      <c r="R58" s="3447"/>
      <c r="S58" s="3377"/>
      <c r="T58" s="3448"/>
      <c r="U58" s="3449"/>
      <c r="V58" s="3384" t="s">
        <v>811</v>
      </c>
      <c r="W58" s="3363"/>
      <c r="X58" s="3379" t="str">
        <f>IF($V58="L",SUM($W58:W58)*X$16,"")</f>
        <v/>
      </c>
      <c r="Y58" s="2716"/>
      <c r="Z58" s="3379" t="str">
        <f>IF($W58="","",SUM($W58:Y58)*Z$16)</f>
        <v/>
      </c>
      <c r="AA58" s="3380"/>
      <c r="AB58" s="3376"/>
      <c r="AC58" s="3450"/>
      <c r="AD58" s="3381" t="str">
        <f t="shared" si="56"/>
        <v/>
      </c>
      <c r="AE58" s="3446"/>
      <c r="AF58" s="3441"/>
      <c r="AG58" s="3451"/>
      <c r="AH58" s="3442" t="str">
        <f t="shared" ca="1" si="57"/>
        <v/>
      </c>
      <c r="AI58" s="3454"/>
      <c r="AJ58" s="3455"/>
      <c r="AK58" s="3369">
        <f>AK57</f>
        <v>32</v>
      </c>
      <c r="AL58" s="3369"/>
      <c r="AM58" s="3371"/>
      <c r="AN58" s="3371"/>
      <c r="AO58" s="3353"/>
      <c r="AP58" s="3383"/>
    </row>
    <row r="59" spans="2:42" ht="19" customHeight="1" collapsed="1">
      <c r="B59" s="3218">
        <v>8.1999999999999993</v>
      </c>
      <c r="C59" s="3898" t="s">
        <v>203</v>
      </c>
      <c r="D59" s="3901" t="s">
        <v>2134</v>
      </c>
      <c r="E59" s="593" t="s">
        <v>3</v>
      </c>
      <c r="F59" s="1174"/>
      <c r="G59" s="1174">
        <f t="shared" ref="G59:G61" si="60">E907</f>
        <v>2</v>
      </c>
      <c r="H59" s="150">
        <f t="shared" ref="H59:I61" si="61">H907</f>
        <v>450</v>
      </c>
      <c r="I59" s="3219" t="str">
        <f t="shared" si="61"/>
        <v>Cost for labour</v>
      </c>
      <c r="J59" s="376" t="str">
        <f>IF(K59=1,"Annual","Done every "&amp;K59&amp;" years")</f>
        <v>Done every 5 years</v>
      </c>
      <c r="K59" s="341">
        <f>J907</f>
        <v>5</v>
      </c>
      <c r="L59" s="2996">
        <f>$H$14</f>
        <v>0.26666666666666666</v>
      </c>
      <c r="M59" s="3220">
        <f>$M$16/K59</f>
        <v>16</v>
      </c>
      <c r="N59" s="3221">
        <f>$M$16/M59</f>
        <v>5</v>
      </c>
      <c r="O59" s="150">
        <f>$H59*(1-(1+$M$15)^-(M59*N59))/((1+$M$15)^N59-1)*(1+((1+$M$15)^N59-1))</f>
        <v>2417.4204473742175</v>
      </c>
      <c r="P59" s="915">
        <f t="shared" si="0"/>
        <v>97.194424107562611</v>
      </c>
      <c r="Q59" s="381">
        <f>SUM(P59:P62)</f>
        <v>249.46568854274403</v>
      </c>
      <c r="R59" s="3332"/>
      <c r="S59" s="2991"/>
      <c r="T59" s="2970"/>
      <c r="U59" s="3333"/>
      <c r="V59" s="1031" t="s">
        <v>808</v>
      </c>
      <c r="W59" s="588">
        <f t="shared" si="31"/>
        <v>97.194424107562611</v>
      </c>
      <c r="X59" s="588">
        <f>IF($V59="L",SUM($W59:W59)*X$16,"")</f>
        <v>29.158327232268782</v>
      </c>
      <c r="Y59" s="588">
        <f>IF($W59="","",IF(OR($V59="L",$V59="T",$V59="C"),SUM($W59:X59)*Y$16,""))</f>
        <v>12.635275133983141</v>
      </c>
      <c r="Z59" s="588">
        <f>IF($W59="","",SUM($W59:Y59)*Z$16)</f>
        <v>41.696407942144354</v>
      </c>
      <c r="AA59" s="384">
        <f t="shared" si="1"/>
        <v>83.490010308396279</v>
      </c>
      <c r="AB59" s="382">
        <f>SUM(X59:Z62)</f>
        <v>148.96665401552431</v>
      </c>
      <c r="AC59" s="919">
        <f>AB59*L59</f>
        <v>39.724441070806485</v>
      </c>
      <c r="AD59" s="920">
        <f t="shared" si="2"/>
        <v>180.68443441595889</v>
      </c>
      <c r="AE59" s="381">
        <f>SUM(AD59:AD62)</f>
        <v>398.43234255826832</v>
      </c>
      <c r="AF59" s="3299">
        <f>AD59*L$59</f>
        <v>48.182515844255704</v>
      </c>
      <c r="AG59" s="3299">
        <f>AE59*L59</f>
        <v>106.24862468220488</v>
      </c>
      <c r="AH59" s="3287">
        <f t="shared" ca="1" si="34"/>
        <v>0.45348837209302328</v>
      </c>
      <c r="AI59" s="1062"/>
      <c r="AJ59" s="1072"/>
      <c r="AK59" s="587">
        <v>36</v>
      </c>
      <c r="AL59" s="816">
        <f ca="1">SUM(AH59:AH62)-1</f>
        <v>0</v>
      </c>
      <c r="AM59" s="3222">
        <f>$AM$16/K59</f>
        <v>1</v>
      </c>
      <c r="AN59" s="3222">
        <f>$AM$16/AM59</f>
        <v>5</v>
      </c>
      <c r="AO59" s="150">
        <f>$H59*(1-(1+$M$15)^-(AM59*AN59))/((1+$M$15)^AN59-1)*(1+((1+$M$15)^AN59-1))</f>
        <v>450</v>
      </c>
      <c r="AP59" s="715">
        <f>SUM(AO59:AO62)</f>
        <v>1155</v>
      </c>
    </row>
    <row r="60" spans="2:42" ht="19" customHeight="1">
      <c r="B60" s="612"/>
      <c r="C60" s="3899"/>
      <c r="D60" s="3902"/>
      <c r="E60" s="593" t="s">
        <v>308</v>
      </c>
      <c r="F60" s="1174">
        <f>$D$893</f>
        <v>1</v>
      </c>
      <c r="G60" s="1174">
        <f t="shared" si="60"/>
        <v>1</v>
      </c>
      <c r="H60" s="150">
        <f t="shared" si="61"/>
        <v>285</v>
      </c>
      <c r="I60" s="3219" t="str">
        <f t="shared" si="61"/>
        <v>Cost for ute hire for the whole activity</v>
      </c>
      <c r="J60" s="376" t="str">
        <f>IF(K60=1,"Annual","Done every "&amp;K60&amp;" years")</f>
        <v>Done every 5 years</v>
      </c>
      <c r="K60" s="341">
        <f t="shared" ref="K60:K61" si="62">J908</f>
        <v>5</v>
      </c>
      <c r="L60" s="2996"/>
      <c r="M60" s="3220">
        <f>$M$16/K60</f>
        <v>16</v>
      </c>
      <c r="N60" s="3221">
        <f>$M$16/M60</f>
        <v>5</v>
      </c>
      <c r="O60" s="150">
        <f>$H60*(1-(1+$M$15)^-(M60*N60))/((1+$M$15)^N60-1)*(1+((1+$M$15)^N60-1))</f>
        <v>1531.032950003671</v>
      </c>
      <c r="P60" s="915">
        <f t="shared" si="0"/>
        <v>61.556468601456324</v>
      </c>
      <c r="Q60" s="381"/>
      <c r="R60" s="3332">
        <f>1*(1-(1+$M$15)^-(M60*N60))/((1+$M$15)^N60-1)*(1+((1+$M$15)^N60-1))</f>
        <v>5.3720454386093719</v>
      </c>
      <c r="S60" s="2991">
        <f>R60/(1+$M$15)*($M$15)/(1-(1+$M$15)^-$M$16)</f>
        <v>0.2159876091279169</v>
      </c>
      <c r="T60" s="2970">
        <f>S60*F60</f>
        <v>0.2159876091279169</v>
      </c>
      <c r="U60" s="3333">
        <f>T60*L59</f>
        <v>5.7596695767444507E-2</v>
      </c>
      <c r="V60" s="1032" t="s">
        <v>809</v>
      </c>
      <c r="W60" s="588">
        <f t="shared" si="31"/>
        <v>61.556468601456324</v>
      </c>
      <c r="X60" s="919" t="str">
        <f>IF($V60="L",SUM($W60:W60)*X$16,"")</f>
        <v/>
      </c>
      <c r="Y60" s="919">
        <f>IF($W60="","",IF(OR($V60="L",$V60="T",$V60="C"),SUM($W60:X60)*Y$16,""))</f>
        <v>6.1556468601456329</v>
      </c>
      <c r="Z60" s="919">
        <f>IF($W60="","",SUM($W60:Y60)*Z$16)</f>
        <v>20.313634638480586</v>
      </c>
      <c r="AA60" s="384">
        <f t="shared" si="1"/>
        <v>26.46928149862622</v>
      </c>
      <c r="AB60" s="382"/>
      <c r="AC60" s="3303"/>
      <c r="AD60" s="920">
        <f t="shared" si="2"/>
        <v>88.025750100082547</v>
      </c>
      <c r="AE60" s="381"/>
      <c r="AF60" s="3299">
        <f t="shared" ref="AF60:AF61" si="63">AD60*L$59</f>
        <v>23.473533360022014</v>
      </c>
      <c r="AG60" s="3299"/>
      <c r="AH60" s="3287">
        <f t="shared" ca="1" si="34"/>
        <v>0.22093023255813957</v>
      </c>
      <c r="AI60" s="589"/>
      <c r="AJ60" s="1072"/>
      <c r="AK60" s="587">
        <f>AK59</f>
        <v>36</v>
      </c>
      <c r="AL60" s="587"/>
      <c r="AM60" s="3222">
        <f>$AM$16/K60</f>
        <v>1</v>
      </c>
      <c r="AN60" s="3222">
        <f>$AM$16/AM60</f>
        <v>5</v>
      </c>
      <c r="AO60" s="150">
        <f>$H60*(1-(1+$M$15)^-(AM60*AN60))/((1+$M$15)^AN60-1)*(1+((1+$M$15)^AN60-1))</f>
        <v>285</v>
      </c>
      <c r="AP60" s="715"/>
    </row>
    <row r="61" spans="2:42" ht="19" customHeight="1">
      <c r="B61" s="612"/>
      <c r="C61" s="3899"/>
      <c r="D61" s="3902"/>
      <c r="E61" s="593" t="s">
        <v>4</v>
      </c>
      <c r="F61" s="1174"/>
      <c r="G61" s="1174">
        <f t="shared" si="60"/>
        <v>2</v>
      </c>
      <c r="H61" s="150">
        <f t="shared" si="61"/>
        <v>420</v>
      </c>
      <c r="I61" s="3219" t="str">
        <f t="shared" si="61"/>
        <v>Accomodation + Food Cost</v>
      </c>
      <c r="J61" s="376" t="str">
        <f>IF(K61=1,"Annual","Done every "&amp;K61&amp;" years")</f>
        <v>Done every 5 years</v>
      </c>
      <c r="K61" s="341">
        <f t="shared" si="62"/>
        <v>5</v>
      </c>
      <c r="L61" s="2996"/>
      <c r="M61" s="3220">
        <f>$M$16/K61</f>
        <v>16</v>
      </c>
      <c r="N61" s="3221">
        <f>$M$16/M61</f>
        <v>5</v>
      </c>
      <c r="O61" s="150">
        <f>$H61*(1-(1+$M$15)^-(M61*N61))/((1+$M$15)^N61-1)*(1+((1+$M$15)^N61-1))</f>
        <v>2256.2590842159366</v>
      </c>
      <c r="P61" s="915">
        <f t="shared" si="0"/>
        <v>90.71479583372512</v>
      </c>
      <c r="Q61" s="381"/>
      <c r="R61" s="3332"/>
      <c r="S61" s="2991"/>
      <c r="T61" s="2991"/>
      <c r="U61" s="3334"/>
      <c r="V61" s="1032" t="s">
        <v>810</v>
      </c>
      <c r="W61" s="588">
        <f t="shared" si="31"/>
        <v>90.71479583372512</v>
      </c>
      <c r="X61" s="919" t="str">
        <f>IF($V61="L",SUM($W61:W61)*X$16,"")</f>
        <v/>
      </c>
      <c r="Y61" s="919">
        <f>IF($W61="","",IF(OR($V61="L",$V61="T",$V61="C"),SUM($W61:X61)*Y$16,""))</f>
        <v>9.071479583372513</v>
      </c>
      <c r="Z61" s="919">
        <f>IF($W61="","",SUM($W61:Y61)*Z$16)</f>
        <v>29.935882625129288</v>
      </c>
      <c r="AA61" s="384">
        <f t="shared" si="1"/>
        <v>39.007362208501803</v>
      </c>
      <c r="AB61" s="382"/>
      <c r="AC61" s="3303"/>
      <c r="AD61" s="920">
        <f t="shared" si="2"/>
        <v>129.72215804222691</v>
      </c>
      <c r="AE61" s="381"/>
      <c r="AF61" s="3299">
        <f t="shared" si="63"/>
        <v>34.592575477927177</v>
      </c>
      <c r="AG61" s="3299"/>
      <c r="AH61" s="3287">
        <f t="shared" ca="1" si="34"/>
        <v>0.32558139534883723</v>
      </c>
      <c r="AI61" s="589"/>
      <c r="AJ61" s="1072"/>
      <c r="AK61" s="587">
        <f>AK60</f>
        <v>36</v>
      </c>
      <c r="AL61" s="587"/>
      <c r="AM61" s="3222">
        <f>$AM$16/K61</f>
        <v>1</v>
      </c>
      <c r="AN61" s="3222">
        <f>$AM$16/AM61</f>
        <v>5</v>
      </c>
      <c r="AO61" s="150">
        <f>$H61*(1-(1+$M$15)^-(AM61*AN61))/((1+$M$15)^AN61-1)*(1+((1+$M$15)^AN61-1))</f>
        <v>420</v>
      </c>
      <c r="AP61" s="715"/>
    </row>
    <row r="62" spans="2:42" ht="19" customHeight="1">
      <c r="B62" s="3223"/>
      <c r="C62" s="3900"/>
      <c r="D62" s="3903"/>
      <c r="E62" s="593" t="s">
        <v>21</v>
      </c>
      <c r="F62" s="1174"/>
      <c r="G62" s="1174"/>
      <c r="H62" s="150"/>
      <c r="I62" s="3224"/>
      <c r="J62" s="376"/>
      <c r="K62" s="592"/>
      <c r="L62" s="2381"/>
      <c r="M62" s="3220"/>
      <c r="N62" s="3221"/>
      <c r="O62" s="150"/>
      <c r="P62" s="179"/>
      <c r="Q62" s="385"/>
      <c r="R62" s="3335"/>
      <c r="S62" s="2992"/>
      <c r="T62" s="2992"/>
      <c r="U62" s="3336"/>
      <c r="V62" s="1033" t="s">
        <v>811</v>
      </c>
      <c r="W62" s="2527"/>
      <c r="X62" s="2527" t="str">
        <f>IF($V62="L",SUM($W62:W62)*X$16,"")</f>
        <v/>
      </c>
      <c r="Y62" s="2527" t="str">
        <f>IF($W62="","",IF(OR($V62="L",$V62="T",$V62="C"),$W62*#REF!,""))</f>
        <v/>
      </c>
      <c r="Z62" s="2527" t="str">
        <f>IF($W62="","",SUM($W62:Y62)*Z$16)</f>
        <v/>
      </c>
      <c r="AA62" s="179" t="str">
        <f t="shared" si="1"/>
        <v/>
      </c>
      <c r="AB62" s="2655"/>
      <c r="AC62" s="3304"/>
      <c r="AD62" s="2656" t="str">
        <f t="shared" si="2"/>
        <v/>
      </c>
      <c r="AE62" s="385"/>
      <c r="AF62" s="3300"/>
      <c r="AG62" s="3300"/>
      <c r="AH62" s="3288" t="str">
        <f t="shared" ca="1" si="34"/>
        <v/>
      </c>
      <c r="AI62" s="1064"/>
      <c r="AJ62" s="1072"/>
      <c r="AK62" s="587">
        <f>AK61</f>
        <v>36</v>
      </c>
      <c r="AL62" s="587"/>
      <c r="AM62" s="3222"/>
      <c r="AN62" s="3222"/>
      <c r="AO62" s="150"/>
      <c r="AP62" s="988"/>
    </row>
    <row r="63" spans="2:42" ht="19" customHeight="1">
      <c r="B63" s="1771">
        <v>9</v>
      </c>
      <c r="C63" s="2770" t="s">
        <v>397</v>
      </c>
      <c r="D63" s="3847" t="s">
        <v>2135</v>
      </c>
      <c r="E63" s="12" t="s">
        <v>3</v>
      </c>
      <c r="F63" s="1172"/>
      <c r="G63" s="1172"/>
      <c r="H63" s="188">
        <f>$F$941</f>
        <v>168.75</v>
      </c>
      <c r="I63" s="188">
        <f>$F$941</f>
        <v>168.75</v>
      </c>
      <c r="J63" s="377" t="str">
        <f>IF(K63=1,"Annual","Done every "&amp;K63&amp;" years")</f>
        <v>Done every 5 years</v>
      </c>
      <c r="K63" s="188">
        <f>$I$941</f>
        <v>5</v>
      </c>
      <c r="L63" s="3276">
        <v>1</v>
      </c>
      <c r="M63" s="158">
        <f>$M$16/K63</f>
        <v>16</v>
      </c>
      <c r="N63" s="586">
        <f>$M$16/M63</f>
        <v>5</v>
      </c>
      <c r="O63" s="188">
        <f>$H63*(1-(1+$M$15)^-(M63*N63))/((1+$M$15)^N63-1)*(1+((1+$M$15)^N63-1))</f>
        <v>906.53266776533167</v>
      </c>
      <c r="P63" s="242">
        <f>O63/(1+$M$15)*($M$15)/(1-(1+$M$15)^-$M$16)</f>
        <v>36.447909040335986</v>
      </c>
      <c r="Q63" s="2806">
        <f>SUM(P63:P66)</f>
        <v>36.447909040335986</v>
      </c>
      <c r="R63" s="3337"/>
      <c r="S63" s="3036"/>
      <c r="T63" s="3036"/>
      <c r="U63" s="3016"/>
      <c r="V63" s="1039" t="s">
        <v>808</v>
      </c>
      <c r="W63" s="583">
        <f>P63/$W$16</f>
        <v>36.447909040335986</v>
      </c>
      <c r="X63" s="583">
        <f>IF($V63="L",SUM($W63:W63)*X$16,"")</f>
        <v>10.934372712100796</v>
      </c>
      <c r="Y63" s="1474"/>
      <c r="Z63" s="583">
        <f>IF($W63="","",SUM($W63:Y63)*Z$16)</f>
        <v>14.214684525731034</v>
      </c>
      <c r="AA63" s="240">
        <f t="shared" si="1"/>
        <v>25.14905723783183</v>
      </c>
      <c r="AB63" s="192">
        <f>SUM(X63:Z66)</f>
        <v>25.14905723783183</v>
      </c>
      <c r="AC63" s="583">
        <f>AB63*L63</f>
        <v>25.14905723783183</v>
      </c>
      <c r="AD63" s="742">
        <f t="shared" si="2"/>
        <v>61.596966278167812</v>
      </c>
      <c r="AE63" s="2806">
        <f>SUM(AD63:AD66)</f>
        <v>61.596966278167812</v>
      </c>
      <c r="AF63" s="195">
        <f>AD63*L$63</f>
        <v>61.596966278167812</v>
      </c>
      <c r="AG63" s="195">
        <f>AE63*L63</f>
        <v>61.596966278167812</v>
      </c>
      <c r="AH63" s="727">
        <f t="shared" ca="1" si="34"/>
        <v>1</v>
      </c>
      <c r="AI63" s="589"/>
      <c r="AJ63" s="573"/>
      <c r="AK63" s="587">
        <f>AK59+4</f>
        <v>40</v>
      </c>
      <c r="AL63" s="816">
        <f ca="1">SUM(AH63:AH66)-1</f>
        <v>0</v>
      </c>
      <c r="AM63" s="13">
        <f>$AM$16/K63</f>
        <v>1</v>
      </c>
      <c r="AN63" s="13">
        <f>$AM$16/AM63</f>
        <v>5</v>
      </c>
      <c r="AO63" s="188">
        <f>$H63*(1-(1+$M$15)^-(AM63*AN63))/((1+$M$15)^AN63-1)*(1+((1+$M$15)^AN63-1))</f>
        <v>168.75</v>
      </c>
      <c r="AP63" s="191">
        <f>SUM(AO63:AO66)</f>
        <v>168.75</v>
      </c>
    </row>
    <row r="64" spans="2:42" ht="19" customHeight="1">
      <c r="B64" s="261"/>
      <c r="C64" s="2771"/>
      <c r="D64" s="3848"/>
      <c r="E64" s="12" t="s">
        <v>308</v>
      </c>
      <c r="F64" s="1172"/>
      <c r="G64" s="1172">
        <f>$E$941</f>
        <v>0.5</v>
      </c>
      <c r="H64" s="188"/>
      <c r="I64" s="921"/>
      <c r="J64" s="377"/>
      <c r="K64" s="586"/>
      <c r="L64" s="3277"/>
      <c r="M64" s="158"/>
      <c r="N64" s="586"/>
      <c r="O64" s="188"/>
      <c r="P64" s="242"/>
      <c r="Q64" s="190"/>
      <c r="R64" s="3297"/>
      <c r="S64" s="3037"/>
      <c r="T64" s="3037"/>
      <c r="U64" s="3017"/>
      <c r="V64" s="1034" t="s">
        <v>809</v>
      </c>
      <c r="W64" s="585"/>
      <c r="X64" s="585" t="str">
        <f>IF($V64="L",SUM($W64:W64)*X$16,"")</f>
        <v/>
      </c>
      <c r="Y64" s="1475"/>
      <c r="Z64" s="585" t="str">
        <f>IF($W64="","",SUM($W64:Y64)*Z$16)</f>
        <v/>
      </c>
      <c r="AA64" s="242" t="str">
        <f t="shared" si="1"/>
        <v/>
      </c>
      <c r="AB64" s="194"/>
      <c r="AC64" s="3297"/>
      <c r="AD64" s="733" t="str">
        <f t="shared" si="2"/>
        <v/>
      </c>
      <c r="AE64" s="190"/>
      <c r="AF64" s="193"/>
      <c r="AG64" s="193"/>
      <c r="AH64" s="728" t="str">
        <f t="shared" ca="1" si="34"/>
        <v/>
      </c>
      <c r="AI64" s="589"/>
      <c r="AJ64" s="1072"/>
      <c r="AK64" s="587">
        <f>AK63</f>
        <v>40</v>
      </c>
      <c r="AL64" s="587"/>
      <c r="AM64" s="13"/>
      <c r="AN64" s="13"/>
      <c r="AO64" s="209"/>
      <c r="AP64" s="342"/>
    </row>
    <row r="65" spans="2:42" ht="19" customHeight="1">
      <c r="B65" s="261"/>
      <c r="C65" s="2771"/>
      <c r="D65" s="3848"/>
      <c r="E65" s="12" t="s">
        <v>4</v>
      </c>
      <c r="F65" s="1172"/>
      <c r="G65" s="1172"/>
      <c r="H65" s="188"/>
      <c r="I65" s="921"/>
      <c r="J65" s="377"/>
      <c r="K65" s="586"/>
      <c r="L65" s="3277"/>
      <c r="M65" s="158"/>
      <c r="N65" s="586"/>
      <c r="O65" s="188"/>
      <c r="P65" s="611"/>
      <c r="Q65" s="2814"/>
      <c r="R65" s="3297"/>
      <c r="S65" s="3037"/>
      <c r="T65" s="3037"/>
      <c r="U65" s="3017"/>
      <c r="V65" s="1034" t="s">
        <v>810</v>
      </c>
      <c r="W65" s="584"/>
      <c r="X65" s="584" t="str">
        <f>IF($V65="L",SUM($W65:W65)*X$16,"")</f>
        <v/>
      </c>
      <c r="Y65" s="1475"/>
      <c r="Z65" s="584" t="str">
        <f>IF($W65="","",SUM($W65:Y65)*Z$16)</f>
        <v/>
      </c>
      <c r="AA65" s="611" t="str">
        <f t="shared" si="1"/>
        <v/>
      </c>
      <c r="AB65" s="210"/>
      <c r="AC65" s="3297"/>
      <c r="AD65" s="746" t="str">
        <f t="shared" si="2"/>
        <v/>
      </c>
      <c r="AE65" s="2814"/>
      <c r="AF65" s="193"/>
      <c r="AG65" s="193"/>
      <c r="AH65" s="732" t="str">
        <f t="shared" ca="1" si="34"/>
        <v/>
      </c>
      <c r="AI65" s="815"/>
      <c r="AJ65" s="1072"/>
      <c r="AK65" s="587">
        <f>AK64</f>
        <v>40</v>
      </c>
      <c r="AL65" s="587"/>
      <c r="AM65" s="13"/>
      <c r="AN65" s="13"/>
      <c r="AO65" s="188"/>
      <c r="AP65" s="477"/>
    </row>
    <row r="66" spans="2:42" ht="19" customHeight="1" thickBot="1">
      <c r="B66" s="261"/>
      <c r="C66" s="2772"/>
      <c r="D66" s="3849"/>
      <c r="E66" s="12" t="s">
        <v>21</v>
      </c>
      <c r="F66" s="1172"/>
      <c r="G66" s="1172"/>
      <c r="H66" s="188"/>
      <c r="I66" s="921"/>
      <c r="J66" s="377"/>
      <c r="K66" s="11"/>
      <c r="L66" s="3278"/>
      <c r="M66" s="1046"/>
      <c r="N66" s="1047"/>
      <c r="O66" s="1048"/>
      <c r="P66" s="726"/>
      <c r="Q66" s="2815"/>
      <c r="R66" s="3298"/>
      <c r="S66" s="3038"/>
      <c r="T66" s="3038"/>
      <c r="U66" s="3225"/>
      <c r="V66" s="1040" t="s">
        <v>811</v>
      </c>
      <c r="W66" s="724"/>
      <c r="X66" s="724" t="str">
        <f>IF($V66="L",SUM($W66:W66)*X$16,"")</f>
        <v/>
      </c>
      <c r="Y66" s="1478"/>
      <c r="Z66" s="724" t="str">
        <f>IF($W66="","",SUM($W66:Y66)*Z$16)</f>
        <v/>
      </c>
      <c r="AA66" s="726" t="str">
        <f t="shared" si="1"/>
        <v/>
      </c>
      <c r="AB66" s="725"/>
      <c r="AC66" s="3298"/>
      <c r="AD66" s="747" t="str">
        <f t="shared" si="2"/>
        <v/>
      </c>
      <c r="AE66" s="2815"/>
      <c r="AF66" s="3225"/>
      <c r="AG66" s="3225"/>
      <c r="AH66" s="767" t="str">
        <f t="shared" ca="1" si="34"/>
        <v/>
      </c>
      <c r="AI66" s="1073"/>
      <c r="AJ66" s="1074"/>
      <c r="AK66" s="587">
        <f>AK65</f>
        <v>40</v>
      </c>
      <c r="AL66" s="587"/>
      <c r="AM66" s="13"/>
      <c r="AN66" s="13"/>
      <c r="AO66" s="188"/>
      <c r="AP66" s="478"/>
    </row>
    <row r="67" spans="2:42">
      <c r="C67" s="24"/>
      <c r="D67" s="238"/>
      <c r="E67" s="2791"/>
      <c r="F67" s="359"/>
      <c r="H67" s="6"/>
      <c r="I67" s="359"/>
      <c r="W67" s="5"/>
    </row>
    <row r="68" spans="2:42">
      <c r="C68" s="24"/>
      <c r="D68" s="238" t="s">
        <v>299</v>
      </c>
      <c r="E68" s="2791"/>
      <c r="F68" s="359"/>
      <c r="H68" s="6"/>
      <c r="I68" s="359"/>
      <c r="W68" s="5"/>
    </row>
    <row r="69" spans="2:42">
      <c r="C69" s="24"/>
      <c r="D69" s="238"/>
      <c r="E69" s="2791"/>
      <c r="F69" s="359"/>
      <c r="H69" s="6"/>
      <c r="I69" s="359"/>
      <c r="W69" s="5"/>
    </row>
    <row r="70" spans="2:42">
      <c r="C70" s="24"/>
      <c r="D70" s="238"/>
      <c r="E70" s="2791"/>
      <c r="F70" s="359"/>
      <c r="H70" s="6"/>
      <c r="I70" s="359"/>
      <c r="W70" s="5"/>
    </row>
    <row r="71" spans="2:42">
      <c r="C71" s="24"/>
      <c r="F71" s="359"/>
      <c r="H71" s="6"/>
      <c r="I71" s="359"/>
      <c r="W71" s="5"/>
    </row>
    <row r="72" spans="2:42">
      <c r="C72" s="24"/>
      <c r="D72" s="238"/>
      <c r="E72" s="2791"/>
      <c r="F72" s="359"/>
      <c r="H72" s="6"/>
      <c r="I72" s="359"/>
      <c r="W72" s="5"/>
    </row>
    <row r="73" spans="2:42">
      <c r="C73" s="24"/>
      <c r="D73" s="238"/>
      <c r="E73" s="2791"/>
      <c r="F73" s="359"/>
      <c r="H73" s="6"/>
      <c r="I73" s="359"/>
      <c r="W73" s="5"/>
    </row>
    <row r="74" spans="2:42">
      <c r="C74" s="24"/>
      <c r="D74" s="238"/>
      <c r="E74" s="2791"/>
      <c r="F74" s="359"/>
      <c r="H74" s="6"/>
      <c r="I74" s="359"/>
      <c r="W74" s="5"/>
    </row>
    <row r="75" spans="2:42">
      <c r="C75" s="24"/>
      <c r="D75" s="238"/>
      <c r="E75" s="2791"/>
      <c r="F75" s="359"/>
      <c r="H75" s="6"/>
      <c r="I75" s="359"/>
      <c r="W75" s="5"/>
    </row>
    <row r="76" spans="2:42" s="7" customFormat="1">
      <c r="E76" s="36"/>
      <c r="G76" s="1089"/>
    </row>
    <row r="77" spans="2:42">
      <c r="C77" s="8" t="s">
        <v>57</v>
      </c>
      <c r="D77" s="16" t="s">
        <v>1054</v>
      </c>
    </row>
    <row r="78" spans="2:42">
      <c r="D78" s="592" t="s">
        <v>2046</v>
      </c>
      <c r="E78" s="39"/>
    </row>
    <row r="79" spans="2:42">
      <c r="D79" s="332" t="s">
        <v>91</v>
      </c>
      <c r="E79" s="43"/>
      <c r="F79" s="24"/>
    </row>
    <row r="80" spans="2:42">
      <c r="D80" s="2756">
        <f>$H$8</f>
        <v>1</v>
      </c>
      <c r="E80" s="2791" t="s">
        <v>2083</v>
      </c>
    </row>
    <row r="81" spans="3:9">
      <c r="D81" s="332"/>
      <c r="E81" s="43"/>
    </row>
    <row r="82" spans="3:9">
      <c r="C82" s="24"/>
      <c r="D82" s="398">
        <v>3</v>
      </c>
      <c r="E82" s="43" t="str">
        <f>'Overall Assumptions'!$D$116</f>
        <v>days</v>
      </c>
    </row>
    <row r="83" spans="3:9">
      <c r="C83" s="24"/>
      <c r="D83" s="332"/>
      <c r="E83" s="43"/>
    </row>
    <row r="84" spans="3:9">
      <c r="C84" s="24"/>
      <c r="D84" s="268">
        <v>20</v>
      </c>
      <c r="E84" s="43" t="s">
        <v>245</v>
      </c>
    </row>
    <row r="85" spans="3:9">
      <c r="C85" s="24"/>
      <c r="D85" s="332"/>
      <c r="E85" s="43"/>
    </row>
    <row r="86" spans="3:9">
      <c r="C86" s="24"/>
      <c r="D86" s="332"/>
      <c r="E86" s="43"/>
    </row>
    <row r="87" spans="3:9">
      <c r="C87" s="24"/>
      <c r="D87" s="332" t="str">
        <f>'Overall Assumptions'!$D$76</f>
        <v>Daily rate (AUD) for labour assuming 7.5 hours/day</v>
      </c>
      <c r="E87" s="246"/>
    </row>
    <row r="88" spans="3:9">
      <c r="D88" s="614">
        <f>'Overall Assumptions'!$C$68</f>
        <v>225</v>
      </c>
      <c r="E88" s="246" t="str">
        <f>'Overall Assumptions'!$B$67</f>
        <v>Labour 1- APS Low (Entry lvl)</v>
      </c>
    </row>
    <row r="89" spans="3:9">
      <c r="D89" s="399">
        <f>'Overall Assumptions'!$C$72</f>
        <v>337.5</v>
      </c>
      <c r="E89" s="530" t="str">
        <f>'Overall Assumptions'!$B$71</f>
        <v>Labour 2 - APS High (Experienced)</v>
      </c>
    </row>
    <row r="90" spans="3:9">
      <c r="D90" s="112">
        <f>'Overall Assumptions'!$C$76</f>
        <v>487.5</v>
      </c>
      <c r="E90" s="45" t="str">
        <f>'Overall Assumptions'!$B$75</f>
        <v>Labour 3 - EL (Management)</v>
      </c>
    </row>
    <row r="91" spans="3:9">
      <c r="D91" s="33"/>
    </row>
    <row r="92" spans="3:9">
      <c r="D92" s="531"/>
      <c r="E92" s="33"/>
    </row>
    <row r="93" spans="3:9">
      <c r="D93" s="912"/>
    </row>
    <row r="94" spans="3:9">
      <c r="D94" s="33"/>
    </row>
    <row r="95" spans="3:9">
      <c r="D95" s="33"/>
    </row>
    <row r="96" spans="3:9">
      <c r="D96" s="175"/>
      <c r="E96" s="164" t="s">
        <v>155</v>
      </c>
      <c r="F96" s="255" t="s">
        <v>166</v>
      </c>
      <c r="G96" s="1090" t="s">
        <v>69</v>
      </c>
      <c r="H96" s="161"/>
      <c r="I96" s="2791" t="s">
        <v>1544</v>
      </c>
    </row>
    <row r="97" spans="3:10">
      <c r="D97" s="405" t="s">
        <v>3</v>
      </c>
      <c r="E97" s="509">
        <f>D82*D80</f>
        <v>3</v>
      </c>
      <c r="F97" s="321">
        <f>E97*D89</f>
        <v>1012.5</v>
      </c>
      <c r="G97" s="1091" t="s">
        <v>162</v>
      </c>
      <c r="H97" s="162"/>
      <c r="I97" s="2791">
        <f>D84</f>
        <v>20</v>
      </c>
    </row>
    <row r="99" spans="3:10" s="7" customFormat="1">
      <c r="D99" s="977"/>
      <c r="E99" s="35"/>
      <c r="G99" s="1089"/>
    </row>
    <row r="100" spans="3:10" s="7" customFormat="1">
      <c r="D100" s="35"/>
      <c r="E100" s="36"/>
      <c r="G100" s="1089"/>
    </row>
    <row r="101" spans="3:10">
      <c r="C101" s="8" t="s">
        <v>1001</v>
      </c>
      <c r="D101" s="16"/>
    </row>
    <row r="102" spans="3:10">
      <c r="D102" s="2791"/>
    </row>
    <row r="103" spans="3:10">
      <c r="D103" s="2791"/>
      <c r="E103" s="2791"/>
    </row>
    <row r="104" spans="3:10">
      <c r="D104" s="6" t="s">
        <v>2047</v>
      </c>
      <c r="E104" s="2791"/>
    </row>
    <row r="105" spans="3:10">
      <c r="D105" s="455"/>
      <c r="E105" s="2791"/>
    </row>
    <row r="106" spans="3:10">
      <c r="D106" s="592" t="s">
        <v>179</v>
      </c>
      <c r="E106" s="274"/>
    </row>
    <row r="107" spans="3:10">
      <c r="D107" s="974"/>
      <c r="E107" s="246"/>
    </row>
    <row r="108" spans="3:10">
      <c r="D108" s="2756">
        <f>$H$8</f>
        <v>1</v>
      </c>
      <c r="E108" s="2791" t="s">
        <v>2083</v>
      </c>
    </row>
    <row r="109" spans="3:10">
      <c r="D109" s="447">
        <v>20</v>
      </c>
      <c r="E109" s="483" t="s">
        <v>246</v>
      </c>
    </row>
    <row r="110" spans="3:10">
      <c r="D110" s="125"/>
      <c r="E110" s="635"/>
    </row>
    <row r="112" spans="3:10" ht="19">
      <c r="C112" s="2791" t="s">
        <v>50</v>
      </c>
      <c r="D112" s="37" t="s">
        <v>81</v>
      </c>
      <c r="E112" s="24"/>
      <c r="F112" s="1"/>
      <c r="G112" s="1100"/>
      <c r="H112" s="3"/>
      <c r="I112" s="3"/>
      <c r="J112" s="3"/>
    </row>
    <row r="113" spans="3:10">
      <c r="F113" s="1"/>
      <c r="G113" s="1100"/>
      <c r="H113" s="3"/>
      <c r="I113" s="3"/>
      <c r="J113" s="3"/>
    </row>
    <row r="114" spans="3:10">
      <c r="D114" s="160" t="s">
        <v>408</v>
      </c>
    </row>
    <row r="116" spans="3:10">
      <c r="D116" s="50"/>
    </row>
    <row r="117" spans="3:10">
      <c r="D117" s="51" t="s">
        <v>82</v>
      </c>
      <c r="E117" s="273"/>
      <c r="F117" s="274"/>
    </row>
    <row r="118" spans="3:10" ht="19">
      <c r="D118" s="54">
        <f>'Overall Assumptions'!$C$68</f>
        <v>225</v>
      </c>
      <c r="E118" s="37" t="s">
        <v>99</v>
      </c>
      <c r="F118" s="246"/>
    </row>
    <row r="119" spans="3:10">
      <c r="D119" s="54">
        <f>'Overall Assumptions'!$C$130</f>
        <v>2</v>
      </c>
      <c r="E119" s="16" t="s">
        <v>84</v>
      </c>
      <c r="F119" s="246"/>
    </row>
    <row r="120" spans="3:10">
      <c r="D120" s="468">
        <v>1</v>
      </c>
      <c r="E120" s="16" t="s">
        <v>464</v>
      </c>
      <c r="F120" s="246"/>
    </row>
    <row r="121" spans="3:10">
      <c r="D121" s="54"/>
      <c r="F121" s="246"/>
    </row>
    <row r="122" spans="3:10">
      <c r="D122" s="56">
        <f>'Overall Assumptions'!$C$81</f>
        <v>210</v>
      </c>
      <c r="E122" s="333" t="s">
        <v>87</v>
      </c>
      <c r="F122" s="162"/>
      <c r="J122" s="578"/>
    </row>
    <row r="123" spans="3:10">
      <c r="D123" s="57"/>
    </row>
    <row r="124" spans="3:10">
      <c r="C124" s="21"/>
      <c r="J124" s="90"/>
    </row>
    <row r="125" spans="3:10">
      <c r="C125" s="21"/>
      <c r="D125" s="59"/>
      <c r="E125" s="2791"/>
    </row>
    <row r="126" spans="3:10">
      <c r="C126" s="21"/>
      <c r="D126" s="46"/>
      <c r="E126" s="46"/>
      <c r="F126" s="532"/>
      <c r="J126" s="90"/>
    </row>
    <row r="127" spans="3:10" ht="18" customHeight="1">
      <c r="C127" s="21"/>
      <c r="D127" s="77">
        <f>D120*D108</f>
        <v>1</v>
      </c>
      <c r="E127" s="693" t="s">
        <v>171</v>
      </c>
      <c r="F127" s="77"/>
    </row>
    <row r="128" spans="3:10" ht="18" customHeight="1">
      <c r="C128" s="21"/>
      <c r="D128" s="16"/>
      <c r="E128" s="359"/>
    </row>
    <row r="129" spans="3:12" ht="18" customHeight="1">
      <c r="C129" s="21"/>
      <c r="D129" s="77">
        <f>D127*$D119</f>
        <v>2</v>
      </c>
      <c r="E129" s="99" t="s">
        <v>787</v>
      </c>
      <c r="F129" s="77"/>
    </row>
    <row r="130" spans="3:12">
      <c r="C130" s="21"/>
      <c r="D130" s="16"/>
      <c r="E130" s="99"/>
    </row>
    <row r="131" spans="3:12">
      <c r="C131" s="21"/>
      <c r="D131" s="63">
        <f>D129*D118</f>
        <v>450</v>
      </c>
      <c r="E131" s="99" t="s">
        <v>37</v>
      </c>
      <c r="F131" s="63"/>
      <c r="J131" s="90"/>
    </row>
    <row r="132" spans="3:12">
      <c r="C132" s="21"/>
      <c r="D132" s="63"/>
      <c r="E132" s="99"/>
      <c r="F132" s="63"/>
      <c r="J132" s="259"/>
      <c r="K132" s="16"/>
      <c r="L132" s="16"/>
    </row>
    <row r="133" spans="3:12">
      <c r="C133" s="21"/>
      <c r="D133" s="64">
        <f>SUM(D131:D132)</f>
        <v>450</v>
      </c>
      <c r="E133" s="1101" t="s">
        <v>486</v>
      </c>
      <c r="F133" s="905"/>
      <c r="J133" s="259"/>
      <c r="K133" s="16"/>
      <c r="L133" s="16"/>
    </row>
    <row r="134" spans="3:12">
      <c r="F134" s="16"/>
      <c r="G134" s="99"/>
    </row>
    <row r="135" spans="3:12">
      <c r="D135" s="46"/>
      <c r="E135" s="46"/>
      <c r="F135" s="46"/>
      <c r="J135" s="65"/>
      <c r="K135" s="24"/>
      <c r="L135" s="24"/>
    </row>
    <row r="136" spans="3:12">
      <c r="D136" s="75"/>
      <c r="E136" s="75"/>
      <c r="F136" s="75"/>
      <c r="G136" s="99"/>
      <c r="J136" s="65"/>
      <c r="K136" s="24"/>
      <c r="L136" s="24"/>
    </row>
    <row r="137" spans="3:12">
      <c r="D137" s="75"/>
      <c r="E137" s="75"/>
      <c r="F137" s="75"/>
      <c r="G137" s="99"/>
      <c r="J137" s="65"/>
      <c r="K137" s="24"/>
      <c r="L137" s="24"/>
    </row>
    <row r="138" spans="3:12" ht="19">
      <c r="C138" s="2791" t="s">
        <v>64</v>
      </c>
      <c r="D138" s="37" t="s">
        <v>89</v>
      </c>
    </row>
    <row r="139" spans="3:12">
      <c r="C139" s="2791" t="s">
        <v>54</v>
      </c>
    </row>
    <row r="141" spans="3:12">
      <c r="D141" s="16"/>
    </row>
    <row r="142" spans="3:12">
      <c r="D142" s="67" t="s">
        <v>91</v>
      </c>
      <c r="E142" s="41"/>
    </row>
    <row r="143" spans="3:12">
      <c r="D143" s="52">
        <f>'Overall Assumptions'!$C$93</f>
        <v>285</v>
      </c>
      <c r="E143" s="41" t="s">
        <v>93</v>
      </c>
    </row>
    <row r="144" spans="3:12">
      <c r="D144" s="54">
        <f>'Overall Assumptions'!$C$10</f>
        <v>0</v>
      </c>
      <c r="E144" s="43" t="s">
        <v>85</v>
      </c>
    </row>
    <row r="145" spans="4:12">
      <c r="D145" s="54"/>
      <c r="E145" s="43"/>
    </row>
    <row r="146" spans="4:12">
      <c r="D146" s="616"/>
      <c r="E146" s="43"/>
    </row>
    <row r="147" spans="4:12">
      <c r="D147" s="56"/>
      <c r="E147" s="45"/>
      <c r="J147" s="578"/>
    </row>
    <row r="148" spans="4:12">
      <c r="D148" s="75"/>
    </row>
    <row r="149" spans="4:12">
      <c r="D149" s="46"/>
      <c r="E149" s="46"/>
      <c r="F149" s="46"/>
      <c r="G149" s="693"/>
      <c r="J149" s="532"/>
      <c r="K149" s="59"/>
      <c r="L149" s="59"/>
    </row>
    <row r="150" spans="4:12">
      <c r="D150" s="46">
        <f>D127</f>
        <v>1</v>
      </c>
      <c r="E150" s="693" t="s">
        <v>98</v>
      </c>
      <c r="F150" s="46"/>
      <c r="K150" s="59"/>
      <c r="L150" s="59"/>
    </row>
    <row r="151" spans="4:12">
      <c r="D151" s="46"/>
      <c r="E151" s="693"/>
      <c r="F151" s="46"/>
      <c r="K151" s="59"/>
      <c r="L151" s="59"/>
    </row>
    <row r="152" spans="4:12">
      <c r="D152" s="46"/>
      <c r="E152" s="693"/>
      <c r="F152" s="46"/>
      <c r="K152" s="59"/>
      <c r="L152" s="59"/>
    </row>
    <row r="153" spans="4:12">
      <c r="D153" s="46">
        <f>SUM(D149:D151)</f>
        <v>1</v>
      </c>
      <c r="E153" s="693" t="s">
        <v>135</v>
      </c>
      <c r="F153" s="46"/>
      <c r="J153" s="90"/>
    </row>
    <row r="154" spans="4:12">
      <c r="D154" s="46"/>
      <c r="E154" s="359"/>
      <c r="J154" s="90"/>
    </row>
    <row r="155" spans="4:12">
      <c r="D155" s="63"/>
      <c r="E155" s="99"/>
      <c r="F155" s="63"/>
      <c r="J155" s="259"/>
      <c r="K155" s="16"/>
      <c r="L155" s="16"/>
    </row>
    <row r="156" spans="4:12">
      <c r="D156" s="63">
        <f>$D143*D150</f>
        <v>285</v>
      </c>
      <c r="E156" s="99" t="s">
        <v>52</v>
      </c>
      <c r="F156" s="63"/>
      <c r="J156" s="259"/>
      <c r="K156" s="16"/>
      <c r="L156" s="16"/>
    </row>
    <row r="157" spans="4:12">
      <c r="D157" s="63"/>
      <c r="E157" s="99"/>
      <c r="F157" s="63"/>
      <c r="J157" s="259"/>
      <c r="K157" s="16"/>
      <c r="L157" s="16"/>
    </row>
    <row r="158" spans="4:12">
      <c r="D158" s="68">
        <f>SUM(D155:D157)</f>
        <v>285</v>
      </c>
      <c r="E158" s="1101" t="s">
        <v>53</v>
      </c>
      <c r="F158" s="906"/>
      <c r="J158" s="65"/>
      <c r="K158" s="24"/>
      <c r="L158" s="24"/>
    </row>
    <row r="159" spans="4:12">
      <c r="D159" s="432"/>
      <c r="E159" s="359"/>
      <c r="J159" s="65"/>
      <c r="K159" s="24"/>
      <c r="L159" s="24"/>
    </row>
    <row r="160" spans="4:12">
      <c r="D160" s="46">
        <f>D153</f>
        <v>1</v>
      </c>
      <c r="E160" s="359" t="s">
        <v>795</v>
      </c>
      <c r="F160" s="46"/>
      <c r="J160" s="65"/>
      <c r="K160" s="24"/>
      <c r="L160" s="24"/>
    </row>
    <row r="161" spans="3:12">
      <c r="D161" s="75">
        <f>ROUNDUP((D153/21),0)</f>
        <v>1</v>
      </c>
      <c r="E161" s="99" t="s">
        <v>739</v>
      </c>
      <c r="F161" s="75"/>
      <c r="J161" s="65"/>
      <c r="K161" s="24"/>
      <c r="L161" s="24"/>
    </row>
    <row r="162" spans="3:12">
      <c r="D162" s="432"/>
      <c r="J162" s="65"/>
      <c r="K162" s="24"/>
      <c r="L162" s="24"/>
    </row>
    <row r="163" spans="3:12">
      <c r="D163" s="65"/>
      <c r="E163" s="24"/>
      <c r="J163" s="65"/>
      <c r="K163" s="24"/>
      <c r="L163" s="24"/>
    </row>
    <row r="164" spans="3:12">
      <c r="C164" s="2791" t="s">
        <v>70</v>
      </c>
      <c r="D164" s="58"/>
      <c r="E164" s="59" t="s">
        <v>156</v>
      </c>
      <c r="J164" s="65"/>
      <c r="K164" s="24"/>
      <c r="L164" s="24"/>
    </row>
    <row r="165" spans="3:12">
      <c r="D165" s="160" t="s">
        <v>238</v>
      </c>
      <c r="E165" s="59"/>
      <c r="J165" s="65"/>
      <c r="K165" s="24"/>
      <c r="L165" s="24"/>
    </row>
    <row r="166" spans="3:12">
      <c r="D166" s="58"/>
      <c r="E166" s="59"/>
      <c r="J166" s="65"/>
      <c r="K166" s="24"/>
      <c r="L166" s="24"/>
    </row>
    <row r="167" spans="3:12">
      <c r="D167" s="25">
        <f>D127</f>
        <v>1</v>
      </c>
      <c r="E167" s="99" t="s">
        <v>157</v>
      </c>
      <c r="F167" s="25"/>
      <c r="J167" s="65"/>
      <c r="K167" s="24"/>
      <c r="L167" s="24"/>
    </row>
    <row r="168" spans="3:12">
      <c r="D168" s="61">
        <f>FLOOR(D167,1)</f>
        <v>1</v>
      </c>
      <c r="E168" s="99" t="s">
        <v>73</v>
      </c>
      <c r="F168" s="61"/>
      <c r="J168" s="65"/>
      <c r="K168" s="24"/>
      <c r="L168" s="24"/>
    </row>
    <row r="169" spans="3:12">
      <c r="D169" s="65"/>
      <c r="E169" s="1102"/>
      <c r="J169" s="65"/>
      <c r="K169" s="24"/>
      <c r="L169" s="24"/>
    </row>
    <row r="170" spans="3:12">
      <c r="D170" s="65">
        <f>D168*$D119</f>
        <v>2</v>
      </c>
      <c r="E170" s="1102" t="s">
        <v>88</v>
      </c>
      <c r="F170" s="65"/>
      <c r="J170" s="65"/>
      <c r="K170" s="24"/>
      <c r="L170" s="24"/>
    </row>
    <row r="171" spans="3:12">
      <c r="D171" s="102">
        <f>D170*$D122</f>
        <v>420</v>
      </c>
      <c r="E171" s="1101" t="s">
        <v>74</v>
      </c>
      <c r="F171" s="907"/>
      <c r="J171" s="259"/>
      <c r="K171" s="16"/>
      <c r="L171" s="16"/>
    </row>
    <row r="172" spans="3:12">
      <c r="D172" s="275"/>
      <c r="E172" s="275"/>
      <c r="F172" s="275"/>
      <c r="G172" s="99"/>
      <c r="J172" s="259"/>
      <c r="K172" s="16"/>
      <c r="L172" s="16"/>
    </row>
    <row r="173" spans="3:12">
      <c r="D173" s="825"/>
      <c r="E173" s="825"/>
      <c r="H173" s="1" t="s">
        <v>788</v>
      </c>
    </row>
    <row r="174" spans="3:12">
      <c r="D174" s="617" t="s">
        <v>172</v>
      </c>
      <c r="E174" s="618" t="s">
        <v>155</v>
      </c>
      <c r="F174" s="618"/>
      <c r="G174" s="1103"/>
      <c r="H174" s="618" t="s">
        <v>166</v>
      </c>
      <c r="I174" s="619" t="s">
        <v>69</v>
      </c>
    </row>
    <row r="175" spans="3:12">
      <c r="D175" s="404" t="s">
        <v>3</v>
      </c>
      <c r="E175" s="90">
        <f>D129</f>
        <v>2</v>
      </c>
      <c r="F175" s="531"/>
      <c r="H175" s="432">
        <f>D133</f>
        <v>450</v>
      </c>
      <c r="I175" s="830" t="str">
        <f>E133</f>
        <v>Cost for labour</v>
      </c>
      <c r="J175" s="558">
        <f>D109</f>
        <v>20</v>
      </c>
    </row>
    <row r="176" spans="3:12">
      <c r="D176" s="404" t="s">
        <v>490</v>
      </c>
      <c r="E176" s="90">
        <f>D153</f>
        <v>1</v>
      </c>
      <c r="F176" s="531"/>
      <c r="G176" s="1104"/>
      <c r="H176" s="432">
        <f>D158</f>
        <v>285</v>
      </c>
      <c r="I176" s="830" t="str">
        <f>E158</f>
        <v>Cost for ute hire for the whole activity</v>
      </c>
      <c r="J176" s="558">
        <f>J175</f>
        <v>20</v>
      </c>
    </row>
    <row r="177" spans="3:12">
      <c r="D177" s="404" t="s">
        <v>169</v>
      </c>
      <c r="E177" s="90">
        <f>D170</f>
        <v>2</v>
      </c>
      <c r="F177" s="531"/>
      <c r="H177" s="432">
        <f>D171</f>
        <v>420</v>
      </c>
      <c r="I177" s="830" t="str">
        <f>E171</f>
        <v>Accomodation + Food Cost</v>
      </c>
      <c r="J177" s="558">
        <f>J176</f>
        <v>20</v>
      </c>
    </row>
    <row r="178" spans="3:12">
      <c r="D178" s="404"/>
      <c r="E178" s="90"/>
      <c r="F178" s="531"/>
      <c r="H178" s="432"/>
      <c r="I178" s="830"/>
      <c r="J178" s="558"/>
    </row>
    <row r="179" spans="3:12">
      <c r="D179" s="404"/>
      <c r="E179" s="90"/>
      <c r="F179" s="531"/>
      <c r="H179" s="432"/>
      <c r="I179" s="830"/>
    </row>
    <row r="180" spans="3:12">
      <c r="D180" s="405"/>
      <c r="E180" s="439"/>
      <c r="F180" s="439"/>
      <c r="G180" s="1098"/>
      <c r="H180" s="622">
        <f>SUM(H175:H179)</f>
        <v>1155</v>
      </c>
      <c r="I180" s="623" t="s">
        <v>165</v>
      </c>
    </row>
    <row r="181" spans="3:12">
      <c r="D181" s="2791"/>
      <c r="E181" s="2791"/>
      <c r="F181" s="432"/>
      <c r="G181" s="1099"/>
    </row>
    <row r="182" spans="3:12">
      <c r="D182" s="25"/>
    </row>
    <row r="183" spans="3:12" s="7" customFormat="1">
      <c r="D183" s="103"/>
      <c r="E183" s="103"/>
      <c r="G183" s="1089"/>
    </row>
    <row r="184" spans="3:12" s="7" customFormat="1">
      <c r="E184" s="36"/>
      <c r="G184" s="1089"/>
    </row>
    <row r="185" spans="3:12" s="7" customFormat="1">
      <c r="D185" s="69"/>
      <c r="E185" s="36"/>
      <c r="G185" s="1089"/>
    </row>
    <row r="186" spans="3:12">
      <c r="D186" s="2791"/>
      <c r="F186" s="16"/>
    </row>
    <row r="187" spans="3:12">
      <c r="C187" s="198" t="s">
        <v>167</v>
      </c>
      <c r="D187" s="2791"/>
    </row>
    <row r="188" spans="3:12">
      <c r="D188" s="6" t="s">
        <v>2048</v>
      </c>
    </row>
    <row r="189" spans="3:12">
      <c r="C189" s="233"/>
      <c r="D189" s="2751" t="s">
        <v>2070</v>
      </c>
      <c r="H189" s="259"/>
      <c r="J189" s="65"/>
      <c r="K189" s="24"/>
      <c r="L189" s="24"/>
    </row>
    <row r="190" spans="3:12">
      <c r="D190" s="2752" t="s">
        <v>2071</v>
      </c>
      <c r="E190" s="24"/>
      <c r="J190" s="65"/>
      <c r="K190" s="24"/>
      <c r="L190" s="24"/>
    </row>
    <row r="191" spans="3:12">
      <c r="D191" s="3226">
        <v>20</v>
      </c>
      <c r="E191" s="24" t="s">
        <v>263</v>
      </c>
      <c r="G191" s="1107"/>
      <c r="H191" s="3227"/>
      <c r="I191" s="216"/>
    </row>
    <row r="192" spans="3:12">
      <c r="D192" s="290"/>
      <c r="G192" s="1107"/>
      <c r="H192" s="215"/>
      <c r="I192" s="215"/>
      <c r="J192" s="216"/>
      <c r="K192" s="216"/>
      <c r="L192" s="216"/>
    </row>
    <row r="193" spans="3:12" ht="19">
      <c r="C193" s="2791" t="s">
        <v>50</v>
      </c>
      <c r="D193" s="37" t="s">
        <v>81</v>
      </c>
      <c r="E193" s="24"/>
      <c r="F193" s="1"/>
      <c r="G193" s="1100"/>
      <c r="H193" s="212"/>
      <c r="I193" s="212"/>
      <c r="J193" s="216"/>
      <c r="K193" s="216"/>
      <c r="L193" s="216"/>
    </row>
    <row r="194" spans="3:12">
      <c r="D194" s="24" t="s">
        <v>250</v>
      </c>
      <c r="F194" s="1"/>
      <c r="G194" s="1100"/>
      <c r="J194" s="225"/>
      <c r="K194" s="225"/>
      <c r="L194" s="225"/>
    </row>
    <row r="195" spans="3:12">
      <c r="D195" s="160" t="s">
        <v>294</v>
      </c>
      <c r="J195" s="225"/>
      <c r="K195" s="215"/>
      <c r="L195" s="215"/>
    </row>
    <row r="196" spans="3:12">
      <c r="D196" s="50"/>
      <c r="J196" s="212"/>
      <c r="K196" s="212"/>
      <c r="L196" s="212"/>
    </row>
    <row r="197" spans="3:12">
      <c r="D197" s="51" t="s">
        <v>82</v>
      </c>
      <c r="E197" s="39"/>
      <c r="H197" s="212"/>
      <c r="I197" s="212"/>
      <c r="J197" s="216"/>
      <c r="K197" s="216"/>
      <c r="L197" s="216"/>
    </row>
    <row r="198" spans="3:12" ht="19">
      <c r="D198" s="52">
        <f>'Overall Assumptions'!$C$68</f>
        <v>225</v>
      </c>
      <c r="E198" s="53" t="s">
        <v>99</v>
      </c>
      <c r="J198" s="65"/>
      <c r="K198" s="24"/>
      <c r="L198" s="24"/>
    </row>
    <row r="199" spans="3:12">
      <c r="D199" s="2756">
        <f>$H$8</f>
        <v>1</v>
      </c>
      <c r="E199" s="2791" t="s">
        <v>2083</v>
      </c>
      <c r="I199" s="65"/>
      <c r="K199" s="24"/>
      <c r="L199" s="24"/>
    </row>
    <row r="200" spans="3:12" ht="19">
      <c r="D200" s="54"/>
      <c r="E200" s="355"/>
      <c r="I200" s="65"/>
      <c r="K200" s="24"/>
      <c r="L200" s="24"/>
    </row>
    <row r="201" spans="3:12">
      <c r="D201" s="302">
        <v>3</v>
      </c>
      <c r="E201" s="303" t="s">
        <v>61</v>
      </c>
      <c r="I201" s="65"/>
      <c r="K201" s="24"/>
      <c r="L201" s="24"/>
    </row>
    <row r="202" spans="3:12">
      <c r="D202" s="304">
        <f>D201*5</f>
        <v>15</v>
      </c>
      <c r="E202" s="303" t="s">
        <v>2082</v>
      </c>
      <c r="I202" s="65"/>
      <c r="K202" s="24"/>
      <c r="L202" s="24"/>
    </row>
    <row r="203" spans="3:12" ht="19">
      <c r="D203" s="54"/>
      <c r="E203" s="355"/>
      <c r="I203" s="65"/>
      <c r="K203" s="24"/>
      <c r="L203" s="24"/>
    </row>
    <row r="204" spans="3:12" ht="19">
      <c r="D204" s="54"/>
      <c r="E204" s="355"/>
      <c r="I204" s="357"/>
      <c r="K204" s="24"/>
      <c r="L204" s="24"/>
    </row>
    <row r="205" spans="3:12">
      <c r="D205" s="354">
        <v>2</v>
      </c>
      <c r="E205" s="43" t="s">
        <v>1288</v>
      </c>
      <c r="H205" s="266"/>
      <c r="J205" s="65"/>
      <c r="K205" s="24"/>
      <c r="L205" s="24"/>
    </row>
    <row r="206" spans="3:12">
      <c r="D206" s="3228">
        <f>D202*D199</f>
        <v>15</v>
      </c>
      <c r="E206" s="43" t="s">
        <v>292</v>
      </c>
      <c r="H206" s="266"/>
      <c r="J206" s="65"/>
      <c r="K206" s="24"/>
      <c r="L206" s="24"/>
    </row>
    <row r="207" spans="3:12">
      <c r="D207" s="54">
        <f>'Overall Assumptions'!$C$10</f>
        <v>0</v>
      </c>
      <c r="E207" s="43" t="s">
        <v>85</v>
      </c>
      <c r="J207" s="65"/>
      <c r="K207" s="24"/>
      <c r="L207" s="24"/>
    </row>
    <row r="208" spans="3:12">
      <c r="D208" s="54">
        <f>'Overall Assumptions'!$C$90</f>
        <v>80</v>
      </c>
      <c r="E208" s="43" t="s">
        <v>86</v>
      </c>
      <c r="J208" s="65"/>
      <c r="K208" s="24"/>
      <c r="L208" s="24"/>
    </row>
    <row r="209" spans="3:12">
      <c r="D209" s="56">
        <f>'Overall Assumptions'!$C$81</f>
        <v>210</v>
      </c>
      <c r="E209" s="45" t="s">
        <v>87</v>
      </c>
      <c r="J209" s="65"/>
      <c r="K209" s="24"/>
      <c r="L209" s="24"/>
    </row>
    <row r="210" spans="3:12">
      <c r="D210" s="57"/>
      <c r="J210" s="65"/>
      <c r="K210" s="24"/>
      <c r="L210" s="24"/>
    </row>
    <row r="211" spans="3:12">
      <c r="C211" s="21"/>
      <c r="D211" s="296">
        <f>2*D207/D208/7.5</f>
        <v>0</v>
      </c>
      <c r="E211" s="59" t="s">
        <v>95</v>
      </c>
      <c r="J211" s="259"/>
      <c r="K211" s="16"/>
      <c r="L211" s="16"/>
    </row>
    <row r="212" spans="3:12">
      <c r="C212" s="21"/>
      <c r="D212" s="296"/>
      <c r="E212" s="60" t="s">
        <v>100</v>
      </c>
      <c r="J212" s="65"/>
      <c r="K212" s="24"/>
      <c r="L212" s="24"/>
    </row>
    <row r="213" spans="3:12">
      <c r="C213" s="21"/>
      <c r="D213" s="296">
        <f>D206</f>
        <v>15</v>
      </c>
      <c r="E213" s="16" t="s">
        <v>295</v>
      </c>
    </row>
    <row r="214" spans="3:12">
      <c r="C214" s="21"/>
      <c r="D214" s="3158"/>
      <c r="E214" s="59"/>
    </row>
    <row r="215" spans="3:12" ht="28">
      <c r="C215" s="21"/>
      <c r="D215" s="296">
        <f>D211+D213+D214</f>
        <v>15</v>
      </c>
      <c r="E215" s="16" t="s">
        <v>157</v>
      </c>
      <c r="F215" s="19"/>
    </row>
    <row r="216" spans="3:12">
      <c r="E216" s="16" t="s">
        <v>88</v>
      </c>
    </row>
    <row r="217" spans="3:12">
      <c r="D217" s="77">
        <f>D215*D205</f>
        <v>30</v>
      </c>
      <c r="E217" s="16" t="s">
        <v>133</v>
      </c>
    </row>
    <row r="218" spans="3:12">
      <c r="D218" s="77"/>
    </row>
    <row r="219" spans="3:12">
      <c r="C219" s="21"/>
      <c r="D219" s="64">
        <f>D217*D198</f>
        <v>6750</v>
      </c>
      <c r="E219" s="39" t="s">
        <v>486</v>
      </c>
      <c r="H219" s="1"/>
      <c r="I219" s="1"/>
    </row>
    <row r="220" spans="3:12">
      <c r="C220" s="21"/>
      <c r="D220" s="2791"/>
      <c r="E220" s="2791"/>
      <c r="H220" s="432"/>
      <c r="I220" s="432"/>
    </row>
    <row r="221" spans="3:12">
      <c r="C221" s="21"/>
      <c r="D221" s="2791"/>
      <c r="E221" s="2791"/>
      <c r="H221" s="432"/>
      <c r="I221" s="432"/>
    </row>
    <row r="222" spans="3:12" ht="19">
      <c r="C222" s="2791" t="s">
        <v>132</v>
      </c>
      <c r="D222" s="37" t="s">
        <v>89</v>
      </c>
    </row>
    <row r="223" spans="3:12">
      <c r="C223" s="2791" t="s">
        <v>54</v>
      </c>
      <c r="D223" s="160" t="s">
        <v>296</v>
      </c>
    </row>
    <row r="224" spans="3:12">
      <c r="D224" s="160"/>
    </row>
    <row r="225" spans="4:7">
      <c r="D225" s="16"/>
    </row>
    <row r="226" spans="4:7">
      <c r="D226" s="67" t="s">
        <v>91</v>
      </c>
      <c r="E226" s="41"/>
    </row>
    <row r="227" spans="4:7">
      <c r="D227" s="52">
        <f>'Overall Assumptions'!$C$93</f>
        <v>285</v>
      </c>
      <c r="E227" s="41" t="s">
        <v>93</v>
      </c>
    </row>
    <row r="228" spans="4:7">
      <c r="D228" s="54"/>
      <c r="E228" s="43"/>
    </row>
    <row r="229" spans="4:7">
      <c r="D229" s="54"/>
      <c r="E229" s="43"/>
    </row>
    <row r="230" spans="4:7">
      <c r="D230" s="56"/>
      <c r="E230" s="45"/>
    </row>
    <row r="231" spans="4:7">
      <c r="D231" s="75"/>
    </row>
    <row r="232" spans="4:7">
      <c r="D232" s="46">
        <f>D211*D228</f>
        <v>0</v>
      </c>
      <c r="E232" s="59" t="s">
        <v>97</v>
      </c>
    </row>
    <row r="233" spans="4:7">
      <c r="D233" s="46">
        <f>D213</f>
        <v>15</v>
      </c>
      <c r="E233" s="59" t="s">
        <v>98</v>
      </c>
    </row>
    <row r="234" spans="4:7">
      <c r="D234" s="46"/>
      <c r="E234" s="59"/>
    </row>
    <row r="235" spans="4:7">
      <c r="D235" s="46">
        <f>SUM(D232:D234)</f>
        <v>15</v>
      </c>
      <c r="E235" s="59" t="s">
        <v>983</v>
      </c>
    </row>
    <row r="236" spans="4:7">
      <c r="D236" s="63"/>
    </row>
    <row r="237" spans="4:7">
      <c r="D237" s="63"/>
    </row>
    <row r="238" spans="4:7">
      <c r="D238" s="68">
        <f>D235*D227</f>
        <v>4275</v>
      </c>
      <c r="E238" s="47" t="s">
        <v>53</v>
      </c>
    </row>
    <row r="239" spans="4:7">
      <c r="D239" s="2791"/>
      <c r="E239" s="2791"/>
    </row>
    <row r="240" spans="4:7">
      <c r="D240" s="2791">
        <f>ROUNDUP(D235/21,0)</f>
        <v>1</v>
      </c>
      <c r="E240" s="359" t="s">
        <v>739</v>
      </c>
      <c r="G240" s="2791"/>
    </row>
    <row r="241" spans="3:14">
      <c r="D241" s="532">
        <f>D235</f>
        <v>15</v>
      </c>
      <c r="E241" s="359" t="s">
        <v>793</v>
      </c>
      <c r="F241" s="532"/>
      <c r="G241" s="2791"/>
    </row>
    <row r="242" spans="3:14">
      <c r="D242" s="2791"/>
      <c r="E242" s="2791"/>
    </row>
    <row r="243" spans="3:14">
      <c r="C243" s="225" t="s">
        <v>70</v>
      </c>
      <c r="D243" s="230"/>
      <c r="E243" s="224" t="s">
        <v>156</v>
      </c>
      <c r="F243" s="212"/>
      <c r="G243" s="1108"/>
      <c r="H243" s="212"/>
      <c r="I243" s="432"/>
    </row>
    <row r="244" spans="3:14">
      <c r="C244" s="212"/>
      <c r="D244" s="230"/>
      <c r="E244" s="224"/>
      <c r="F244" s="212"/>
      <c r="G244" s="1108"/>
      <c r="H244" s="212"/>
      <c r="I244" s="432"/>
    </row>
    <row r="245" spans="3:14">
      <c r="C245" s="212"/>
      <c r="D245" s="230"/>
      <c r="E245" s="224"/>
      <c r="F245" s="212"/>
      <c r="G245" s="1108"/>
      <c r="H245" s="212"/>
      <c r="I245" s="432"/>
    </row>
    <row r="246" spans="3:14">
      <c r="C246" s="212"/>
      <c r="D246" s="222">
        <f>D215</f>
        <v>15</v>
      </c>
      <c r="E246" s="213" t="s">
        <v>157</v>
      </c>
      <c r="F246" s="212"/>
      <c r="G246" s="1108"/>
      <c r="H246" s="212"/>
      <c r="I246" s="432"/>
    </row>
    <row r="247" spans="3:14">
      <c r="C247" s="212"/>
      <c r="D247" s="229">
        <f>FLOOR(D246,1)</f>
        <v>15</v>
      </c>
      <c r="E247" s="213" t="s">
        <v>73</v>
      </c>
      <c r="F247" s="212"/>
      <c r="G247" s="1108"/>
      <c r="H247" s="212"/>
      <c r="I247" s="432"/>
    </row>
    <row r="248" spans="3:14">
      <c r="C248" s="212"/>
      <c r="D248" s="228">
        <f>D247*D205</f>
        <v>30</v>
      </c>
      <c r="E248" s="214" t="s">
        <v>175</v>
      </c>
      <c r="F248" s="212"/>
      <c r="G248" s="1108"/>
      <c r="H248" s="212"/>
      <c r="I248" s="432"/>
    </row>
    <row r="249" spans="3:14">
      <c r="C249" s="212"/>
      <c r="D249" s="227"/>
      <c r="E249" s="214" t="s">
        <v>88</v>
      </c>
      <c r="F249" s="212"/>
      <c r="G249" s="1108"/>
      <c r="H249" s="212"/>
    </row>
    <row r="250" spans="3:14">
      <c r="C250" s="212"/>
      <c r="D250" s="226">
        <f>D248*D209</f>
        <v>6300</v>
      </c>
      <c r="E250" s="221" t="s">
        <v>74</v>
      </c>
      <c r="F250" s="212"/>
      <c r="G250" s="1108"/>
      <c r="H250" s="212"/>
      <c r="J250" s="1"/>
      <c r="K250" s="1"/>
      <c r="L250" s="1"/>
      <c r="M250" s="1"/>
      <c r="N250" s="1"/>
    </row>
    <row r="251" spans="3:14">
      <c r="D251" s="282"/>
      <c r="K251" s="90"/>
      <c r="L251" s="90"/>
      <c r="M251" s="432"/>
      <c r="N251" s="432"/>
    </row>
    <row r="252" spans="3:14">
      <c r="D252" s="283"/>
      <c r="E252" s="3229"/>
      <c r="F252" s="60"/>
      <c r="K252" s="90"/>
      <c r="L252" s="90"/>
      <c r="M252" s="432"/>
      <c r="N252" s="432"/>
    </row>
    <row r="253" spans="3:14">
      <c r="D253" s="283"/>
      <c r="K253" s="90"/>
      <c r="L253" s="90"/>
      <c r="M253" s="432"/>
      <c r="N253" s="432"/>
    </row>
    <row r="254" spans="3:14">
      <c r="D254" s="617" t="s">
        <v>172</v>
      </c>
      <c r="E254" s="618" t="s">
        <v>155</v>
      </c>
      <c r="F254" s="618" t="s">
        <v>174</v>
      </c>
      <c r="G254" s="1103" t="s">
        <v>166</v>
      </c>
      <c r="H254" s="619" t="s">
        <v>69</v>
      </c>
      <c r="M254" s="432"/>
      <c r="N254" s="432"/>
    </row>
    <row r="255" spans="3:14">
      <c r="D255" s="404" t="s">
        <v>3</v>
      </c>
      <c r="E255" s="90">
        <f>D217</f>
        <v>30</v>
      </c>
      <c r="G255" s="1099">
        <f>D219</f>
        <v>6750</v>
      </c>
      <c r="H255" s="432" t="str">
        <f>E219</f>
        <v>Cost for labour</v>
      </c>
      <c r="I255" s="2791">
        <f>D191</f>
        <v>20</v>
      </c>
    </row>
    <row r="256" spans="3:14">
      <c r="D256" s="404" t="s">
        <v>132</v>
      </c>
      <c r="E256" s="90">
        <f>D235</f>
        <v>15</v>
      </c>
      <c r="F256" s="531"/>
      <c r="G256" s="1099">
        <f>D238</f>
        <v>4275</v>
      </c>
      <c r="H256" s="432" t="str">
        <f>E238</f>
        <v>Cost for ute hire for the whole activity</v>
      </c>
      <c r="I256" s="2791">
        <f>I255</f>
        <v>20</v>
      </c>
    </row>
    <row r="257" spans="3:12">
      <c r="D257" s="404" t="s">
        <v>169</v>
      </c>
      <c r="E257" s="90">
        <f>D248</f>
        <v>30</v>
      </c>
      <c r="F257" s="531"/>
      <c r="G257" s="1099">
        <f>D250</f>
        <v>6300</v>
      </c>
      <c r="H257" s="432" t="str">
        <f>E250</f>
        <v>Accomodation + Food Cost</v>
      </c>
      <c r="I257" s="2791">
        <f>I256</f>
        <v>20</v>
      </c>
    </row>
    <row r="258" spans="3:12">
      <c r="D258" s="405"/>
      <c r="E258" s="439"/>
      <c r="F258" s="439"/>
      <c r="G258" s="3230">
        <f>SUM(G255:G257)</f>
        <v>17325</v>
      </c>
      <c r="H258" s="623" t="s">
        <v>165</v>
      </c>
    </row>
    <row r="259" spans="3:12">
      <c r="D259" s="2791"/>
      <c r="E259" s="2791"/>
      <c r="G259" s="1099"/>
      <c r="H259" s="432"/>
    </row>
    <row r="260" spans="3:12" s="3231" customFormat="1">
      <c r="D260" s="352"/>
      <c r="E260" s="3232"/>
      <c r="G260" s="3233"/>
    </row>
    <row r="261" spans="3:12" s="7" customFormat="1">
      <c r="D261" s="977"/>
      <c r="E261" s="35"/>
      <c r="G261" s="1089"/>
    </row>
    <row r="262" spans="3:12">
      <c r="C262" s="198" t="s">
        <v>2124</v>
      </c>
      <c r="D262" s="825"/>
      <c r="E262" s="825"/>
      <c r="F262" s="16"/>
    </row>
    <row r="263" spans="3:12">
      <c r="C263" s="198" t="s">
        <v>2123</v>
      </c>
      <c r="D263" s="825"/>
      <c r="E263" s="825"/>
    </row>
    <row r="264" spans="3:12">
      <c r="D264" s="2751" t="s">
        <v>2070</v>
      </c>
      <c r="E264" s="825"/>
    </row>
    <row r="265" spans="3:12">
      <c r="C265" s="233"/>
      <c r="D265" s="2752" t="s">
        <v>2072</v>
      </c>
      <c r="E265" s="2791"/>
      <c r="G265" s="2791"/>
      <c r="J265" s="65"/>
      <c r="K265" s="24"/>
      <c r="L265" s="24"/>
    </row>
    <row r="266" spans="3:12">
      <c r="C266" s="233"/>
      <c r="D266" s="2753" t="s">
        <v>2073</v>
      </c>
      <c r="E266" s="2791"/>
      <c r="G266" s="2791"/>
      <c r="J266" s="65"/>
      <c r="K266" s="24"/>
      <c r="L266" s="24"/>
    </row>
    <row r="267" spans="3:12">
      <c r="C267" s="233"/>
      <c r="D267" s="2754" t="s">
        <v>2074</v>
      </c>
      <c r="E267" s="2791"/>
      <c r="G267" s="2791"/>
      <c r="J267" s="65"/>
      <c r="K267" s="24"/>
      <c r="L267" s="24"/>
    </row>
    <row r="268" spans="3:12">
      <c r="C268" s="233"/>
      <c r="D268" s="2754" t="s">
        <v>2075</v>
      </c>
      <c r="E268" s="2791"/>
      <c r="G268" s="2791"/>
      <c r="J268" s="65"/>
      <c r="K268" s="24"/>
      <c r="L268" s="24"/>
    </row>
    <row r="269" spans="3:12">
      <c r="C269" s="233"/>
      <c r="D269" s="2752" t="s">
        <v>2079</v>
      </c>
      <c r="E269" s="2791"/>
      <c r="G269" s="2791"/>
      <c r="J269" s="65"/>
      <c r="K269" s="24"/>
      <c r="L269" s="24"/>
    </row>
    <row r="270" spans="3:12">
      <c r="C270" s="233"/>
      <c r="D270" s="2753" t="s">
        <v>2076</v>
      </c>
      <c r="E270" s="2791"/>
      <c r="G270" s="2791"/>
      <c r="J270" s="65"/>
      <c r="K270" s="24"/>
      <c r="L270" s="24"/>
    </row>
    <row r="271" spans="3:12">
      <c r="C271" s="233"/>
      <c r="D271" s="2754" t="s">
        <v>2077</v>
      </c>
      <c r="E271" s="2791"/>
      <c r="G271" s="2791"/>
      <c r="J271" s="65"/>
      <c r="K271" s="24"/>
      <c r="L271" s="24"/>
    </row>
    <row r="272" spans="3:12">
      <c r="C272" s="233"/>
      <c r="D272" s="2754" t="s">
        <v>2078</v>
      </c>
      <c r="E272" s="2791"/>
      <c r="G272" s="2791"/>
      <c r="J272" s="65"/>
      <c r="K272" s="24"/>
      <c r="L272" s="24"/>
    </row>
    <row r="273" spans="3:12">
      <c r="C273" s="233"/>
      <c r="D273" s="2754"/>
      <c r="E273" s="2791"/>
      <c r="G273" s="2791"/>
      <c r="J273" s="65"/>
      <c r="K273" s="24"/>
      <c r="L273" s="24"/>
    </row>
    <row r="274" spans="3:12">
      <c r="C274" s="233"/>
      <c r="D274" s="2754"/>
      <c r="E274" s="2791"/>
      <c r="G274" s="2791"/>
      <c r="J274" s="65"/>
      <c r="K274" s="24"/>
      <c r="L274" s="24"/>
    </row>
    <row r="275" spans="3:12">
      <c r="C275" s="233"/>
      <c r="D275" s="592" t="s">
        <v>179</v>
      </c>
      <c r="E275" s="274"/>
      <c r="G275" s="2791"/>
      <c r="J275" s="65"/>
      <c r="K275" s="24"/>
      <c r="L275" s="24"/>
    </row>
    <row r="276" spans="3:12">
      <c r="C276" s="233"/>
      <c r="D276" s="2756">
        <f>$H$8</f>
        <v>1</v>
      </c>
      <c r="E276" s="2791" t="s">
        <v>2083</v>
      </c>
      <c r="G276" s="2791"/>
      <c r="J276" s="65"/>
      <c r="K276" s="24"/>
      <c r="L276" s="24"/>
    </row>
    <row r="277" spans="3:12">
      <c r="C277" s="233"/>
      <c r="D277" s="2949">
        <f>$H$10</f>
        <v>0.33333333333333331</v>
      </c>
      <c r="E277" s="246" t="s">
        <v>2053</v>
      </c>
      <c r="G277" s="2791"/>
      <c r="J277" s="65"/>
      <c r="K277" s="24"/>
      <c r="L277" s="24"/>
    </row>
    <row r="278" spans="3:12">
      <c r="C278" s="233"/>
      <c r="D278" s="2725">
        <f>$H$11</f>
        <v>0.2</v>
      </c>
      <c r="E278" s="246" t="s">
        <v>2054</v>
      </c>
      <c r="G278" s="2791"/>
      <c r="J278" s="65"/>
      <c r="K278" s="24"/>
      <c r="L278" s="24"/>
    </row>
    <row r="279" spans="3:12">
      <c r="C279" s="233"/>
      <c r="D279" s="2725">
        <f>$H$12</f>
        <v>0.8</v>
      </c>
      <c r="E279" s="246" t="s">
        <v>2055</v>
      </c>
      <c r="G279" s="2791"/>
      <c r="J279" s="65"/>
      <c r="K279" s="24"/>
      <c r="L279" s="24"/>
    </row>
    <row r="280" spans="3:12">
      <c r="C280" s="233"/>
      <c r="D280" s="1674"/>
      <c r="E280" s="246"/>
      <c r="G280" s="2791"/>
      <c r="J280" s="65"/>
      <c r="K280" s="24"/>
      <c r="L280" s="24"/>
    </row>
    <row r="281" spans="3:12">
      <c r="C281" s="233"/>
      <c r="D281" s="2724">
        <f>D277*D278</f>
        <v>6.6666666666666666E-2</v>
      </c>
      <c r="E281" s="246" t="s">
        <v>2080</v>
      </c>
      <c r="G281" s="2791"/>
      <c r="J281" s="489" t="s">
        <v>2344</v>
      </c>
      <c r="K281" s="24"/>
      <c r="L281" s="24"/>
    </row>
    <row r="282" spans="3:12">
      <c r="C282" s="233"/>
      <c r="D282" s="2750">
        <f>D277*D279</f>
        <v>0.26666666666666666</v>
      </c>
      <c r="E282" s="45" t="s">
        <v>2051</v>
      </c>
      <c r="G282" s="2791"/>
      <c r="J282" s="24" t="s">
        <v>2341</v>
      </c>
      <c r="K282" s="24"/>
      <c r="L282" s="24"/>
    </row>
    <row r="283" spans="3:12">
      <c r="C283" s="233"/>
      <c r="D283" s="1394" t="s">
        <v>2152</v>
      </c>
      <c r="E283" s="2791"/>
      <c r="G283" s="2791"/>
      <c r="J283" s="65" t="s">
        <v>2342</v>
      </c>
      <c r="K283" s="2953" t="s">
        <v>2343</v>
      </c>
      <c r="L283" s="24"/>
    </row>
    <row r="284" spans="3:12">
      <c r="C284" s="233"/>
      <c r="D284" s="3234"/>
      <c r="E284" s="46"/>
      <c r="G284" s="2791"/>
      <c r="I284" s="2791" t="s">
        <v>2337</v>
      </c>
      <c r="J284" s="65">
        <v>650000</v>
      </c>
      <c r="K284" s="16">
        <v>1400000</v>
      </c>
      <c r="L284" s="24"/>
    </row>
    <row r="285" spans="3:12">
      <c r="C285" s="233"/>
      <c r="D285" s="46"/>
      <c r="E285" s="46"/>
      <c r="G285" s="2791"/>
      <c r="I285" s="2791" t="s">
        <v>2338</v>
      </c>
      <c r="J285" s="65">
        <f>J284*0.7</f>
        <v>455000</v>
      </c>
      <c r="K285" s="65">
        <f>K284*0.7</f>
        <v>979999.99999999988</v>
      </c>
      <c r="L285" s="24"/>
    </row>
    <row r="286" spans="3:12">
      <c r="C286" s="233"/>
      <c r="D286" s="217"/>
      <c r="E286" s="46"/>
      <c r="G286" s="2791"/>
      <c r="I286" s="2791" t="s">
        <v>2339</v>
      </c>
      <c r="J286" s="3563">
        <f>'Overall Assumptions'!$C$25</f>
        <v>1.4999999999999999E-2</v>
      </c>
      <c r="K286" s="3563">
        <f>'Overall Assumptions'!$C$25</f>
        <v>1.4999999999999999E-2</v>
      </c>
      <c r="L286" s="24"/>
    </row>
    <row r="287" spans="3:12">
      <c r="C287" s="233"/>
      <c r="D287" s="237"/>
      <c r="E287" s="46"/>
      <c r="G287" s="2791"/>
      <c r="I287" s="2791" t="s">
        <v>2340</v>
      </c>
      <c r="J287" s="3552">
        <f>2020-2010</f>
        <v>10</v>
      </c>
      <c r="K287" s="3552">
        <f>2020-2010</f>
        <v>10</v>
      </c>
      <c r="L287" s="24"/>
    </row>
    <row r="288" spans="3:12">
      <c r="D288" s="237"/>
      <c r="E288" s="2791"/>
      <c r="G288" s="2791"/>
      <c r="J288" s="3565">
        <f>J285*(1+J286)^J287</f>
        <v>528046.07538644259</v>
      </c>
      <c r="K288" s="3565">
        <f>K285*(1+K286)^K287</f>
        <v>1137330.0085246454</v>
      </c>
      <c r="L288" s="24"/>
    </row>
    <row r="289" spans="4:12">
      <c r="D289" s="46"/>
      <c r="E289" s="46"/>
      <c r="G289" s="2791"/>
      <c r="J289" s="3564">
        <v>530000</v>
      </c>
      <c r="K289" s="2426">
        <v>1140000</v>
      </c>
      <c r="L289" s="24"/>
    </row>
    <row r="290" spans="4:12">
      <c r="D290" s="46"/>
      <c r="E290" s="46"/>
      <c r="G290" s="2791"/>
    </row>
    <row r="291" spans="4:12">
      <c r="D291" s="3235" t="s">
        <v>2050</v>
      </c>
      <c r="E291" s="3236"/>
      <c r="F291" s="3237" t="s">
        <v>2051</v>
      </c>
      <c r="G291" s="3237"/>
      <c r="H291" s="274"/>
    </row>
    <row r="292" spans="4:12">
      <c r="D292" s="2726">
        <f>D281</f>
        <v>6.6666666666666666E-2</v>
      </c>
      <c r="E292" s="2755"/>
      <c r="F292" s="2726">
        <f>D282</f>
        <v>0.26666666666666666</v>
      </c>
      <c r="G292" s="3238"/>
      <c r="H292" s="43" t="s">
        <v>2052</v>
      </c>
    </row>
    <row r="293" spans="4:12">
      <c r="D293" s="1421">
        <v>1</v>
      </c>
      <c r="E293" s="2747"/>
      <c r="F293" s="1421">
        <v>1</v>
      </c>
      <c r="G293" s="2747"/>
      <c r="H293" s="43" t="s">
        <v>1183</v>
      </c>
    </row>
    <row r="294" spans="4:12">
      <c r="D294" s="1422">
        <v>30</v>
      </c>
      <c r="E294" s="100"/>
      <c r="F294" s="1422">
        <v>60</v>
      </c>
      <c r="G294" s="100"/>
      <c r="H294" s="246" t="s">
        <v>2056</v>
      </c>
    </row>
    <row r="295" spans="4:12">
      <c r="D295" s="3561">
        <f>J289</f>
        <v>530000</v>
      </c>
      <c r="E295" s="3562"/>
      <c r="F295" s="3561">
        <f>K289</f>
        <v>1140000</v>
      </c>
      <c r="G295" s="2748"/>
      <c r="H295" s="3239" t="s">
        <v>2057</v>
      </c>
    </row>
    <row r="296" spans="4:12">
      <c r="D296" s="1431">
        <v>20</v>
      </c>
      <c r="E296" s="3240"/>
      <c r="F296" s="1431">
        <v>20</v>
      </c>
      <c r="G296" s="3240"/>
      <c r="H296" s="153" t="s">
        <v>1194</v>
      </c>
    </row>
    <row r="297" spans="4:12">
      <c r="D297" s="3241"/>
      <c r="E297" s="3240"/>
      <c r="F297" s="3241"/>
      <c r="G297" s="3240"/>
      <c r="H297" s="153"/>
    </row>
    <row r="298" spans="4:12">
      <c r="D298" s="2758">
        <f>D276</f>
        <v>1</v>
      </c>
      <c r="E298" s="2759"/>
      <c r="F298" s="2758">
        <f>D276</f>
        <v>1</v>
      </c>
      <c r="G298" s="1434"/>
      <c r="H298" s="41" t="s">
        <v>2085</v>
      </c>
      <c r="I298" s="216"/>
    </row>
    <row r="299" spans="4:12">
      <c r="D299" s="3242">
        <f>D294*D298*D315</f>
        <v>60</v>
      </c>
      <c r="E299" s="3243"/>
      <c r="F299" s="3242">
        <f>F294*F298*D315</f>
        <v>120</v>
      </c>
      <c r="G299" s="3243"/>
      <c r="H299" s="3244" t="s">
        <v>2086</v>
      </c>
      <c r="I299" s="216"/>
    </row>
    <row r="300" spans="4:12">
      <c r="D300" s="3245"/>
      <c r="E300" s="796"/>
      <c r="F300" s="2763">
        <v>5</v>
      </c>
      <c r="G300" s="796"/>
      <c r="H300" s="200" t="s">
        <v>1196</v>
      </c>
    </row>
    <row r="301" spans="4:12">
      <c r="D301" s="2761"/>
      <c r="E301" s="290"/>
      <c r="F301" s="1424">
        <v>100000</v>
      </c>
      <c r="G301" s="290"/>
      <c r="H301" s="43" t="s">
        <v>459</v>
      </c>
    </row>
    <row r="302" spans="4:12">
      <c r="D302" s="405"/>
      <c r="E302" s="439"/>
      <c r="F302" s="527">
        <v>5</v>
      </c>
      <c r="G302" s="439"/>
      <c r="H302" s="162" t="s">
        <v>2087</v>
      </c>
      <c r="I302" s="216"/>
    </row>
    <row r="303" spans="4:12">
      <c r="D303" s="2791"/>
      <c r="E303" s="2791"/>
      <c r="I303" s="216"/>
    </row>
    <row r="304" spans="4:12">
      <c r="D304" s="2791"/>
      <c r="E304" s="2791"/>
      <c r="I304" s="216"/>
    </row>
    <row r="305" spans="3:23">
      <c r="C305" s="402" t="s">
        <v>1201</v>
      </c>
      <c r="D305" s="255" t="s">
        <v>2050</v>
      </c>
      <c r="E305" s="161"/>
      <c r="F305" s="255" t="s">
        <v>2122</v>
      </c>
      <c r="G305" s="161"/>
      <c r="I305" s="216"/>
    </row>
    <row r="306" spans="3:23">
      <c r="C306" s="404"/>
      <c r="D306" s="2791"/>
      <c r="E306" s="246"/>
      <c r="G306" s="246"/>
      <c r="I306" s="216"/>
    </row>
    <row r="307" spans="3:23">
      <c r="C307" s="405"/>
      <c r="D307" s="338">
        <f>D295*D298</f>
        <v>530000</v>
      </c>
      <c r="E307" s="1264"/>
      <c r="F307" s="338">
        <f>F295*F298</f>
        <v>1140000</v>
      </c>
      <c r="G307" s="1264"/>
      <c r="I307" s="216"/>
    </row>
    <row r="308" spans="3:23">
      <c r="D308" s="2791"/>
      <c r="E308" s="2791"/>
      <c r="G308" s="2791"/>
      <c r="I308" s="216"/>
    </row>
    <row r="309" spans="3:23">
      <c r="D309" s="2274"/>
      <c r="E309" s="2791"/>
      <c r="F309" s="2274"/>
      <c r="G309" s="2791"/>
      <c r="I309" s="216"/>
    </row>
    <row r="310" spans="3:23">
      <c r="D310" s="2791"/>
      <c r="E310" s="24"/>
      <c r="G310" s="1107"/>
      <c r="H310" s="3227"/>
      <c r="I310" s="216"/>
    </row>
    <row r="311" spans="3:23" ht="19">
      <c r="C311" s="2791" t="s">
        <v>132</v>
      </c>
      <c r="D311" s="37" t="s">
        <v>89</v>
      </c>
      <c r="W311" s="3"/>
    </row>
    <row r="312" spans="3:23">
      <c r="C312" s="2791" t="s">
        <v>54</v>
      </c>
      <c r="D312" s="160" t="s">
        <v>296</v>
      </c>
      <c r="W312" s="3"/>
    </row>
    <row r="313" spans="3:23">
      <c r="D313" s="50"/>
      <c r="J313" s="212"/>
      <c r="K313" s="212"/>
      <c r="L313" s="212"/>
    </row>
    <row r="314" spans="3:23">
      <c r="D314" s="484" t="s">
        <v>82</v>
      </c>
      <c r="E314" s="41"/>
      <c r="H314" s="212"/>
      <c r="I314" s="212"/>
      <c r="J314" s="216"/>
      <c r="K314" s="216"/>
      <c r="L314" s="216"/>
    </row>
    <row r="315" spans="3:23">
      <c r="D315" s="354">
        <v>2</v>
      </c>
      <c r="E315" s="43" t="s">
        <v>84</v>
      </c>
      <c r="I315" s="978"/>
    </row>
    <row r="316" spans="3:23">
      <c r="D316" s="404"/>
      <c r="E316" s="246"/>
    </row>
    <row r="317" spans="3:23">
      <c r="D317" s="54">
        <f>'Overall Assumptions'!$C$10</f>
        <v>0</v>
      </c>
      <c r="E317" s="43" t="s">
        <v>85</v>
      </c>
    </row>
    <row r="318" spans="3:23">
      <c r="D318" s="54">
        <f>'Overall Assumptions'!$C$90</f>
        <v>80</v>
      </c>
      <c r="E318" s="43" t="s">
        <v>86</v>
      </c>
    </row>
    <row r="319" spans="3:23">
      <c r="D319" s="56">
        <f>'Overall Assumptions'!$C$81</f>
        <v>210</v>
      </c>
      <c r="E319" s="45" t="s">
        <v>87</v>
      </c>
    </row>
    <row r="320" spans="3:23">
      <c r="D320" s="52">
        <f>'Overall Assumptions'!$C$93</f>
        <v>285</v>
      </c>
      <c r="E320" s="41" t="s">
        <v>93</v>
      </c>
    </row>
    <row r="321" spans="3:9">
      <c r="D321" s="354">
        <v>1</v>
      </c>
      <c r="E321" s="43" t="s">
        <v>995</v>
      </c>
    </row>
    <row r="322" spans="3:9">
      <c r="D322" s="56"/>
      <c r="E322" s="45"/>
    </row>
    <row r="323" spans="3:9">
      <c r="D323" s="2791"/>
      <c r="E323" s="2791"/>
    </row>
    <row r="324" spans="3:9">
      <c r="D324" s="2791" t="str">
        <f>D291</f>
        <v>Removal of barrier</v>
      </c>
      <c r="E324" s="2791"/>
    </row>
    <row r="325" spans="3:9">
      <c r="D325" s="296">
        <f>2*D317/D318/7.5</f>
        <v>0</v>
      </c>
      <c r="E325" s="3158"/>
      <c r="F325" s="3158">
        <f>E325</f>
        <v>0</v>
      </c>
      <c r="G325" s="3158"/>
      <c r="H325" s="693" t="s">
        <v>97</v>
      </c>
    </row>
    <row r="326" spans="3:9">
      <c r="D326" s="296">
        <f>D294</f>
        <v>30</v>
      </c>
      <c r="E326" s="296"/>
      <c r="F326" s="296">
        <f t="shared" ref="F326" si="64">F294</f>
        <v>60</v>
      </c>
      <c r="G326" s="296"/>
      <c r="H326" s="693" t="s">
        <v>98</v>
      </c>
    </row>
    <row r="327" spans="3:9">
      <c r="D327" s="46"/>
      <c r="E327" s="2791"/>
      <c r="G327" s="2791"/>
      <c r="H327" s="693"/>
    </row>
    <row r="328" spans="3:9">
      <c r="D328" s="46">
        <f>SUM(D325:D327)</f>
        <v>30</v>
      </c>
      <c r="E328" s="46"/>
      <c r="F328" s="46">
        <f>SUM(F325:F327)</f>
        <v>60</v>
      </c>
      <c r="G328" s="46"/>
      <c r="H328" s="693" t="s">
        <v>135</v>
      </c>
    </row>
    <row r="329" spans="3:9">
      <c r="D329" s="63"/>
      <c r="F329" s="16"/>
      <c r="G329" s="16"/>
      <c r="H329" s="359"/>
    </row>
    <row r="330" spans="3:9">
      <c r="D330" s="63"/>
      <c r="F330" s="16"/>
      <c r="G330" s="16"/>
      <c r="H330" s="359"/>
    </row>
    <row r="331" spans="3:9">
      <c r="C331" s="1" t="s">
        <v>998</v>
      </c>
      <c r="D331" s="68">
        <f>D328*$D320*$D321</f>
        <v>8550</v>
      </c>
      <c r="E331" s="68"/>
      <c r="F331" s="68">
        <f>F328*$D320*$D321</f>
        <v>17100</v>
      </c>
      <c r="G331" s="68"/>
      <c r="H331" s="1126" t="s">
        <v>53</v>
      </c>
    </row>
    <row r="332" spans="3:9">
      <c r="D332" s="46">
        <f>D328</f>
        <v>30</v>
      </c>
      <c r="E332" s="46"/>
      <c r="F332" s="46">
        <f>F328</f>
        <v>60</v>
      </c>
      <c r="G332" s="46"/>
      <c r="H332" s="359" t="s">
        <v>795</v>
      </c>
    </row>
    <row r="333" spans="3:9">
      <c r="D333" s="75">
        <f>ROUNDUP((D332/21),0)</f>
        <v>2</v>
      </c>
      <c r="E333" s="75"/>
      <c r="F333" s="75">
        <f>ROUNDUP((F332/21),0)</f>
        <v>3</v>
      </c>
      <c r="G333" s="75"/>
      <c r="H333" s="99" t="s">
        <v>739</v>
      </c>
    </row>
    <row r="334" spans="3:9">
      <c r="D334" s="75"/>
      <c r="E334" s="75"/>
      <c r="F334" s="75"/>
      <c r="G334" s="75"/>
      <c r="H334" s="99"/>
    </row>
    <row r="335" spans="3:9">
      <c r="C335" s="225" t="s">
        <v>70</v>
      </c>
      <c r="D335" s="230"/>
      <c r="E335" s="224"/>
      <c r="F335" s="224" t="s">
        <v>156</v>
      </c>
      <c r="G335" s="224"/>
      <c r="H335" s="1108"/>
      <c r="I335" s="432"/>
    </row>
    <row r="336" spans="3:9">
      <c r="C336" s="212"/>
      <c r="D336" s="230"/>
      <c r="E336" s="224"/>
      <c r="F336" s="224"/>
      <c r="G336" s="224"/>
      <c r="H336" s="1108"/>
      <c r="I336" s="432"/>
    </row>
    <row r="337" spans="3:14">
      <c r="C337" s="212"/>
      <c r="D337" s="230"/>
      <c r="E337" s="224"/>
      <c r="F337" s="224"/>
      <c r="G337" s="224"/>
      <c r="H337" s="1108"/>
      <c r="I337" s="432"/>
    </row>
    <row r="338" spans="3:14">
      <c r="C338" s="212"/>
      <c r="D338" s="222">
        <f>D328</f>
        <v>30</v>
      </c>
      <c r="E338" s="222"/>
      <c r="F338" s="222">
        <f>F328</f>
        <v>60</v>
      </c>
      <c r="G338" s="222"/>
      <c r="H338" s="1127" t="s">
        <v>157</v>
      </c>
      <c r="I338" s="432"/>
    </row>
    <row r="339" spans="3:14">
      <c r="C339" s="212"/>
      <c r="D339" s="229">
        <f>FLOOR(D338,1)</f>
        <v>30</v>
      </c>
      <c r="E339" s="229"/>
      <c r="F339" s="229">
        <f>FLOOR(F338,1)</f>
        <v>60</v>
      </c>
      <c r="G339" s="229"/>
      <c r="H339" s="1127" t="s">
        <v>73</v>
      </c>
      <c r="I339" s="432"/>
    </row>
    <row r="340" spans="3:14">
      <c r="C340" s="212"/>
      <c r="D340" s="228">
        <f>D339*$D315</f>
        <v>60</v>
      </c>
      <c r="E340" s="228"/>
      <c r="F340" s="228">
        <f>F339*$D315</f>
        <v>120</v>
      </c>
      <c r="G340" s="228"/>
      <c r="H340" s="1128" t="s">
        <v>175</v>
      </c>
      <c r="I340" s="432"/>
    </row>
    <row r="341" spans="3:14">
      <c r="C341" s="212"/>
      <c r="D341" s="227"/>
      <c r="E341" s="227"/>
      <c r="F341" s="227"/>
      <c r="G341" s="227"/>
      <c r="H341" s="1128" t="s">
        <v>88</v>
      </c>
    </row>
    <row r="342" spans="3:14">
      <c r="C342" s="212"/>
      <c r="D342" s="226">
        <f>D340*$D$319</f>
        <v>12600</v>
      </c>
      <c r="E342" s="226"/>
      <c r="F342" s="226">
        <f>F340*$D$319</f>
        <v>25200</v>
      </c>
      <c r="G342" s="226"/>
      <c r="H342" s="1129" t="s">
        <v>74</v>
      </c>
      <c r="J342" s="1"/>
      <c r="K342" s="1"/>
      <c r="L342" s="1"/>
      <c r="M342" s="1"/>
      <c r="N342" s="1"/>
    </row>
    <row r="343" spans="3:14">
      <c r="D343" s="282"/>
      <c r="K343" s="90"/>
      <c r="L343" s="90"/>
      <c r="M343" s="432"/>
      <c r="N343" s="432"/>
    </row>
    <row r="344" spans="3:14">
      <c r="D344" s="282"/>
      <c r="K344" s="90"/>
      <c r="L344" s="90"/>
      <c r="M344" s="432"/>
      <c r="N344" s="432"/>
    </row>
    <row r="345" spans="3:14">
      <c r="D345" s="282"/>
      <c r="K345" s="90"/>
      <c r="L345" s="90"/>
      <c r="M345" s="432"/>
      <c r="N345" s="432"/>
    </row>
    <row r="346" spans="3:14">
      <c r="C346" s="2730" t="s">
        <v>2061</v>
      </c>
      <c r="D346" s="3246"/>
      <c r="E346" s="3246"/>
      <c r="F346" s="3246"/>
      <c r="G346" s="3246"/>
      <c r="H346" s="1127"/>
      <c r="J346" s="1"/>
      <c r="K346" s="1"/>
      <c r="L346" s="1"/>
      <c r="M346" s="1"/>
      <c r="N346" s="1"/>
    </row>
    <row r="347" spans="3:14">
      <c r="C347" s="2791" t="s">
        <v>2063</v>
      </c>
      <c r="D347" s="75"/>
      <c r="E347" s="75"/>
      <c r="F347" s="833">
        <f>F300</f>
        <v>5</v>
      </c>
      <c r="G347" s="3246"/>
      <c r="H347" s="3246" t="str">
        <f>H300</f>
        <v>Maintenance every "X" years</v>
      </c>
      <c r="J347" s="1"/>
      <c r="K347" s="1"/>
      <c r="L347" s="1"/>
      <c r="M347" s="1"/>
      <c r="N347" s="1"/>
    </row>
    <row r="348" spans="3:14">
      <c r="C348" s="2730"/>
      <c r="D348" s="275"/>
      <c r="E348" s="275"/>
      <c r="F348" s="275">
        <f>F301</f>
        <v>100000</v>
      </c>
      <c r="G348" s="3246"/>
      <c r="H348" s="3246" t="str">
        <f>H301</f>
        <v>maintenance costs</v>
      </c>
      <c r="J348" s="1"/>
      <c r="K348" s="1"/>
      <c r="L348" s="1"/>
      <c r="M348" s="1"/>
      <c r="N348" s="1"/>
    </row>
    <row r="349" spans="3:14">
      <c r="D349" s="75"/>
      <c r="E349" s="75"/>
      <c r="F349" s="75">
        <f>F302</f>
        <v>5</v>
      </c>
      <c r="G349" s="3246"/>
      <c r="H349" s="3246" t="str">
        <f>H302</f>
        <v>Maintenance days</v>
      </c>
      <c r="K349" s="90"/>
      <c r="L349" s="90"/>
      <c r="M349" s="432"/>
      <c r="N349" s="432"/>
    </row>
    <row r="350" spans="3:14">
      <c r="D350" s="75"/>
      <c r="E350" s="75"/>
      <c r="F350" s="75">
        <f>F298</f>
        <v>1</v>
      </c>
      <c r="G350" s="3246"/>
      <c r="H350" s="3246" t="str">
        <f>H298</f>
        <v>Total instream structures</v>
      </c>
      <c r="K350" s="90"/>
      <c r="L350" s="90"/>
      <c r="M350" s="432"/>
      <c r="N350" s="432"/>
    </row>
    <row r="351" spans="3:14">
      <c r="D351" s="2274"/>
      <c r="E351" s="2791"/>
      <c r="F351" s="1435">
        <f>F348*F350</f>
        <v>100000</v>
      </c>
      <c r="G351" s="274"/>
      <c r="H351" s="1126" t="s">
        <v>2062</v>
      </c>
      <c r="I351" s="216"/>
    </row>
    <row r="352" spans="3:14">
      <c r="D352" s="2791"/>
      <c r="E352" s="2791"/>
      <c r="I352" s="216"/>
    </row>
    <row r="353" spans="3:14">
      <c r="C353" s="2791" t="s">
        <v>2067</v>
      </c>
      <c r="D353" s="75"/>
      <c r="E353" s="75"/>
      <c r="F353" s="2731">
        <f>F349*F350</f>
        <v>5</v>
      </c>
      <c r="G353" s="75"/>
      <c r="H353" s="99" t="s">
        <v>2065</v>
      </c>
    </row>
    <row r="354" spans="3:14">
      <c r="D354" s="432"/>
      <c r="E354" s="75"/>
      <c r="F354" s="906">
        <f>F353*$D320*$D321</f>
        <v>1425</v>
      </c>
      <c r="G354" s="2727"/>
      <c r="H354" s="1126" t="s">
        <v>2059</v>
      </c>
    </row>
    <row r="355" spans="3:14">
      <c r="D355" s="46"/>
      <c r="E355" s="46"/>
      <c r="F355" s="46">
        <f>F353</f>
        <v>5</v>
      </c>
      <c r="G355" s="46"/>
      <c r="H355" s="359" t="s">
        <v>795</v>
      </c>
    </row>
    <row r="356" spans="3:14">
      <c r="D356" s="75"/>
      <c r="E356" s="75"/>
      <c r="F356" s="75">
        <f>ROUNDUP((F355/21),0)</f>
        <v>1</v>
      </c>
      <c r="G356" s="75"/>
      <c r="H356" s="99" t="s">
        <v>739</v>
      </c>
    </row>
    <row r="357" spans="3:14">
      <c r="D357" s="2791"/>
      <c r="E357" s="2791"/>
      <c r="I357" s="216"/>
    </row>
    <row r="358" spans="3:14">
      <c r="C358" s="2791" t="s">
        <v>2060</v>
      </c>
      <c r="D358" s="222"/>
      <c r="E358" s="222"/>
      <c r="F358" s="222">
        <f t="shared" ref="F358" si="65">F353</f>
        <v>5</v>
      </c>
      <c r="G358" s="222"/>
      <c r="H358" s="1127" t="s">
        <v>157</v>
      </c>
      <c r="K358" s="90"/>
      <c r="L358" s="90"/>
      <c r="M358" s="432"/>
      <c r="N358" s="432"/>
    </row>
    <row r="359" spans="3:14">
      <c r="D359" s="229"/>
      <c r="E359" s="229"/>
      <c r="F359" s="229">
        <f>FLOOR(F358,1)</f>
        <v>5</v>
      </c>
      <c r="G359" s="229"/>
      <c r="H359" s="1127" t="s">
        <v>73</v>
      </c>
      <c r="K359" s="90"/>
      <c r="L359" s="90"/>
      <c r="M359" s="432"/>
      <c r="N359" s="432"/>
    </row>
    <row r="360" spans="3:14">
      <c r="D360" s="228"/>
      <c r="E360" s="228"/>
      <c r="F360" s="228">
        <f>F359*$D315</f>
        <v>10</v>
      </c>
      <c r="G360" s="228"/>
      <c r="H360" s="1128" t="s">
        <v>175</v>
      </c>
      <c r="K360" s="90"/>
      <c r="L360" s="90"/>
      <c r="M360" s="432"/>
      <c r="N360" s="432"/>
    </row>
    <row r="361" spans="3:14">
      <c r="D361" s="3246"/>
      <c r="E361" s="3246"/>
      <c r="F361" s="2762">
        <f>F360*$D$319</f>
        <v>2100</v>
      </c>
      <c r="G361" s="226"/>
      <c r="H361" s="1129" t="s">
        <v>74</v>
      </c>
      <c r="K361" s="90"/>
      <c r="L361" s="90"/>
      <c r="M361" s="432"/>
      <c r="N361" s="432"/>
    </row>
    <row r="362" spans="3:14">
      <c r="D362" s="2791"/>
      <c r="E362" s="2791"/>
      <c r="G362" s="2791"/>
      <c r="K362" s="90"/>
      <c r="L362" s="90"/>
      <c r="M362" s="432"/>
      <c r="N362" s="432"/>
    </row>
    <row r="363" spans="3:14">
      <c r="D363" s="3246"/>
      <c r="E363" s="3246"/>
      <c r="F363" s="3246"/>
      <c r="G363" s="3246"/>
      <c r="H363" s="1127"/>
      <c r="K363" s="90"/>
      <c r="L363" s="90"/>
      <c r="M363" s="432"/>
      <c r="N363" s="432"/>
    </row>
    <row r="364" spans="3:14">
      <c r="C364" s="2791" t="s">
        <v>2064</v>
      </c>
      <c r="D364" s="3246"/>
      <c r="E364" s="3246"/>
      <c r="F364" s="2733">
        <f>SUM(F351,F354,F361)</f>
        <v>103525</v>
      </c>
      <c r="G364" s="2733"/>
      <c r="H364" s="2734" t="s">
        <v>2066</v>
      </c>
      <c r="K364" s="90"/>
      <c r="L364" s="90"/>
      <c r="M364" s="432"/>
      <c r="N364" s="432"/>
    </row>
    <row r="365" spans="3:14">
      <c r="D365" s="282"/>
      <c r="K365" s="90"/>
      <c r="L365" s="90"/>
      <c r="M365" s="432"/>
      <c r="N365" s="432"/>
    </row>
    <row r="366" spans="3:14">
      <c r="D366" s="282"/>
      <c r="K366" s="90"/>
      <c r="L366" s="90"/>
      <c r="M366" s="432"/>
      <c r="N366" s="432"/>
    </row>
    <row r="367" spans="3:14">
      <c r="D367" s="282"/>
      <c r="K367" s="90"/>
      <c r="L367" s="90"/>
      <c r="M367" s="432"/>
      <c r="N367" s="432"/>
    </row>
    <row r="368" spans="3:14">
      <c r="D368" s="283"/>
      <c r="E368" s="3229"/>
      <c r="F368" s="60"/>
      <c r="K368" s="90"/>
      <c r="L368" s="90"/>
      <c r="M368" s="432"/>
      <c r="N368" s="432"/>
    </row>
    <row r="369" spans="3:14">
      <c r="D369" s="1481" t="s">
        <v>1220</v>
      </c>
      <c r="G369" s="359" t="s">
        <v>166</v>
      </c>
      <c r="K369" s="432"/>
      <c r="L369" s="432"/>
      <c r="N369" s="432"/>
    </row>
    <row r="370" spans="3:14">
      <c r="D370" s="617" t="s">
        <v>172</v>
      </c>
      <c r="E370" s="618" t="s">
        <v>2345</v>
      </c>
      <c r="F370" s="618" t="s">
        <v>2346</v>
      </c>
      <c r="G370" s="3235" t="s">
        <v>2050</v>
      </c>
      <c r="H370" s="255" t="s">
        <v>391</v>
      </c>
      <c r="I370" s="3237" t="s">
        <v>2051</v>
      </c>
      <c r="J370" s="255" t="s">
        <v>391</v>
      </c>
      <c r="K370" s="619" t="s">
        <v>69</v>
      </c>
      <c r="L370" s="10"/>
    </row>
    <row r="371" spans="3:14">
      <c r="D371" s="404" t="s">
        <v>1205</v>
      </c>
      <c r="E371" s="90">
        <f>D299</f>
        <v>60</v>
      </c>
      <c r="F371" s="531">
        <f>F299</f>
        <v>120</v>
      </c>
      <c r="G371" s="1099">
        <f>D307</f>
        <v>530000</v>
      </c>
      <c r="H371" s="2791">
        <f>D296</f>
        <v>20</v>
      </c>
      <c r="I371" s="1099">
        <f>F307</f>
        <v>1140000</v>
      </c>
      <c r="J371" s="2791">
        <f>F296</f>
        <v>20</v>
      </c>
      <c r="K371" s="830" t="s">
        <v>1203</v>
      </c>
      <c r="L371" s="92"/>
    </row>
    <row r="372" spans="3:14">
      <c r="D372" s="404" t="s">
        <v>132</v>
      </c>
      <c r="E372" s="90">
        <f>D328</f>
        <v>30</v>
      </c>
      <c r="F372" s="531">
        <f>F332</f>
        <v>60</v>
      </c>
      <c r="G372" s="1099">
        <f>D331</f>
        <v>8550</v>
      </c>
      <c r="H372" s="2791">
        <f>H371</f>
        <v>20</v>
      </c>
      <c r="I372" s="1099">
        <f>F331</f>
        <v>17100</v>
      </c>
      <c r="J372" s="2791">
        <f>J371</f>
        <v>20</v>
      </c>
      <c r="K372" s="830" t="s">
        <v>999</v>
      </c>
      <c r="L372" s="92"/>
    </row>
    <row r="373" spans="3:14">
      <c r="D373" s="404" t="s">
        <v>169</v>
      </c>
      <c r="E373" s="90">
        <f>D340</f>
        <v>60</v>
      </c>
      <c r="F373" s="531">
        <f>F340</f>
        <v>120</v>
      </c>
      <c r="G373" s="1099">
        <f>D342</f>
        <v>12600</v>
      </c>
      <c r="H373" s="2791">
        <f>H372</f>
        <v>20</v>
      </c>
      <c r="I373" s="1099">
        <f>F342</f>
        <v>25200</v>
      </c>
      <c r="J373" s="2791">
        <f>J372</f>
        <v>20</v>
      </c>
      <c r="K373" s="830" t="s">
        <v>70</v>
      </c>
      <c r="L373" s="92"/>
    </row>
    <row r="374" spans="3:14">
      <c r="D374" s="404"/>
      <c r="E374" s="90"/>
      <c r="F374" s="531"/>
      <c r="G374" s="1099"/>
      <c r="I374" s="1099"/>
      <c r="K374" s="830"/>
      <c r="L374" s="92"/>
    </row>
    <row r="375" spans="3:14">
      <c r="D375" s="404" t="s">
        <v>1195</v>
      </c>
      <c r="E375" s="90"/>
      <c r="F375" s="531"/>
      <c r="G375" s="1099"/>
      <c r="I375" s="1099">
        <f>F364</f>
        <v>103525</v>
      </c>
      <c r="J375" s="2791">
        <f>F300</f>
        <v>5</v>
      </c>
      <c r="K375" s="830" t="s">
        <v>1204</v>
      </c>
      <c r="L375" s="92"/>
    </row>
    <row r="376" spans="3:14">
      <c r="D376" s="405"/>
      <c r="E376" s="439"/>
      <c r="F376" s="439"/>
      <c r="G376" s="3230"/>
      <c r="H376" s="439"/>
      <c r="I376" s="3230"/>
      <c r="J376" s="439"/>
      <c r="K376" s="623"/>
      <c r="L376" s="92"/>
    </row>
    <row r="377" spans="3:14">
      <c r="D377" s="2791"/>
      <c r="E377" s="2791"/>
      <c r="G377" s="1099"/>
      <c r="I377" s="432"/>
      <c r="K377" s="432"/>
      <c r="L377" s="432"/>
    </row>
    <row r="378" spans="3:14" s="7" customFormat="1">
      <c r="D378" s="69"/>
      <c r="E378" s="36"/>
      <c r="G378" s="1089"/>
    </row>
    <row r="379" spans="3:14" s="7" customFormat="1">
      <c r="D379" s="69"/>
      <c r="E379" s="36"/>
    </row>
    <row r="380" spans="3:14">
      <c r="C380" s="8" t="s">
        <v>1240</v>
      </c>
      <c r="D380" s="2791"/>
      <c r="G380" s="2791"/>
    </row>
    <row r="381" spans="3:14">
      <c r="D381" s="2764" t="s">
        <v>2088</v>
      </c>
      <c r="G381" s="2791"/>
    </row>
    <row r="382" spans="3:14">
      <c r="D382" s="2764" t="s">
        <v>2089</v>
      </c>
      <c r="E382" s="2791"/>
      <c r="G382" s="2791"/>
    </row>
    <row r="383" spans="3:14">
      <c r="D383" s="2764" t="s">
        <v>2090</v>
      </c>
      <c r="E383" s="2791"/>
      <c r="G383" s="2791"/>
    </row>
    <row r="384" spans="3:14" ht="17">
      <c r="D384" s="2765" t="s">
        <v>2091</v>
      </c>
      <c r="E384" s="2791"/>
      <c r="G384" s="2791"/>
    </row>
    <row r="385" spans="4:7">
      <c r="D385" s="2764" t="s">
        <v>2092</v>
      </c>
      <c r="E385" s="2791"/>
      <c r="G385" s="2791"/>
    </row>
    <row r="386" spans="4:7" ht="17">
      <c r="D386" s="2765" t="s">
        <v>2093</v>
      </c>
      <c r="E386" s="2791"/>
      <c r="G386" s="2791"/>
    </row>
    <row r="387" spans="4:7">
      <c r="D387" s="2764" t="s">
        <v>2094</v>
      </c>
      <c r="E387" s="2791"/>
      <c r="G387" s="2791"/>
    </row>
    <row r="388" spans="4:7" ht="17">
      <c r="D388" s="2765" t="s">
        <v>2095</v>
      </c>
      <c r="E388" s="2791"/>
      <c r="G388" s="2791"/>
    </row>
    <row r="389" spans="4:7">
      <c r="D389" s="2764" t="s">
        <v>2096</v>
      </c>
      <c r="E389" s="2791"/>
      <c r="G389" s="2791"/>
    </row>
    <row r="390" spans="4:7">
      <c r="D390" s="2764" t="s">
        <v>2097</v>
      </c>
      <c r="E390" s="2791"/>
      <c r="G390" s="2791"/>
    </row>
    <row r="391" spans="4:7">
      <c r="D391" s="2791"/>
      <c r="E391" s="2791"/>
      <c r="G391" s="2791"/>
    </row>
    <row r="392" spans="4:7">
      <c r="D392" s="2791" t="s">
        <v>1237</v>
      </c>
      <c r="E392" s="2791"/>
      <c r="G392" s="2791"/>
    </row>
    <row r="393" spans="4:7">
      <c r="D393" s="2791" t="s">
        <v>627</v>
      </c>
      <c r="E393" s="2791"/>
      <c r="G393" s="2791"/>
    </row>
    <row r="394" spans="4:7">
      <c r="D394" s="16" t="s">
        <v>614</v>
      </c>
      <c r="E394" s="2791"/>
      <c r="G394" s="2791"/>
    </row>
    <row r="395" spans="4:7">
      <c r="D395" s="2791" t="s">
        <v>615</v>
      </c>
      <c r="E395" s="2791"/>
      <c r="G395" s="2791"/>
    </row>
    <row r="396" spans="4:7">
      <c r="D396" s="2791" t="s">
        <v>616</v>
      </c>
      <c r="E396" s="2791"/>
      <c r="G396" s="2791"/>
    </row>
    <row r="397" spans="4:7">
      <c r="D397" s="2791" t="s">
        <v>617</v>
      </c>
      <c r="E397" s="2791"/>
      <c r="G397" s="2791"/>
    </row>
    <row r="398" spans="4:7">
      <c r="D398" s="2791"/>
      <c r="E398" s="2791"/>
      <c r="G398" s="2791"/>
    </row>
    <row r="399" spans="4:7">
      <c r="D399" s="2791"/>
      <c r="E399" s="2791"/>
      <c r="G399" s="2791"/>
    </row>
    <row r="400" spans="4:7">
      <c r="D400" s="2791"/>
      <c r="E400" s="2791"/>
      <c r="G400" s="2791"/>
    </row>
    <row r="401" spans="4:9">
      <c r="D401" s="2791"/>
      <c r="E401" s="2791"/>
      <c r="G401" s="2791"/>
    </row>
    <row r="402" spans="4:9">
      <c r="D402" s="1309" t="s">
        <v>91</v>
      </c>
      <c r="E402" s="39"/>
      <c r="G402" s="2791"/>
    </row>
    <row r="403" spans="4:9">
      <c r="D403" s="2756">
        <f>$H$8</f>
        <v>1</v>
      </c>
      <c r="E403" s="161" t="s">
        <v>2083</v>
      </c>
      <c r="G403" s="2791"/>
      <c r="I403" s="238"/>
    </row>
    <row r="404" spans="4:9">
      <c r="D404" s="2949">
        <f>$H$10</f>
        <v>0.33333333333333331</v>
      </c>
      <c r="E404" s="246" t="str">
        <f>$I$10</f>
        <v>Percentage of instream structructures that need mediation</v>
      </c>
      <c r="G404" s="2791"/>
      <c r="I404" s="238"/>
    </row>
    <row r="405" spans="4:9">
      <c r="D405" s="2725">
        <f>$H$11</f>
        <v>0.2</v>
      </c>
      <c r="E405" s="246" t="str">
        <f>$I$11</f>
        <v>Mediation - Removal of obsolete structures</v>
      </c>
      <c r="G405" s="2791"/>
      <c r="I405" s="238"/>
    </row>
    <row r="406" spans="4:9">
      <c r="D406" s="2725">
        <f>$H$12</f>
        <v>0.8</v>
      </c>
      <c r="E406" s="246" t="str">
        <f>$I$12</f>
        <v>Mediation - installation of fishway</v>
      </c>
      <c r="G406" s="2791"/>
      <c r="I406" s="238"/>
    </row>
    <row r="407" spans="4:9">
      <c r="D407" s="3247"/>
      <c r="E407" s="2791"/>
      <c r="G407" s="2791"/>
      <c r="I407" s="238"/>
    </row>
    <row r="408" spans="4:9">
      <c r="D408" s="3248">
        <f>D404*D406</f>
        <v>0.26666666666666666</v>
      </c>
      <c r="E408" s="246" t="s">
        <v>2104</v>
      </c>
      <c r="G408" s="2791"/>
      <c r="I408" s="1674"/>
    </row>
    <row r="409" spans="4:9">
      <c r="D409" s="3247">
        <f>D403*D408</f>
        <v>0.26666666666666666</v>
      </c>
      <c r="E409" s="246" t="s">
        <v>2105</v>
      </c>
      <c r="G409" s="2791"/>
      <c r="I409" s="1674"/>
    </row>
    <row r="410" spans="4:9">
      <c r="D410" s="3247"/>
      <c r="E410" s="1394" t="s">
        <v>2152</v>
      </c>
      <c r="G410" s="2791"/>
      <c r="I410" s="1674"/>
    </row>
    <row r="411" spans="4:9">
      <c r="D411" s="3247"/>
      <c r="E411" s="246"/>
      <c r="G411" s="2791"/>
      <c r="I411" s="1674"/>
    </row>
    <row r="412" spans="4:9">
      <c r="D412" s="875">
        <f>'Overall Assumptions'!$C$106</f>
        <v>0.2</v>
      </c>
      <c r="E412" s="43" t="str">
        <f>'Overall Assumptions'!$D$106</f>
        <v>Total length of river to be rehabilitated (up and down stream in km)</v>
      </c>
      <c r="G412" s="2791"/>
      <c r="I412" s="1674"/>
    </row>
    <row r="413" spans="4:9">
      <c r="D413" s="1536">
        <f>'Overall Assumptions'!$C$107</f>
        <v>0.1</v>
      </c>
      <c r="E413" s="246" t="str">
        <f>'Overall Assumptions'!$D$107</f>
        <v>Buffer on riverside for restoration (km)</v>
      </c>
      <c r="G413" s="2791"/>
    </row>
    <row r="414" spans="4:9">
      <c r="D414" s="3249">
        <f>D412*D413*2</f>
        <v>4.0000000000000008E-2</v>
      </c>
      <c r="E414" s="1826" t="s">
        <v>1243</v>
      </c>
      <c r="G414" s="2791"/>
    </row>
    <row r="415" spans="4:9">
      <c r="D415" s="3249"/>
      <c r="E415" s="1826"/>
      <c r="G415" s="2791"/>
    </row>
    <row r="416" spans="4:9">
      <c r="D416" s="535">
        <v>10</v>
      </c>
      <c r="E416" s="43" t="s">
        <v>611</v>
      </c>
      <c r="G416" s="2791"/>
    </row>
    <row r="417" spans="3:7">
      <c r="D417" s="1537">
        <f>1000000/D416</f>
        <v>100000</v>
      </c>
      <c r="E417" s="43" t="s">
        <v>610</v>
      </c>
      <c r="G417" s="2791"/>
    </row>
    <row r="418" spans="3:7">
      <c r="D418" s="1310">
        <f>SQRT(D416/1000000)</f>
        <v>3.1622776601683794E-3</v>
      </c>
      <c r="E418" s="43" t="s">
        <v>1123</v>
      </c>
      <c r="G418" s="2791"/>
    </row>
    <row r="419" spans="3:7">
      <c r="D419" s="1245">
        <v>0</v>
      </c>
      <c r="E419" s="246" t="s">
        <v>1244</v>
      </c>
      <c r="G419" s="2791"/>
    </row>
    <row r="420" spans="3:7">
      <c r="D420" s="1245"/>
      <c r="E420" s="246"/>
      <c r="F420" s="2791" t="s">
        <v>1155</v>
      </c>
      <c r="G420" s="2791"/>
    </row>
    <row r="421" spans="3:7">
      <c r="D421" s="450">
        <v>1</v>
      </c>
      <c r="E421" s="45" t="s">
        <v>1125</v>
      </c>
      <c r="F421" s="3250">
        <v>0.3</v>
      </c>
      <c r="G421" s="161" t="s">
        <v>1156</v>
      </c>
    </row>
    <row r="422" spans="3:7">
      <c r="D422" s="1341">
        <f>F422</f>
        <v>4.9999999999999996E-2</v>
      </c>
      <c r="E422" s="41" t="s">
        <v>1150</v>
      </c>
      <c r="F422" s="1345">
        <f>G422/SUM($G$422:$G$424)*$F$421</f>
        <v>4.9999999999999996E-2</v>
      </c>
      <c r="G422" s="1341">
        <f>'Overall Assumptions'!$C$153</f>
        <v>0.05</v>
      </c>
    </row>
    <row r="423" spans="3:7">
      <c r="D423" s="1342">
        <f>F423</f>
        <v>9.9999999999999992E-2</v>
      </c>
      <c r="E423" s="43" t="s">
        <v>1151</v>
      </c>
      <c r="F423" s="1346">
        <f t="shared" ref="F423:F424" si="66">G423/SUM($G$422:$G$424)*$F$421</f>
        <v>9.9999999999999992E-2</v>
      </c>
      <c r="G423" s="1342">
        <f>'Overall Assumptions'!$C$154</f>
        <v>0.1</v>
      </c>
    </row>
    <row r="424" spans="3:7">
      <c r="D424" s="1343">
        <f>F424</f>
        <v>0.14999999999999997</v>
      </c>
      <c r="E424" s="45" t="s">
        <v>1149</v>
      </c>
      <c r="F424" s="1347">
        <f t="shared" si="66"/>
        <v>0.14999999999999997</v>
      </c>
      <c r="G424" s="1343">
        <f>'Overall Assumptions'!$C$155</f>
        <v>0.15</v>
      </c>
    </row>
    <row r="425" spans="3:7">
      <c r="C425" s="1344"/>
      <c r="D425" s="16"/>
      <c r="E425" s="2791"/>
      <c r="G425" s="2791"/>
    </row>
    <row r="426" spans="3:7">
      <c r="C426" s="367"/>
      <c r="D426" s="16"/>
      <c r="E426" s="2791"/>
      <c r="G426" s="2791"/>
    </row>
    <row r="427" spans="3:7">
      <c r="C427" s="1" t="s">
        <v>1122</v>
      </c>
      <c r="D427" s="2791"/>
      <c r="E427" s="2791"/>
      <c r="G427" s="2791"/>
    </row>
    <row r="428" spans="3:7">
      <c r="C428" s="1"/>
      <c r="D428" s="2791"/>
      <c r="E428" s="2791"/>
      <c r="G428" s="2791"/>
    </row>
    <row r="429" spans="3:7">
      <c r="D429" s="2791" t="s">
        <v>692</v>
      </c>
      <c r="E429" s="2791" t="s">
        <v>675</v>
      </c>
      <c r="F429" s="838" t="s">
        <v>676</v>
      </c>
      <c r="G429" s="2791"/>
    </row>
    <row r="430" spans="3:7">
      <c r="D430" s="567">
        <v>199</v>
      </c>
      <c r="E430" s="567">
        <v>699</v>
      </c>
      <c r="F430" s="1290">
        <v>385</v>
      </c>
      <c r="G430" s="2791" t="s">
        <v>664</v>
      </c>
    </row>
    <row r="431" spans="3:7">
      <c r="D431" s="204">
        <f>D430/20</f>
        <v>9.9499999999999993</v>
      </c>
      <c r="E431" s="204">
        <f>E430/20</f>
        <v>34.950000000000003</v>
      </c>
      <c r="F431" s="1290">
        <f>F430/20</f>
        <v>19.25</v>
      </c>
      <c r="G431" s="2791" t="s">
        <v>435</v>
      </c>
    </row>
    <row r="432" spans="3:7">
      <c r="D432" s="266">
        <v>1000</v>
      </c>
      <c r="E432" s="266">
        <v>500</v>
      </c>
      <c r="F432" s="838">
        <v>500</v>
      </c>
      <c r="G432" s="2791" t="s">
        <v>669</v>
      </c>
    </row>
    <row r="433" spans="4:14">
      <c r="D433" s="2791">
        <f>D432/100/1000</f>
        <v>0.01</v>
      </c>
      <c r="E433" s="2791">
        <f>E432/100/1000</f>
        <v>5.0000000000000001E-3</v>
      </c>
      <c r="F433" s="838">
        <f>F432/100/1000</f>
        <v>5.0000000000000001E-3</v>
      </c>
      <c r="G433" s="2791" t="s">
        <v>668</v>
      </c>
    </row>
    <row r="434" spans="4:14">
      <c r="D434" s="531">
        <f>$D417</f>
        <v>100000</v>
      </c>
      <c r="E434" s="531">
        <f>$D417</f>
        <v>100000</v>
      </c>
      <c r="F434" s="531">
        <f>$D417</f>
        <v>100000</v>
      </c>
      <c r="G434" s="2791" t="s">
        <v>673</v>
      </c>
    </row>
    <row r="435" spans="4:14">
      <c r="D435" s="2791"/>
      <c r="E435" s="2791"/>
      <c r="F435" s="838"/>
      <c r="G435" s="2791"/>
    </row>
    <row r="436" spans="4:14">
      <c r="D436" s="1" t="s">
        <v>599</v>
      </c>
      <c r="E436" s="1" t="s">
        <v>599</v>
      </c>
      <c r="F436" s="1292" t="s">
        <v>599</v>
      </c>
      <c r="G436" s="2791"/>
    </row>
    <row r="437" spans="4:14">
      <c r="D437" s="566">
        <v>4000</v>
      </c>
      <c r="E437" s="566">
        <v>4000</v>
      </c>
      <c r="F437" s="1293">
        <v>4000</v>
      </c>
      <c r="G437" s="2791" t="s">
        <v>666</v>
      </c>
    </row>
    <row r="438" spans="4:14">
      <c r="D438" s="540">
        <f>D437*100</f>
        <v>400000</v>
      </c>
      <c r="E438" s="540">
        <f>E437*100</f>
        <v>400000</v>
      </c>
      <c r="F438" s="1293">
        <f>F437*100</f>
        <v>400000</v>
      </c>
      <c r="G438" s="2791" t="s">
        <v>670</v>
      </c>
    </row>
    <row r="439" spans="4:14">
      <c r="D439" s="531">
        <f>D433*D438</f>
        <v>4000</v>
      </c>
      <c r="E439" s="531">
        <f>E433*E438</f>
        <v>2000</v>
      </c>
      <c r="F439" s="1291">
        <f>F433*F438</f>
        <v>2000</v>
      </c>
      <c r="G439" s="2791" t="s">
        <v>667</v>
      </c>
    </row>
    <row r="440" spans="4:14">
      <c r="D440" s="204">
        <f>D439*D431</f>
        <v>39800</v>
      </c>
      <c r="E440" s="204">
        <f>E439*E431</f>
        <v>69900</v>
      </c>
      <c r="F440" s="1290">
        <f>F439*F431</f>
        <v>38500</v>
      </c>
      <c r="G440" s="2791" t="s">
        <v>671</v>
      </c>
    </row>
    <row r="441" spans="4:14">
      <c r="D441" s="197">
        <f>D440/D434</f>
        <v>0.39800000000000002</v>
      </c>
      <c r="E441" s="197">
        <f>E440/E434</f>
        <v>0.69899999999999995</v>
      </c>
      <c r="F441" s="3251">
        <f>F440/F434</f>
        <v>0.38500000000000001</v>
      </c>
      <c r="G441" s="2791" t="s">
        <v>674</v>
      </c>
    </row>
    <row r="442" spans="4:14">
      <c r="D442" s="2791"/>
      <c r="E442" s="2791"/>
      <c r="F442" s="838"/>
      <c r="G442" s="2791"/>
    </row>
    <row r="443" spans="4:14">
      <c r="D443" s="1" t="s">
        <v>672</v>
      </c>
      <c r="E443" s="1" t="s">
        <v>672</v>
      </c>
      <c r="F443" s="1292" t="s">
        <v>672</v>
      </c>
      <c r="G443" s="2791"/>
    </row>
    <row r="444" spans="4:14">
      <c r="D444" s="266">
        <v>1000</v>
      </c>
      <c r="E444" s="266">
        <v>1000</v>
      </c>
      <c r="F444" s="838">
        <v>1000</v>
      </c>
      <c r="G444" s="2791" t="s">
        <v>665</v>
      </c>
    </row>
    <row r="445" spans="4:14">
      <c r="D445" s="540">
        <f>D444*100</f>
        <v>100000</v>
      </c>
      <c r="E445" s="540">
        <f>E444*100</f>
        <v>100000</v>
      </c>
      <c r="F445" s="1293">
        <f>F444*100</f>
        <v>100000</v>
      </c>
      <c r="G445" s="2791" t="s">
        <v>670</v>
      </c>
    </row>
    <row r="446" spans="4:14">
      <c r="D446" s="531">
        <f>D433*D445</f>
        <v>1000</v>
      </c>
      <c r="E446" s="531">
        <f>E433*E445</f>
        <v>500</v>
      </c>
      <c r="F446" s="1291">
        <f>F433*F445</f>
        <v>500</v>
      </c>
      <c r="G446" s="2791" t="s">
        <v>667</v>
      </c>
    </row>
    <row r="447" spans="4:14">
      <c r="D447" s="204">
        <f>D446*D431</f>
        <v>9950</v>
      </c>
      <c r="E447" s="204">
        <f>E446*E431</f>
        <v>17475</v>
      </c>
      <c r="F447" s="1290">
        <f>F446*F431</f>
        <v>9625</v>
      </c>
      <c r="G447" s="2791" t="s">
        <v>671</v>
      </c>
    </row>
    <row r="448" spans="4:14">
      <c r="D448" s="197">
        <f>D447/D434</f>
        <v>9.9500000000000005E-2</v>
      </c>
      <c r="E448" s="197">
        <f>E447/E434</f>
        <v>0.17474999999999999</v>
      </c>
      <c r="F448" s="3251">
        <f>F447/F434</f>
        <v>9.6250000000000002E-2</v>
      </c>
      <c r="G448" s="2791" t="s">
        <v>674</v>
      </c>
      <c r="N448" s="359"/>
    </row>
    <row r="449" spans="3:14">
      <c r="D449" s="2791"/>
      <c r="E449" s="2791"/>
      <c r="G449" s="2791"/>
      <c r="N449" s="359"/>
    </row>
    <row r="450" spans="3:14">
      <c r="D450" s="2791"/>
      <c r="E450" s="2791"/>
      <c r="G450" s="2791"/>
      <c r="M450" s="1296" t="s">
        <v>657</v>
      </c>
      <c r="N450" s="359"/>
    </row>
    <row r="451" spans="3:14">
      <c r="D451" s="259">
        <f>AVERAGE(D441,E441)</f>
        <v>0.54849999999999999</v>
      </c>
      <c r="E451" s="2791" t="s">
        <v>677</v>
      </c>
      <c r="G451" s="2791"/>
      <c r="M451" s="1296" t="s">
        <v>658</v>
      </c>
      <c r="N451" s="359"/>
    </row>
    <row r="452" spans="3:14">
      <c r="D452" s="259">
        <f>AVERAGE(D448,E448)</f>
        <v>0.137125</v>
      </c>
      <c r="E452" s="2791" t="s">
        <v>678</v>
      </c>
      <c r="G452" s="2791"/>
      <c r="M452" s="1296" t="s">
        <v>659</v>
      </c>
      <c r="N452" s="359"/>
    </row>
    <row r="453" spans="3:14">
      <c r="D453" s="2791"/>
      <c r="E453" s="2791"/>
      <c r="G453" s="2791"/>
      <c r="M453" s="1296" t="s">
        <v>660</v>
      </c>
      <c r="N453" s="359"/>
    </row>
    <row r="454" spans="3:14">
      <c r="D454" s="2791"/>
      <c r="E454" s="2791"/>
      <c r="G454" s="2791"/>
      <c r="M454" s="1297" t="s">
        <v>661</v>
      </c>
      <c r="N454" s="359"/>
    </row>
    <row r="455" spans="3:14">
      <c r="D455" s="592" t="s">
        <v>681</v>
      </c>
      <c r="E455" s="401" t="s">
        <v>682</v>
      </c>
      <c r="F455" s="401" t="s">
        <v>683</v>
      </c>
      <c r="G455" s="274" t="s">
        <v>304</v>
      </c>
      <c r="M455" s="1297" t="s">
        <v>662</v>
      </c>
    </row>
    <row r="456" spans="3:14">
      <c r="D456" s="1320">
        <f>D451</f>
        <v>0.54849999999999999</v>
      </c>
      <c r="E456" s="1321">
        <f>AVERAGE(D451,D452)</f>
        <v>0.34281249999999996</v>
      </c>
      <c r="F456" s="1321">
        <f>D452</f>
        <v>0.137125</v>
      </c>
      <c r="G456" s="3252" t="s">
        <v>1118</v>
      </c>
      <c r="M456" s="1295" t="s">
        <v>663</v>
      </c>
    </row>
    <row r="457" spans="3:14">
      <c r="C457" s="1" t="s">
        <v>1117</v>
      </c>
      <c r="D457" s="2791"/>
      <c r="E457" s="2791"/>
      <c r="G457" s="2791"/>
      <c r="M457" s="359"/>
    </row>
    <row r="458" spans="3:14">
      <c r="C458" s="2791" t="s">
        <v>1119</v>
      </c>
      <c r="D458" s="2791"/>
      <c r="E458" s="2791"/>
      <c r="G458" s="2791"/>
    </row>
    <row r="459" spans="3:14">
      <c r="C459" s="2791" t="s">
        <v>618</v>
      </c>
      <c r="D459" s="2791"/>
      <c r="E459" s="2791"/>
      <c r="G459" s="2791"/>
    </row>
    <row r="460" spans="3:14">
      <c r="D460" s="2791"/>
      <c r="E460" s="2791"/>
      <c r="G460" s="2791"/>
    </row>
    <row r="461" spans="3:14">
      <c r="D461" s="2791"/>
      <c r="E461" s="2791"/>
      <c r="G461" s="2791"/>
    </row>
    <row r="462" spans="3:14">
      <c r="D462" s="402" t="s">
        <v>1116</v>
      </c>
      <c r="E462" s="255" t="s">
        <v>25</v>
      </c>
      <c r="F462" s="255" t="s">
        <v>735</v>
      </c>
      <c r="G462" s="161"/>
      <c r="H462" s="1" t="s">
        <v>604</v>
      </c>
    </row>
    <row r="463" spans="3:14">
      <c r="D463" s="1298">
        <v>1800</v>
      </c>
      <c r="E463" s="538">
        <v>1300</v>
      </c>
      <c r="F463" s="538">
        <v>450</v>
      </c>
      <c r="G463" s="246" t="s">
        <v>601</v>
      </c>
      <c r="H463" s="2791" t="s">
        <v>1111</v>
      </c>
    </row>
    <row r="464" spans="3:14">
      <c r="D464" s="1672">
        <f>D463*100</f>
        <v>180000</v>
      </c>
      <c r="E464" s="259">
        <f>E463*100</f>
        <v>130000</v>
      </c>
      <c r="F464" s="259">
        <f>F463*100</f>
        <v>45000</v>
      </c>
      <c r="G464" s="246" t="s">
        <v>332</v>
      </c>
      <c r="H464" s="2791" t="s">
        <v>1112</v>
      </c>
    </row>
    <row r="465" spans="3:8">
      <c r="D465" s="1298">
        <v>40</v>
      </c>
      <c r="E465" s="538">
        <v>40</v>
      </c>
      <c r="F465" s="538">
        <v>40</v>
      </c>
      <c r="G465" s="246" t="s">
        <v>603</v>
      </c>
      <c r="H465" s="2791" t="s">
        <v>1113</v>
      </c>
    </row>
    <row r="466" spans="3:8">
      <c r="D466" s="404">
        <f>D464/D465</f>
        <v>4500</v>
      </c>
      <c r="E466" s="2791">
        <f>E464/E465</f>
        <v>3250</v>
      </c>
      <c r="F466" s="2791">
        <f>F464/F465</f>
        <v>1125</v>
      </c>
      <c r="G466" s="246" t="s">
        <v>1114</v>
      </c>
    </row>
    <row r="467" spans="3:8">
      <c r="D467" s="404">
        <f>D466*60</f>
        <v>270000</v>
      </c>
      <c r="E467" s="2791">
        <f>E466*60</f>
        <v>195000</v>
      </c>
      <c r="F467" s="2791">
        <f>F466*60</f>
        <v>67500</v>
      </c>
      <c r="G467" s="246" t="s">
        <v>1115</v>
      </c>
      <c r="H467" s="360" t="s">
        <v>606</v>
      </c>
    </row>
    <row r="468" spans="3:8">
      <c r="D468" s="1281">
        <f>$D417</f>
        <v>100000</v>
      </c>
      <c r="E468" s="621">
        <f>$D417</f>
        <v>100000</v>
      </c>
      <c r="F468" s="621">
        <f>$D417</f>
        <v>100000</v>
      </c>
      <c r="G468" s="246" t="s">
        <v>1120</v>
      </c>
      <c r="H468" s="360" t="s">
        <v>605</v>
      </c>
    </row>
    <row r="469" spans="3:8">
      <c r="D469" s="1281"/>
      <c r="E469" s="621"/>
      <c r="F469" s="621"/>
      <c r="G469" s="246"/>
      <c r="H469" s="360" t="s">
        <v>607</v>
      </c>
    </row>
    <row r="470" spans="3:8">
      <c r="D470" s="1304">
        <f>D467/D468</f>
        <v>2.7</v>
      </c>
      <c r="E470" s="1305">
        <f>E467/E468</f>
        <v>1.95</v>
      </c>
      <c r="F470" s="1305">
        <f>F467/F468</f>
        <v>0.67500000000000004</v>
      </c>
      <c r="G470" s="1306" t="s">
        <v>602</v>
      </c>
    </row>
    <row r="471" spans="3:8">
      <c r="D471" s="2791"/>
      <c r="E471" s="2791"/>
      <c r="G471" s="2791"/>
    </row>
    <row r="472" spans="3:8">
      <c r="D472" s="2791"/>
      <c r="E472" s="2791"/>
      <c r="G472" s="2791"/>
    </row>
    <row r="473" spans="3:8">
      <c r="C473" s="2791" t="s">
        <v>1128</v>
      </c>
      <c r="D473" s="2791"/>
      <c r="E473" s="2791"/>
      <c r="G473" s="2791"/>
    </row>
    <row r="474" spans="3:8">
      <c r="D474" s="2791"/>
      <c r="E474" s="2791"/>
      <c r="G474" s="2791"/>
    </row>
    <row r="475" spans="3:8">
      <c r="D475" s="1313">
        <f>D422</f>
        <v>4.9999999999999996E-2</v>
      </c>
      <c r="E475" s="1314">
        <f>D423</f>
        <v>9.9999999999999992E-2</v>
      </c>
      <c r="F475" s="1314">
        <f>D424</f>
        <v>0.14999999999999997</v>
      </c>
      <c r="G475" s="161" t="s">
        <v>619</v>
      </c>
    </row>
    <row r="476" spans="3:8">
      <c r="D476" s="3253">
        <f>D475*$D414</f>
        <v>2E-3</v>
      </c>
      <c r="E476" s="3253">
        <f>E475*$D414</f>
        <v>4.0000000000000001E-3</v>
      </c>
      <c r="F476" s="3253">
        <f>F475*$D414</f>
        <v>6.0000000000000001E-3</v>
      </c>
      <c r="G476" s="246" t="s">
        <v>612</v>
      </c>
    </row>
    <row r="477" spans="3:8">
      <c r="D477" s="3254">
        <f>D476*D468</f>
        <v>200</v>
      </c>
      <c r="E477" s="3255">
        <f>E476*E468</f>
        <v>400</v>
      </c>
      <c r="F477" s="3255">
        <f>F476*F468</f>
        <v>600</v>
      </c>
      <c r="G477" s="246" t="s">
        <v>1121</v>
      </c>
    </row>
    <row r="478" spans="3:8">
      <c r="D478" s="1315"/>
      <c r="E478" s="1312"/>
      <c r="F478" s="1312"/>
      <c r="G478" s="246"/>
    </row>
    <row r="479" spans="3:8">
      <c r="D479" s="3566">
        <f>D470*D477/60/7.5</f>
        <v>1.2</v>
      </c>
      <c r="E479" s="3567">
        <f>E470*E477/60/7.5</f>
        <v>1.7333333333333334</v>
      </c>
      <c r="F479" s="3567">
        <f>F470*F477/60/7.5</f>
        <v>0.9</v>
      </c>
      <c r="G479" s="1306" t="s">
        <v>613</v>
      </c>
    </row>
    <row r="480" spans="3:8">
      <c r="D480" s="1318">
        <f>D477*D456</f>
        <v>109.7</v>
      </c>
      <c r="E480" s="1319">
        <f>E477*E456</f>
        <v>137.125</v>
      </c>
      <c r="F480" s="1319">
        <f>F477*F456</f>
        <v>82.274999999999991</v>
      </c>
      <c r="G480" s="3252" t="s">
        <v>625</v>
      </c>
    </row>
    <row r="481" spans="3:14">
      <c r="D481" s="2791"/>
      <c r="E481" s="2791"/>
      <c r="G481" s="2791"/>
    </row>
    <row r="482" spans="3:14">
      <c r="D482" s="2791"/>
      <c r="E482" s="2791"/>
      <c r="G482" s="2791"/>
    </row>
    <row r="483" spans="3:14">
      <c r="D483" s="2791"/>
      <c r="E483" s="2791"/>
      <c r="G483" s="2791"/>
    </row>
    <row r="484" spans="3:14">
      <c r="G484" s="2791"/>
    </row>
    <row r="485" spans="3:14">
      <c r="D485" s="367"/>
      <c r="G485" s="2791"/>
    </row>
    <row r="486" spans="3:14">
      <c r="C486" s="1" t="s">
        <v>42</v>
      </c>
      <c r="D486" s="367"/>
      <c r="G486" s="2791"/>
    </row>
    <row r="487" spans="3:14">
      <c r="D487" s="441">
        <v>10000</v>
      </c>
      <c r="E487" s="16" t="s">
        <v>626</v>
      </c>
      <c r="G487" s="2791"/>
    </row>
    <row r="488" spans="3:14">
      <c r="D488" s="367"/>
      <c r="G488" s="2791"/>
    </row>
    <row r="489" spans="3:14">
      <c r="D489" s="25"/>
      <c r="G489" s="2791"/>
    </row>
    <row r="490" spans="3:14">
      <c r="D490" s="74">
        <f>SUM(D486:D487)</f>
        <v>10000</v>
      </c>
      <c r="E490" s="39" t="s">
        <v>43</v>
      </c>
      <c r="G490" s="2791"/>
    </row>
    <row r="491" spans="3:14">
      <c r="D491" s="344">
        <v>10</v>
      </c>
      <c r="E491" s="16" t="s">
        <v>263</v>
      </c>
      <c r="G491" s="2791"/>
    </row>
    <row r="492" spans="3:14">
      <c r="G492" s="2791"/>
    </row>
    <row r="493" spans="3:14">
      <c r="D493" s="91"/>
      <c r="G493" s="2791"/>
    </row>
    <row r="494" spans="3:14" ht="19">
      <c r="C494" s="2791" t="s">
        <v>50</v>
      </c>
      <c r="D494" s="37" t="s">
        <v>325</v>
      </c>
      <c r="E494" s="24"/>
      <c r="F494" s="1"/>
      <c r="G494" s="3"/>
      <c r="H494" s="3"/>
      <c r="I494" s="3"/>
      <c r="J494" s="3"/>
    </row>
    <row r="495" spans="3:14">
      <c r="F495" s="1"/>
      <c r="G495" s="3"/>
      <c r="H495" s="3"/>
      <c r="I495" s="364"/>
      <c r="J495" s="3"/>
    </row>
    <row r="496" spans="3:14" ht="17">
      <c r="D496" s="49"/>
      <c r="G496" s="2791"/>
      <c r="I496" s="365"/>
      <c r="M496" s="562"/>
      <c r="N496" s="562" t="s">
        <v>689</v>
      </c>
    </row>
    <row r="497" spans="4:15">
      <c r="D497" s="160" t="s">
        <v>240</v>
      </c>
      <c r="G497" s="2791"/>
      <c r="M497" s="563" t="s">
        <v>684</v>
      </c>
      <c r="N497" s="563" t="s">
        <v>684</v>
      </c>
    </row>
    <row r="498" spans="4:15">
      <c r="D498" s="50"/>
      <c r="G498" s="2791"/>
      <c r="M498" s="563" t="s">
        <v>685</v>
      </c>
      <c r="N498" s="563" t="s">
        <v>685</v>
      </c>
    </row>
    <row r="499" spans="4:15">
      <c r="D499" s="51" t="s">
        <v>82</v>
      </c>
      <c r="E499" s="39"/>
      <c r="G499" s="2791"/>
      <c r="I499" s="366"/>
      <c r="M499" s="563" t="s">
        <v>686</v>
      </c>
      <c r="N499" s="563" t="s">
        <v>690</v>
      </c>
    </row>
    <row r="500" spans="4:15" ht="19">
      <c r="D500" s="54">
        <f>'Overall Assumptions'!$C$68</f>
        <v>225</v>
      </c>
      <c r="E500" s="37" t="s">
        <v>99</v>
      </c>
      <c r="G500" s="2791"/>
      <c r="I500" s="366"/>
      <c r="M500" s="563" t="s">
        <v>687</v>
      </c>
      <c r="N500" s="563" t="s">
        <v>687</v>
      </c>
    </row>
    <row r="501" spans="4:15">
      <c r="D501" s="54">
        <f>'Overall Assumptions'!$C$130</f>
        <v>2</v>
      </c>
      <c r="E501" s="16" t="s">
        <v>84</v>
      </c>
      <c r="G501" s="2791"/>
      <c r="I501" s="366"/>
      <c r="M501" s="563" t="s">
        <v>688</v>
      </c>
      <c r="N501" s="563" t="s">
        <v>688</v>
      </c>
    </row>
    <row r="502" spans="4:15">
      <c r="D502" s="537"/>
      <c r="E502" s="461"/>
      <c r="G502" s="2791"/>
      <c r="I502" s="366"/>
      <c r="N502" s="564" t="s">
        <v>661</v>
      </c>
    </row>
    <row r="503" spans="4:15">
      <c r="D503" s="54"/>
      <c r="E503" s="43"/>
      <c r="G503" s="2791"/>
      <c r="N503" s="564" t="s">
        <v>662</v>
      </c>
    </row>
    <row r="504" spans="4:15">
      <c r="D504" s="1311"/>
      <c r="E504" s="43"/>
      <c r="G504" s="2791"/>
      <c r="N504" s="565" t="s">
        <v>691</v>
      </c>
    </row>
    <row r="505" spans="4:15">
      <c r="D505" s="1020">
        <f>D419</f>
        <v>0</v>
      </c>
      <c r="E505" s="43" t="s">
        <v>1126</v>
      </c>
      <c r="G505" s="2791"/>
    </row>
    <row r="506" spans="4:15">
      <c r="D506" s="54">
        <f>'Overall Assumptions'!$C$10</f>
        <v>0</v>
      </c>
      <c r="E506" s="43" t="s">
        <v>85</v>
      </c>
      <c r="G506" s="2791"/>
    </row>
    <row r="507" spans="4:15">
      <c r="D507" s="54"/>
      <c r="E507" s="528"/>
      <c r="G507" s="2791"/>
      <c r="M507" s="569"/>
      <c r="O507" s="2791" t="s">
        <v>664</v>
      </c>
    </row>
    <row r="508" spans="4:15">
      <c r="D508" s="440">
        <f>D479</f>
        <v>1.2</v>
      </c>
      <c r="E508" s="528" t="s">
        <v>620</v>
      </c>
      <c r="G508" s="2791"/>
      <c r="M508" s="569"/>
      <c r="O508" s="2791" t="s">
        <v>435</v>
      </c>
    </row>
    <row r="509" spans="4:15">
      <c r="D509" s="440">
        <f>E479</f>
        <v>1.7333333333333334</v>
      </c>
      <c r="E509" s="528" t="s">
        <v>621</v>
      </c>
      <c r="G509" s="2791"/>
      <c r="O509" s="2791" t="s">
        <v>669</v>
      </c>
    </row>
    <row r="510" spans="4:15">
      <c r="D510" s="440">
        <f>F479</f>
        <v>0.9</v>
      </c>
      <c r="E510" s="528" t="s">
        <v>622</v>
      </c>
      <c r="G510" s="2791"/>
      <c r="O510" s="2791" t="s">
        <v>668</v>
      </c>
    </row>
    <row r="511" spans="4:15">
      <c r="D511" s="54"/>
      <c r="E511" s="528"/>
      <c r="G511" s="2791"/>
      <c r="M511" s="531"/>
      <c r="O511" s="2791" t="s">
        <v>673</v>
      </c>
    </row>
    <row r="512" spans="4:15">
      <c r="D512" s="54">
        <f>'Overall Assumptions'!$C$90</f>
        <v>80</v>
      </c>
      <c r="E512" s="43" t="s">
        <v>86</v>
      </c>
      <c r="G512" s="2791"/>
    </row>
    <row r="513" spans="3:15">
      <c r="D513" s="56">
        <f>'Overall Assumptions'!$C$81</f>
        <v>210</v>
      </c>
      <c r="E513" s="45" t="s">
        <v>87</v>
      </c>
      <c r="G513" s="2791"/>
      <c r="J513" s="578"/>
      <c r="M513" s="1"/>
    </row>
    <row r="514" spans="3:15">
      <c r="D514" s="57"/>
      <c r="G514" s="2791"/>
      <c r="M514" s="533"/>
      <c r="O514" s="2791" t="s">
        <v>666</v>
      </c>
    </row>
    <row r="515" spans="3:15">
      <c r="D515" s="57"/>
      <c r="G515" s="2791"/>
      <c r="M515" s="533"/>
    </row>
    <row r="516" spans="3:15">
      <c r="D516" s="57" t="s">
        <v>1127</v>
      </c>
      <c r="E516" s="16" t="s">
        <v>25</v>
      </c>
      <c r="F516" s="2791" t="s">
        <v>680</v>
      </c>
      <c r="G516" s="2791"/>
      <c r="M516" s="533"/>
    </row>
    <row r="517" spans="3:15">
      <c r="D517" s="57"/>
      <c r="G517" s="2791"/>
      <c r="M517" s="533"/>
    </row>
    <row r="518" spans="3:15">
      <c r="D518" s="57"/>
      <c r="G518" s="2791"/>
      <c r="M518" s="533"/>
    </row>
    <row r="519" spans="3:15">
      <c r="C519" s="21"/>
      <c r="D519" s="58">
        <f>2*D506/D512/7.5</f>
        <v>0</v>
      </c>
      <c r="E519" s="59" t="s">
        <v>95</v>
      </c>
      <c r="G519" s="2791"/>
      <c r="J519" s="90"/>
      <c r="M519" s="533"/>
      <c r="O519" s="2791" t="s">
        <v>670</v>
      </c>
    </row>
    <row r="520" spans="3:15">
      <c r="C520" s="21"/>
      <c r="D520" s="58"/>
      <c r="E520" s="60" t="s">
        <v>100</v>
      </c>
      <c r="G520" s="2791"/>
      <c r="M520" s="531"/>
      <c r="O520" s="2791" t="s">
        <v>667</v>
      </c>
    </row>
    <row r="521" spans="3:15">
      <c r="C521" s="21"/>
      <c r="D521" s="58">
        <f>D505/D512/7.5</f>
        <v>0</v>
      </c>
      <c r="E521" s="59" t="s">
        <v>1129</v>
      </c>
      <c r="G521" s="2791"/>
      <c r="J521" s="90"/>
      <c r="M521" s="569"/>
      <c r="O521" s="2791" t="s">
        <v>671</v>
      </c>
    </row>
    <row r="522" spans="3:15" ht="18" customHeight="1">
      <c r="C522" s="21"/>
      <c r="D522" s="58"/>
      <c r="E522" s="59"/>
      <c r="F522" s="19"/>
      <c r="G522" s="2791"/>
      <c r="M522" s="2425"/>
      <c r="O522" s="2791" t="s">
        <v>674</v>
      </c>
    </row>
    <row r="523" spans="3:15" ht="18" customHeight="1">
      <c r="C523" s="21"/>
      <c r="D523" s="58">
        <f>(D508+D509+D510)</f>
        <v>3.8333333333333335</v>
      </c>
      <c r="E523" s="59" t="s">
        <v>588</v>
      </c>
      <c r="F523" s="19"/>
      <c r="G523" s="2791"/>
    </row>
    <row r="524" spans="3:15" ht="18" customHeight="1">
      <c r="C524" s="21"/>
      <c r="D524" s="58"/>
      <c r="E524" s="59"/>
      <c r="F524" s="19"/>
      <c r="G524" s="2791"/>
    </row>
    <row r="525" spans="3:15" ht="18" customHeight="1">
      <c r="C525" s="21"/>
      <c r="D525" s="77">
        <f>SUM(D519:D523)</f>
        <v>3.8333333333333335</v>
      </c>
      <c r="E525" s="16" t="s">
        <v>157</v>
      </c>
      <c r="F525" s="19"/>
      <c r="G525" s="2791"/>
      <c r="O525" s="2791" t="s">
        <v>665</v>
      </c>
    </row>
    <row r="526" spans="3:15">
      <c r="C526" s="21"/>
      <c r="E526" s="16" t="s">
        <v>88</v>
      </c>
      <c r="G526" s="2791"/>
      <c r="O526" s="2791" t="s">
        <v>670</v>
      </c>
    </row>
    <row r="527" spans="3:15">
      <c r="C527" s="21"/>
      <c r="D527" s="77">
        <f>D525*D501</f>
        <v>7.666666666666667</v>
      </c>
      <c r="E527" s="16" t="s">
        <v>787</v>
      </c>
      <c r="G527" s="2791"/>
      <c r="J527" s="90"/>
      <c r="O527" s="2791" t="s">
        <v>667</v>
      </c>
    </row>
    <row r="528" spans="3:15">
      <c r="C528" s="21"/>
      <c r="D528" s="77"/>
      <c r="G528" s="2791"/>
      <c r="J528" s="90"/>
      <c r="O528" s="2791" t="s">
        <v>671</v>
      </c>
    </row>
    <row r="529" spans="3:15">
      <c r="C529" s="21"/>
      <c r="D529" s="64">
        <f>D527*D500</f>
        <v>1725</v>
      </c>
      <c r="E529" s="47" t="s">
        <v>329</v>
      </c>
      <c r="G529" s="2791"/>
      <c r="J529" s="259"/>
      <c r="K529" s="16"/>
      <c r="L529" s="16"/>
      <c r="O529" s="2791" t="s">
        <v>674</v>
      </c>
    </row>
    <row r="530" spans="3:15">
      <c r="C530" s="21"/>
      <c r="D530" s="63"/>
      <c r="G530" s="2791"/>
      <c r="J530" s="259"/>
      <c r="K530" s="16"/>
      <c r="L530" s="16"/>
    </row>
    <row r="531" spans="3:15">
      <c r="D531" s="63"/>
      <c r="G531" s="2791"/>
    </row>
    <row r="532" spans="3:15">
      <c r="G532" s="2791"/>
      <c r="H532" s="259"/>
      <c r="J532" s="65"/>
      <c r="K532" s="24"/>
      <c r="L532" s="24"/>
    </row>
    <row r="533" spans="3:15">
      <c r="D533" s="65"/>
      <c r="E533" s="24"/>
      <c r="G533" s="2791"/>
      <c r="J533" s="65"/>
      <c r="K533" s="24"/>
      <c r="L533" s="24"/>
    </row>
    <row r="534" spans="3:15">
      <c r="E534" s="24"/>
      <c r="G534" s="2791"/>
      <c r="K534" s="259">
        <f>D441</f>
        <v>0.39800000000000002</v>
      </c>
      <c r="L534" s="259"/>
      <c r="M534" s="2791" t="s">
        <v>681</v>
      </c>
    </row>
    <row r="535" spans="3:15" ht="19">
      <c r="C535" s="2791" t="s">
        <v>132</v>
      </c>
      <c r="D535" s="37" t="s">
        <v>89</v>
      </c>
      <c r="G535" s="2791"/>
      <c r="K535" s="259">
        <f>AVERAGE(D441,D448)</f>
        <v>0.24875000000000003</v>
      </c>
      <c r="L535" s="259"/>
      <c r="M535" s="2791" t="s">
        <v>682</v>
      </c>
    </row>
    <row r="536" spans="3:15">
      <c r="C536" s="2791" t="s">
        <v>54</v>
      </c>
      <c r="G536" s="2791"/>
      <c r="K536" s="259">
        <f>D448</f>
        <v>9.9500000000000005E-2</v>
      </c>
      <c r="L536" s="259"/>
      <c r="M536" s="2791" t="s">
        <v>683</v>
      </c>
    </row>
    <row r="537" spans="3:15">
      <c r="D537" s="160" t="s">
        <v>243</v>
      </c>
      <c r="G537" s="2791"/>
    </row>
    <row r="538" spans="3:15">
      <c r="D538" s="16"/>
      <c r="G538" s="2791"/>
    </row>
    <row r="539" spans="3:15">
      <c r="D539" s="67" t="s">
        <v>91</v>
      </c>
      <c r="E539" s="41"/>
      <c r="G539" s="2791"/>
    </row>
    <row r="540" spans="3:15">
      <c r="D540" s="52">
        <f>'Overall Assumptions'!$C$93</f>
        <v>285</v>
      </c>
      <c r="E540" s="41" t="s">
        <v>93</v>
      </c>
      <c r="G540" s="2791"/>
    </row>
    <row r="541" spans="3:15">
      <c r="D541" s="54">
        <f>'Overall Assumptions'!$C$10</f>
        <v>0</v>
      </c>
      <c r="E541" s="43" t="s">
        <v>85</v>
      </c>
      <c r="G541" s="2791"/>
    </row>
    <row r="542" spans="3:15">
      <c r="D542" s="54">
        <f>'Overall Assumptions'!$C$90</f>
        <v>80</v>
      </c>
      <c r="E542" s="43" t="s">
        <v>86</v>
      </c>
      <c r="G542" s="2791"/>
    </row>
    <row r="543" spans="3:15">
      <c r="D543" s="616"/>
      <c r="E543" s="43"/>
      <c r="G543" s="2791"/>
    </row>
    <row r="544" spans="3:15">
      <c r="D544" s="56"/>
      <c r="E544" s="45"/>
      <c r="G544" s="2791"/>
      <c r="J544" s="578"/>
    </row>
    <row r="545" spans="3:12">
      <c r="D545" s="75"/>
      <c r="G545" s="2791"/>
    </row>
    <row r="546" spans="3:12">
      <c r="D546" s="46">
        <f>2*D541/D542/7.5</f>
        <v>0</v>
      </c>
      <c r="E546" s="59" t="s">
        <v>97</v>
      </c>
      <c r="G546" s="2791"/>
      <c r="J546" s="532"/>
      <c r="K546" s="59"/>
      <c r="L546" s="59"/>
    </row>
    <row r="547" spans="3:12">
      <c r="D547" s="46">
        <f>D521</f>
        <v>0</v>
      </c>
      <c r="E547" s="59" t="s">
        <v>589</v>
      </c>
      <c r="G547" s="2791"/>
      <c r="K547" s="59"/>
      <c r="L547" s="59"/>
    </row>
    <row r="548" spans="3:12">
      <c r="D548" s="46">
        <f>D523</f>
        <v>3.8333333333333335</v>
      </c>
      <c r="E548" s="59" t="s">
        <v>623</v>
      </c>
      <c r="G548" s="2791"/>
      <c r="K548" s="59"/>
      <c r="L548" s="59"/>
    </row>
    <row r="549" spans="3:12">
      <c r="D549" s="46">
        <f>SUM(D546:D548)</f>
        <v>3.8333333333333335</v>
      </c>
      <c r="E549" s="59" t="s">
        <v>135</v>
      </c>
      <c r="G549" s="2791"/>
      <c r="J549" s="90"/>
    </row>
    <row r="550" spans="3:12">
      <c r="D550" s="63"/>
      <c r="G550" s="2791"/>
      <c r="J550" s="259"/>
      <c r="K550" s="16"/>
      <c r="L550" s="16"/>
    </row>
    <row r="551" spans="3:12">
      <c r="D551" s="63"/>
      <c r="G551" s="2791"/>
      <c r="J551" s="259"/>
      <c r="K551" s="16"/>
      <c r="L551" s="16"/>
    </row>
    <row r="552" spans="3:12">
      <c r="D552" s="68">
        <f>D549*D540</f>
        <v>1092.5</v>
      </c>
      <c r="E552" s="47" t="s">
        <v>53</v>
      </c>
      <c r="G552" s="2791"/>
      <c r="J552" s="65"/>
      <c r="K552" s="24"/>
      <c r="L552" s="24"/>
    </row>
    <row r="553" spans="3:12">
      <c r="D553" s="432"/>
      <c r="E553" s="24"/>
      <c r="G553" s="2791"/>
      <c r="J553" s="65"/>
      <c r="K553" s="24"/>
      <c r="L553" s="24"/>
    </row>
    <row r="554" spans="3:12">
      <c r="D554" s="46">
        <f>D549</f>
        <v>3.8333333333333335</v>
      </c>
      <c r="E554" s="359" t="s">
        <v>795</v>
      </c>
      <c r="G554" s="2791"/>
      <c r="J554" s="65"/>
      <c r="K554" s="24"/>
      <c r="L554" s="24"/>
    </row>
    <row r="555" spans="3:12">
      <c r="D555" s="75">
        <f>ROUNDUP((D554/21),0)</f>
        <v>1</v>
      </c>
      <c r="E555" s="99" t="s">
        <v>739</v>
      </c>
      <c r="G555" s="2791"/>
      <c r="J555" s="65"/>
      <c r="K555" s="24"/>
      <c r="L555" s="24"/>
    </row>
    <row r="556" spans="3:12">
      <c r="D556" s="432"/>
      <c r="E556" s="24"/>
      <c r="G556" s="2791"/>
      <c r="J556" s="65"/>
      <c r="K556" s="24"/>
      <c r="L556" s="24"/>
    </row>
    <row r="557" spans="3:12">
      <c r="C557" s="2791" t="s">
        <v>70</v>
      </c>
      <c r="D557" s="58"/>
      <c r="E557" s="59" t="s">
        <v>156</v>
      </c>
      <c r="G557" s="2791"/>
      <c r="J557" s="65"/>
      <c r="K557" s="24"/>
      <c r="L557" s="24"/>
    </row>
    <row r="558" spans="3:12">
      <c r="D558" s="58"/>
      <c r="E558" s="59"/>
      <c r="G558" s="2791"/>
      <c r="J558" s="65"/>
      <c r="K558" s="24"/>
      <c r="L558" s="24"/>
    </row>
    <row r="559" spans="3:12">
      <c r="D559" s="58"/>
      <c r="E559" s="59"/>
      <c r="G559" s="2791"/>
      <c r="J559" s="65"/>
      <c r="K559" s="24"/>
      <c r="L559" s="24"/>
    </row>
    <row r="560" spans="3:12">
      <c r="D560" s="25">
        <f>D525</f>
        <v>3.8333333333333335</v>
      </c>
      <c r="E560" s="16" t="s">
        <v>157</v>
      </c>
      <c r="G560" s="2791"/>
      <c r="J560" s="65"/>
      <c r="K560" s="24"/>
      <c r="L560" s="24"/>
    </row>
    <row r="561" spans="3:15">
      <c r="D561" s="61">
        <f>FLOOR(D560,1)</f>
        <v>3</v>
      </c>
      <c r="E561" s="16" t="s">
        <v>73</v>
      </c>
      <c r="G561" s="2791"/>
      <c r="J561" s="65"/>
      <c r="K561" s="24"/>
      <c r="L561" s="24"/>
    </row>
    <row r="562" spans="3:15">
      <c r="D562" s="146">
        <f>D561*D501</f>
        <v>6</v>
      </c>
      <c r="E562" s="24" t="s">
        <v>175</v>
      </c>
      <c r="G562" s="2791"/>
      <c r="J562" s="65"/>
      <c r="K562" s="24"/>
      <c r="L562" s="24"/>
    </row>
    <row r="563" spans="3:15">
      <c r="D563" s="65"/>
      <c r="E563" s="24" t="s">
        <v>88</v>
      </c>
      <c r="G563" s="2791"/>
      <c r="J563" s="65"/>
      <c r="K563" s="24"/>
      <c r="L563" s="24"/>
    </row>
    <row r="564" spans="3:15">
      <c r="D564" s="102">
        <f>D562*D513</f>
        <v>1260</v>
      </c>
      <c r="E564" s="39" t="s">
        <v>74</v>
      </c>
      <c r="G564" s="2791"/>
      <c r="J564" s="259"/>
      <c r="K564" s="1"/>
      <c r="L564" s="1"/>
      <c r="M564" s="1"/>
      <c r="N564" s="1"/>
      <c r="O564" s="1"/>
    </row>
    <row r="565" spans="3:15">
      <c r="D565" s="275"/>
      <c r="G565" s="2791"/>
      <c r="J565" s="259"/>
      <c r="K565" s="1"/>
      <c r="L565" s="1"/>
      <c r="M565" s="1"/>
      <c r="N565" s="1"/>
      <c r="O565" s="1"/>
    </row>
    <row r="566" spans="3:15">
      <c r="C566" s="2791" t="s">
        <v>4</v>
      </c>
      <c r="D566" s="1322">
        <f>SUM(D480:F480)</f>
        <v>329.09999999999997</v>
      </c>
      <c r="E566" s="16" t="s">
        <v>1130</v>
      </c>
      <c r="G566" s="2791"/>
      <c r="J566" s="259"/>
      <c r="K566" s="1"/>
      <c r="L566" s="1"/>
      <c r="M566" s="1"/>
      <c r="N566" s="1"/>
      <c r="O566" s="1"/>
    </row>
    <row r="567" spans="3:15">
      <c r="D567" s="275"/>
      <c r="G567" s="2791"/>
      <c r="J567" s="259"/>
      <c r="K567" s="1"/>
      <c r="L567" s="1"/>
      <c r="M567" s="1"/>
      <c r="N567" s="1"/>
      <c r="O567" s="1"/>
    </row>
    <row r="568" spans="3:15">
      <c r="D568" s="275"/>
      <c r="G568" s="2791"/>
      <c r="J568" s="259"/>
      <c r="K568" s="1"/>
      <c r="L568" s="1"/>
      <c r="M568" s="1"/>
      <c r="N568" s="1"/>
      <c r="O568" s="1"/>
    </row>
    <row r="569" spans="3:15">
      <c r="D569" s="65"/>
      <c r="E569" s="24"/>
      <c r="G569" s="2791"/>
      <c r="J569" s="65"/>
      <c r="M569" s="531"/>
      <c r="N569" s="432"/>
      <c r="O569" s="432"/>
    </row>
    <row r="570" spans="3:15">
      <c r="C570" s="198"/>
      <c r="D570" s="617" t="s">
        <v>172</v>
      </c>
      <c r="E570" s="618" t="s">
        <v>155</v>
      </c>
      <c r="F570" s="618" t="s">
        <v>166</v>
      </c>
      <c r="G570" s="619" t="s">
        <v>69</v>
      </c>
      <c r="J570" s="531"/>
      <c r="K570" s="432"/>
      <c r="L570" s="432"/>
      <c r="M570" s="432"/>
    </row>
    <row r="571" spans="3:15">
      <c r="C571" s="198"/>
      <c r="D571" s="404" t="s">
        <v>3</v>
      </c>
      <c r="E571" s="90">
        <f>D527</f>
        <v>7.666666666666667</v>
      </c>
      <c r="F571" s="432">
        <f>D529</f>
        <v>1725</v>
      </c>
      <c r="G571" s="432" t="str">
        <f>E529</f>
        <v>Cost for person hours</v>
      </c>
      <c r="H571" s="558">
        <f>D421</f>
        <v>1</v>
      </c>
      <c r="J571" s="531"/>
      <c r="K571" s="432"/>
      <c r="L571" s="432"/>
      <c r="M571" s="432"/>
    </row>
    <row r="572" spans="3:15">
      <c r="C572" s="198"/>
      <c r="D572" s="404" t="s">
        <v>132</v>
      </c>
      <c r="E572" s="90">
        <f>D549</f>
        <v>3.8333333333333335</v>
      </c>
      <c r="F572" s="432">
        <f>D552</f>
        <v>1092.5</v>
      </c>
      <c r="G572" s="432" t="str">
        <f>E552</f>
        <v>Cost for ute hire for the whole activity</v>
      </c>
      <c r="H572" s="558">
        <f>H571</f>
        <v>1</v>
      </c>
      <c r="J572" s="90"/>
      <c r="K572" s="432"/>
      <c r="L572" s="432"/>
      <c r="M572" s="432"/>
    </row>
    <row r="573" spans="3:15">
      <c r="C573" s="198"/>
      <c r="D573" s="404" t="s">
        <v>169</v>
      </c>
      <c r="E573" s="90">
        <f>D562</f>
        <v>6</v>
      </c>
      <c r="F573" s="432">
        <f>SUM(D564,D566)</f>
        <v>1589.1</v>
      </c>
      <c r="G573" s="432" t="str">
        <f>E564</f>
        <v>Accomodation + Food Cost</v>
      </c>
      <c r="H573" s="558">
        <f>H572</f>
        <v>1</v>
      </c>
      <c r="J573" s="90"/>
      <c r="K573" s="432"/>
      <c r="L573" s="432"/>
      <c r="M573" s="432"/>
    </row>
    <row r="574" spans="3:15">
      <c r="D574" s="404" t="s">
        <v>21</v>
      </c>
      <c r="E574" s="90"/>
      <c r="F574" s="432">
        <f>D490</f>
        <v>10000</v>
      </c>
      <c r="G574" s="432" t="str">
        <f>E490</f>
        <v>Total equipment cost</v>
      </c>
      <c r="H574" s="558">
        <f>D491</f>
        <v>10</v>
      </c>
      <c r="K574" s="432"/>
      <c r="L574" s="432"/>
      <c r="M574" s="432"/>
    </row>
    <row r="575" spans="3:15">
      <c r="D575" s="405"/>
      <c r="E575" s="439"/>
      <c r="F575" s="622">
        <f>SUM(F571:F574)</f>
        <v>14406.6</v>
      </c>
      <c r="G575" s="623" t="s">
        <v>165</v>
      </c>
    </row>
    <row r="576" spans="3:15">
      <c r="C576" s="198"/>
      <c r="D576" s="2791"/>
      <c r="E576" s="2791"/>
      <c r="G576" s="2791"/>
    </row>
    <row r="577" spans="3:7" ht="17" customHeight="1">
      <c r="G577" s="2791"/>
    </row>
    <row r="578" spans="3:7" s="656" customFormat="1">
      <c r="D578" s="1547"/>
      <c r="E578" s="3256"/>
    </row>
    <row r="579" spans="3:7">
      <c r="C579" s="8" t="s">
        <v>1255</v>
      </c>
      <c r="D579" s="2791"/>
      <c r="G579" s="2791"/>
    </row>
    <row r="580" spans="3:7">
      <c r="C580" s="2791" t="s">
        <v>1239</v>
      </c>
      <c r="D580" s="2791"/>
      <c r="G580" s="2791"/>
    </row>
    <row r="581" spans="3:7">
      <c r="C581" s="541" t="s">
        <v>644</v>
      </c>
      <c r="D581" s="2791"/>
      <c r="E581" s="2791"/>
      <c r="F581" s="16"/>
      <c r="G581" s="2791"/>
    </row>
    <row r="582" spans="3:7">
      <c r="C582" s="2791" t="s">
        <v>643</v>
      </c>
      <c r="D582" s="2791"/>
      <c r="E582" s="2791"/>
      <c r="G582" s="2791"/>
    </row>
    <row r="583" spans="3:7">
      <c r="C583" s="2791" t="s">
        <v>1257</v>
      </c>
      <c r="D583" s="2791"/>
      <c r="E583" s="2791"/>
      <c r="G583" s="2791"/>
    </row>
    <row r="584" spans="3:7">
      <c r="D584" s="2791"/>
      <c r="E584" s="2791"/>
      <c r="G584" s="2791"/>
    </row>
    <row r="585" spans="3:7">
      <c r="D585" s="2791"/>
      <c r="E585" s="2791"/>
      <c r="F585" s="98"/>
      <c r="G585" s="16"/>
    </row>
    <row r="586" spans="3:7">
      <c r="D586" s="94" t="s">
        <v>91</v>
      </c>
      <c r="E586" s="41"/>
      <c r="G586" s="2791"/>
    </row>
    <row r="587" spans="3:7">
      <c r="D587" s="2756">
        <f>$H$8</f>
        <v>1</v>
      </c>
      <c r="E587" s="2791" t="s">
        <v>2083</v>
      </c>
      <c r="F587" s="1540"/>
      <c r="G587" s="16"/>
    </row>
    <row r="588" spans="3:7">
      <c r="D588" s="2767">
        <f>$H$14</f>
        <v>0.26666666666666666</v>
      </c>
      <c r="E588" s="246" t="s">
        <v>2104</v>
      </c>
      <c r="F588" s="1540"/>
      <c r="G588" s="16"/>
    </row>
    <row r="589" spans="3:7">
      <c r="D589" s="3247">
        <f>D587*D588</f>
        <v>0.26666666666666666</v>
      </c>
      <c r="E589" s="246" t="s">
        <v>2105</v>
      </c>
      <c r="F589" s="1540"/>
      <c r="G589" s="16"/>
    </row>
    <row r="590" spans="3:7">
      <c r="D590" s="3247"/>
      <c r="E590" s="1394" t="s">
        <v>2152</v>
      </c>
      <c r="F590" s="1540"/>
      <c r="G590" s="16"/>
    </row>
    <row r="591" spans="3:7">
      <c r="D591" s="3247"/>
      <c r="E591" s="246"/>
      <c r="F591" s="1540"/>
      <c r="G591" s="16"/>
    </row>
    <row r="592" spans="3:7">
      <c r="D592" s="875">
        <f>'Overall Assumptions'!$C$106</f>
        <v>0.2</v>
      </c>
      <c r="E592" s="43" t="str">
        <f>'Overall Assumptions'!$D$106</f>
        <v>Total length of river to be rehabilitated (up and down stream in km)</v>
      </c>
      <c r="F592" s="1540"/>
      <c r="G592" s="16"/>
    </row>
    <row r="593" spans="3:8">
      <c r="D593" s="1536">
        <f>'Overall Assumptions'!$C$107</f>
        <v>0.1</v>
      </c>
      <c r="E593" s="246" t="str">
        <f>'Overall Assumptions'!$D$107</f>
        <v>Buffer on riverside for restoration (km)</v>
      </c>
      <c r="G593" s="2791"/>
    </row>
    <row r="594" spans="3:8">
      <c r="D594" s="3249">
        <f>D592*D593*2</f>
        <v>4.0000000000000008E-2</v>
      </c>
      <c r="E594" s="1826" t="s">
        <v>1243</v>
      </c>
      <c r="G594" s="2791"/>
    </row>
    <row r="595" spans="3:8">
      <c r="D595" s="535">
        <v>10</v>
      </c>
      <c r="E595" s="43" t="s">
        <v>611</v>
      </c>
      <c r="F595" s="1537"/>
      <c r="G595" s="16"/>
    </row>
    <row r="596" spans="3:8">
      <c r="D596" s="1302">
        <f>1000000/D595</f>
        <v>100000</v>
      </c>
      <c r="E596" s="153" t="s">
        <v>610</v>
      </c>
      <c r="G596" s="2791"/>
    </row>
    <row r="597" spans="3:8">
      <c r="D597" s="1310">
        <f>SQRT(D595/1000000)</f>
        <v>3.1622776601683794E-3</v>
      </c>
      <c r="E597" s="43" t="s">
        <v>1123</v>
      </c>
      <c r="G597" s="2791"/>
    </row>
    <row r="598" spans="3:8">
      <c r="D598" s="1245">
        <f>D592*2</f>
        <v>0.4</v>
      </c>
      <c r="E598" s="246" t="s">
        <v>1244</v>
      </c>
      <c r="G598" s="2791"/>
    </row>
    <row r="599" spans="3:8">
      <c r="D599" s="1302"/>
      <c r="E599" s="153"/>
      <c r="G599" s="2791"/>
    </row>
    <row r="600" spans="3:8">
      <c r="D600" s="527">
        <v>5</v>
      </c>
      <c r="E600" s="45" t="s">
        <v>263</v>
      </c>
      <c r="F600" s="2791" t="s">
        <v>1155</v>
      </c>
      <c r="G600" s="2791"/>
    </row>
    <row r="601" spans="3:8">
      <c r="D601" s="404"/>
      <c r="E601" s="43" t="s">
        <v>1152</v>
      </c>
      <c r="F601" s="3257">
        <v>0.3</v>
      </c>
      <c r="G601" s="161" t="s">
        <v>1156</v>
      </c>
    </row>
    <row r="602" spans="3:8">
      <c r="D602" s="403">
        <f>F602</f>
        <v>4.9999999999999996E-2</v>
      </c>
      <c r="E602" s="43" t="s">
        <v>1131</v>
      </c>
      <c r="F602" s="1345">
        <f>G602/SUM($G$602:$G$604)*F$601</f>
        <v>4.9999999999999996E-2</v>
      </c>
      <c r="G602" s="1341">
        <f>'Overall Assumptions'!$C$153</f>
        <v>0.05</v>
      </c>
    </row>
    <row r="603" spans="3:8">
      <c r="D603" s="403">
        <f>F603</f>
        <v>9.9999999999999992E-2</v>
      </c>
      <c r="E603" s="43" t="s">
        <v>1153</v>
      </c>
      <c r="F603" s="1346">
        <f t="shared" ref="F603:F604" si="67">G603/SUM($G$602:$G$604)*F$601</f>
        <v>9.9999999999999992E-2</v>
      </c>
      <c r="G603" s="1342">
        <f>'Overall Assumptions'!$C$154</f>
        <v>0.1</v>
      </c>
    </row>
    <row r="604" spans="3:8">
      <c r="D604" s="1340">
        <f>F604</f>
        <v>0.14999999999999997</v>
      </c>
      <c r="E604" s="45" t="s">
        <v>1154</v>
      </c>
      <c r="F604" s="1347">
        <f t="shared" si="67"/>
        <v>0.14999999999999997</v>
      </c>
      <c r="G604" s="1343">
        <f>'Overall Assumptions'!$C$155</f>
        <v>0.15</v>
      </c>
    </row>
    <row r="605" spans="3:8">
      <c r="D605" s="2791"/>
      <c r="E605" s="2791"/>
      <c r="G605" s="2791"/>
    </row>
    <row r="606" spans="3:8">
      <c r="D606" s="2791"/>
      <c r="E606" s="2791"/>
      <c r="G606" s="2791"/>
    </row>
    <row r="607" spans="3:8">
      <c r="C607" s="2791" t="s">
        <v>1246</v>
      </c>
      <c r="D607" s="2791"/>
      <c r="E607" s="2791"/>
      <c r="G607" s="2791"/>
    </row>
    <row r="608" spans="3:8">
      <c r="D608" s="2791"/>
      <c r="E608" s="2791"/>
      <c r="G608" s="2791"/>
      <c r="H608" s="2791" t="s">
        <v>641</v>
      </c>
    </row>
    <row r="609" spans="3:10">
      <c r="D609" s="402" t="s">
        <v>650</v>
      </c>
      <c r="E609" s="161"/>
      <c r="G609" s="2791"/>
      <c r="H609" s="6" t="s">
        <v>640</v>
      </c>
    </row>
    <row r="610" spans="3:10">
      <c r="D610" s="545">
        <f>'Overall Assumptions'!$C$158</f>
        <v>3</v>
      </c>
      <c r="E610" s="246" t="s">
        <v>693</v>
      </c>
      <c r="G610" s="2791"/>
      <c r="H610" s="2791" t="s">
        <v>628</v>
      </c>
    </row>
    <row r="611" spans="3:10">
      <c r="D611" s="546">
        <f>'Overall Assumptions'!$C$159</f>
        <v>1</v>
      </c>
      <c r="E611" s="246" t="s">
        <v>648</v>
      </c>
      <c r="G611" s="2791"/>
      <c r="H611" s="2791" t="s">
        <v>638</v>
      </c>
    </row>
    <row r="612" spans="3:10">
      <c r="D612" s="545">
        <f>'Overall Assumptions'!$C$160</f>
        <v>0.6</v>
      </c>
      <c r="E612" s="246" t="s">
        <v>647</v>
      </c>
      <c r="G612" s="2791"/>
      <c r="I612" s="2791" t="s">
        <v>629</v>
      </c>
    </row>
    <row r="613" spans="3:10">
      <c r="D613" s="547">
        <f>'Overall Assumptions'!$C$161</f>
        <v>1</v>
      </c>
      <c r="E613" s="162" t="s">
        <v>649</v>
      </c>
      <c r="G613" s="2791"/>
      <c r="I613" s="2791" t="s">
        <v>630</v>
      </c>
    </row>
    <row r="614" spans="3:10">
      <c r="D614" s="2791"/>
      <c r="E614" s="2791"/>
      <c r="G614" s="2791"/>
      <c r="J614" s="2791" t="s">
        <v>631</v>
      </c>
    </row>
    <row r="615" spans="3:10">
      <c r="D615" s="2791" t="s">
        <v>698</v>
      </c>
      <c r="E615" s="2791"/>
      <c r="G615" s="2791"/>
      <c r="J615" s="2791" t="s">
        <v>632</v>
      </c>
    </row>
    <row r="616" spans="3:10">
      <c r="D616" s="402" t="s">
        <v>679</v>
      </c>
      <c r="E616" s="255" t="s">
        <v>25</v>
      </c>
      <c r="F616" s="255" t="s">
        <v>680</v>
      </c>
      <c r="G616" s="161"/>
      <c r="J616" s="2791" t="s">
        <v>633</v>
      </c>
    </row>
    <row r="617" spans="3:10">
      <c r="D617" s="548">
        <f>'Overall Assumptions'!$C$163</f>
        <v>4</v>
      </c>
      <c r="E617" s="3258">
        <f>'Overall Assumptions'!$D$163</f>
        <v>2</v>
      </c>
      <c r="F617" s="3258">
        <f>'Overall Assumptions'!$E$163</f>
        <v>1</v>
      </c>
      <c r="G617" s="246" t="s">
        <v>694</v>
      </c>
      <c r="J617" s="2791" t="s">
        <v>634</v>
      </c>
    </row>
    <row r="618" spans="3:10">
      <c r="D618" s="548">
        <f>'Overall Assumptions'!$C$164</f>
        <v>4</v>
      </c>
      <c r="E618" s="3258">
        <f>'Overall Assumptions'!$D$164</f>
        <v>2</v>
      </c>
      <c r="F618" s="3258">
        <f>'Overall Assumptions'!$E$164</f>
        <v>1</v>
      </c>
      <c r="G618" s="246" t="s">
        <v>312</v>
      </c>
      <c r="J618" s="2791" t="s">
        <v>635</v>
      </c>
    </row>
    <row r="619" spans="3:10">
      <c r="D619" s="404"/>
      <c r="E619" s="6"/>
      <c r="F619" s="6"/>
      <c r="G619" s="246"/>
      <c r="H619" s="2791" t="s">
        <v>639</v>
      </c>
    </row>
    <row r="620" spans="3:10">
      <c r="D620" s="548">
        <f>'Overall Assumptions'!$C$166</f>
        <v>2</v>
      </c>
      <c r="E620" s="3258">
        <f>'Overall Assumptions'!$D$166</f>
        <v>1</v>
      </c>
      <c r="F620" s="3258">
        <f>'Overall Assumptions'!$E$166</f>
        <v>0.5</v>
      </c>
      <c r="G620" s="246" t="s">
        <v>651</v>
      </c>
      <c r="I620" s="2791" t="s">
        <v>636</v>
      </c>
    </row>
    <row r="621" spans="3:10">
      <c r="D621" s="550">
        <f>SUMPRODUCT(D610:D613,D617:D620)</f>
        <v>18</v>
      </c>
      <c r="E621" s="176">
        <f>SUMPRODUCT(D610:D613,E617:E620)</f>
        <v>9</v>
      </c>
      <c r="F621" s="176">
        <f>SUMPRODUCT(D610:D613,F617:F620)</f>
        <v>4.5</v>
      </c>
      <c r="G621" s="162" t="s">
        <v>166</v>
      </c>
      <c r="I621" s="2791" t="s">
        <v>637</v>
      </c>
    </row>
    <row r="622" spans="3:10">
      <c r="D622" s="2791"/>
      <c r="E622" s="2791"/>
      <c r="G622" s="531"/>
    </row>
    <row r="623" spans="3:10">
      <c r="D623" s="2791"/>
      <c r="E623" s="2791"/>
      <c r="G623" s="531"/>
    </row>
    <row r="624" spans="3:10">
      <c r="C624" s="402" t="s">
        <v>697</v>
      </c>
      <c r="D624" s="255" t="s">
        <v>652</v>
      </c>
      <c r="E624" s="255" t="s">
        <v>619</v>
      </c>
      <c r="F624" s="255" t="s">
        <v>612</v>
      </c>
      <c r="G624" s="255" t="s">
        <v>613</v>
      </c>
      <c r="H624" s="255" t="s">
        <v>624</v>
      </c>
      <c r="I624" s="161" t="s">
        <v>625</v>
      </c>
    </row>
    <row r="625" spans="3:17">
      <c r="C625" s="404" t="s">
        <v>1131</v>
      </c>
      <c r="D625" s="3259">
        <f>$D$470</f>
        <v>2.7</v>
      </c>
      <c r="E625" s="578">
        <f>D602</f>
        <v>4.9999999999999996E-2</v>
      </c>
      <c r="F625" s="3260">
        <f>E625*$D$594</f>
        <v>2E-3</v>
      </c>
      <c r="G625" s="531">
        <f>D625*F625*D$596/60/7.5</f>
        <v>1.2</v>
      </c>
      <c r="H625" s="543">
        <f>D621</f>
        <v>18</v>
      </c>
      <c r="I625" s="552">
        <f>$D$596*F625*H625</f>
        <v>3600</v>
      </c>
    </row>
    <row r="626" spans="3:17">
      <c r="C626" s="404" t="s">
        <v>323</v>
      </c>
      <c r="D626" s="3259">
        <f>$E$470</f>
        <v>1.95</v>
      </c>
      <c r="E626" s="578">
        <f>D603</f>
        <v>9.9999999999999992E-2</v>
      </c>
      <c r="F626" s="3260">
        <f>E626*$D$594</f>
        <v>4.0000000000000001E-3</v>
      </c>
      <c r="G626" s="531">
        <f>D626*F626*D$596/60/7.5</f>
        <v>1.7333333333333334</v>
      </c>
      <c r="H626" s="543">
        <f>E621</f>
        <v>9</v>
      </c>
      <c r="I626" s="552">
        <f>$D$596*F626*H626</f>
        <v>3600</v>
      </c>
    </row>
    <row r="627" spans="3:17">
      <c r="C627" s="404" t="s">
        <v>324</v>
      </c>
      <c r="D627" s="3259">
        <f>$F$470</f>
        <v>0.67500000000000004</v>
      </c>
      <c r="E627" s="578">
        <f>D604</f>
        <v>0.14999999999999997</v>
      </c>
      <c r="F627" s="3260">
        <f>E627*$D$594</f>
        <v>6.0000000000000001E-3</v>
      </c>
      <c r="G627" s="531">
        <f>D627*F627*D$596/60/7.5</f>
        <v>0.90000000000000013</v>
      </c>
      <c r="H627" s="543">
        <f>F621</f>
        <v>4.5</v>
      </c>
      <c r="I627" s="552">
        <f>$D$596*F627*H627</f>
        <v>2700</v>
      </c>
    </row>
    <row r="628" spans="3:17">
      <c r="C628" s="404"/>
      <c r="D628" s="2791"/>
      <c r="E628" s="2791"/>
      <c r="G628" s="2791"/>
      <c r="I628" s="246"/>
    </row>
    <row r="629" spans="3:17">
      <c r="C629" s="405" t="s">
        <v>463</v>
      </c>
      <c r="D629" s="439"/>
      <c r="E629" s="553">
        <f>SUM(E625:E627)</f>
        <v>0.29999999999999993</v>
      </c>
      <c r="F629" s="439">
        <f>SUM(F625:F627)</f>
        <v>1.2E-2</v>
      </c>
      <c r="G629" s="555">
        <f>SUM(G625:G627)</f>
        <v>3.8333333333333339</v>
      </c>
      <c r="H629" s="439"/>
      <c r="I629" s="2766">
        <f>SUM(I625:I627)</f>
        <v>9900</v>
      </c>
    </row>
    <row r="630" spans="3:17">
      <c r="D630" s="2791"/>
      <c r="E630" s="534"/>
      <c r="F630" s="531"/>
      <c r="G630" s="2791"/>
    </row>
    <row r="631" spans="3:17">
      <c r="D631" s="2791"/>
      <c r="E631" s="2791"/>
      <c r="G631" s="2791"/>
    </row>
    <row r="632" spans="3:17">
      <c r="C632" s="1" t="s">
        <v>4</v>
      </c>
      <c r="D632" s="23" t="s">
        <v>609</v>
      </c>
      <c r="E632" s="2791"/>
      <c r="G632" s="2791"/>
      <c r="P632" s="2791">
        <v>1</v>
      </c>
      <c r="Q632" s="2791" t="s">
        <v>195</v>
      </c>
    </row>
    <row r="633" spans="3:17">
      <c r="D633" s="93"/>
      <c r="E633" s="2791"/>
      <c r="G633" s="2791"/>
      <c r="P633" s="2791">
        <v>1000000</v>
      </c>
      <c r="Q633" s="2791" t="s">
        <v>598</v>
      </c>
    </row>
    <row r="634" spans="3:17">
      <c r="D634" s="2791"/>
      <c r="E634" s="2791"/>
      <c r="G634" s="2791"/>
      <c r="P634" s="533">
        <f>P633/10</f>
        <v>100000</v>
      </c>
      <c r="Q634" s="2791" t="s">
        <v>608</v>
      </c>
    </row>
    <row r="635" spans="3:17">
      <c r="D635" s="74">
        <f>I629</f>
        <v>9900</v>
      </c>
      <c r="E635" s="39" t="s">
        <v>609</v>
      </c>
      <c r="G635" s="2791"/>
    </row>
    <row r="636" spans="3:17">
      <c r="D636" s="344">
        <f>D600</f>
        <v>5</v>
      </c>
      <c r="E636" s="16" t="s">
        <v>263</v>
      </c>
      <c r="G636" s="2791"/>
      <c r="P636" s="2791">
        <v>20</v>
      </c>
      <c r="Q636" s="2791" t="s">
        <v>303</v>
      </c>
    </row>
    <row r="637" spans="3:17">
      <c r="D637" s="93"/>
      <c r="G637" s="2791"/>
      <c r="P637" s="2791">
        <v>0.2</v>
      </c>
      <c r="Q637" s="2791" t="s">
        <v>195</v>
      </c>
    </row>
    <row r="638" spans="3:17">
      <c r="D638" s="71"/>
      <c r="G638" s="2791"/>
      <c r="P638" s="531">
        <f>P637*P634</f>
        <v>20000</v>
      </c>
    </row>
    <row r="639" spans="3:17">
      <c r="C639" s="1" t="s">
        <v>42</v>
      </c>
      <c r="D639" s="367"/>
      <c r="G639" s="2791"/>
    </row>
    <row r="640" spans="3:17">
      <c r="D640" s="544">
        <v>10000</v>
      </c>
      <c r="E640" s="16" t="s">
        <v>1254</v>
      </c>
      <c r="G640" s="2791"/>
    </row>
    <row r="641" spans="3:10">
      <c r="D641" s="367"/>
      <c r="G641" s="2791"/>
    </row>
    <row r="642" spans="3:10">
      <c r="D642" s="25"/>
      <c r="G642" s="2791"/>
      <c r="I642" s="539"/>
    </row>
    <row r="643" spans="3:10">
      <c r="D643" s="74">
        <f>SUM(D639:D640)</f>
        <v>10000</v>
      </c>
      <c r="E643" s="39" t="s">
        <v>43</v>
      </c>
      <c r="G643" s="2791"/>
    </row>
    <row r="644" spans="3:10">
      <c r="D644" s="344">
        <v>10</v>
      </c>
      <c r="E644" s="16" t="s">
        <v>263</v>
      </c>
      <c r="G644" s="2791"/>
    </row>
    <row r="645" spans="3:10">
      <c r="C645" s="1" t="s">
        <v>3</v>
      </c>
      <c r="G645" s="2791"/>
    </row>
    <row r="646" spans="3:10">
      <c r="D646" s="46"/>
      <c r="G646" s="3"/>
      <c r="H646" s="3"/>
      <c r="I646" s="3"/>
    </row>
    <row r="647" spans="3:10" ht="19">
      <c r="C647" s="2791" t="s">
        <v>50</v>
      </c>
      <c r="D647" s="37" t="s">
        <v>325</v>
      </c>
      <c r="E647" s="24"/>
      <c r="F647" s="1"/>
      <c r="G647" s="3"/>
      <c r="H647" s="3"/>
      <c r="I647" s="3"/>
      <c r="J647" s="3"/>
    </row>
    <row r="648" spans="3:10">
      <c r="F648" s="1"/>
      <c r="G648" s="3"/>
      <c r="H648" s="3"/>
      <c r="I648" s="364"/>
      <c r="J648" s="3"/>
    </row>
    <row r="649" spans="3:10">
      <c r="D649" s="49"/>
      <c r="G649" s="2791"/>
      <c r="I649" s="365"/>
    </row>
    <row r="650" spans="3:10">
      <c r="D650" s="160" t="s">
        <v>240</v>
      </c>
      <c r="G650" s="2791"/>
    </row>
    <row r="651" spans="3:10">
      <c r="D651" s="50"/>
      <c r="G651" s="2791"/>
    </row>
    <row r="652" spans="3:10">
      <c r="D652" s="51" t="s">
        <v>82</v>
      </c>
      <c r="E652" s="39"/>
      <c r="G652" s="2791"/>
      <c r="I652" s="366"/>
    </row>
    <row r="653" spans="3:10" ht="19">
      <c r="D653" s="54">
        <f>'Overall Assumptions'!$C$68</f>
        <v>225</v>
      </c>
      <c r="E653" s="37" t="s">
        <v>99</v>
      </c>
      <c r="G653" s="2791"/>
      <c r="I653" s="366"/>
    </row>
    <row r="654" spans="3:10">
      <c r="D654" s="54">
        <f>'Overall Assumptions'!$C$130</f>
        <v>2</v>
      </c>
      <c r="E654" s="16" t="s">
        <v>84</v>
      </c>
      <c r="G654" s="2791"/>
      <c r="I654" s="366"/>
    </row>
    <row r="655" spans="3:10">
      <c r="D655" s="537"/>
      <c r="E655" s="461"/>
      <c r="G655" s="2791"/>
      <c r="I655" s="366"/>
    </row>
    <row r="656" spans="3:10">
      <c r="D656" s="54"/>
      <c r="E656" s="43"/>
      <c r="G656" s="2791"/>
    </row>
    <row r="657" spans="3:10">
      <c r="D657" s="1311"/>
      <c r="E657" s="43"/>
      <c r="G657" s="2791"/>
    </row>
    <row r="658" spans="3:10">
      <c r="D658" s="1020">
        <f>D598</f>
        <v>0.4</v>
      </c>
      <c r="E658" s="43" t="s">
        <v>1126</v>
      </c>
      <c r="G658" s="2791"/>
    </row>
    <row r="659" spans="3:10">
      <c r="D659" s="54">
        <f>'Overall Assumptions'!$C$10</f>
        <v>0</v>
      </c>
      <c r="E659" s="43" t="s">
        <v>85</v>
      </c>
      <c r="G659" s="2791"/>
    </row>
    <row r="660" spans="3:10">
      <c r="D660" s="54"/>
      <c r="E660" s="528"/>
      <c r="G660" s="2791"/>
    </row>
    <row r="661" spans="3:10">
      <c r="D661" s="54">
        <f>G625</f>
        <v>1.2</v>
      </c>
      <c r="E661" s="528" t="s">
        <v>1213</v>
      </c>
      <c r="G661" s="2791"/>
    </row>
    <row r="662" spans="3:10">
      <c r="D662" s="54">
        <f>G626</f>
        <v>1.7333333333333334</v>
      </c>
      <c r="E662" s="528" t="s">
        <v>1214</v>
      </c>
      <c r="G662" s="2791"/>
    </row>
    <row r="663" spans="3:10">
      <c r="D663" s="54">
        <f>G627</f>
        <v>0.90000000000000013</v>
      </c>
      <c r="E663" s="528" t="s">
        <v>1215</v>
      </c>
      <c r="G663" s="2791"/>
    </row>
    <row r="664" spans="3:10">
      <c r="D664" s="54"/>
      <c r="E664" s="528"/>
      <c r="G664" s="2791"/>
    </row>
    <row r="665" spans="3:10">
      <c r="D665" s="54">
        <f>'Overall Assumptions'!$C$90</f>
        <v>80</v>
      </c>
      <c r="E665" s="43" t="s">
        <v>86</v>
      </c>
      <c r="G665" s="2791"/>
    </row>
    <row r="666" spans="3:10">
      <c r="D666" s="56">
        <f>'Overall Assumptions'!$C$81</f>
        <v>210</v>
      </c>
      <c r="E666" s="45" t="s">
        <v>87</v>
      </c>
      <c r="G666" s="2791"/>
      <c r="J666" s="578"/>
    </row>
    <row r="667" spans="3:10">
      <c r="D667" s="57"/>
      <c r="G667" s="2791"/>
    </row>
    <row r="668" spans="3:10">
      <c r="C668" s="21"/>
      <c r="D668" s="58">
        <f>2*D659/D665/7.5</f>
        <v>0</v>
      </c>
      <c r="E668" s="59" t="s">
        <v>95</v>
      </c>
      <c r="G668" s="2791"/>
      <c r="J668" s="90"/>
    </row>
    <row r="669" spans="3:10">
      <c r="C669" s="21"/>
      <c r="D669" s="58"/>
      <c r="E669" s="60" t="s">
        <v>100</v>
      </c>
      <c r="G669" s="2791"/>
    </row>
    <row r="670" spans="3:10">
      <c r="C670" s="21"/>
      <c r="D670" s="58">
        <f>D658/D665/7.5</f>
        <v>6.6666666666666664E-4</v>
      </c>
      <c r="E670" s="59" t="s">
        <v>656</v>
      </c>
      <c r="G670" s="2791"/>
      <c r="J670" s="90"/>
    </row>
    <row r="671" spans="3:10" ht="18" customHeight="1">
      <c r="C671" s="21"/>
      <c r="D671" s="58"/>
      <c r="E671" s="59"/>
      <c r="F671" s="19"/>
      <c r="G671" s="2791"/>
    </row>
    <row r="672" spans="3:10" ht="18" customHeight="1">
      <c r="C672" s="21"/>
      <c r="D672" s="58">
        <f>(D661+D662+D663)</f>
        <v>3.8333333333333339</v>
      </c>
      <c r="E672" s="59" t="s">
        <v>588</v>
      </c>
      <c r="F672" s="19"/>
      <c r="G672" s="2791"/>
    </row>
    <row r="673" spans="3:12" ht="18" customHeight="1">
      <c r="C673" s="21"/>
      <c r="D673" s="58"/>
      <c r="E673" s="59"/>
      <c r="F673" s="19"/>
      <c r="G673" s="2791"/>
    </row>
    <row r="674" spans="3:12" ht="18" customHeight="1">
      <c r="C674" s="21"/>
      <c r="D674" s="77">
        <f>SUM(D668:D672)</f>
        <v>3.8340000000000005</v>
      </c>
      <c r="E674" s="16" t="s">
        <v>157</v>
      </c>
      <c r="F674" s="19"/>
      <c r="G674" s="2791"/>
    </row>
    <row r="675" spans="3:12">
      <c r="C675" s="21"/>
      <c r="G675" s="2791"/>
    </row>
    <row r="676" spans="3:12">
      <c r="C676" s="21"/>
      <c r="D676" s="77">
        <f>D674*D654</f>
        <v>7.668000000000001</v>
      </c>
      <c r="E676" s="16" t="s">
        <v>566</v>
      </c>
      <c r="G676" s="2791"/>
      <c r="J676" s="90"/>
    </row>
    <row r="677" spans="3:12">
      <c r="C677" s="21"/>
      <c r="D677" s="77"/>
      <c r="G677" s="2791"/>
      <c r="J677" s="90"/>
    </row>
    <row r="678" spans="3:12">
      <c r="C678" s="21"/>
      <c r="D678" s="64">
        <f>D676*D653</f>
        <v>1725.3000000000002</v>
      </c>
      <c r="E678" s="47" t="s">
        <v>329</v>
      </c>
      <c r="G678" s="2791"/>
      <c r="J678" s="259"/>
      <c r="K678" s="16"/>
      <c r="L678" s="16"/>
    </row>
    <row r="679" spans="3:12">
      <c r="C679" s="21"/>
      <c r="G679" s="2791"/>
      <c r="J679" s="259"/>
      <c r="K679" s="16"/>
      <c r="L679" s="16"/>
    </row>
    <row r="680" spans="3:12">
      <c r="G680" s="2791"/>
    </row>
    <row r="681" spans="3:12">
      <c r="G681" s="2791"/>
      <c r="H681" s="259"/>
      <c r="J681" s="65"/>
      <c r="K681" s="24"/>
      <c r="L681" s="24"/>
    </row>
    <row r="682" spans="3:12">
      <c r="D682" s="65"/>
      <c r="E682" s="24"/>
      <c r="G682" s="2791"/>
      <c r="J682" s="65"/>
      <c r="K682" s="24"/>
      <c r="L682" s="24"/>
    </row>
    <row r="683" spans="3:12">
      <c r="E683" s="24"/>
      <c r="G683" s="2791"/>
    </row>
    <row r="684" spans="3:12" ht="19">
      <c r="C684" s="2791" t="s">
        <v>132</v>
      </c>
      <c r="D684" s="37" t="s">
        <v>89</v>
      </c>
      <c r="G684" s="2791"/>
    </row>
    <row r="685" spans="3:12">
      <c r="C685" s="2791" t="s">
        <v>54</v>
      </c>
      <c r="G685" s="2791"/>
    </row>
    <row r="686" spans="3:12">
      <c r="D686" s="160" t="s">
        <v>243</v>
      </c>
      <c r="G686" s="2791"/>
    </row>
    <row r="687" spans="3:12">
      <c r="D687" s="16"/>
      <c r="G687" s="2791"/>
    </row>
    <row r="688" spans="3:12">
      <c r="D688" s="67" t="s">
        <v>91</v>
      </c>
      <c r="E688" s="41"/>
      <c r="G688" s="2791"/>
    </row>
    <row r="689" spans="4:12">
      <c r="D689" s="52">
        <f>'Overall Assumptions'!$C$93</f>
        <v>285</v>
      </c>
      <c r="E689" s="41" t="s">
        <v>93</v>
      </c>
      <c r="G689" s="2791"/>
    </row>
    <row r="690" spans="4:12">
      <c r="D690" s="54">
        <f>'Overall Assumptions'!$C$10</f>
        <v>0</v>
      </c>
      <c r="E690" s="43" t="s">
        <v>85</v>
      </c>
      <c r="G690" s="2791"/>
    </row>
    <row r="691" spans="4:12">
      <c r="D691" s="54">
        <f>'Overall Assumptions'!$C$90</f>
        <v>80</v>
      </c>
      <c r="E691" s="43" t="s">
        <v>86</v>
      </c>
      <c r="G691" s="2791"/>
    </row>
    <row r="692" spans="4:12">
      <c r="D692" s="616"/>
      <c r="E692" s="43"/>
      <c r="G692" s="2791"/>
    </row>
    <row r="693" spans="4:12">
      <c r="D693" s="56"/>
      <c r="E693" s="45"/>
      <c r="G693" s="2791"/>
      <c r="J693" s="578"/>
    </row>
    <row r="694" spans="4:12">
      <c r="D694" s="75"/>
      <c r="G694" s="2791"/>
    </row>
    <row r="695" spans="4:12">
      <c r="D695" s="46">
        <f>2*D690/D691/7.5</f>
        <v>0</v>
      </c>
      <c r="E695" s="59" t="s">
        <v>97</v>
      </c>
      <c r="G695" s="2791"/>
      <c r="J695" s="532"/>
      <c r="K695" s="59"/>
      <c r="L695" s="59"/>
    </row>
    <row r="696" spans="4:12">
      <c r="D696" s="46">
        <f>D670</f>
        <v>6.6666666666666664E-4</v>
      </c>
      <c r="E696" s="59" t="s">
        <v>589</v>
      </c>
      <c r="G696" s="2791"/>
      <c r="K696" s="59"/>
      <c r="L696" s="59"/>
    </row>
    <row r="697" spans="4:12">
      <c r="D697" s="46">
        <f>D672</f>
        <v>3.8333333333333339</v>
      </c>
      <c r="E697" s="59" t="s">
        <v>623</v>
      </c>
      <c r="G697" s="2791"/>
      <c r="K697" s="59"/>
      <c r="L697" s="59"/>
    </row>
    <row r="698" spans="4:12">
      <c r="D698" s="46">
        <f>SUM(D695:D697)</f>
        <v>3.8340000000000005</v>
      </c>
      <c r="E698" s="59" t="s">
        <v>135</v>
      </c>
      <c r="G698" s="2791"/>
      <c r="J698" s="90"/>
    </row>
    <row r="699" spans="4:12">
      <c r="D699" s="63"/>
      <c r="G699" s="2791"/>
      <c r="J699" s="259"/>
      <c r="K699" s="16"/>
      <c r="L699" s="16"/>
    </row>
    <row r="700" spans="4:12">
      <c r="D700" s="63"/>
      <c r="G700" s="2791"/>
      <c r="J700" s="259"/>
      <c r="K700" s="16"/>
      <c r="L700" s="16"/>
    </row>
    <row r="701" spans="4:12">
      <c r="D701" s="68">
        <f>D698*D689</f>
        <v>1092.69</v>
      </c>
      <c r="E701" s="47" t="s">
        <v>53</v>
      </c>
      <c r="G701" s="2791"/>
      <c r="J701" s="65"/>
      <c r="K701" s="24"/>
      <c r="L701" s="24"/>
    </row>
    <row r="702" spans="4:12">
      <c r="D702" s="63"/>
      <c r="G702" s="2791"/>
      <c r="J702" s="65"/>
      <c r="K702" s="24"/>
      <c r="L702" s="24"/>
    </row>
    <row r="703" spans="4:12">
      <c r="D703" s="46">
        <f>D698</f>
        <v>3.8340000000000005</v>
      </c>
      <c r="E703" s="359" t="s">
        <v>795</v>
      </c>
      <c r="G703" s="2791"/>
      <c r="J703" s="65"/>
      <c r="K703" s="24"/>
      <c r="L703" s="24"/>
    </row>
    <row r="704" spans="4:12">
      <c r="D704" s="75">
        <f>ROUNDUP((D703/21),0)</f>
        <v>1</v>
      </c>
      <c r="E704" s="99" t="s">
        <v>739</v>
      </c>
      <c r="G704" s="2791"/>
      <c r="J704" s="65"/>
      <c r="K704" s="24"/>
      <c r="L704" s="24"/>
    </row>
    <row r="705" spans="3:15">
      <c r="D705" s="432"/>
      <c r="E705" s="24"/>
      <c r="G705" s="2791"/>
      <c r="J705" s="65"/>
      <c r="K705" s="24"/>
      <c r="L705" s="24"/>
    </row>
    <row r="706" spans="3:15">
      <c r="D706" s="432"/>
      <c r="E706" s="24"/>
      <c r="G706" s="2791"/>
      <c r="J706" s="65"/>
      <c r="K706" s="24"/>
      <c r="L706" s="24"/>
    </row>
    <row r="707" spans="3:15">
      <c r="D707" s="432"/>
      <c r="E707" s="24"/>
      <c r="G707" s="2791"/>
      <c r="J707" s="65"/>
      <c r="K707" s="24"/>
      <c r="L707" s="24"/>
    </row>
    <row r="708" spans="3:15">
      <c r="C708" s="2791" t="s">
        <v>70</v>
      </c>
      <c r="D708" s="58"/>
      <c r="E708" s="59" t="s">
        <v>156</v>
      </c>
      <c r="G708" s="2791"/>
      <c r="J708" s="65"/>
      <c r="K708" s="24"/>
      <c r="L708" s="24"/>
    </row>
    <row r="709" spans="3:15">
      <c r="D709" s="58"/>
      <c r="E709" s="59"/>
      <c r="G709" s="2791"/>
      <c r="J709" s="65"/>
      <c r="K709" s="24"/>
      <c r="L709" s="24"/>
    </row>
    <row r="710" spans="3:15">
      <c r="D710" s="58"/>
      <c r="E710" s="59"/>
      <c r="G710" s="2791"/>
      <c r="J710" s="65"/>
      <c r="K710" s="24"/>
      <c r="L710" s="24"/>
    </row>
    <row r="711" spans="3:15">
      <c r="D711" s="25">
        <f>D674</f>
        <v>3.8340000000000005</v>
      </c>
      <c r="E711" s="16" t="s">
        <v>157</v>
      </c>
      <c r="G711" s="2791"/>
      <c r="J711" s="65"/>
      <c r="K711" s="24"/>
      <c r="L711" s="24"/>
    </row>
    <row r="712" spans="3:15">
      <c r="D712" s="61">
        <f>FLOOR(D711,1)</f>
        <v>3</v>
      </c>
      <c r="E712" s="16" t="s">
        <v>73</v>
      </c>
      <c r="G712" s="2791"/>
      <c r="J712" s="65"/>
      <c r="K712" s="24"/>
      <c r="L712" s="24"/>
    </row>
    <row r="713" spans="3:15">
      <c r="D713" s="146">
        <f>D712*D654</f>
        <v>6</v>
      </c>
      <c r="E713" s="24" t="s">
        <v>175</v>
      </c>
      <c r="G713" s="2791"/>
      <c r="J713" s="65"/>
      <c r="K713" s="24"/>
      <c r="L713" s="24"/>
    </row>
    <row r="714" spans="3:15">
      <c r="D714" s="65"/>
      <c r="E714" s="24" t="s">
        <v>88</v>
      </c>
      <c r="G714" s="2791"/>
      <c r="J714" s="65"/>
      <c r="K714" s="24"/>
      <c r="L714" s="24"/>
    </row>
    <row r="715" spans="3:15">
      <c r="D715" s="102">
        <f>D713*D666</f>
        <v>1260</v>
      </c>
      <c r="E715" s="39" t="s">
        <v>74</v>
      </c>
      <c r="G715" s="2791"/>
      <c r="J715" s="259"/>
      <c r="K715" s="1"/>
      <c r="L715" s="1"/>
      <c r="M715" s="1"/>
      <c r="N715" s="1"/>
      <c r="O715" s="1"/>
    </row>
    <row r="716" spans="3:15">
      <c r="D716" s="65"/>
      <c r="E716" s="24"/>
      <c r="G716" s="2791"/>
      <c r="J716" s="65"/>
      <c r="M716" s="90"/>
      <c r="N716" s="432"/>
      <c r="O716" s="432"/>
    </row>
    <row r="717" spans="3:15">
      <c r="C717" s="2791" t="s">
        <v>4</v>
      </c>
      <c r="D717" s="74">
        <f>D635</f>
        <v>9900</v>
      </c>
      <c r="E717" s="39" t="str">
        <f>E635</f>
        <v>Consumables needed for bush regeneration</v>
      </c>
      <c r="G717" s="2791"/>
      <c r="J717" s="65"/>
      <c r="M717" s="90"/>
      <c r="N717" s="432"/>
      <c r="O717" s="432"/>
    </row>
    <row r="718" spans="3:15">
      <c r="D718" s="65"/>
      <c r="E718" s="24"/>
      <c r="G718" s="2791"/>
      <c r="J718" s="65"/>
      <c r="M718" s="90"/>
      <c r="N718" s="432"/>
      <c r="O718" s="432"/>
    </row>
    <row r="719" spans="3:15">
      <c r="D719" s="65"/>
      <c r="E719" s="24"/>
      <c r="G719" s="2791"/>
      <c r="J719" s="65"/>
      <c r="M719" s="90"/>
      <c r="N719" s="432"/>
      <c r="O719" s="432"/>
    </row>
    <row r="720" spans="3:15">
      <c r="D720" s="65"/>
      <c r="E720" s="24"/>
      <c r="G720" s="2791"/>
      <c r="J720" s="65"/>
      <c r="M720" s="90"/>
      <c r="N720" s="432"/>
      <c r="O720" s="432"/>
    </row>
    <row r="721" spans="1:47">
      <c r="D721" s="65"/>
      <c r="E721" s="24"/>
      <c r="G721" s="2791"/>
      <c r="J721" s="65"/>
      <c r="M721" s="90"/>
      <c r="N721" s="432"/>
      <c r="O721" s="432"/>
    </row>
    <row r="722" spans="1:47">
      <c r="C722" s="198"/>
      <c r="D722" s="617" t="s">
        <v>172</v>
      </c>
      <c r="E722" s="618" t="s">
        <v>155</v>
      </c>
      <c r="F722" s="618" t="s">
        <v>2101</v>
      </c>
      <c r="G722" s="618" t="s">
        <v>174</v>
      </c>
      <c r="H722" s="618" t="s">
        <v>166</v>
      </c>
      <c r="I722" s="619" t="s">
        <v>69</v>
      </c>
      <c r="J722" s="1" t="s">
        <v>391</v>
      </c>
      <c r="M722" s="90"/>
      <c r="N722" s="432"/>
      <c r="O722" s="432"/>
    </row>
    <row r="723" spans="1:47">
      <c r="C723" s="198"/>
      <c r="D723" s="404" t="s">
        <v>3</v>
      </c>
      <c r="E723" s="90">
        <f>D676</f>
        <v>7.668000000000001</v>
      </c>
      <c r="F723" s="531">
        <f>D587</f>
        <v>1</v>
      </c>
      <c r="G723" s="2791"/>
      <c r="H723" s="432">
        <f>D678</f>
        <v>1725.3000000000002</v>
      </c>
      <c r="I723" s="432" t="str">
        <f>E678</f>
        <v>Cost for person hours</v>
      </c>
      <c r="J723" s="2791">
        <f>$D$600</f>
        <v>5</v>
      </c>
      <c r="M723" s="90"/>
      <c r="N723" s="432"/>
      <c r="O723" s="432"/>
    </row>
    <row r="724" spans="1:47">
      <c r="C724" s="198"/>
      <c r="D724" s="404" t="s">
        <v>132</v>
      </c>
      <c r="E724" s="90">
        <f>D698</f>
        <v>3.8340000000000005</v>
      </c>
      <c r="F724" s="531">
        <f>F725</f>
        <v>1</v>
      </c>
      <c r="G724" s="531"/>
      <c r="H724" s="432">
        <f>D701</f>
        <v>1092.69</v>
      </c>
      <c r="I724" s="432" t="str">
        <f>E701</f>
        <v>Cost for ute hire for the whole activity</v>
      </c>
      <c r="J724" s="2791">
        <f>$D$600</f>
        <v>5</v>
      </c>
      <c r="K724" s="432"/>
      <c r="L724" s="432"/>
      <c r="M724" s="90"/>
      <c r="N724" s="432"/>
      <c r="O724" s="432"/>
    </row>
    <row r="725" spans="1:47">
      <c r="C725" s="198"/>
      <c r="D725" s="404" t="s">
        <v>169</v>
      </c>
      <c r="E725" s="90">
        <f>D713</f>
        <v>6</v>
      </c>
      <c r="F725" s="531">
        <f>F723</f>
        <v>1</v>
      </c>
      <c r="G725" s="531"/>
      <c r="H725" s="432">
        <f>SUM(D715,D717)</f>
        <v>11160</v>
      </c>
      <c r="I725" s="432" t="s">
        <v>1132</v>
      </c>
      <c r="J725" s="2791">
        <f>$D$600</f>
        <v>5</v>
      </c>
      <c r="K725" s="432"/>
      <c r="L725" s="432"/>
      <c r="M725" s="90"/>
      <c r="N725" s="432"/>
      <c r="O725" s="432"/>
    </row>
    <row r="726" spans="1:47">
      <c r="D726" s="404" t="s">
        <v>21</v>
      </c>
      <c r="E726" s="90"/>
      <c r="F726" s="531"/>
      <c r="G726" s="2791"/>
      <c r="H726" s="432">
        <f>D643</f>
        <v>10000</v>
      </c>
      <c r="I726" s="432" t="str">
        <f>E643</f>
        <v>Total equipment cost</v>
      </c>
      <c r="J726" s="558">
        <f>$D$644</f>
        <v>10</v>
      </c>
      <c r="K726" s="432"/>
      <c r="L726" s="432"/>
      <c r="N726" s="432"/>
      <c r="O726" s="432"/>
    </row>
    <row r="727" spans="1:47">
      <c r="D727" s="405"/>
      <c r="E727" s="439"/>
      <c r="F727" s="439"/>
      <c r="G727" s="439"/>
      <c r="H727" s="622">
        <f>SUM(H723:H726)</f>
        <v>23977.989999999998</v>
      </c>
      <c r="I727" s="623" t="s">
        <v>165</v>
      </c>
    </row>
    <row r="728" spans="1:47">
      <c r="C728" s="198"/>
      <c r="D728" s="2791"/>
      <c r="E728" s="2791"/>
      <c r="G728" s="2791"/>
    </row>
    <row r="729" spans="1:47">
      <c r="G729" s="2791"/>
    </row>
    <row r="730" spans="1:47">
      <c r="D730" s="25"/>
      <c r="G730" s="2791"/>
      <c r="H730" s="259"/>
    </row>
    <row r="731" spans="1:47">
      <c r="D731" s="25"/>
      <c r="G731" s="2791"/>
    </row>
    <row r="732" spans="1:47" s="212" customFormat="1" ht="18" customHeight="1">
      <c r="A732" s="219"/>
      <c r="B732" s="219"/>
      <c r="C732" s="219"/>
      <c r="D732" s="223"/>
      <c r="E732" s="220"/>
      <c r="F732" s="219"/>
      <c r="G732" s="219"/>
      <c r="H732" s="219"/>
      <c r="I732" s="219"/>
      <c r="J732" s="219"/>
      <c r="K732" s="219"/>
      <c r="L732" s="219"/>
      <c r="M732" s="219"/>
      <c r="N732" s="219"/>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c r="AL732" s="219"/>
      <c r="AM732" s="219"/>
      <c r="AN732" s="219"/>
      <c r="AO732" s="219"/>
      <c r="AP732" s="219"/>
      <c r="AQ732" s="219"/>
      <c r="AR732" s="219"/>
      <c r="AS732" s="219"/>
      <c r="AT732" s="219"/>
      <c r="AU732" s="219"/>
    </row>
    <row r="733" spans="1:47" s="7" customFormat="1">
      <c r="E733" s="36"/>
      <c r="G733" s="1089"/>
    </row>
    <row r="734" spans="1:47">
      <c r="C734" s="8" t="s">
        <v>2106</v>
      </c>
      <c r="D734" s="2791"/>
    </row>
    <row r="735" spans="1:47">
      <c r="C735" s="8"/>
      <c r="D735" s="16"/>
    </row>
    <row r="736" spans="1:47">
      <c r="D736" s="592" t="s">
        <v>1259</v>
      </c>
      <c r="E736" s="39"/>
    </row>
    <row r="737" spans="3:6">
      <c r="D737" s="332" t="s">
        <v>91</v>
      </c>
      <c r="E737" s="43"/>
      <c r="F737" s="24"/>
    </row>
    <row r="738" spans="3:6">
      <c r="D738" s="2756">
        <f>$H$8</f>
        <v>1</v>
      </c>
      <c r="E738" s="2791" t="s">
        <v>2083</v>
      </c>
    </row>
    <row r="739" spans="3:6">
      <c r="D739" s="2954">
        <f>$H$14</f>
        <v>0.26666666666666666</v>
      </c>
      <c r="E739" s="246" t="s">
        <v>2104</v>
      </c>
    </row>
    <row r="740" spans="3:6">
      <c r="D740" s="3247">
        <f>D738*D739</f>
        <v>0.26666666666666666</v>
      </c>
      <c r="E740" s="246" t="s">
        <v>2105</v>
      </c>
    </row>
    <row r="741" spans="3:6">
      <c r="D741" s="332"/>
      <c r="E741" s="1394" t="s">
        <v>2152</v>
      </c>
    </row>
    <row r="742" spans="3:6">
      <c r="C742" s="24"/>
      <c r="D742" s="2791"/>
      <c r="E742" s="2791"/>
    </row>
    <row r="743" spans="3:6">
      <c r="C743" s="24"/>
      <c r="D743" s="332"/>
      <c r="E743" s="2791"/>
    </row>
    <row r="744" spans="3:6">
      <c r="C744" s="24"/>
      <c r="D744" s="2757">
        <v>3</v>
      </c>
      <c r="E744" s="43" t="s">
        <v>2084</v>
      </c>
    </row>
    <row r="745" spans="3:6">
      <c r="C745" s="24"/>
      <c r="D745" s="398">
        <v>2</v>
      </c>
      <c r="E745" s="43" t="s">
        <v>301</v>
      </c>
    </row>
    <row r="746" spans="3:6">
      <c r="C746" s="24"/>
      <c r="D746" s="268">
        <v>1</v>
      </c>
      <c r="E746" s="43" t="s">
        <v>1262</v>
      </c>
    </row>
    <row r="747" spans="3:6">
      <c r="C747" s="24"/>
      <c r="D747" s="332"/>
      <c r="E747" s="43"/>
    </row>
    <row r="748" spans="3:6">
      <c r="C748" s="24"/>
      <c r="D748" s="2432">
        <f>'Overall Assumptions'!$C$81</f>
        <v>210</v>
      </c>
      <c r="E748" s="43" t="s">
        <v>1266</v>
      </c>
    </row>
    <row r="749" spans="3:6">
      <c r="C749" s="24"/>
      <c r="D749" s="332" t="str">
        <f>'Overall Assumptions'!$D$76</f>
        <v>Daily rate (AUD) for labour assuming 7.5 hours/day</v>
      </c>
      <c r="E749" s="246"/>
    </row>
    <row r="750" spans="3:6">
      <c r="D750" s="399">
        <f>'Overall Assumptions'!$C$68</f>
        <v>225</v>
      </c>
      <c r="E750" s="452" t="str">
        <f>'Overall Assumptions'!$B$67</f>
        <v>Labour 1- APS Low (Entry lvl)</v>
      </c>
    </row>
    <row r="751" spans="3:6">
      <c r="D751" s="614">
        <f>'Overall Assumptions'!$C$72</f>
        <v>337.5</v>
      </c>
      <c r="E751" s="43" t="str">
        <f>'Overall Assumptions'!$B$71</f>
        <v>Labour 2 - APS High (Experienced)</v>
      </c>
    </row>
    <row r="752" spans="3:6">
      <c r="D752" s="112">
        <f>'Overall Assumptions'!$C$76</f>
        <v>487.5</v>
      </c>
      <c r="E752" s="45" t="str">
        <f>'Overall Assumptions'!$B$75</f>
        <v>Labour 3 - EL (Management)</v>
      </c>
    </row>
    <row r="753" spans="3:8">
      <c r="D753" s="33"/>
    </row>
    <row r="754" spans="3:8">
      <c r="D754" s="90">
        <f>D744</f>
        <v>3</v>
      </c>
      <c r="E754" s="33" t="s">
        <v>2049</v>
      </c>
    </row>
    <row r="755" spans="3:8" s="2953" customFormat="1">
      <c r="D755" s="90">
        <f>D754*D745</f>
        <v>6</v>
      </c>
      <c r="E755" s="33" t="s">
        <v>2347</v>
      </c>
      <c r="G755" s="359"/>
    </row>
    <row r="756" spans="3:8">
      <c r="D756" s="454">
        <f>D754*D750</f>
        <v>675</v>
      </c>
      <c r="E756" s="912" t="s">
        <v>1263</v>
      </c>
    </row>
    <row r="757" spans="3:8">
      <c r="D757" s="33">
        <f>D756*D745</f>
        <v>1350</v>
      </c>
      <c r="E757" s="16" t="s">
        <v>88</v>
      </c>
    </row>
    <row r="758" spans="3:8">
      <c r="D758" s="33"/>
    </row>
    <row r="759" spans="3:8">
      <c r="D759" s="175"/>
      <c r="E759" s="164"/>
      <c r="F759" s="255" t="s">
        <v>166</v>
      </c>
      <c r="G759" s="1090" t="s">
        <v>69</v>
      </c>
      <c r="H759" s="161"/>
    </row>
    <row r="760" spans="3:8">
      <c r="D760" s="405" t="s">
        <v>3</v>
      </c>
      <c r="E760" s="509"/>
      <c r="F760" s="321">
        <f>D757</f>
        <v>1350</v>
      </c>
      <c r="G760" s="1091" t="s">
        <v>1265</v>
      </c>
      <c r="H760" s="162"/>
    </row>
    <row r="761" spans="3:8">
      <c r="D761" s="2791"/>
      <c r="E761" s="620"/>
      <c r="F761" s="123"/>
      <c r="G761" s="99"/>
    </row>
    <row r="762" spans="3:8" ht="19">
      <c r="C762" s="2791" t="s">
        <v>64</v>
      </c>
      <c r="D762" s="37" t="s">
        <v>89</v>
      </c>
    </row>
    <row r="763" spans="3:8">
      <c r="C763" s="2791" t="s">
        <v>54</v>
      </c>
    </row>
    <row r="765" spans="3:8">
      <c r="D765" s="16"/>
    </row>
    <row r="766" spans="3:8">
      <c r="D766" s="67" t="s">
        <v>91</v>
      </c>
      <c r="E766" s="41"/>
    </row>
    <row r="767" spans="3:8">
      <c r="D767" s="52">
        <f>'Overall Assumptions'!$C$93</f>
        <v>285</v>
      </c>
      <c r="E767" s="41" t="s">
        <v>93</v>
      </c>
    </row>
    <row r="768" spans="3:8">
      <c r="D768" s="54">
        <f>'Overall Assumptions'!$C$10</f>
        <v>0</v>
      </c>
      <c r="E768" s="43" t="s">
        <v>85</v>
      </c>
    </row>
    <row r="769" spans="4:10">
      <c r="D769" s="54"/>
      <c r="E769" s="43"/>
    </row>
    <row r="770" spans="4:10">
      <c r="D770" s="616"/>
      <c r="E770" s="43"/>
    </row>
    <row r="771" spans="4:10">
      <c r="D771" s="56"/>
      <c r="E771" s="45"/>
      <c r="J771" s="578"/>
    </row>
    <row r="772" spans="4:10">
      <c r="D772" s="75"/>
    </row>
    <row r="773" spans="4:10">
      <c r="D773" s="46"/>
      <c r="E773" s="693"/>
      <c r="G773" s="2791"/>
      <c r="H773" s="532"/>
      <c r="I773" s="59"/>
    </row>
    <row r="774" spans="4:10">
      <c r="D774" s="46">
        <f>D754</f>
        <v>3</v>
      </c>
      <c r="E774" s="693" t="s">
        <v>98</v>
      </c>
      <c r="G774" s="2791"/>
      <c r="I774" s="59"/>
    </row>
    <row r="775" spans="4:10">
      <c r="D775" s="46"/>
      <c r="E775" s="693"/>
      <c r="G775" s="2791"/>
      <c r="I775" s="59"/>
    </row>
    <row r="776" spans="4:10">
      <c r="D776" s="46"/>
      <c r="E776" s="693"/>
      <c r="G776" s="2791"/>
      <c r="I776" s="59"/>
    </row>
    <row r="777" spans="4:10">
      <c r="D777" s="46">
        <f>SUM(D773:D775)</f>
        <v>3</v>
      </c>
      <c r="E777" s="693" t="s">
        <v>135</v>
      </c>
      <c r="G777" s="2791"/>
      <c r="H777" s="90"/>
    </row>
    <row r="778" spans="4:10">
      <c r="D778" s="46"/>
      <c r="E778" s="359"/>
      <c r="G778" s="2791"/>
      <c r="H778" s="90"/>
    </row>
    <row r="779" spans="4:10">
      <c r="D779" s="63"/>
      <c r="E779" s="99"/>
      <c r="G779" s="2791"/>
      <c r="H779" s="259"/>
      <c r="I779" s="16"/>
    </row>
    <row r="780" spans="4:10">
      <c r="D780" s="63">
        <f>$D767*D774</f>
        <v>855</v>
      </c>
      <c r="E780" s="99" t="s">
        <v>52</v>
      </c>
      <c r="G780" s="2791"/>
      <c r="H780" s="259"/>
      <c r="I780" s="16"/>
    </row>
    <row r="781" spans="4:10">
      <c r="D781" s="63"/>
      <c r="E781" s="99"/>
      <c r="G781" s="2791"/>
      <c r="H781" s="259"/>
      <c r="I781" s="16"/>
    </row>
    <row r="782" spans="4:10">
      <c r="D782" s="68">
        <f>SUM(D779:D781)</f>
        <v>855</v>
      </c>
      <c r="E782" s="1101" t="s">
        <v>53</v>
      </c>
      <c r="G782" s="2791"/>
      <c r="H782" s="65"/>
      <c r="I782" s="24"/>
    </row>
    <row r="783" spans="4:10">
      <c r="D783" s="432"/>
      <c r="E783" s="359"/>
      <c r="G783" s="2791"/>
      <c r="H783" s="65"/>
      <c r="I783" s="24"/>
    </row>
    <row r="784" spans="4:10">
      <c r="D784" s="46">
        <f>D777</f>
        <v>3</v>
      </c>
      <c r="E784" s="359" t="s">
        <v>795</v>
      </c>
      <c r="G784" s="2791"/>
      <c r="H784" s="65"/>
      <c r="I784" s="24"/>
    </row>
    <row r="785" spans="3:10">
      <c r="D785" s="75">
        <f>ROUNDUP((D777/21),0)</f>
        <v>1</v>
      </c>
      <c r="E785" s="99" t="s">
        <v>739</v>
      </c>
      <c r="G785" s="2791"/>
      <c r="H785" s="65"/>
      <c r="I785" s="24"/>
    </row>
    <row r="786" spans="3:10">
      <c r="D786" s="432"/>
      <c r="E786" s="359"/>
      <c r="G786" s="2791"/>
      <c r="H786" s="65"/>
      <c r="I786" s="24"/>
    </row>
    <row r="787" spans="3:10">
      <c r="D787" s="65"/>
      <c r="E787" s="359"/>
      <c r="G787" s="2791"/>
      <c r="H787" s="65"/>
      <c r="I787" s="24"/>
    </row>
    <row r="788" spans="3:10">
      <c r="C788" s="2791" t="s">
        <v>70</v>
      </c>
      <c r="D788" s="58"/>
      <c r="E788" s="359"/>
      <c r="G788" s="2791"/>
      <c r="H788" s="65"/>
      <c r="I788" s="24"/>
    </row>
    <row r="789" spans="3:10">
      <c r="D789" s="160" t="s">
        <v>238</v>
      </c>
      <c r="E789" s="359"/>
      <c r="G789" s="2791"/>
      <c r="H789" s="65"/>
      <c r="I789" s="24"/>
    </row>
    <row r="790" spans="3:10">
      <c r="D790" s="58"/>
      <c r="E790" s="359"/>
      <c r="G790" s="2791"/>
      <c r="H790" s="65"/>
      <c r="I790" s="24"/>
    </row>
    <row r="791" spans="3:10">
      <c r="D791" s="25">
        <f>D754</f>
        <v>3</v>
      </c>
      <c r="E791" s="99" t="s">
        <v>157</v>
      </c>
      <c r="G791" s="2791"/>
      <c r="H791" s="65"/>
      <c r="I791" s="24"/>
    </row>
    <row r="792" spans="3:10">
      <c r="D792" s="61">
        <f>FLOOR(D791,1)</f>
        <v>3</v>
      </c>
      <c r="E792" s="99" t="s">
        <v>73</v>
      </c>
      <c r="G792" s="2791"/>
      <c r="H792" s="65"/>
      <c r="I792" s="24"/>
    </row>
    <row r="793" spans="3:10">
      <c r="D793" s="65"/>
      <c r="E793" s="1102"/>
      <c r="G793" s="2791"/>
      <c r="H793" s="65"/>
      <c r="I793" s="24"/>
    </row>
    <row r="794" spans="3:10">
      <c r="D794" s="65">
        <f>D792*D745</f>
        <v>6</v>
      </c>
      <c r="E794" s="1102" t="s">
        <v>88</v>
      </c>
      <c r="G794" s="2791"/>
      <c r="H794" s="65"/>
      <c r="I794" s="24"/>
    </row>
    <row r="795" spans="3:10">
      <c r="D795" s="102">
        <f>D794*$D748</f>
        <v>1260</v>
      </c>
      <c r="E795" s="1101" t="s">
        <v>74</v>
      </c>
      <c r="G795" s="2791"/>
      <c r="H795" s="259"/>
      <c r="I795" s="16"/>
    </row>
    <row r="796" spans="3:10">
      <c r="D796" s="825"/>
      <c r="E796" s="359"/>
      <c r="F796" s="1" t="s">
        <v>788</v>
      </c>
      <c r="G796" s="1"/>
      <c r="H796" s="1"/>
    </row>
    <row r="797" spans="3:10">
      <c r="D797" s="617" t="s">
        <v>172</v>
      </c>
      <c r="E797" s="618" t="s">
        <v>155</v>
      </c>
      <c r="F797" s="618" t="s">
        <v>173</v>
      </c>
      <c r="G797" s="1103" t="s">
        <v>174</v>
      </c>
      <c r="H797" s="618" t="s">
        <v>166</v>
      </c>
      <c r="I797" s="619" t="s">
        <v>69</v>
      </c>
    </row>
    <row r="798" spans="3:10">
      <c r="D798" s="404" t="s">
        <v>3</v>
      </c>
      <c r="E798" s="90">
        <f>D755</f>
        <v>6</v>
      </c>
      <c r="F798" s="531"/>
      <c r="H798" s="432">
        <f>F760</f>
        <v>1350</v>
      </c>
      <c r="I798" s="432" t="str">
        <f>G760</f>
        <v>Cost for all personnel to hunt invasive species</v>
      </c>
      <c r="J798" s="558">
        <f>D746</f>
        <v>1</v>
      </c>
    </row>
    <row r="799" spans="3:10">
      <c r="D799" s="404" t="s">
        <v>490</v>
      </c>
      <c r="E799" s="90">
        <f>D777</f>
        <v>3</v>
      </c>
      <c r="F799" s="531"/>
      <c r="G799" s="1104"/>
      <c r="H799" s="432">
        <f>D782</f>
        <v>855</v>
      </c>
      <c r="I799" s="830" t="str">
        <f>E782</f>
        <v>Cost for ute hire for the whole activity</v>
      </c>
      <c r="J799" s="558">
        <f>J798</f>
        <v>1</v>
      </c>
    </row>
    <row r="800" spans="3:10">
      <c r="D800" s="404" t="s">
        <v>169</v>
      </c>
      <c r="E800" s="90">
        <f>D794</f>
        <v>6</v>
      </c>
      <c r="F800" s="531"/>
      <c r="H800" s="432">
        <f>D795</f>
        <v>1260</v>
      </c>
      <c r="I800" s="830" t="str">
        <f>E795</f>
        <v>Accomodation + Food Cost</v>
      </c>
      <c r="J800" s="558">
        <f>J799</f>
        <v>1</v>
      </c>
    </row>
    <row r="801" spans="3:10">
      <c r="D801" s="404"/>
      <c r="E801" s="90"/>
      <c r="F801" s="531"/>
      <c r="H801" s="432"/>
      <c r="I801" s="830"/>
      <c r="J801" s="558"/>
    </row>
    <row r="802" spans="3:10">
      <c r="D802" s="404"/>
      <c r="E802" s="90"/>
      <c r="F802" s="531"/>
      <c r="H802" s="432"/>
      <c r="I802" s="830"/>
    </row>
    <row r="803" spans="3:10">
      <c r="D803" s="405"/>
      <c r="E803" s="439"/>
      <c r="F803" s="439"/>
      <c r="G803" s="1098"/>
      <c r="H803" s="622">
        <f>SUM(H798:H802)</f>
        <v>3465</v>
      </c>
      <c r="I803" s="623" t="s">
        <v>165</v>
      </c>
    </row>
    <row r="804" spans="3:10">
      <c r="D804" s="2791"/>
      <c r="E804" s="2791"/>
      <c r="F804" s="432"/>
      <c r="G804" s="1099"/>
    </row>
    <row r="805" spans="3:10" s="7" customFormat="1">
      <c r="E805" s="36"/>
      <c r="G805" s="1089"/>
    </row>
    <row r="806" spans="3:10" s="9" customFormat="1">
      <c r="C806" s="120" t="s">
        <v>1229</v>
      </c>
      <c r="D806" s="34" t="s">
        <v>1227</v>
      </c>
      <c r="E806" s="34"/>
      <c r="G806" s="572"/>
    </row>
    <row r="807" spans="3:10" s="9" customFormat="1">
      <c r="C807" s="120" t="s">
        <v>2034</v>
      </c>
      <c r="D807" s="34" t="s">
        <v>1054</v>
      </c>
      <c r="E807" s="34"/>
      <c r="G807" s="572"/>
    </row>
    <row r="808" spans="3:10" s="9" customFormat="1">
      <c r="D808" s="1598" t="s">
        <v>1285</v>
      </c>
      <c r="E808" s="970"/>
      <c r="G808" s="572"/>
    </row>
    <row r="809" spans="3:10" s="9" customFormat="1">
      <c r="D809" s="332" t="s">
        <v>91</v>
      </c>
      <c r="E809" s="43"/>
      <c r="F809" s="24"/>
      <c r="G809" s="359"/>
    </row>
    <row r="810" spans="3:10" s="9" customFormat="1">
      <c r="D810" s="135"/>
      <c r="E810" s="246"/>
      <c r="F810" s="2953"/>
      <c r="G810" s="359"/>
    </row>
    <row r="811" spans="3:10" s="9" customFormat="1">
      <c r="D811" s="398">
        <f>'Overall Assumptions'!$C$149</f>
        <v>48</v>
      </c>
      <c r="E811" s="131" t="str">
        <f>'Overall Assumptions'!$D$115</f>
        <v>weeks</v>
      </c>
      <c r="F811" s="2953"/>
      <c r="G811" s="359"/>
    </row>
    <row r="812" spans="3:10" s="9" customFormat="1">
      <c r="C812" s="105"/>
      <c r="D812" s="332">
        <f>D811*5</f>
        <v>240</v>
      </c>
      <c r="E812" s="131" t="str">
        <f>'Overall Assumptions'!$D$116</f>
        <v>days</v>
      </c>
      <c r="F812" s="2953"/>
      <c r="G812" s="359"/>
    </row>
    <row r="813" spans="3:10" s="9" customFormat="1">
      <c r="C813" s="105"/>
      <c r="D813" s="332"/>
      <c r="E813" s="43"/>
      <c r="F813" s="2953"/>
      <c r="G813" s="359"/>
    </row>
    <row r="814" spans="3:10" s="9" customFormat="1">
      <c r="C814" s="105"/>
      <c r="D814" s="398">
        <v>1</v>
      </c>
      <c r="E814" s="43" t="s">
        <v>263</v>
      </c>
      <c r="F814" s="2953"/>
      <c r="G814" s="359">
        <f>D814*D$812</f>
        <v>240</v>
      </c>
    </row>
    <row r="815" spans="3:10" s="9" customFormat="1">
      <c r="C815" s="105"/>
      <c r="D815" s="398">
        <f>'Overall Assumptions'!$C$150</f>
        <v>10</v>
      </c>
      <c r="E815" s="43" t="s">
        <v>1222</v>
      </c>
      <c r="F815" s="2953"/>
      <c r="G815" s="359">
        <f>D815*D$812</f>
        <v>2400</v>
      </c>
      <c r="H815" s="9">
        <f>SUM(G814:G815)</f>
        <v>2640</v>
      </c>
    </row>
    <row r="816" spans="3:10" s="9" customFormat="1">
      <c r="C816" s="105"/>
      <c r="D816" s="398">
        <f>'Overall Assumptions'!$C$151</f>
        <v>1</v>
      </c>
      <c r="E816" s="43" t="s">
        <v>1225</v>
      </c>
      <c r="F816" s="2953"/>
      <c r="G816" s="359"/>
    </row>
    <row r="817" spans="3:8" s="9" customFormat="1">
      <c r="C817" s="105"/>
      <c r="D817" s="332"/>
      <c r="E817" s="43"/>
      <c r="F817" s="2953"/>
      <c r="G817" s="359"/>
    </row>
    <row r="818" spans="3:8" s="9" customFormat="1">
      <c r="C818" s="105"/>
      <c r="D818" s="332" t="str">
        <f>'Overall Assumptions'!$D$76</f>
        <v>Daily rate (AUD) for labour assuming 7.5 hours/day</v>
      </c>
      <c r="E818" s="246"/>
      <c r="F818" s="2953"/>
      <c r="G818" s="359"/>
    </row>
    <row r="819" spans="3:8" s="9" customFormat="1">
      <c r="D819" s="614">
        <f>'Overall Assumptions'!$C$68</f>
        <v>225</v>
      </c>
      <c r="E819" s="246" t="str">
        <f>'Overall Assumptions'!$B$67</f>
        <v>Labour 1- APS Low (Entry lvl)</v>
      </c>
      <c r="F819" s="2953"/>
      <c r="G819" s="359"/>
    </row>
    <row r="820" spans="3:8" s="9" customFormat="1">
      <c r="D820" s="1484">
        <f>'Overall Assumptions'!$C$72</f>
        <v>337.5</v>
      </c>
      <c r="E820" s="530" t="str">
        <f>'Overall Assumptions'!$B$71</f>
        <v>Labour 2 - APS High (Experienced)</v>
      </c>
      <c r="F820" s="2953"/>
      <c r="G820" s="359"/>
    </row>
    <row r="821" spans="3:8" s="9" customFormat="1">
      <c r="D821" s="1485">
        <f>'Overall Assumptions'!$C$76</f>
        <v>487.5</v>
      </c>
      <c r="E821" s="45" t="str">
        <f>'Overall Assumptions'!$B$75</f>
        <v>Labour 3 - EL (Management)</v>
      </c>
      <c r="F821" s="2953"/>
      <c r="G821" s="359"/>
    </row>
    <row r="822" spans="3:8" s="9" customFormat="1">
      <c r="D822" s="33"/>
      <c r="E822" s="16"/>
      <c r="F822" s="2953"/>
      <c r="G822" s="359"/>
    </row>
    <row r="823" spans="3:8" s="9" customFormat="1">
      <c r="D823" s="531"/>
      <c r="E823" s="33"/>
      <c r="F823" s="2953"/>
      <c r="G823" s="359"/>
    </row>
    <row r="824" spans="3:8" s="9" customFormat="1">
      <c r="D824" s="912"/>
      <c r="E824" s="16"/>
      <c r="F824" s="2953"/>
      <c r="G824" s="359"/>
    </row>
    <row r="825" spans="3:8" s="9" customFormat="1">
      <c r="D825" s="33"/>
      <c r="E825" s="16"/>
      <c r="F825" s="2953"/>
      <c r="G825" s="359"/>
    </row>
    <row r="826" spans="3:8" s="9" customFormat="1">
      <c r="D826" s="33"/>
      <c r="E826" s="16"/>
      <c r="F826" s="2953"/>
      <c r="G826" s="359"/>
    </row>
    <row r="827" spans="3:8" s="9" customFormat="1">
      <c r="D827" s="175"/>
      <c r="E827" s="164" t="s">
        <v>155</v>
      </c>
      <c r="F827" s="255" t="s">
        <v>166</v>
      </c>
      <c r="G827" s="1090" t="s">
        <v>69</v>
      </c>
      <c r="H827" s="108"/>
    </row>
    <row r="828" spans="3:8" s="9" customFormat="1">
      <c r="D828" s="405" t="s">
        <v>3</v>
      </c>
      <c r="E828" s="509">
        <f>H815</f>
        <v>2640</v>
      </c>
      <c r="F828" s="321">
        <f>D812*D820*D815+D812*D816*D821</f>
        <v>927000</v>
      </c>
      <c r="G828" s="1091" t="s">
        <v>1230</v>
      </c>
      <c r="H828" s="323"/>
    </row>
    <row r="829" spans="3:8" s="9" customFormat="1">
      <c r="D829" s="105"/>
      <c r="E829" s="34"/>
      <c r="G829" s="572"/>
    </row>
    <row r="830" spans="3:8" s="7" customFormat="1">
      <c r="E830" s="1584"/>
      <c r="F830" s="1585"/>
      <c r="G830" s="3261"/>
    </row>
    <row r="831" spans="3:8" s="7" customFormat="1">
      <c r="D831" s="35"/>
      <c r="E831" s="36"/>
      <c r="G831" s="1089"/>
    </row>
    <row r="832" spans="3:8">
      <c r="C832" s="8" t="s">
        <v>2102</v>
      </c>
      <c r="D832" s="16"/>
    </row>
    <row r="833" spans="3:10">
      <c r="D833" s="2791"/>
    </row>
    <row r="834" spans="3:10">
      <c r="D834" s="2791"/>
      <c r="E834" s="2791"/>
    </row>
    <row r="835" spans="3:10">
      <c r="D835" s="6" t="s">
        <v>2103</v>
      </c>
      <c r="E835" s="2791"/>
    </row>
    <row r="836" spans="3:10">
      <c r="D836" s="455"/>
      <c r="E836" s="2791"/>
    </row>
    <row r="837" spans="3:10">
      <c r="D837" s="592" t="s">
        <v>179</v>
      </c>
      <c r="E837" s="274"/>
    </row>
    <row r="838" spans="3:10">
      <c r="D838" s="974"/>
      <c r="E838" s="246"/>
    </row>
    <row r="839" spans="3:10">
      <c r="D839" s="2756">
        <f>$H$8</f>
        <v>1</v>
      </c>
      <c r="E839" s="2791" t="s">
        <v>2083</v>
      </c>
    </row>
    <row r="840" spans="3:10">
      <c r="D840" s="2767">
        <f>$H$14</f>
        <v>0.26666666666666666</v>
      </c>
      <c r="E840" s="246" t="s">
        <v>2104</v>
      </c>
    </row>
    <row r="841" spans="3:10">
      <c r="D841" s="3247">
        <f>D839*D840</f>
        <v>0.26666666666666666</v>
      </c>
      <c r="E841" s="246" t="s">
        <v>2105</v>
      </c>
    </row>
    <row r="842" spans="3:10">
      <c r="D842" s="238"/>
      <c r="E842" s="1394" t="s">
        <v>2152</v>
      </c>
    </row>
    <row r="843" spans="3:10">
      <c r="D843" s="447">
        <v>5</v>
      </c>
      <c r="E843" s="483" t="s">
        <v>2107</v>
      </c>
    </row>
    <row r="844" spans="3:10">
      <c r="D844" s="125"/>
      <c r="E844" s="635"/>
    </row>
    <row r="846" spans="3:10" ht="19">
      <c r="C846" s="2791" t="s">
        <v>50</v>
      </c>
      <c r="D846" s="37" t="s">
        <v>81</v>
      </c>
      <c r="E846" s="24"/>
      <c r="F846" s="1"/>
      <c r="G846" s="1100"/>
      <c r="H846" s="3"/>
      <c r="I846" s="3"/>
      <c r="J846" s="3"/>
    </row>
    <row r="847" spans="3:10">
      <c r="F847" s="1"/>
      <c r="G847" s="1100"/>
      <c r="H847" s="3"/>
      <c r="I847" s="3"/>
      <c r="J847" s="3"/>
    </row>
    <row r="848" spans="3:10">
      <c r="D848" s="160" t="s">
        <v>408</v>
      </c>
    </row>
    <row r="850" spans="3:12">
      <c r="D850" s="50"/>
    </row>
    <row r="851" spans="3:12">
      <c r="D851" s="51" t="s">
        <v>82</v>
      </c>
      <c r="E851" s="273"/>
      <c r="F851" s="274"/>
    </row>
    <row r="852" spans="3:12" ht="19">
      <c r="D852" s="54">
        <f>'Overall Assumptions'!$C$68</f>
        <v>225</v>
      </c>
      <c r="E852" s="37" t="s">
        <v>99</v>
      </c>
      <c r="F852" s="246"/>
    </row>
    <row r="853" spans="3:12">
      <c r="D853" s="54">
        <f>'Overall Assumptions'!$C$130</f>
        <v>2</v>
      </c>
      <c r="E853" s="16" t="s">
        <v>84</v>
      </c>
      <c r="F853" s="246"/>
    </row>
    <row r="854" spans="3:12">
      <c r="D854" s="468">
        <v>1</v>
      </c>
      <c r="E854" s="16" t="s">
        <v>464</v>
      </c>
      <c r="F854" s="246"/>
    </row>
    <row r="855" spans="3:12">
      <c r="D855" s="54"/>
      <c r="F855" s="246"/>
    </row>
    <row r="856" spans="3:12">
      <c r="D856" s="56">
        <f>'Overall Assumptions'!$C$81</f>
        <v>210</v>
      </c>
      <c r="E856" s="333" t="s">
        <v>87</v>
      </c>
      <c r="F856" s="162"/>
      <c r="J856" s="578"/>
    </row>
    <row r="857" spans="3:12">
      <c r="D857" s="57"/>
    </row>
    <row r="858" spans="3:12">
      <c r="C858" s="21"/>
      <c r="J858" s="90"/>
    </row>
    <row r="859" spans="3:12" ht="18" customHeight="1">
      <c r="C859" s="21"/>
      <c r="D859" s="77">
        <f>D854</f>
        <v>1</v>
      </c>
      <c r="E859" s="693" t="s">
        <v>171</v>
      </c>
      <c r="F859" s="77"/>
    </row>
    <row r="860" spans="3:12" ht="18" customHeight="1">
      <c r="C860" s="21"/>
      <c r="D860" s="16"/>
      <c r="E860" s="359"/>
    </row>
    <row r="861" spans="3:12" ht="18" customHeight="1">
      <c r="C861" s="21"/>
      <c r="D861" s="77">
        <f>D859*$D853</f>
        <v>2</v>
      </c>
      <c r="E861" s="99" t="s">
        <v>787</v>
      </c>
      <c r="F861" s="77"/>
    </row>
    <row r="862" spans="3:12">
      <c r="C862" s="21"/>
      <c r="D862" s="16"/>
      <c r="E862" s="99"/>
    </row>
    <row r="863" spans="3:12">
      <c r="C863" s="21"/>
      <c r="D863" s="63">
        <f>D861*D852</f>
        <v>450</v>
      </c>
      <c r="E863" s="99" t="s">
        <v>37</v>
      </c>
      <c r="F863" s="63"/>
      <c r="J863" s="90"/>
    </row>
    <row r="864" spans="3:12">
      <c r="C864" s="21"/>
      <c r="D864" s="63"/>
      <c r="E864" s="99"/>
      <c r="F864" s="63"/>
      <c r="J864" s="259"/>
      <c r="K864" s="16"/>
      <c r="L864" s="16"/>
    </row>
    <row r="865" spans="3:12">
      <c r="C865" s="21"/>
      <c r="D865" s="64">
        <f>SUM(D863:D864)</f>
        <v>450</v>
      </c>
      <c r="E865" s="1101" t="s">
        <v>486</v>
      </c>
      <c r="F865" s="905"/>
      <c r="J865" s="259"/>
      <c r="K865" s="16"/>
      <c r="L865" s="16"/>
    </row>
    <row r="866" spans="3:12">
      <c r="F866" s="16"/>
      <c r="G866" s="99"/>
    </row>
    <row r="867" spans="3:12">
      <c r="D867" s="46"/>
      <c r="E867" s="46"/>
      <c r="F867" s="46"/>
      <c r="J867" s="65"/>
      <c r="K867" s="24"/>
      <c r="L867" s="24"/>
    </row>
    <row r="868" spans="3:12">
      <c r="D868" s="75"/>
      <c r="E868" s="75"/>
      <c r="F868" s="75"/>
      <c r="G868" s="99"/>
      <c r="J868" s="65"/>
      <c r="K868" s="24"/>
      <c r="L868" s="24"/>
    </row>
    <row r="869" spans="3:12">
      <c r="D869" s="75"/>
      <c r="E869" s="75"/>
      <c r="F869" s="75"/>
      <c r="G869" s="99"/>
      <c r="J869" s="65"/>
      <c r="K869" s="24"/>
      <c r="L869" s="24"/>
    </row>
    <row r="870" spans="3:12" ht="19">
      <c r="C870" s="2791" t="s">
        <v>64</v>
      </c>
      <c r="D870" s="37" t="s">
        <v>89</v>
      </c>
    </row>
    <row r="871" spans="3:12">
      <c r="C871" s="2791" t="s">
        <v>54</v>
      </c>
    </row>
    <row r="873" spans="3:12">
      <c r="D873" s="16"/>
    </row>
    <row r="874" spans="3:12">
      <c r="D874" s="67" t="s">
        <v>91</v>
      </c>
      <c r="E874" s="41"/>
    </row>
    <row r="875" spans="3:12">
      <c r="D875" s="52">
        <f>'Overall Assumptions'!$C$93</f>
        <v>285</v>
      </c>
      <c r="E875" s="41" t="s">
        <v>93</v>
      </c>
    </row>
    <row r="876" spans="3:12">
      <c r="D876" s="54">
        <f>'Overall Assumptions'!$C$10</f>
        <v>0</v>
      </c>
      <c r="E876" s="43" t="s">
        <v>85</v>
      </c>
    </row>
    <row r="877" spans="3:12">
      <c r="D877" s="54"/>
      <c r="E877" s="43"/>
    </row>
    <row r="878" spans="3:12">
      <c r="D878" s="616"/>
      <c r="E878" s="43"/>
    </row>
    <row r="879" spans="3:12">
      <c r="D879" s="56"/>
      <c r="E879" s="45"/>
      <c r="J879" s="578"/>
    </row>
    <row r="880" spans="3:12">
      <c r="D880" s="75"/>
    </row>
    <row r="881" spans="3:12">
      <c r="D881" s="46"/>
      <c r="E881" s="46"/>
      <c r="F881" s="46"/>
      <c r="G881" s="693"/>
      <c r="J881" s="532"/>
      <c r="K881" s="59"/>
      <c r="L881" s="59"/>
    </row>
    <row r="882" spans="3:12">
      <c r="D882" s="46">
        <f>D859</f>
        <v>1</v>
      </c>
      <c r="E882" s="693" t="s">
        <v>98</v>
      </c>
      <c r="F882" s="46"/>
      <c r="K882" s="59"/>
      <c r="L882" s="59"/>
    </row>
    <row r="883" spans="3:12">
      <c r="D883" s="46"/>
      <c r="E883" s="693"/>
      <c r="F883" s="46"/>
      <c r="K883" s="59"/>
      <c r="L883" s="59"/>
    </row>
    <row r="884" spans="3:12">
      <c r="D884" s="46"/>
      <c r="E884" s="693"/>
      <c r="F884" s="46"/>
      <c r="K884" s="59"/>
      <c r="L884" s="59"/>
    </row>
    <row r="885" spans="3:12">
      <c r="D885" s="46">
        <f>SUM(D881:D883)</f>
        <v>1</v>
      </c>
      <c r="E885" s="693" t="s">
        <v>135</v>
      </c>
      <c r="F885" s="46"/>
      <c r="J885" s="90"/>
    </row>
    <row r="886" spans="3:12">
      <c r="D886" s="46"/>
      <c r="E886" s="359"/>
      <c r="J886" s="90"/>
    </row>
    <row r="887" spans="3:12">
      <c r="D887" s="63"/>
      <c r="E887" s="99"/>
      <c r="F887" s="63"/>
      <c r="J887" s="259"/>
      <c r="K887" s="16"/>
      <c r="L887" s="16"/>
    </row>
    <row r="888" spans="3:12">
      <c r="D888" s="63">
        <f>$D875*D882</f>
        <v>285</v>
      </c>
      <c r="E888" s="99" t="s">
        <v>52</v>
      </c>
      <c r="F888" s="63"/>
      <c r="J888" s="259"/>
      <c r="K888" s="16"/>
      <c r="L888" s="16"/>
    </row>
    <row r="889" spans="3:12">
      <c r="D889" s="63"/>
      <c r="E889" s="99"/>
      <c r="F889" s="63"/>
      <c r="J889" s="259"/>
      <c r="K889" s="16"/>
      <c r="L889" s="16"/>
    </row>
    <row r="890" spans="3:12">
      <c r="D890" s="68">
        <f>SUM(D887:D889)</f>
        <v>285</v>
      </c>
      <c r="E890" s="1101" t="s">
        <v>53</v>
      </c>
      <c r="F890" s="906"/>
      <c r="J890" s="65"/>
      <c r="K890" s="24"/>
      <c r="L890" s="24"/>
    </row>
    <row r="891" spans="3:12">
      <c r="D891" s="432"/>
      <c r="E891" s="359"/>
      <c r="J891" s="65"/>
      <c r="K891" s="24"/>
      <c r="L891" s="24"/>
    </row>
    <row r="892" spans="3:12">
      <c r="D892" s="46">
        <f>D885</f>
        <v>1</v>
      </c>
      <c r="E892" s="359" t="s">
        <v>795</v>
      </c>
      <c r="F892" s="46"/>
      <c r="J892" s="65"/>
      <c r="K892" s="24"/>
      <c r="L892" s="24"/>
    </row>
    <row r="893" spans="3:12">
      <c r="D893" s="75">
        <f>ROUNDUP((D885/21),0)</f>
        <v>1</v>
      </c>
      <c r="E893" s="99" t="s">
        <v>739</v>
      </c>
      <c r="F893" s="75"/>
      <c r="J893" s="65"/>
      <c r="K893" s="24"/>
      <c r="L893" s="24"/>
    </row>
    <row r="894" spans="3:12">
      <c r="D894" s="432"/>
      <c r="J894" s="65"/>
      <c r="K894" s="24"/>
      <c r="L894" s="24"/>
    </row>
    <row r="895" spans="3:12">
      <c r="D895" s="65"/>
      <c r="E895" s="24"/>
      <c r="J895" s="65"/>
      <c r="K895" s="24"/>
      <c r="L895" s="24"/>
    </row>
    <row r="896" spans="3:12">
      <c r="C896" s="2791" t="s">
        <v>70</v>
      </c>
      <c r="D896" s="58"/>
      <c r="E896" s="59" t="s">
        <v>156</v>
      </c>
      <c r="J896" s="65"/>
      <c r="K896" s="24"/>
      <c r="L896" s="24"/>
    </row>
    <row r="897" spans="4:12">
      <c r="D897" s="160" t="s">
        <v>238</v>
      </c>
      <c r="E897" s="59"/>
      <c r="J897" s="65"/>
      <c r="K897" s="24"/>
      <c r="L897" s="24"/>
    </row>
    <row r="898" spans="4:12">
      <c r="D898" s="58"/>
      <c r="E898" s="59"/>
      <c r="J898" s="65"/>
      <c r="K898" s="24"/>
      <c r="L898" s="24"/>
    </row>
    <row r="899" spans="4:12">
      <c r="D899" s="25">
        <f>D859</f>
        <v>1</v>
      </c>
      <c r="E899" s="99" t="s">
        <v>157</v>
      </c>
      <c r="F899" s="25"/>
      <c r="J899" s="65"/>
      <c r="K899" s="24"/>
      <c r="L899" s="24"/>
    </row>
    <row r="900" spans="4:12">
      <c r="D900" s="61">
        <f>FLOOR(D899,1)</f>
        <v>1</v>
      </c>
      <c r="E900" s="99" t="s">
        <v>73</v>
      </c>
      <c r="F900" s="61"/>
      <c r="J900" s="65"/>
      <c r="K900" s="24"/>
      <c r="L900" s="24"/>
    </row>
    <row r="901" spans="4:12">
      <c r="D901" s="65"/>
      <c r="E901" s="1102"/>
      <c r="J901" s="65"/>
      <c r="K901" s="24"/>
      <c r="L901" s="24"/>
    </row>
    <row r="902" spans="4:12">
      <c r="D902" s="65">
        <f>D900*$D853</f>
        <v>2</v>
      </c>
      <c r="E902" s="1102" t="s">
        <v>88</v>
      </c>
      <c r="F902" s="65"/>
      <c r="J902" s="65"/>
      <c r="K902" s="24"/>
      <c r="L902" s="24"/>
    </row>
    <row r="903" spans="4:12">
      <c r="D903" s="102">
        <f>D902*$D856</f>
        <v>420</v>
      </c>
      <c r="E903" s="1101" t="s">
        <v>74</v>
      </c>
      <c r="F903" s="907"/>
      <c r="J903" s="259"/>
      <c r="K903" s="16"/>
      <c r="L903" s="16"/>
    </row>
    <row r="904" spans="4:12">
      <c r="D904" s="275"/>
      <c r="E904" s="275"/>
      <c r="F904" s="275"/>
      <c r="G904" s="99"/>
      <c r="J904" s="259"/>
      <c r="K904" s="16"/>
      <c r="L904" s="16"/>
    </row>
    <row r="905" spans="4:12">
      <c r="D905" s="825"/>
      <c r="E905" s="825"/>
      <c r="H905" s="1" t="s">
        <v>788</v>
      </c>
    </row>
    <row r="906" spans="4:12">
      <c r="D906" s="617" t="s">
        <v>172</v>
      </c>
      <c r="E906" s="618" t="s">
        <v>155</v>
      </c>
      <c r="F906" s="618"/>
      <c r="G906" s="1103"/>
      <c r="H906" s="618" t="s">
        <v>166</v>
      </c>
      <c r="I906" s="619" t="s">
        <v>69</v>
      </c>
    </row>
    <row r="907" spans="4:12">
      <c r="D907" s="404" t="s">
        <v>3</v>
      </c>
      <c r="E907" s="90">
        <f>D861</f>
        <v>2</v>
      </c>
      <c r="F907" s="531"/>
      <c r="H907" s="432">
        <f>D865</f>
        <v>450</v>
      </c>
      <c r="I907" s="830" t="str">
        <f>E865</f>
        <v>Cost for labour</v>
      </c>
      <c r="J907" s="558">
        <f>D843</f>
        <v>5</v>
      </c>
    </row>
    <row r="908" spans="4:12">
      <c r="D908" s="404" t="s">
        <v>490</v>
      </c>
      <c r="E908" s="90">
        <f>D885</f>
        <v>1</v>
      </c>
      <c r="F908" s="531"/>
      <c r="G908" s="1104"/>
      <c r="H908" s="432">
        <f>D890</f>
        <v>285</v>
      </c>
      <c r="I908" s="830" t="str">
        <f>E890</f>
        <v>Cost for ute hire for the whole activity</v>
      </c>
      <c r="J908" s="558">
        <f>J907</f>
        <v>5</v>
      </c>
    </row>
    <row r="909" spans="4:12">
      <c r="D909" s="404" t="s">
        <v>169</v>
      </c>
      <c r="E909" s="90">
        <f>D902</f>
        <v>2</v>
      </c>
      <c r="F909" s="531"/>
      <c r="H909" s="432">
        <f>D903</f>
        <v>420</v>
      </c>
      <c r="I909" s="830" t="str">
        <f>E903</f>
        <v>Accomodation + Food Cost</v>
      </c>
      <c r="J909" s="558">
        <f>J908</f>
        <v>5</v>
      </c>
    </row>
    <row r="910" spans="4:12">
      <c r="D910" s="404"/>
      <c r="E910" s="90"/>
      <c r="F910" s="531"/>
      <c r="H910" s="432"/>
      <c r="I910" s="830"/>
      <c r="J910" s="558"/>
    </row>
    <row r="911" spans="4:12">
      <c r="D911" s="404"/>
      <c r="E911" s="90"/>
      <c r="F911" s="531"/>
      <c r="H911" s="432"/>
      <c r="I911" s="830"/>
    </row>
    <row r="912" spans="4:12">
      <c r="D912" s="405"/>
      <c r="E912" s="439"/>
      <c r="F912" s="439"/>
      <c r="G912" s="1098"/>
      <c r="H912" s="622">
        <f>SUM(H907:H911)</f>
        <v>1155</v>
      </c>
      <c r="I912" s="623" t="s">
        <v>165</v>
      </c>
    </row>
    <row r="913" spans="3:7">
      <c r="D913" s="2791"/>
      <c r="E913" s="2791"/>
      <c r="F913" s="432"/>
      <c r="G913" s="1099"/>
    </row>
    <row r="914" spans="3:7">
      <c r="D914" s="25"/>
    </row>
    <row r="915" spans="3:7" s="7" customFormat="1">
      <c r="D915" s="103"/>
      <c r="E915" s="103"/>
      <c r="G915" s="1089"/>
    </row>
    <row r="916" spans="3:7" s="7" customFormat="1">
      <c r="D916" s="35"/>
      <c r="E916" s="36"/>
      <c r="G916" s="1089"/>
    </row>
    <row r="918" spans="3:7">
      <c r="C918" s="8" t="s">
        <v>247</v>
      </c>
    </row>
    <row r="919" spans="3:7">
      <c r="D919" s="16" t="s">
        <v>258</v>
      </c>
    </row>
    <row r="920" spans="3:7">
      <c r="D920" s="38" t="s">
        <v>91</v>
      </c>
      <c r="E920" s="39"/>
      <c r="F920" s="24"/>
    </row>
    <row r="921" spans="3:7">
      <c r="D921" s="402"/>
      <c r="E921" s="161"/>
    </row>
    <row r="922" spans="3:7">
      <c r="D922" s="2756">
        <f>$H$8</f>
        <v>1</v>
      </c>
      <c r="E922" s="2791" t="s">
        <v>2083</v>
      </c>
    </row>
    <row r="923" spans="3:7">
      <c r="D923" s="2767">
        <f>$H$14</f>
        <v>0.26666666666666666</v>
      </c>
      <c r="E923" s="246" t="s">
        <v>2104</v>
      </c>
    </row>
    <row r="924" spans="3:7">
      <c r="D924" s="3247">
        <f>D922*D923</f>
        <v>0.26666666666666666</v>
      </c>
      <c r="E924" s="246" t="s">
        <v>2105</v>
      </c>
    </row>
    <row r="925" spans="3:7">
      <c r="D925" s="3247"/>
      <c r="E925" s="1394" t="s">
        <v>2152</v>
      </c>
    </row>
    <row r="926" spans="3:7">
      <c r="D926" s="332"/>
      <c r="E926" s="43"/>
    </row>
    <row r="927" spans="3:7">
      <c r="C927" s="24"/>
      <c r="D927" s="2792">
        <v>0.5</v>
      </c>
      <c r="E927" s="43" t="str">
        <f>'Overall Assumptions'!$D$116</f>
        <v>days</v>
      </c>
    </row>
    <row r="928" spans="3:7">
      <c r="C928" s="24"/>
      <c r="D928" s="332"/>
      <c r="E928" s="43"/>
    </row>
    <row r="929" spans="3:9">
      <c r="C929" s="24"/>
      <c r="D929" s="268">
        <v>5</v>
      </c>
      <c r="E929" s="43" t="s">
        <v>259</v>
      </c>
    </row>
    <row r="930" spans="3:9">
      <c r="C930" s="24"/>
      <c r="D930" s="332"/>
      <c r="E930" s="43"/>
    </row>
    <row r="931" spans="3:9">
      <c r="C931" s="24"/>
      <c r="D931" s="332"/>
      <c r="E931" s="246"/>
    </row>
    <row r="932" spans="3:9">
      <c r="D932" s="614">
        <f>'Overall Assumptions'!$C$68</f>
        <v>225</v>
      </c>
      <c r="E932" s="246" t="str">
        <f>'Overall Assumptions'!$B$67</f>
        <v>Labour 1- APS Low (Entry lvl)</v>
      </c>
    </row>
    <row r="933" spans="3:9">
      <c r="D933" s="399">
        <f>'Overall Assumptions'!$C$72</f>
        <v>337.5</v>
      </c>
      <c r="E933" s="530" t="str">
        <f>'Overall Assumptions'!$B$71</f>
        <v>Labour 2 - APS High (Experienced)</v>
      </c>
    </row>
    <row r="934" spans="3:9">
      <c r="D934" s="112">
        <f>'Overall Assumptions'!$C$76</f>
        <v>487.5</v>
      </c>
      <c r="E934" s="45" t="str">
        <f>'Overall Assumptions'!$B$75</f>
        <v>Labour 3 - EL (Management)</v>
      </c>
    </row>
    <row r="935" spans="3:9">
      <c r="D935" s="33"/>
    </row>
    <row r="936" spans="3:9">
      <c r="D936" s="531"/>
      <c r="E936" s="33"/>
    </row>
    <row r="937" spans="3:9">
      <c r="D937" s="33"/>
    </row>
    <row r="938" spans="3:9">
      <c r="D938" s="33"/>
    </row>
    <row r="939" spans="3:9">
      <c r="D939" s="33"/>
    </row>
    <row r="940" spans="3:9">
      <c r="D940" s="175"/>
      <c r="E940" s="164" t="s">
        <v>155</v>
      </c>
      <c r="F940" s="255" t="s">
        <v>166</v>
      </c>
      <c r="G940" s="1090" t="s">
        <v>69</v>
      </c>
      <c r="H940" s="161"/>
      <c r="I940" s="2791" t="s">
        <v>2127</v>
      </c>
    </row>
    <row r="941" spans="3:9">
      <c r="D941" s="405" t="s">
        <v>3</v>
      </c>
      <c r="E941" s="2793">
        <f>D927</f>
        <v>0.5</v>
      </c>
      <c r="F941" s="321">
        <f>E941*D933</f>
        <v>168.75</v>
      </c>
      <c r="G941" s="1091" t="s">
        <v>182</v>
      </c>
      <c r="H941" s="162"/>
      <c r="I941" s="2791">
        <f>D929</f>
        <v>5</v>
      </c>
    </row>
    <row r="945" spans="1:47" s="182" customFormat="1">
      <c r="D945" s="183"/>
      <c r="E945" s="184"/>
      <c r="G945" s="1131"/>
    </row>
    <row r="946" spans="1:47">
      <c r="C946" s="1"/>
    </row>
    <row r="948" spans="1:47">
      <c r="C948" s="160"/>
    </row>
    <row r="951" spans="1:47" s="359" customFormat="1">
      <c r="A951" s="2791"/>
      <c r="B951" s="2791"/>
      <c r="C951" s="2791"/>
      <c r="D951" s="1081"/>
      <c r="E951" s="16"/>
      <c r="F951" s="2791"/>
      <c r="H951" s="2791"/>
      <c r="I951" s="2791"/>
      <c r="J951" s="2791"/>
      <c r="K951" s="2791"/>
      <c r="L951" s="2953"/>
      <c r="M951" s="2791"/>
      <c r="N951" s="2791"/>
      <c r="O951" s="2791"/>
      <c r="P951" s="2791"/>
      <c r="Q951" s="2791"/>
      <c r="R951" s="2791"/>
      <c r="S951" s="2791"/>
      <c r="T951" s="2791"/>
      <c r="U951" s="2791"/>
      <c r="V951" s="2791"/>
      <c r="W951" s="2791"/>
      <c r="X951" s="2791"/>
      <c r="Y951" s="2791"/>
      <c r="Z951" s="2791"/>
      <c r="AA951" s="2791"/>
      <c r="AB951" s="2791"/>
      <c r="AC951" s="2953"/>
      <c r="AD951" s="2791"/>
      <c r="AE951" s="2791"/>
      <c r="AF951" s="2953"/>
      <c r="AG951" s="2791"/>
      <c r="AH951" s="2791"/>
      <c r="AI951" s="2791"/>
      <c r="AJ951" s="2791"/>
      <c r="AK951" s="2791"/>
      <c r="AL951" s="2791"/>
      <c r="AM951" s="2791"/>
      <c r="AN951" s="2791"/>
      <c r="AO951" s="2791"/>
      <c r="AP951" s="2791"/>
      <c r="AQ951" s="2791"/>
      <c r="AR951" s="2791"/>
      <c r="AS951" s="2791"/>
      <c r="AT951" s="2791"/>
      <c r="AU951" s="2791"/>
    </row>
    <row r="952" spans="1:47" s="359" customFormat="1">
      <c r="A952" s="2791"/>
      <c r="B952" s="2791"/>
      <c r="C952" s="2791"/>
      <c r="D952" s="58"/>
      <c r="E952" s="16"/>
      <c r="F952" s="2791"/>
      <c r="H952" s="2791"/>
      <c r="I952" s="2791"/>
      <c r="J952" s="2791"/>
      <c r="K952" s="2791"/>
      <c r="L952" s="2953"/>
      <c r="M952" s="2791"/>
      <c r="N952" s="2791"/>
      <c r="O952" s="2791"/>
      <c r="P952" s="2791"/>
      <c r="Q952" s="2791"/>
      <c r="R952" s="2791"/>
      <c r="S952" s="2791"/>
      <c r="T952" s="2791"/>
      <c r="U952" s="2791"/>
      <c r="V952" s="2791"/>
      <c r="W952" s="2791"/>
      <c r="X952" s="2791"/>
      <c r="Y952" s="2791"/>
      <c r="Z952" s="2791"/>
      <c r="AA952" s="2791"/>
      <c r="AB952" s="2791"/>
      <c r="AC952" s="2953"/>
      <c r="AD952" s="2791"/>
      <c r="AE952" s="2791"/>
      <c r="AF952" s="2953"/>
      <c r="AG952" s="2791"/>
      <c r="AH952" s="2791"/>
      <c r="AI952" s="2791"/>
      <c r="AJ952" s="2791"/>
      <c r="AK952" s="2791"/>
      <c r="AL952" s="2791"/>
      <c r="AM952" s="2791"/>
      <c r="AN952" s="2791"/>
      <c r="AO952" s="2791"/>
      <c r="AP952" s="2791"/>
      <c r="AQ952" s="2791"/>
      <c r="AR952" s="2791"/>
      <c r="AS952" s="2791"/>
      <c r="AT952" s="2791"/>
      <c r="AU952" s="2791"/>
    </row>
    <row r="954" spans="1:47" s="359" customFormat="1">
      <c r="A954" s="2791"/>
      <c r="B954" s="2791"/>
      <c r="C954" s="90"/>
      <c r="D954" s="2791"/>
      <c r="E954" s="16"/>
      <c r="F954" s="2791"/>
      <c r="H954" s="2791"/>
      <c r="I954" s="2791"/>
      <c r="J954" s="2791"/>
      <c r="K954" s="2791"/>
      <c r="L954" s="2953"/>
      <c r="M954" s="2791"/>
      <c r="N954" s="2791"/>
      <c r="O954" s="2791"/>
      <c r="P954" s="2791"/>
      <c r="Q954" s="2791"/>
      <c r="R954" s="2791"/>
      <c r="S954" s="2791"/>
      <c r="T954" s="2791"/>
      <c r="U954" s="2791"/>
      <c r="V954" s="2791"/>
      <c r="W954" s="2791"/>
      <c r="X954" s="2791"/>
      <c r="Y954" s="2791"/>
      <c r="Z954" s="2791"/>
      <c r="AA954" s="2791"/>
      <c r="AB954" s="2791"/>
      <c r="AC954" s="2953"/>
      <c r="AD954" s="2791"/>
      <c r="AE954" s="2791"/>
      <c r="AF954" s="2953"/>
      <c r="AG954" s="2791"/>
      <c r="AH954" s="2791"/>
      <c r="AI954" s="2791"/>
      <c r="AJ954" s="2791"/>
      <c r="AK954" s="2791"/>
      <c r="AL954" s="2791"/>
      <c r="AM954" s="2791"/>
      <c r="AN954" s="2791"/>
      <c r="AO954" s="2791"/>
      <c r="AP954" s="2791"/>
      <c r="AQ954" s="2791"/>
      <c r="AR954" s="2791"/>
      <c r="AS954" s="2791"/>
      <c r="AT954" s="2791"/>
      <c r="AU954" s="2791"/>
    </row>
    <row r="955" spans="1:47" s="359" customFormat="1" ht="24" customHeight="1">
      <c r="A955" s="2791"/>
      <c r="B955" s="2791"/>
      <c r="C955" s="436"/>
      <c r="D955" s="24"/>
      <c r="E955" s="16"/>
      <c r="F955" s="2791"/>
      <c r="H955" s="2791"/>
      <c r="I955" s="2791"/>
      <c r="J955" s="2791"/>
      <c r="K955" s="2791"/>
      <c r="L955" s="2953"/>
      <c r="M955" s="2791"/>
      <c r="N955" s="2791"/>
      <c r="O955" s="2791"/>
      <c r="P955" s="2791"/>
      <c r="Q955" s="2791"/>
      <c r="R955" s="2791"/>
      <c r="S955" s="2791"/>
      <c r="T955" s="2791"/>
      <c r="U955" s="2791"/>
      <c r="V955" s="2791"/>
      <c r="W955" s="2791"/>
      <c r="X955" s="2791"/>
      <c r="Y955" s="2791"/>
      <c r="Z955" s="2791"/>
      <c r="AA955" s="2791"/>
      <c r="AB955" s="2791"/>
      <c r="AC955" s="2953"/>
      <c r="AD955" s="2791"/>
      <c r="AE955" s="2791"/>
      <c r="AF955" s="2953"/>
      <c r="AG955" s="2791"/>
      <c r="AH955" s="2791"/>
      <c r="AI955" s="2791"/>
      <c r="AJ955" s="2791"/>
      <c r="AK955" s="2791"/>
      <c r="AL955" s="2791"/>
      <c r="AM955" s="2791"/>
      <c r="AN955" s="2791"/>
      <c r="AO955" s="2791"/>
      <c r="AP955" s="2791"/>
      <c r="AQ955" s="2791"/>
      <c r="AR955" s="2791"/>
      <c r="AS955" s="2791"/>
      <c r="AT955" s="2791"/>
      <c r="AU955" s="2791"/>
    </row>
    <row r="956" spans="1:47" s="359" customFormat="1">
      <c r="A956" s="2791"/>
      <c r="B956" s="2791"/>
      <c r="C956" s="2791"/>
      <c r="D956" s="58"/>
      <c r="E956" s="16"/>
      <c r="F956" s="2791"/>
      <c r="H956" s="2791"/>
      <c r="I956" s="2791"/>
      <c r="J956" s="2791"/>
      <c r="K956" s="2791"/>
      <c r="L956" s="2953"/>
      <c r="M956" s="2791"/>
      <c r="N956" s="2791"/>
      <c r="O956" s="2791"/>
      <c r="P956" s="2791"/>
      <c r="Q956" s="2791"/>
      <c r="R956" s="2791"/>
      <c r="S956" s="2791"/>
      <c r="T956" s="2791"/>
      <c r="U956" s="2791"/>
      <c r="V956" s="2791"/>
      <c r="W956" s="2791"/>
      <c r="X956" s="2791"/>
      <c r="Y956" s="2791"/>
      <c r="Z956" s="2791"/>
      <c r="AA956" s="2791"/>
      <c r="AB956" s="2791"/>
      <c r="AC956" s="2953"/>
      <c r="AD956" s="2791"/>
      <c r="AE956" s="2791"/>
      <c r="AF956" s="2953"/>
      <c r="AG956" s="2791"/>
      <c r="AH956" s="2791"/>
      <c r="AI956" s="2791"/>
      <c r="AJ956" s="2791"/>
      <c r="AK956" s="2791"/>
      <c r="AL956" s="2791"/>
      <c r="AM956" s="2791"/>
      <c r="AN956" s="2791"/>
      <c r="AO956" s="2791"/>
      <c r="AP956" s="2791"/>
      <c r="AQ956" s="2791"/>
      <c r="AR956" s="2791"/>
      <c r="AS956" s="2791"/>
      <c r="AT956" s="2791"/>
      <c r="AU956" s="2791"/>
    </row>
    <row r="957" spans="1:47" s="359" customFormat="1">
      <c r="A957" s="2791"/>
      <c r="B957" s="2791"/>
      <c r="C957" s="2791"/>
      <c r="D957" s="58"/>
      <c r="E957" s="16"/>
      <c r="F957" s="2791"/>
      <c r="H957" s="2791"/>
      <c r="I957" s="2791"/>
      <c r="J957" s="2791"/>
      <c r="K957" s="2791"/>
      <c r="L957" s="2953"/>
      <c r="M957" s="2791"/>
      <c r="N957" s="2791"/>
      <c r="O957" s="2791"/>
      <c r="P957" s="2791"/>
      <c r="Q957" s="2791"/>
      <c r="R957" s="2791"/>
      <c r="S957" s="2791"/>
      <c r="T957" s="2791"/>
      <c r="U957" s="2791"/>
      <c r="V957" s="2791"/>
      <c r="W957" s="2791"/>
      <c r="X957" s="2791"/>
      <c r="Y957" s="2791"/>
      <c r="Z957" s="2791"/>
      <c r="AA957" s="2791"/>
      <c r="AB957" s="2791"/>
      <c r="AC957" s="2953"/>
      <c r="AD957" s="2791"/>
      <c r="AE957" s="2791"/>
      <c r="AF957" s="2953"/>
      <c r="AG957" s="2791"/>
      <c r="AH957" s="2791"/>
      <c r="AI957" s="2791"/>
      <c r="AJ957" s="2791"/>
      <c r="AK957" s="2791"/>
      <c r="AL957" s="2791"/>
      <c r="AM957" s="2791"/>
      <c r="AN957" s="2791"/>
      <c r="AO957" s="2791"/>
      <c r="AP957" s="2791"/>
      <c r="AQ957" s="2791"/>
      <c r="AR957" s="2791"/>
      <c r="AS957" s="2791"/>
      <c r="AT957" s="2791"/>
      <c r="AU957" s="2791"/>
    </row>
    <row r="958" spans="1:47" s="359" customFormat="1">
      <c r="A958" s="2791"/>
      <c r="B958" s="2791"/>
      <c r="C958" s="204"/>
      <c r="D958" s="24"/>
      <c r="E958" s="16"/>
      <c r="F958" s="2791"/>
      <c r="H958" s="2791"/>
      <c r="I958" s="2791"/>
      <c r="J958" s="2791"/>
      <c r="K958" s="2791"/>
      <c r="L958" s="2953"/>
      <c r="M958" s="2791"/>
      <c r="N958" s="2791"/>
      <c r="O958" s="2791"/>
      <c r="P958" s="2791"/>
      <c r="Q958" s="2791"/>
      <c r="R958" s="2791"/>
      <c r="S958" s="2791"/>
      <c r="T958" s="2791"/>
      <c r="U958" s="2791"/>
      <c r="V958" s="2791"/>
      <c r="W958" s="2791"/>
      <c r="X958" s="2791"/>
      <c r="Y958" s="2791"/>
      <c r="Z958" s="2791"/>
      <c r="AA958" s="2791"/>
      <c r="AB958" s="2791"/>
      <c r="AC958" s="2953"/>
      <c r="AD958" s="2791"/>
      <c r="AE958" s="2791"/>
      <c r="AF958" s="2953"/>
      <c r="AG958" s="2791"/>
      <c r="AH958" s="2791"/>
      <c r="AI958" s="2791"/>
      <c r="AJ958" s="2791"/>
      <c r="AK958" s="2791"/>
      <c r="AL958" s="2791"/>
      <c r="AM958" s="2791"/>
      <c r="AN958" s="2791"/>
      <c r="AO958" s="2791"/>
      <c r="AP958" s="2791"/>
      <c r="AQ958" s="2791"/>
      <c r="AR958" s="2791"/>
      <c r="AS958" s="2791"/>
      <c r="AT958" s="2791"/>
      <c r="AU958" s="2791"/>
    </row>
    <row r="960" spans="1:47" s="359" customFormat="1">
      <c r="A960" s="2791"/>
      <c r="B960" s="2791"/>
      <c r="D960" s="24"/>
      <c r="E960" s="16"/>
      <c r="F960" s="2791"/>
      <c r="H960" s="2791"/>
      <c r="I960" s="2791"/>
      <c r="J960" s="2791"/>
      <c r="K960" s="2791"/>
      <c r="L960" s="2953"/>
      <c r="M960" s="2791"/>
      <c r="N960" s="2791"/>
      <c r="O960" s="2791"/>
      <c r="P960" s="2791"/>
      <c r="Q960" s="2791"/>
      <c r="R960" s="2791"/>
      <c r="S960" s="2791"/>
      <c r="T960" s="2791"/>
      <c r="U960" s="2791"/>
      <c r="V960" s="2791"/>
      <c r="W960" s="2791"/>
      <c r="X960" s="2791"/>
      <c r="Y960" s="2791"/>
      <c r="Z960" s="2791"/>
      <c r="AA960" s="2791"/>
      <c r="AB960" s="2791"/>
      <c r="AC960" s="2953"/>
      <c r="AD960" s="2791"/>
      <c r="AE960" s="2791"/>
      <c r="AF960" s="2953"/>
      <c r="AG960" s="2791"/>
      <c r="AH960" s="2791"/>
      <c r="AI960" s="2791"/>
      <c r="AJ960" s="2791"/>
      <c r="AK960" s="2791"/>
      <c r="AL960" s="2791"/>
      <c r="AM960" s="2791"/>
      <c r="AN960" s="2791"/>
      <c r="AO960" s="2791"/>
      <c r="AP960" s="2791"/>
      <c r="AQ960" s="2791"/>
      <c r="AR960" s="2791"/>
      <c r="AS960" s="2791"/>
      <c r="AT960" s="2791"/>
      <c r="AU960" s="2791"/>
    </row>
    <row r="961" spans="1:47" s="359" customFormat="1" ht="15" customHeight="1">
      <c r="A961" s="2791"/>
      <c r="B961" s="2791"/>
      <c r="C961" s="2791"/>
      <c r="D961" s="207"/>
      <c r="E961" s="16"/>
      <c r="F961" s="2791"/>
      <c r="H961" s="2791"/>
      <c r="I961" s="2791"/>
      <c r="J961" s="2791"/>
      <c r="K961" s="2791"/>
      <c r="L961" s="2953"/>
      <c r="M961" s="2791"/>
      <c r="N961" s="2791"/>
      <c r="O961" s="2791"/>
      <c r="P961" s="2791"/>
      <c r="Q961" s="2791"/>
      <c r="R961" s="2791"/>
      <c r="S961" s="2791"/>
      <c r="T961" s="2791"/>
      <c r="U961" s="2791"/>
      <c r="V961" s="2791"/>
      <c r="W961" s="2791"/>
      <c r="X961" s="2791"/>
      <c r="Y961" s="2791"/>
      <c r="Z961" s="2791"/>
      <c r="AA961" s="2791"/>
      <c r="AB961" s="2791"/>
      <c r="AC961" s="2953"/>
      <c r="AD961" s="2791"/>
      <c r="AE961" s="2791"/>
      <c r="AF961" s="2953"/>
      <c r="AG961" s="2791"/>
      <c r="AH961" s="2791"/>
      <c r="AI961" s="2791"/>
      <c r="AJ961" s="2791"/>
      <c r="AK961" s="2791"/>
      <c r="AL961" s="2791"/>
      <c r="AM961" s="2791"/>
      <c r="AN961" s="2791"/>
      <c r="AO961" s="2791"/>
      <c r="AP961" s="2791"/>
      <c r="AQ961" s="2791"/>
      <c r="AR961" s="2791"/>
      <c r="AS961" s="2791"/>
      <c r="AT961" s="2791"/>
      <c r="AU961" s="2791"/>
    </row>
    <row r="962" spans="1:47" s="359" customFormat="1" ht="15" customHeight="1">
      <c r="A962" s="2791"/>
      <c r="B962" s="2791"/>
      <c r="C962" s="2791"/>
      <c r="D962" s="207"/>
      <c r="E962" s="16"/>
      <c r="F962" s="2791"/>
      <c r="H962" s="2791"/>
      <c r="I962" s="2791"/>
      <c r="J962" s="2791"/>
      <c r="K962" s="2791"/>
      <c r="L962" s="2953"/>
      <c r="M962" s="2791"/>
      <c r="N962" s="2791"/>
      <c r="O962" s="2791"/>
      <c r="P962" s="2791"/>
      <c r="Q962" s="2791"/>
      <c r="R962" s="2791"/>
      <c r="S962" s="2791"/>
      <c r="T962" s="2791"/>
      <c r="U962" s="2791"/>
      <c r="V962" s="2791"/>
      <c r="W962" s="2791"/>
      <c r="X962" s="2791"/>
      <c r="Y962" s="2791"/>
      <c r="Z962" s="2791"/>
      <c r="AA962" s="2791"/>
      <c r="AB962" s="2791"/>
      <c r="AC962" s="2953"/>
      <c r="AD962" s="2791"/>
      <c r="AE962" s="2791"/>
      <c r="AF962" s="2953"/>
      <c r="AG962" s="2791"/>
      <c r="AH962" s="2791"/>
      <c r="AI962" s="2791"/>
      <c r="AJ962" s="2791"/>
      <c r="AK962" s="2791"/>
      <c r="AL962" s="2791"/>
      <c r="AM962" s="2791"/>
      <c r="AN962" s="2791"/>
      <c r="AO962" s="2791"/>
      <c r="AP962" s="2791"/>
      <c r="AQ962" s="2791"/>
      <c r="AR962" s="2791"/>
      <c r="AS962" s="2791"/>
      <c r="AT962" s="2791"/>
      <c r="AU962" s="2791"/>
    </row>
    <row r="963" spans="1:47" s="359" customFormat="1" ht="15" customHeight="1">
      <c r="A963" s="2791"/>
      <c r="B963" s="2791"/>
      <c r="C963" s="2791"/>
      <c r="D963" s="207"/>
      <c r="E963" s="16"/>
      <c r="F963" s="2791"/>
      <c r="H963" s="2791"/>
      <c r="I963" s="2791"/>
      <c r="J963" s="2791"/>
      <c r="K963" s="2791"/>
      <c r="L963" s="2953"/>
      <c r="M963" s="2791"/>
      <c r="N963" s="2791"/>
      <c r="O963" s="2791"/>
      <c r="P963" s="2791"/>
      <c r="Q963" s="2791"/>
      <c r="R963" s="2791"/>
      <c r="S963" s="2791"/>
      <c r="T963" s="2791"/>
      <c r="U963" s="2791"/>
      <c r="V963" s="2791"/>
      <c r="W963" s="2791"/>
      <c r="X963" s="2791"/>
      <c r="Y963" s="2791"/>
      <c r="Z963" s="2791"/>
      <c r="AA963" s="2791"/>
      <c r="AB963" s="2791"/>
      <c r="AC963" s="2953"/>
      <c r="AD963" s="2791"/>
      <c r="AE963" s="2791"/>
      <c r="AF963" s="2953"/>
      <c r="AG963" s="2791"/>
      <c r="AH963" s="2791"/>
      <c r="AI963" s="2791"/>
      <c r="AJ963" s="2791"/>
      <c r="AK963" s="2791"/>
      <c r="AL963" s="2791"/>
      <c r="AM963" s="2791"/>
      <c r="AN963" s="2791"/>
      <c r="AO963" s="2791"/>
      <c r="AP963" s="2791"/>
      <c r="AQ963" s="2791"/>
      <c r="AR963" s="2791"/>
      <c r="AS963" s="2791"/>
      <c r="AT963" s="2791"/>
      <c r="AU963" s="2791"/>
    </row>
    <row r="964" spans="1:47" s="359" customFormat="1" ht="15" customHeight="1">
      <c r="A964" s="2791"/>
      <c r="B964" s="2791"/>
      <c r="C964" s="2791"/>
      <c r="D964" s="207"/>
      <c r="E964" s="16"/>
      <c r="F964" s="2791"/>
      <c r="H964" s="2791"/>
      <c r="I964" s="2791"/>
      <c r="J964" s="2791"/>
      <c r="K964" s="2791"/>
      <c r="L964" s="2953"/>
      <c r="M964" s="2791"/>
      <c r="N964" s="2791"/>
      <c r="O964" s="2791"/>
      <c r="P964" s="2791"/>
      <c r="Q964" s="2791"/>
      <c r="R964" s="2791"/>
      <c r="S964" s="2791"/>
      <c r="T964" s="2791"/>
      <c r="U964" s="2791"/>
      <c r="V964" s="2791"/>
      <c r="W964" s="2791"/>
      <c r="X964" s="2791"/>
      <c r="Y964" s="2791"/>
      <c r="Z964" s="2791"/>
      <c r="AA964" s="2791"/>
      <c r="AB964" s="2791"/>
      <c r="AC964" s="2953"/>
      <c r="AD964" s="2791"/>
      <c r="AE964" s="2791"/>
      <c r="AF964" s="2953"/>
      <c r="AG964" s="2791"/>
      <c r="AH964" s="2791"/>
      <c r="AI964" s="2791"/>
      <c r="AJ964" s="2791"/>
      <c r="AK964" s="2791"/>
      <c r="AL964" s="2791"/>
      <c r="AM964" s="2791"/>
      <c r="AN964" s="2791"/>
      <c r="AO964" s="2791"/>
      <c r="AP964" s="2791"/>
      <c r="AQ964" s="2791"/>
      <c r="AR964" s="2791"/>
      <c r="AS964" s="2791"/>
      <c r="AT964" s="2791"/>
      <c r="AU964" s="2791"/>
    </row>
    <row r="965" spans="1:47" s="359" customFormat="1" ht="15" customHeight="1">
      <c r="A965" s="2791"/>
      <c r="B965" s="2791"/>
      <c r="D965" s="207"/>
      <c r="E965" s="16"/>
      <c r="F965" s="2791"/>
      <c r="H965" s="2791"/>
      <c r="I965" s="2791"/>
      <c r="J965" s="2791"/>
      <c r="K965" s="2791"/>
      <c r="L965" s="2953"/>
      <c r="M965" s="2791"/>
      <c r="N965" s="2791"/>
      <c r="O965" s="2791"/>
      <c r="P965" s="2791"/>
      <c r="Q965" s="2791"/>
      <c r="R965" s="2791"/>
      <c r="S965" s="2791"/>
      <c r="T965" s="2791"/>
      <c r="U965" s="2791"/>
      <c r="V965" s="2791"/>
      <c r="W965" s="2791"/>
      <c r="X965" s="2791"/>
      <c r="Y965" s="2791"/>
      <c r="Z965" s="2791"/>
      <c r="AA965" s="2791"/>
      <c r="AB965" s="2791"/>
      <c r="AC965" s="2953"/>
      <c r="AD965" s="2791"/>
      <c r="AE965" s="2791"/>
      <c r="AF965" s="2953"/>
      <c r="AG965" s="2791"/>
      <c r="AH965" s="2791"/>
      <c r="AI965" s="2791"/>
      <c r="AJ965" s="2791"/>
      <c r="AK965" s="2791"/>
      <c r="AL965" s="2791"/>
      <c r="AM965" s="2791"/>
      <c r="AN965" s="2791"/>
      <c r="AO965" s="2791"/>
      <c r="AP965" s="2791"/>
      <c r="AQ965" s="2791"/>
      <c r="AR965" s="2791"/>
      <c r="AS965" s="2791"/>
      <c r="AT965" s="2791"/>
      <c r="AU965" s="2791"/>
    </row>
    <row r="966" spans="1:47" s="359" customFormat="1" ht="15" customHeight="1">
      <c r="A966" s="2791"/>
      <c r="B966" s="2791"/>
      <c r="C966" s="2791"/>
      <c r="D966" s="207"/>
      <c r="E966" s="16"/>
      <c r="F966" s="2791"/>
      <c r="H966" s="2791"/>
      <c r="I966" s="2791"/>
      <c r="J966" s="2791"/>
      <c r="K966" s="2791"/>
      <c r="L966" s="2953"/>
      <c r="M966" s="2791"/>
      <c r="N966" s="2791"/>
      <c r="O966" s="2791"/>
      <c r="P966" s="2791"/>
      <c r="Q966" s="2791"/>
      <c r="R966" s="2791"/>
      <c r="S966" s="2791"/>
      <c r="T966" s="2791"/>
      <c r="U966" s="2791"/>
      <c r="V966" s="2791"/>
      <c r="W966" s="2791"/>
      <c r="X966" s="2791"/>
      <c r="Y966" s="2791"/>
      <c r="Z966" s="2791"/>
      <c r="AA966" s="2791"/>
      <c r="AB966" s="2791"/>
      <c r="AC966" s="2953"/>
      <c r="AD966" s="2791"/>
      <c r="AE966" s="2791"/>
      <c r="AF966" s="2953"/>
      <c r="AG966" s="2791"/>
      <c r="AH966" s="2791"/>
      <c r="AI966" s="2791"/>
      <c r="AJ966" s="2791"/>
      <c r="AK966" s="2791"/>
      <c r="AL966" s="2791"/>
      <c r="AM966" s="2791"/>
      <c r="AN966" s="2791"/>
      <c r="AO966" s="2791"/>
      <c r="AP966" s="2791"/>
      <c r="AQ966" s="2791"/>
      <c r="AR966" s="2791"/>
      <c r="AS966" s="2791"/>
      <c r="AT966" s="2791"/>
      <c r="AU966" s="2791"/>
    </row>
    <row r="967" spans="1:47" ht="15" customHeight="1">
      <c r="D967" s="207"/>
      <c r="E967" s="2791"/>
    </row>
    <row r="968" spans="1:47" ht="15" customHeight="1">
      <c r="D968" s="207"/>
    </row>
    <row r="969" spans="1:47" ht="15" customHeight="1">
      <c r="D969" s="207"/>
    </row>
    <row r="970" spans="1:47" ht="15" customHeight="1">
      <c r="D970" s="207"/>
    </row>
    <row r="971" spans="1:47" ht="15" customHeight="1">
      <c r="D971" s="207"/>
    </row>
    <row r="972" spans="1:47" ht="15" customHeight="1">
      <c r="D972" s="57"/>
    </row>
    <row r="973" spans="1:47">
      <c r="D973" s="16"/>
    </row>
    <row r="974" spans="1:47">
      <c r="C974" s="359"/>
      <c r="D974" s="208"/>
      <c r="E974" s="6"/>
    </row>
    <row r="975" spans="1:47">
      <c r="D975" s="207"/>
    </row>
    <row r="976" spans="1:47">
      <c r="D976" s="207"/>
    </row>
    <row r="977" spans="3:10">
      <c r="D977" s="207"/>
    </row>
    <row r="978" spans="3:10">
      <c r="D978" s="156"/>
    </row>
    <row r="979" spans="3:10">
      <c r="C979" s="359"/>
    </row>
    <row r="980" spans="3:10">
      <c r="C980" s="359"/>
      <c r="D980" s="207"/>
    </row>
    <row r="981" spans="3:10">
      <c r="D981" s="207"/>
      <c r="G981" s="99"/>
    </row>
    <row r="982" spans="3:10">
      <c r="D982" s="16"/>
      <c r="G982" s="99"/>
      <c r="H982" s="16"/>
    </row>
    <row r="983" spans="3:10">
      <c r="D983" s="207"/>
      <c r="G983" s="1132"/>
    </row>
    <row r="984" spans="3:10">
      <c r="D984" s="207"/>
      <c r="G984" s="1133"/>
    </row>
    <row r="985" spans="3:10">
      <c r="G985" s="99"/>
    </row>
    <row r="986" spans="3:10">
      <c r="D986" s="57"/>
      <c r="G986" s="1102"/>
      <c r="H986" s="16"/>
    </row>
    <row r="987" spans="3:10">
      <c r="G987" s="1102"/>
      <c r="H987" s="16"/>
    </row>
    <row r="988" spans="3:10">
      <c r="D988" s="156"/>
      <c r="J988" s="16"/>
    </row>
    <row r="989" spans="3:10">
      <c r="D989" s="156"/>
      <c r="J989" s="16"/>
    </row>
    <row r="991" spans="3:10">
      <c r="D991" s="16"/>
    </row>
    <row r="992" spans="3:10">
      <c r="D992" s="16"/>
    </row>
    <row r="993" spans="2:47">
      <c r="D993" s="16"/>
    </row>
    <row r="994" spans="2:47">
      <c r="D994" s="16"/>
    </row>
    <row r="997" spans="2:47" s="24" customFormat="1">
      <c r="B997" s="2791"/>
      <c r="C997" s="359"/>
      <c r="E997" s="16"/>
      <c r="F997" s="2791"/>
      <c r="G997" s="359"/>
      <c r="H997" s="2791"/>
      <c r="I997" s="2791"/>
      <c r="J997" s="2791"/>
      <c r="K997" s="2791"/>
      <c r="L997" s="2953"/>
      <c r="M997" s="2791"/>
      <c r="N997" s="2791"/>
      <c r="O997" s="2791"/>
      <c r="P997" s="2791"/>
      <c r="Q997" s="2791"/>
      <c r="R997" s="2791"/>
      <c r="S997" s="2791"/>
      <c r="T997" s="2791"/>
      <c r="U997" s="2791"/>
      <c r="V997" s="2791"/>
      <c r="W997" s="2791"/>
      <c r="X997" s="2791"/>
      <c r="Y997" s="2791"/>
      <c r="Z997" s="2791"/>
      <c r="AA997" s="2791"/>
      <c r="AB997" s="2791"/>
      <c r="AC997" s="2953"/>
      <c r="AD997" s="2791"/>
      <c r="AE997" s="2791"/>
      <c r="AF997" s="2953"/>
      <c r="AG997" s="2791"/>
      <c r="AH997" s="2791"/>
      <c r="AI997" s="2791"/>
      <c r="AJ997" s="2791"/>
      <c r="AK997" s="2791"/>
      <c r="AL997" s="2791"/>
      <c r="AM997" s="2791"/>
      <c r="AN997" s="2791"/>
      <c r="AO997" s="2791"/>
      <c r="AP997" s="2791"/>
      <c r="AQ997" s="2791"/>
      <c r="AR997" s="2791"/>
      <c r="AS997" s="2791"/>
      <c r="AT997" s="2791"/>
      <c r="AU997" s="2791"/>
    </row>
    <row r="998" spans="2:47" s="24" customFormat="1">
      <c r="B998" s="2791"/>
      <c r="C998" s="359"/>
      <c r="E998" s="16"/>
      <c r="F998" s="2791"/>
      <c r="G998" s="359"/>
      <c r="H998" s="2791"/>
      <c r="I998" s="2791"/>
      <c r="J998" s="2791"/>
      <c r="K998" s="2791"/>
      <c r="L998" s="2953"/>
      <c r="M998" s="2791"/>
      <c r="N998" s="2791"/>
      <c r="O998" s="2791"/>
      <c r="P998" s="2791"/>
      <c r="Q998" s="2791"/>
      <c r="R998" s="2791"/>
      <c r="S998" s="2791"/>
      <c r="T998" s="2791"/>
      <c r="U998" s="2791"/>
      <c r="V998" s="2791"/>
      <c r="W998" s="2791"/>
      <c r="X998" s="2791"/>
      <c r="Y998" s="2791"/>
      <c r="Z998" s="2791"/>
      <c r="AA998" s="2791"/>
      <c r="AB998" s="2791"/>
      <c r="AC998" s="2953"/>
      <c r="AD998" s="2791"/>
      <c r="AE998" s="2791"/>
      <c r="AF998" s="2953"/>
      <c r="AG998" s="2791"/>
      <c r="AH998" s="2791"/>
      <c r="AI998" s="2791"/>
      <c r="AJ998" s="2791"/>
      <c r="AK998" s="2791"/>
      <c r="AL998" s="2791"/>
      <c r="AM998" s="2791"/>
      <c r="AN998" s="2791"/>
      <c r="AO998" s="2791"/>
      <c r="AP998" s="2791"/>
      <c r="AQ998" s="2791"/>
      <c r="AR998" s="2791"/>
      <c r="AS998" s="2791"/>
      <c r="AT998" s="2791"/>
      <c r="AU998" s="2791"/>
    </row>
    <row r="999" spans="2:47" s="24" customFormat="1">
      <c r="B999" s="2791"/>
      <c r="C999" s="359"/>
      <c r="E999" s="16"/>
      <c r="F999" s="2791"/>
      <c r="G999" s="359"/>
      <c r="H999" s="2791"/>
      <c r="I999" s="2791"/>
      <c r="J999" s="2791"/>
      <c r="K999" s="2791"/>
      <c r="L999" s="2953"/>
      <c r="M999" s="2791"/>
      <c r="N999" s="2791"/>
      <c r="O999" s="2791"/>
      <c r="P999" s="2791"/>
      <c r="Q999" s="2791"/>
      <c r="R999" s="2791"/>
      <c r="S999" s="2791"/>
      <c r="T999" s="2791"/>
      <c r="U999" s="2791"/>
      <c r="V999" s="2791"/>
      <c r="W999" s="2791"/>
      <c r="X999" s="2791"/>
      <c r="Y999" s="2791"/>
      <c r="Z999" s="2791"/>
      <c r="AA999" s="2791"/>
      <c r="AB999" s="2791"/>
      <c r="AC999" s="2953"/>
      <c r="AD999" s="2791"/>
      <c r="AE999" s="2791"/>
      <c r="AF999" s="2953"/>
      <c r="AG999" s="2791"/>
      <c r="AH999" s="2791"/>
      <c r="AI999" s="2791"/>
      <c r="AJ999" s="2791"/>
      <c r="AK999" s="2791"/>
      <c r="AL999" s="2791"/>
      <c r="AM999" s="2791"/>
      <c r="AN999" s="2791"/>
      <c r="AO999" s="2791"/>
      <c r="AP999" s="2791"/>
      <c r="AQ999" s="2791"/>
      <c r="AR999" s="2791"/>
      <c r="AS999" s="2791"/>
      <c r="AT999" s="2791"/>
      <c r="AU999" s="2791"/>
    </row>
    <row r="1000" spans="2:47" s="24" customFormat="1">
      <c r="B1000" s="2791"/>
      <c r="C1000" s="359"/>
      <c r="E1000" s="16"/>
      <c r="F1000" s="2791"/>
      <c r="G1000" s="359"/>
      <c r="H1000" s="2791"/>
      <c r="I1000" s="2791"/>
      <c r="J1000" s="2791"/>
      <c r="K1000" s="2791"/>
      <c r="L1000" s="2953"/>
      <c r="M1000" s="2791"/>
      <c r="N1000" s="2791"/>
      <c r="O1000" s="2791"/>
      <c r="P1000" s="2791"/>
      <c r="Q1000" s="2791"/>
      <c r="R1000" s="2791"/>
      <c r="S1000" s="2791"/>
      <c r="T1000" s="2791"/>
      <c r="U1000" s="2791"/>
      <c r="V1000" s="2791"/>
      <c r="W1000" s="2791"/>
      <c r="X1000" s="2791"/>
      <c r="Y1000" s="2791"/>
      <c r="Z1000" s="2791"/>
      <c r="AA1000" s="2791"/>
      <c r="AB1000" s="2791"/>
      <c r="AC1000" s="2953"/>
      <c r="AD1000" s="2791"/>
      <c r="AE1000" s="2791"/>
      <c r="AF1000" s="2953"/>
      <c r="AG1000" s="2791"/>
      <c r="AH1000" s="2791"/>
      <c r="AI1000" s="2791"/>
      <c r="AJ1000" s="2791"/>
      <c r="AK1000" s="2791"/>
      <c r="AL1000" s="2791"/>
      <c r="AM1000" s="2791"/>
      <c r="AN1000" s="2791"/>
      <c r="AO1000" s="2791"/>
      <c r="AP1000" s="2791"/>
      <c r="AQ1000" s="2791"/>
      <c r="AR1000" s="2791"/>
      <c r="AS1000" s="2791"/>
      <c r="AT1000" s="2791"/>
      <c r="AU1000" s="2791"/>
    </row>
    <row r="1001" spans="2:47" s="24" customFormat="1">
      <c r="B1001" s="2791"/>
      <c r="C1001" s="359"/>
      <c r="E1001" s="16"/>
      <c r="F1001" s="2791"/>
      <c r="G1001" s="359"/>
      <c r="H1001" s="2791"/>
      <c r="I1001" s="2791"/>
      <c r="J1001" s="2791"/>
      <c r="K1001" s="2791"/>
      <c r="L1001" s="2953"/>
      <c r="M1001" s="2791"/>
      <c r="N1001" s="2791"/>
      <c r="O1001" s="2791"/>
      <c r="P1001" s="2791"/>
      <c r="Q1001" s="2791"/>
      <c r="R1001" s="2791"/>
      <c r="S1001" s="2791"/>
      <c r="T1001" s="2791"/>
      <c r="U1001" s="2791"/>
      <c r="V1001" s="2791"/>
      <c r="W1001" s="2791"/>
      <c r="X1001" s="2791"/>
      <c r="Y1001" s="2791"/>
      <c r="Z1001" s="2791"/>
      <c r="AA1001" s="2791"/>
      <c r="AB1001" s="2791"/>
      <c r="AC1001" s="2953"/>
      <c r="AD1001" s="2791"/>
      <c r="AE1001" s="2791"/>
      <c r="AF1001" s="2953"/>
      <c r="AG1001" s="2791"/>
      <c r="AH1001" s="2791"/>
      <c r="AI1001" s="2791"/>
      <c r="AJ1001" s="2791"/>
      <c r="AK1001" s="2791"/>
      <c r="AL1001" s="2791"/>
      <c r="AM1001" s="2791"/>
      <c r="AN1001" s="2791"/>
      <c r="AO1001" s="2791"/>
      <c r="AP1001" s="2791"/>
      <c r="AQ1001" s="2791"/>
      <c r="AR1001" s="2791"/>
      <c r="AS1001" s="2791"/>
      <c r="AT1001" s="2791"/>
      <c r="AU1001" s="2791"/>
    </row>
    <row r="1002" spans="2:47" s="24" customFormat="1">
      <c r="B1002" s="2791"/>
      <c r="C1002" s="359"/>
      <c r="E1002" s="16"/>
      <c r="F1002" s="2791"/>
      <c r="G1002" s="359"/>
      <c r="H1002" s="2791"/>
      <c r="I1002" s="2791"/>
      <c r="J1002" s="2791"/>
      <c r="K1002" s="2791"/>
      <c r="L1002" s="2953"/>
      <c r="M1002" s="2791"/>
      <c r="N1002" s="2791"/>
      <c r="O1002" s="2791"/>
      <c r="P1002" s="2791"/>
      <c r="Q1002" s="2791"/>
      <c r="R1002" s="2791"/>
      <c r="S1002" s="2791"/>
      <c r="T1002" s="2791"/>
      <c r="U1002" s="2791"/>
      <c r="V1002" s="2791"/>
      <c r="W1002" s="2791"/>
      <c r="X1002" s="2791"/>
      <c r="Y1002" s="2791"/>
      <c r="Z1002" s="2791"/>
      <c r="AA1002" s="2791"/>
      <c r="AB1002" s="2791"/>
      <c r="AC1002" s="2953"/>
      <c r="AD1002" s="2791"/>
      <c r="AE1002" s="2791"/>
      <c r="AF1002" s="2953"/>
      <c r="AG1002" s="2791"/>
      <c r="AH1002" s="2791"/>
      <c r="AI1002" s="2791"/>
      <c r="AJ1002" s="2791"/>
      <c r="AK1002" s="2791"/>
      <c r="AL1002" s="2791"/>
      <c r="AM1002" s="2791"/>
      <c r="AN1002" s="2791"/>
      <c r="AO1002" s="2791"/>
      <c r="AP1002" s="2791"/>
      <c r="AQ1002" s="2791"/>
      <c r="AR1002" s="2791"/>
      <c r="AS1002" s="2791"/>
      <c r="AT1002" s="2791"/>
      <c r="AU1002" s="2791"/>
    </row>
    <row r="1003" spans="2:47" s="24" customFormat="1">
      <c r="B1003" s="2791"/>
      <c r="C1003" s="359"/>
      <c r="E1003" s="16"/>
      <c r="F1003" s="2791"/>
      <c r="G1003" s="359"/>
      <c r="H1003" s="2791"/>
      <c r="I1003" s="2791"/>
      <c r="J1003" s="2791"/>
      <c r="K1003" s="2791"/>
      <c r="L1003" s="2953"/>
      <c r="M1003" s="2791"/>
      <c r="N1003" s="2791"/>
      <c r="O1003" s="2791"/>
      <c r="P1003" s="2791"/>
      <c r="Q1003" s="2791"/>
      <c r="R1003" s="2791"/>
      <c r="S1003" s="2791"/>
      <c r="T1003" s="2791"/>
      <c r="U1003" s="2791"/>
      <c r="V1003" s="2791"/>
      <c r="W1003" s="2791"/>
      <c r="X1003" s="2791"/>
      <c r="Y1003" s="2791"/>
      <c r="Z1003" s="2791"/>
      <c r="AA1003" s="2791"/>
      <c r="AB1003" s="2791"/>
      <c r="AC1003" s="2953"/>
      <c r="AD1003" s="2791"/>
      <c r="AE1003" s="2791"/>
      <c r="AF1003" s="2953"/>
      <c r="AG1003" s="2791"/>
      <c r="AH1003" s="2791"/>
      <c r="AI1003" s="2791"/>
      <c r="AJ1003" s="2791"/>
      <c r="AK1003" s="2791"/>
      <c r="AL1003" s="2791"/>
      <c r="AM1003" s="2791"/>
      <c r="AN1003" s="2791"/>
      <c r="AO1003" s="2791"/>
      <c r="AP1003" s="2791"/>
      <c r="AQ1003" s="2791"/>
      <c r="AR1003" s="2791"/>
      <c r="AS1003" s="2791"/>
      <c r="AT1003" s="2791"/>
      <c r="AU1003" s="2791"/>
    </row>
  </sheetData>
  <mergeCells count="59">
    <mergeCell ref="C35:C38"/>
    <mergeCell ref="D35:D38"/>
    <mergeCell ref="C39:C42"/>
    <mergeCell ref="D39:D42"/>
    <mergeCell ref="C43:C46"/>
    <mergeCell ref="D43:D46"/>
    <mergeCell ref="D63:D66"/>
    <mergeCell ref="C47:C50"/>
    <mergeCell ref="D47:D50"/>
    <mergeCell ref="C51:C54"/>
    <mergeCell ref="D51:D54"/>
    <mergeCell ref="C59:C62"/>
    <mergeCell ref="D59:D62"/>
    <mergeCell ref="C55:C58"/>
    <mergeCell ref="D55:D58"/>
    <mergeCell ref="AJ21:AJ22"/>
    <mergeCell ref="AO21:AO22"/>
    <mergeCell ref="AP21:AP22"/>
    <mergeCell ref="C23:C26"/>
    <mergeCell ref="D23:D26"/>
    <mergeCell ref="AI21:AI22"/>
    <mergeCell ref="D27:D30"/>
    <mergeCell ref="AD21:AD22"/>
    <mergeCell ref="AE21:AE22"/>
    <mergeCell ref="AC21:AC22"/>
    <mergeCell ref="AG21:AG22"/>
    <mergeCell ref="W21:W22"/>
    <mergeCell ref="X21:X22"/>
    <mergeCell ref="Y21:Y22"/>
    <mergeCell ref="C31:C34"/>
    <mergeCell ref="L21:L22"/>
    <mergeCell ref="AI19:AJ20"/>
    <mergeCell ref="AM19:AP20"/>
    <mergeCell ref="C21:C22"/>
    <mergeCell ref="D21:D22"/>
    <mergeCell ref="E21:E22"/>
    <mergeCell ref="F21:G21"/>
    <mergeCell ref="H21:I21"/>
    <mergeCell ref="M21:N21"/>
    <mergeCell ref="O21:O22"/>
    <mergeCell ref="P21:P22"/>
    <mergeCell ref="B17:K20"/>
    <mergeCell ref="R17:U20"/>
    <mergeCell ref="W17:AJ18"/>
    <mergeCell ref="W19:W20"/>
    <mergeCell ref="M17:Q18"/>
    <mergeCell ref="M19:Q20"/>
    <mergeCell ref="AD19:AG20"/>
    <mergeCell ref="X19:AC20"/>
    <mergeCell ref="AH19:AH22"/>
    <mergeCell ref="Z21:Z22"/>
    <mergeCell ref="AA21:AA22"/>
    <mergeCell ref="AB21:AB22"/>
    <mergeCell ref="Q21:Q22"/>
    <mergeCell ref="R21:R22"/>
    <mergeCell ref="S21:S22"/>
    <mergeCell ref="T21:T22"/>
    <mergeCell ref="U21:U22"/>
    <mergeCell ref="AF21:AF22"/>
  </mergeCells>
  <hyperlinks>
    <hyperlink ref="M456" r:id="rId1" display="https://specialistsales.com.au/shop/woody-weeds/woody-weed-herbicides/liquid-chemicals/raizon-herbicide-triclopyr-picloram/?attribute_pa_size=5-litre&amp;gclid=CjwKCAjwtNf6BRAwEiwAkt6UQu9U1DcwPzEFvydMQllNbvCYHBEvL6z40f0X1GUym-s8iP-7KXdpoxoC9UgQAvD_BwE" xr:uid="{00000000-0004-0000-1900-000000000000}"/>
    <hyperlink ref="N504" r:id="rId2" display="https://specialistsales.com.au/shop/woody-weeds/woody-weed-herbicides/liquid-chemicals/roundup-biactive-herbicide-glyphosate/?attribute_pa_size=20-litre&amp;gclid=EAIaIQobChMInuG-nofZ6wIVYZ_CCh2u5AaIEAkYASABEgJor_D_BwE" xr:uid="{00000000-0004-0000-1900-000001000000}"/>
  </hyperlinks>
  <pageMargins left="0.7" right="0.7" top="0.75" bottom="0.75" header="0.3" footer="0.3"/>
  <pageSetup paperSize="9" orientation="portrait" horizontalDpi="0" verticalDpi="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B1:BA104"/>
  <sheetViews>
    <sheetView showGridLines="0" zoomScaleNormal="100" workbookViewId="0">
      <selection activeCell="H36" sqref="H36"/>
    </sheetView>
  </sheetViews>
  <sheetFormatPr baseColWidth="10" defaultColWidth="10.83203125" defaultRowHeight="16"/>
  <cols>
    <col min="1" max="1" width="4.6640625" style="2791" customWidth="1"/>
    <col min="2" max="2" width="17.5" style="2791" customWidth="1"/>
    <col min="3" max="3" width="49" style="2791" customWidth="1"/>
    <col min="4" max="4" width="15.33203125" style="2791" customWidth="1"/>
    <col min="5" max="5" width="13.33203125" style="2791" customWidth="1"/>
    <col min="6" max="6" width="16.6640625" style="2791" customWidth="1"/>
    <col min="7" max="9" width="14.33203125" style="2791" customWidth="1"/>
    <col min="10" max="10" width="14.83203125" style="2791" customWidth="1"/>
    <col min="11" max="16" width="14.33203125" style="2791" customWidth="1"/>
    <col min="17" max="17" width="8.1640625" style="2953" customWidth="1"/>
    <col min="18" max="24" width="11.83203125" style="2953" customWidth="1"/>
    <col min="25" max="25" width="14.83203125" style="2791" customWidth="1"/>
    <col min="26" max="26" width="21" style="2953" customWidth="1"/>
    <col min="27" max="27" width="22.5" style="9" customWidth="1"/>
    <col min="28" max="28" width="8.1640625" style="2791" customWidth="1"/>
    <col min="29" max="43" width="11.83203125" style="2791" customWidth="1"/>
    <col min="44" max="44" width="12.1640625" style="2791" customWidth="1"/>
    <col min="45" max="47" width="13.5" style="2791" customWidth="1"/>
    <col min="48" max="48" width="48.83203125" style="2791" customWidth="1"/>
    <col min="49" max="49" width="13.5" style="2791" customWidth="1"/>
    <col min="50" max="16384" width="10.83203125" style="2791"/>
  </cols>
  <sheetData>
    <row r="1" spans="2:53">
      <c r="B1" s="8" t="s">
        <v>1035</v>
      </c>
    </row>
    <row r="3" spans="2:53">
      <c r="B3" s="8" t="s">
        <v>844</v>
      </c>
      <c r="G3" s="692"/>
      <c r="H3" s="692"/>
      <c r="I3" s="692"/>
      <c r="J3" s="692"/>
      <c r="K3" s="692"/>
      <c r="L3" s="692"/>
      <c r="M3" s="692"/>
      <c r="N3" s="692"/>
      <c r="O3" s="692"/>
      <c r="P3" s="692"/>
    </row>
    <row r="4" spans="2:53" ht="17" thickBot="1">
      <c r="B4" s="2791" t="s">
        <v>839</v>
      </c>
      <c r="C4" s="2791" t="s">
        <v>845</v>
      </c>
      <c r="D4" s="1"/>
      <c r="E4" s="1"/>
      <c r="F4" s="1"/>
      <c r="G4" s="1"/>
      <c r="H4" s="1"/>
      <c r="I4" s="1"/>
      <c r="J4" s="1"/>
      <c r="K4" s="1"/>
      <c r="L4" s="1"/>
      <c r="M4" s="1"/>
      <c r="N4" s="1"/>
      <c r="O4" s="1"/>
      <c r="P4" s="1"/>
    </row>
    <row r="5" spans="2:53">
      <c r="C5" s="804" t="s">
        <v>838</v>
      </c>
      <c r="D5" s="805"/>
      <c r="E5" s="805"/>
      <c r="F5" s="805"/>
    </row>
    <row r="6" spans="2:53">
      <c r="C6" s="807" t="s">
        <v>827</v>
      </c>
      <c r="D6" s="2791" t="s">
        <v>2157</v>
      </c>
    </row>
    <row r="7" spans="2:53">
      <c r="C7" s="807" t="s">
        <v>827</v>
      </c>
      <c r="D7" s="2791" t="s">
        <v>2225</v>
      </c>
    </row>
    <row r="8" spans="2:53">
      <c r="C8" s="807" t="s">
        <v>827</v>
      </c>
      <c r="D8" s="2791" t="s">
        <v>2379</v>
      </c>
    </row>
    <row r="9" spans="2:53">
      <c r="C9" s="807" t="s">
        <v>827</v>
      </c>
      <c r="D9" s="2953" t="s">
        <v>2380</v>
      </c>
    </row>
    <row r="10" spans="2:53">
      <c r="C10" s="807"/>
    </row>
    <row r="11" spans="2:53" ht="17" thickBot="1">
      <c r="C11" s="808"/>
      <c r="D11" s="574"/>
      <c r="E11" s="574"/>
      <c r="F11" s="574"/>
      <c r="BA11" s="587">
        <v>0</v>
      </c>
    </row>
    <row r="12" spans="2:53">
      <c r="C12" s="360" t="s">
        <v>851</v>
      </c>
      <c r="BA12" s="587"/>
    </row>
    <row r="13" spans="2:53">
      <c r="BA13" s="587"/>
    </row>
    <row r="14" spans="2:53">
      <c r="B14" s="1394"/>
      <c r="C14" s="1395" t="s">
        <v>2144</v>
      </c>
      <c r="BA14" s="587"/>
    </row>
    <row r="15" spans="2:53">
      <c r="C15" s="3262" t="s">
        <v>2158</v>
      </c>
    </row>
    <row r="16" spans="2:53">
      <c r="B16" s="8" t="s">
        <v>730</v>
      </c>
      <c r="C16" s="1394"/>
    </row>
    <row r="17" spans="2:16" ht="17">
      <c r="B17" s="3" t="s">
        <v>847</v>
      </c>
      <c r="G17" s="562"/>
      <c r="H17" s="562"/>
      <c r="I17" s="562"/>
      <c r="J17" s="562"/>
      <c r="K17" s="562"/>
      <c r="L17" s="562"/>
      <c r="M17" s="562"/>
      <c r="N17" s="562"/>
      <c r="O17" s="562"/>
      <c r="P17" s="562"/>
    </row>
    <row r="18" spans="2:16" ht="17">
      <c r="B18" s="3"/>
      <c r="C18" s="2791" t="s">
        <v>1366</v>
      </c>
      <c r="G18" s="562"/>
      <c r="H18" s="562"/>
      <c r="I18" s="562"/>
      <c r="J18" s="562"/>
      <c r="K18" s="562"/>
      <c r="L18" s="562"/>
      <c r="M18" s="562"/>
      <c r="N18" s="562"/>
      <c r="O18" s="562"/>
      <c r="P18" s="562"/>
    </row>
    <row r="19" spans="2:16" ht="17">
      <c r="C19" s="2791" t="s">
        <v>2143</v>
      </c>
      <c r="G19" s="562"/>
      <c r="H19" s="562"/>
      <c r="I19" s="562"/>
      <c r="J19" s="562"/>
      <c r="K19" s="562"/>
      <c r="L19" s="562"/>
      <c r="M19" s="562"/>
      <c r="N19" s="562"/>
      <c r="O19" s="562"/>
      <c r="P19" s="562"/>
    </row>
    <row r="20" spans="2:16" ht="17">
      <c r="C20" s="2791" t="s">
        <v>1163</v>
      </c>
      <c r="G20" s="562"/>
      <c r="H20" s="562"/>
      <c r="I20" s="562"/>
      <c r="J20" s="562"/>
      <c r="K20" s="562"/>
      <c r="L20" s="562"/>
      <c r="M20" s="562"/>
      <c r="N20" s="562"/>
      <c r="O20" s="562"/>
      <c r="P20" s="562"/>
    </row>
    <row r="21" spans="2:16" ht="17">
      <c r="C21" s="2791" t="s">
        <v>867</v>
      </c>
      <c r="G21" s="562"/>
      <c r="H21" s="562"/>
      <c r="I21" s="562"/>
      <c r="J21" s="562"/>
      <c r="K21" s="562"/>
      <c r="L21" s="562"/>
      <c r="M21" s="562"/>
      <c r="N21" s="562"/>
      <c r="O21" s="562"/>
      <c r="P21" s="562"/>
    </row>
    <row r="22" spans="2:16" ht="17">
      <c r="G22" s="562"/>
      <c r="H22" s="562"/>
      <c r="I22" s="562"/>
      <c r="J22" s="562"/>
      <c r="K22" s="562"/>
      <c r="L22" s="562"/>
      <c r="M22" s="562"/>
      <c r="N22" s="562"/>
      <c r="O22" s="562"/>
      <c r="P22" s="562"/>
    </row>
    <row r="23" spans="2:16" ht="17">
      <c r="G23" s="562"/>
      <c r="H23" s="562"/>
      <c r="I23" s="562"/>
      <c r="J23" s="562"/>
      <c r="K23" s="562"/>
      <c r="L23" s="562"/>
      <c r="M23" s="562"/>
      <c r="N23" s="562"/>
      <c r="O23" s="562"/>
      <c r="P23" s="562"/>
    </row>
    <row r="24" spans="2:16">
      <c r="G24" s="692"/>
      <c r="H24" s="692"/>
      <c r="I24" s="692"/>
      <c r="J24" s="692"/>
      <c r="K24" s="692"/>
      <c r="L24" s="692"/>
      <c r="M24" s="692"/>
      <c r="N24" s="692"/>
      <c r="O24" s="692"/>
      <c r="P24" s="692"/>
    </row>
    <row r="25" spans="2:16">
      <c r="G25" s="692"/>
      <c r="H25" s="692"/>
      <c r="I25" s="692"/>
      <c r="J25" s="692"/>
      <c r="K25" s="692"/>
      <c r="L25" s="692"/>
      <c r="M25" s="692"/>
      <c r="N25" s="692"/>
      <c r="O25" s="692"/>
      <c r="P25" s="692"/>
    </row>
    <row r="26" spans="2:16" ht="17">
      <c r="G26" s="562"/>
      <c r="H26" s="562"/>
      <c r="I26" s="562"/>
      <c r="J26" s="562"/>
      <c r="K26" s="562"/>
      <c r="L26" s="562"/>
      <c r="M26" s="562"/>
      <c r="N26" s="562"/>
      <c r="O26" s="562"/>
      <c r="P26" s="562"/>
    </row>
    <row r="27" spans="2:16" ht="17">
      <c r="D27" s="31"/>
      <c r="G27" s="562"/>
      <c r="H27" s="562"/>
      <c r="I27" s="562"/>
      <c r="J27" s="562"/>
      <c r="K27" s="562"/>
      <c r="L27" s="562"/>
      <c r="M27" s="562"/>
      <c r="N27" s="562"/>
      <c r="O27" s="562"/>
      <c r="P27" s="562"/>
    </row>
    <row r="28" spans="2:16" ht="17">
      <c r="D28" s="31"/>
      <c r="G28" s="562"/>
      <c r="H28" s="562"/>
      <c r="I28" s="562"/>
      <c r="J28" s="562"/>
      <c r="K28" s="562"/>
      <c r="L28" s="562"/>
      <c r="M28" s="562"/>
      <c r="N28" s="562"/>
      <c r="O28" s="562"/>
      <c r="P28" s="562"/>
    </row>
    <row r="29" spans="2:16" ht="17">
      <c r="D29" s="31"/>
      <c r="G29" s="562"/>
      <c r="H29" s="562"/>
      <c r="I29" s="562"/>
      <c r="J29" s="562"/>
      <c r="K29" s="562"/>
      <c r="L29" s="562"/>
      <c r="M29" s="562"/>
      <c r="N29" s="562"/>
      <c r="O29" s="562"/>
      <c r="P29" s="562"/>
    </row>
    <row r="30" spans="2:16" ht="17">
      <c r="D30" s="31"/>
      <c r="G30" s="562"/>
      <c r="H30" s="562"/>
      <c r="I30" s="562"/>
      <c r="J30" s="562"/>
      <c r="K30" s="562"/>
      <c r="L30" s="562"/>
      <c r="M30" s="562"/>
      <c r="N30" s="562"/>
      <c r="O30" s="562"/>
      <c r="P30" s="562"/>
    </row>
    <row r="31" spans="2:16" ht="17">
      <c r="B31" s="3" t="s">
        <v>846</v>
      </c>
      <c r="G31" s="562"/>
      <c r="H31" s="562"/>
      <c r="I31" s="562"/>
      <c r="J31" s="562"/>
      <c r="K31" s="562"/>
      <c r="L31" s="562"/>
      <c r="M31" s="562"/>
      <c r="N31" s="562"/>
      <c r="O31" s="562"/>
      <c r="P31" s="562"/>
    </row>
    <row r="32" spans="2:16" ht="17">
      <c r="C32" s="2791" t="s">
        <v>2154</v>
      </c>
      <c r="G32" s="562"/>
      <c r="H32" s="562"/>
      <c r="I32" s="562"/>
      <c r="J32" s="562"/>
      <c r="K32" s="562"/>
      <c r="L32" s="562"/>
      <c r="M32" s="562"/>
      <c r="N32" s="562"/>
      <c r="O32" s="562"/>
      <c r="P32" s="562"/>
    </row>
    <row r="33" spans="2:46" ht="17">
      <c r="C33" s="693" t="s">
        <v>2155</v>
      </c>
      <c r="D33" s="31"/>
      <c r="G33" s="562"/>
      <c r="H33" s="562"/>
      <c r="I33" s="562"/>
      <c r="J33" s="562"/>
      <c r="K33" s="562"/>
      <c r="L33" s="562"/>
      <c r="M33" s="562"/>
      <c r="N33" s="562"/>
      <c r="O33" s="562"/>
      <c r="P33" s="562"/>
    </row>
    <row r="34" spans="2:46">
      <c r="C34" s="2791" t="s">
        <v>2156</v>
      </c>
      <c r="G34" s="692"/>
      <c r="H34" s="692"/>
      <c r="I34" s="692"/>
      <c r="J34" s="692"/>
      <c r="K34" s="692"/>
      <c r="L34" s="692"/>
      <c r="M34" s="692"/>
      <c r="N34" s="692"/>
      <c r="O34" s="692"/>
      <c r="P34" s="692"/>
    </row>
    <row r="35" spans="2:46" ht="17">
      <c r="D35" s="2791" t="s">
        <v>2370</v>
      </c>
      <c r="G35" s="562"/>
      <c r="H35" s="562"/>
      <c r="I35" s="562"/>
      <c r="J35" s="562"/>
      <c r="K35" s="562"/>
      <c r="L35" s="562"/>
      <c r="M35" s="562"/>
      <c r="N35" s="562"/>
      <c r="O35" s="562"/>
      <c r="P35" s="562"/>
    </row>
    <row r="36" spans="2:46">
      <c r="C36" s="693"/>
      <c r="G36" s="692"/>
      <c r="H36" s="692"/>
      <c r="I36" s="692"/>
      <c r="J36" s="692"/>
      <c r="K36" s="692"/>
      <c r="L36" s="692"/>
      <c r="M36" s="692"/>
      <c r="N36" s="692"/>
      <c r="O36" s="692"/>
      <c r="P36" s="692"/>
    </row>
    <row r="37" spans="2:46">
      <c r="G37" s="692"/>
      <c r="H37" s="692"/>
      <c r="I37" s="692"/>
      <c r="J37" s="692"/>
      <c r="K37" s="692"/>
      <c r="L37" s="692"/>
      <c r="M37" s="692"/>
      <c r="N37" s="692"/>
      <c r="O37" s="692"/>
      <c r="P37" s="692"/>
    </row>
    <row r="38" spans="2:46">
      <c r="G38" s="692"/>
      <c r="H38" s="692"/>
      <c r="I38" s="692"/>
      <c r="J38" s="692"/>
      <c r="K38" s="692"/>
      <c r="L38" s="692"/>
      <c r="M38" s="692"/>
      <c r="N38" s="692"/>
      <c r="O38" s="692"/>
      <c r="P38" s="692"/>
    </row>
    <row r="39" spans="2:46">
      <c r="G39" s="692"/>
      <c r="H39" s="692"/>
      <c r="I39" s="692"/>
      <c r="J39" s="692"/>
      <c r="K39" s="692"/>
      <c r="L39" s="692"/>
      <c r="M39" s="692"/>
      <c r="N39" s="692"/>
      <c r="O39" s="692"/>
      <c r="P39" s="692"/>
    </row>
    <row r="40" spans="2:46">
      <c r="G40" s="692"/>
      <c r="H40" s="692"/>
      <c r="I40" s="692"/>
      <c r="J40" s="692"/>
      <c r="K40" s="692"/>
      <c r="L40" s="692"/>
      <c r="M40" s="692"/>
      <c r="N40" s="692"/>
      <c r="O40" s="692"/>
      <c r="P40" s="692"/>
    </row>
    <row r="41" spans="2:46">
      <c r="H41" s="207"/>
      <c r="I41" s="16"/>
      <c r="O41" s="692"/>
      <c r="P41" s="692"/>
    </row>
    <row r="42" spans="2:46">
      <c r="B42" s="1"/>
      <c r="C42" s="360"/>
      <c r="G42" s="359"/>
      <c r="H42" s="207"/>
      <c r="I42" s="16"/>
      <c r="AB42" s="2791" t="s">
        <v>820</v>
      </c>
      <c r="AS42" s="587"/>
    </row>
    <row r="43" spans="2:46">
      <c r="B43" s="8" t="s">
        <v>1036</v>
      </c>
      <c r="C43" s="100"/>
      <c r="F43" s="1"/>
      <c r="H43" s="1" t="s">
        <v>1362</v>
      </c>
      <c r="I43" s="16"/>
      <c r="L43" s="3629" t="s">
        <v>2519</v>
      </c>
      <c r="P43" s="1" t="s">
        <v>2112</v>
      </c>
      <c r="AS43" s="587"/>
    </row>
    <row r="44" spans="2:46">
      <c r="B44" s="2791" t="s">
        <v>1363</v>
      </c>
      <c r="AJ44" s="2791" t="s">
        <v>1053</v>
      </c>
      <c r="AS44" s="587"/>
    </row>
    <row r="45" spans="2:46">
      <c r="C45" s="2791" t="s">
        <v>1364</v>
      </c>
      <c r="P45" s="259">
        <f>'Overall Assumptions'!$C$179</f>
        <v>208.4</v>
      </c>
      <c r="AS45" s="587"/>
    </row>
    <row r="46" spans="2:46">
      <c r="C46" s="360" t="s">
        <v>1052</v>
      </c>
      <c r="D46" s="1"/>
      <c r="E46" s="1"/>
      <c r="AS46" s="587"/>
    </row>
    <row r="47" spans="2:46">
      <c r="C47" s="4" t="s">
        <v>730</v>
      </c>
      <c r="D47" s="593" t="s">
        <v>832</v>
      </c>
      <c r="F47" s="480" t="s">
        <v>799</v>
      </c>
      <c r="H47" s="3889" t="s">
        <v>800</v>
      </c>
      <c r="I47" s="3890"/>
      <c r="J47" s="3890"/>
      <c r="K47" s="3890"/>
      <c r="L47" s="3890"/>
      <c r="M47" s="3890"/>
      <c r="N47" s="3891"/>
      <c r="O47" s="1270"/>
      <c r="P47" s="480" t="s">
        <v>799</v>
      </c>
      <c r="R47" s="3889" t="s">
        <v>800</v>
      </c>
      <c r="S47" s="3890"/>
      <c r="T47" s="3890"/>
      <c r="U47" s="3890"/>
      <c r="V47" s="3890"/>
      <c r="W47" s="3890"/>
      <c r="X47" s="3891"/>
      <c r="AC47" s="3889" t="s">
        <v>800</v>
      </c>
      <c r="AD47" s="3890"/>
      <c r="AE47" s="3890"/>
      <c r="AF47" s="3890"/>
      <c r="AG47" s="3890"/>
      <c r="AH47" s="3890"/>
      <c r="AI47" s="3891"/>
      <c r="AJ47" s="2791">
        <v>0</v>
      </c>
      <c r="AK47" s="2791">
        <v>1</v>
      </c>
      <c r="AL47" s="2791">
        <v>2</v>
      </c>
      <c r="AM47" s="2791">
        <v>3</v>
      </c>
      <c r="AT47" s="587"/>
    </row>
    <row r="48" spans="2:46" ht="16" customHeight="1">
      <c r="C48" s="402" t="s">
        <v>819</v>
      </c>
      <c r="D48" s="3828" t="s">
        <v>801</v>
      </c>
      <c r="F48" s="3010" t="s">
        <v>1361</v>
      </c>
      <c r="H48" s="3895" t="s">
        <v>1166</v>
      </c>
      <c r="I48" s="3896"/>
      <c r="J48" s="3896"/>
      <c r="K48" s="3896"/>
      <c r="L48" s="3896"/>
      <c r="M48" s="3896"/>
      <c r="N48" s="3897"/>
      <c r="O48" s="1272"/>
      <c r="P48" s="2351" t="s">
        <v>825</v>
      </c>
      <c r="R48" s="3895" t="s">
        <v>1166</v>
      </c>
      <c r="S48" s="3896"/>
      <c r="T48" s="3896"/>
      <c r="U48" s="3896"/>
      <c r="V48" s="3896"/>
      <c r="W48" s="3896"/>
      <c r="X48" s="3897"/>
      <c r="AC48" s="3895" t="s">
        <v>1166</v>
      </c>
      <c r="AD48" s="3896"/>
      <c r="AE48" s="3896"/>
      <c r="AF48" s="3896"/>
      <c r="AG48" s="3896"/>
      <c r="AH48" s="3896"/>
      <c r="AI48" s="3897"/>
      <c r="AJ48" s="1741" t="s">
        <v>821</v>
      </c>
      <c r="AK48" s="1742"/>
      <c r="AL48" s="1742"/>
      <c r="AM48" s="1743"/>
      <c r="AN48" s="1744"/>
      <c r="AO48" s="1744"/>
      <c r="AT48" s="587"/>
    </row>
    <row r="49" spans="2:46" ht="16" customHeight="1">
      <c r="C49" s="404"/>
      <c r="D49" s="3829"/>
      <c r="F49" s="3009"/>
      <c r="H49" s="878">
        <f t="shared" ref="H49:N49" ca="1" si="0">OFFSET($I$98,H84,0)</f>
        <v>0.4</v>
      </c>
      <c r="I49" s="1398">
        <f t="shared" ca="1" si="0"/>
        <v>0.6</v>
      </c>
      <c r="J49" s="1398">
        <f t="shared" ca="1" si="0"/>
        <v>0.6</v>
      </c>
      <c r="K49" s="1398">
        <f t="shared" ca="1" si="0"/>
        <v>1</v>
      </c>
      <c r="L49" s="1398">
        <f t="shared" ca="1" si="0"/>
        <v>1</v>
      </c>
      <c r="M49" s="1398">
        <f t="shared" ca="1" si="0"/>
        <v>2</v>
      </c>
      <c r="N49" s="1399">
        <f t="shared" ca="1" si="0"/>
        <v>2</v>
      </c>
      <c r="O49" s="2788"/>
      <c r="P49" s="3009"/>
      <c r="R49" s="878">
        <f t="shared" ref="R49:X49" ca="1" si="1">AC49</f>
        <v>0.4</v>
      </c>
      <c r="S49" s="1398">
        <f t="shared" ca="1" si="1"/>
        <v>0.6</v>
      </c>
      <c r="T49" s="1398">
        <f t="shared" ca="1" si="1"/>
        <v>0.6</v>
      </c>
      <c r="U49" s="1398">
        <f t="shared" ca="1" si="1"/>
        <v>1</v>
      </c>
      <c r="V49" s="1398">
        <f t="shared" ca="1" si="1"/>
        <v>1</v>
      </c>
      <c r="W49" s="1398">
        <f t="shared" ca="1" si="1"/>
        <v>2</v>
      </c>
      <c r="X49" s="1399">
        <f t="shared" ca="1" si="1"/>
        <v>2</v>
      </c>
      <c r="AC49" s="878">
        <f t="shared" ref="AC49:AI49" ca="1" si="2">H49</f>
        <v>0.4</v>
      </c>
      <c r="AD49" s="1398">
        <f t="shared" ca="1" si="2"/>
        <v>0.6</v>
      </c>
      <c r="AE49" s="1398">
        <f t="shared" ca="1" si="2"/>
        <v>0.6</v>
      </c>
      <c r="AF49" s="1398">
        <f t="shared" ca="1" si="2"/>
        <v>1</v>
      </c>
      <c r="AG49" s="1398">
        <f t="shared" ca="1" si="2"/>
        <v>1</v>
      </c>
      <c r="AH49" s="1398">
        <f t="shared" ca="1" si="2"/>
        <v>2</v>
      </c>
      <c r="AI49" s="1399">
        <f t="shared" ca="1" si="2"/>
        <v>2</v>
      </c>
      <c r="AJ49" s="1745" t="s">
        <v>3</v>
      </c>
      <c r="AK49" s="1743" t="s">
        <v>132</v>
      </c>
      <c r="AL49" s="1743" t="s">
        <v>4</v>
      </c>
      <c r="AM49" s="1743" t="s">
        <v>21</v>
      </c>
      <c r="AN49" s="1744"/>
      <c r="AO49" s="1744"/>
      <c r="AT49" s="587"/>
    </row>
    <row r="50" spans="2:46" ht="16" customHeight="1">
      <c r="C50" s="404"/>
      <c r="D50" s="3829"/>
      <c r="F50" s="2785"/>
      <c r="H50" s="3886" t="s">
        <v>734</v>
      </c>
      <c r="I50" s="4031"/>
      <c r="J50" s="4031"/>
      <c r="K50" s="4031"/>
      <c r="L50" s="4031"/>
      <c r="M50" s="4031"/>
      <c r="N50" s="3888"/>
      <c r="O50" s="2788"/>
      <c r="P50" s="2784"/>
      <c r="R50" s="3886" t="s">
        <v>734</v>
      </c>
      <c r="S50" s="4031"/>
      <c r="T50" s="4031"/>
      <c r="U50" s="4031"/>
      <c r="V50" s="4031"/>
      <c r="W50" s="4031"/>
      <c r="X50" s="3888"/>
      <c r="Y50" s="4032" t="s">
        <v>2208</v>
      </c>
      <c r="Z50" s="4034" t="s">
        <v>2224</v>
      </c>
      <c r="AA50" s="2952"/>
      <c r="AC50" s="3886" t="s">
        <v>734</v>
      </c>
      <c r="AD50" s="4031"/>
      <c r="AE50" s="4031"/>
      <c r="AF50" s="4031"/>
      <c r="AG50" s="4031"/>
      <c r="AH50" s="4031"/>
      <c r="AI50" s="3888"/>
      <c r="AJ50" s="1746"/>
      <c r="AK50" s="1747"/>
      <c r="AL50" s="1747"/>
      <c r="AM50" s="1748"/>
      <c r="AN50" s="1744"/>
      <c r="AO50" s="1744"/>
      <c r="AT50" s="587"/>
    </row>
    <row r="51" spans="2:46">
      <c r="C51" s="404"/>
      <c r="D51" s="3829"/>
      <c r="F51" s="3011"/>
      <c r="G51" s="274" t="s">
        <v>1161</v>
      </c>
      <c r="H51" s="1390" t="s">
        <v>745</v>
      </c>
      <c r="I51" s="273" t="s">
        <v>744</v>
      </c>
      <c r="J51" s="401" t="s">
        <v>747</v>
      </c>
      <c r="K51" s="401" t="s">
        <v>743</v>
      </c>
      <c r="L51" s="401" t="s">
        <v>748</v>
      </c>
      <c r="M51" s="401" t="s">
        <v>742</v>
      </c>
      <c r="N51" s="274" t="s">
        <v>746</v>
      </c>
      <c r="O51" s="246"/>
      <c r="P51" s="481" t="s">
        <v>802</v>
      </c>
      <c r="Q51" s="593" t="s">
        <v>2223</v>
      </c>
      <c r="R51" s="1390" t="s">
        <v>745</v>
      </c>
      <c r="S51" s="273" t="s">
        <v>744</v>
      </c>
      <c r="T51" s="401" t="s">
        <v>747</v>
      </c>
      <c r="U51" s="401" t="s">
        <v>743</v>
      </c>
      <c r="V51" s="401" t="s">
        <v>748</v>
      </c>
      <c r="W51" s="401" t="s">
        <v>742</v>
      </c>
      <c r="X51" s="274" t="s">
        <v>746</v>
      </c>
      <c r="Y51" s="4033"/>
      <c r="Z51" s="4035"/>
      <c r="AA51" s="2952"/>
      <c r="AB51" s="274" t="s">
        <v>2207</v>
      </c>
      <c r="AC51" s="1390" t="s">
        <v>745</v>
      </c>
      <c r="AD51" s="273" t="s">
        <v>744</v>
      </c>
      <c r="AE51" s="401" t="s">
        <v>747</v>
      </c>
      <c r="AF51" s="401" t="s">
        <v>743</v>
      </c>
      <c r="AG51" s="401" t="s">
        <v>748</v>
      </c>
      <c r="AH51" s="401" t="s">
        <v>742</v>
      </c>
      <c r="AI51" s="274" t="s">
        <v>746</v>
      </c>
      <c r="AJ51" s="1749"/>
      <c r="AK51" s="1750"/>
      <c r="AL51" s="1750"/>
      <c r="AM51" s="1750"/>
      <c r="AN51" s="1744"/>
      <c r="AO51" s="1744"/>
      <c r="AT51" s="587"/>
    </row>
    <row r="52" spans="2:46">
      <c r="B52" s="480" t="s">
        <v>862</v>
      </c>
      <c r="C52" s="255" t="s">
        <v>57</v>
      </c>
      <c r="D52" s="749"/>
      <c r="F52" s="1180">
        <f>'Hydrology Management'!$AG$23</f>
        <v>121.06497358757211</v>
      </c>
      <c r="G52" s="1261"/>
      <c r="H52" s="843"/>
      <c r="I52" s="1329"/>
      <c r="J52" s="844"/>
      <c r="K52" s="1329"/>
      <c r="L52" s="844"/>
      <c r="M52" s="1329"/>
      <c r="N52" s="844"/>
      <c r="O52" s="1259"/>
      <c r="P52" s="3306"/>
      <c r="Q52" s="2997"/>
      <c r="R52" s="843"/>
      <c r="S52" s="1393"/>
      <c r="T52" s="1329"/>
      <c r="U52" s="1329"/>
      <c r="V52" s="844"/>
      <c r="W52" s="1393"/>
      <c r="X52" s="1329"/>
      <c r="Y52" s="402"/>
      <c r="Z52" s="480"/>
      <c r="AA52" s="109"/>
      <c r="AB52" s="2997"/>
      <c r="AC52" s="843"/>
      <c r="AD52" s="1393"/>
      <c r="AE52" s="1329"/>
      <c r="AF52" s="1393"/>
      <c r="AG52" s="1329"/>
      <c r="AH52" s="1393"/>
      <c r="AI52" s="1329"/>
      <c r="AJ52" s="1751">
        <f ca="1">OFFSET('Hydrology Management'!$AH$23,AJ$47+$AN52,0)</f>
        <v>1</v>
      </c>
      <c r="AK52" s="1752" t="str">
        <f ca="1">OFFSET('Hydrology Management'!$AH$23,AK$47+$AN52,0)</f>
        <v/>
      </c>
      <c r="AL52" s="1753" t="str">
        <f ca="1">OFFSET('Hydrology Management'!$AH$23,AL$47+$AN52,0)</f>
        <v/>
      </c>
      <c r="AM52" s="1752" t="str">
        <f ca="1">OFFSET('Hydrology Management'!$AH$23,AM$47+$AN52,0)</f>
        <v/>
      </c>
      <c r="AN52" s="1754">
        <v>0</v>
      </c>
      <c r="AO52" s="1755">
        <f t="shared" ref="AO52:AO59" ca="1" si="3">SUM(AJ52:AM52)</f>
        <v>1</v>
      </c>
      <c r="AT52" s="587"/>
    </row>
    <row r="53" spans="2:46" ht="16" customHeight="1">
      <c r="B53" s="591" t="s">
        <v>862</v>
      </c>
      <c r="C53" s="2791" t="s">
        <v>58</v>
      </c>
      <c r="D53" s="606"/>
      <c r="F53" s="689">
        <f>'Hydrology Management'!$AG$27</f>
        <v>43.505209881801797</v>
      </c>
      <c r="G53" s="625"/>
      <c r="H53" s="843"/>
      <c r="I53" s="691"/>
      <c r="J53" s="844"/>
      <c r="K53" s="691"/>
      <c r="L53" s="844"/>
      <c r="M53" s="691"/>
      <c r="N53" s="844"/>
      <c r="O53" s="1259"/>
      <c r="P53" s="2999">
        <f>'Hydrology Management'!$U$28</f>
        <v>2.3583894336098983E-2</v>
      </c>
      <c r="Q53" s="2998"/>
      <c r="R53" s="843"/>
      <c r="S53" s="843"/>
      <c r="T53" s="691"/>
      <c r="U53" s="691"/>
      <c r="V53" s="844"/>
      <c r="W53" s="843"/>
      <c r="X53" s="691"/>
      <c r="Y53" s="404"/>
      <c r="Z53" s="591"/>
      <c r="AA53" s="109"/>
      <c r="AB53" s="2998"/>
      <c r="AC53" s="843"/>
      <c r="AD53" s="843"/>
      <c r="AE53" s="691"/>
      <c r="AF53" s="843"/>
      <c r="AG53" s="691"/>
      <c r="AH53" s="843"/>
      <c r="AI53" s="691"/>
      <c r="AJ53" s="1756">
        <f ca="1">OFFSET('Hydrology Management'!$AH$23,AJ$47+$AN53,0)</f>
        <v>0.45348837209302317</v>
      </c>
      <c r="AK53" s="1757">
        <f ca="1">OFFSET('Hydrology Management'!$AH$23,AK$47+$AN53,0)</f>
        <v>0.22093023255813948</v>
      </c>
      <c r="AL53" s="1758">
        <f ca="1">OFFSET('Hydrology Management'!$AH$23,AL$47+$AN53,0)</f>
        <v>0.32558139534883723</v>
      </c>
      <c r="AM53" s="1757">
        <f ca="1">OFFSET('Hydrology Management'!$AH$23,AM$47+$AN53,0)</f>
        <v>0</v>
      </c>
      <c r="AN53" s="1754">
        <v>4</v>
      </c>
      <c r="AO53" s="1755">
        <f t="shared" ca="1" si="3"/>
        <v>0.99999999999999989</v>
      </c>
      <c r="AT53" s="587"/>
    </row>
    <row r="54" spans="2:46" ht="16" customHeight="1">
      <c r="B54" s="591" t="s">
        <v>862</v>
      </c>
      <c r="C54" s="246" t="s">
        <v>2137</v>
      </c>
      <c r="D54" s="606"/>
      <c r="F54" s="689">
        <f>'Hydrology Management'!$AG$31</f>
        <v>652.57814822702687</v>
      </c>
      <c r="G54" s="625"/>
      <c r="H54" s="843"/>
      <c r="I54" s="691"/>
      <c r="J54" s="844"/>
      <c r="K54" s="691"/>
      <c r="L54" s="844"/>
      <c r="M54" s="691"/>
      <c r="N54" s="844"/>
      <c r="O54" s="1259"/>
      <c r="P54" s="2999">
        <f>'Hydrology Management'!$U$32</f>
        <v>2.3583894336098983E-2</v>
      </c>
      <c r="Q54" s="2998"/>
      <c r="R54" s="843"/>
      <c r="S54" s="843"/>
      <c r="T54" s="843"/>
      <c r="U54" s="691"/>
      <c r="V54" s="690"/>
      <c r="W54" s="843"/>
      <c r="X54" s="691"/>
      <c r="Y54" s="404"/>
      <c r="Z54" s="591"/>
      <c r="AA54" s="109"/>
      <c r="AB54" s="2998"/>
      <c r="AC54" s="843"/>
      <c r="AD54" s="843"/>
      <c r="AE54" s="691"/>
      <c r="AF54" s="843"/>
      <c r="AG54" s="691"/>
      <c r="AH54" s="843"/>
      <c r="AI54" s="691"/>
      <c r="AJ54" s="1756">
        <f ca="1">OFFSET('Hydrology Management'!$AH$23,AJ$47+$AN54,0)</f>
        <v>0.45348837209302323</v>
      </c>
      <c r="AK54" s="1756">
        <f ca="1">OFFSET('Hydrology Management'!$AH$23,AK$47+$AN54,0)</f>
        <v>0.22093023255813951</v>
      </c>
      <c r="AL54" s="1758">
        <f ca="1">OFFSET('Hydrology Management'!$AH$23,AL$47+$AN54,0)</f>
        <v>0.32558139534883723</v>
      </c>
      <c r="AM54" s="1757">
        <f ca="1">OFFSET('Hydrology Management'!$AH$23,AM$47+$AN54,0)</f>
        <v>0</v>
      </c>
      <c r="AN54" s="1754">
        <f>AN53+4</f>
        <v>8</v>
      </c>
      <c r="AO54" s="1755">
        <f t="shared" ca="1" si="3"/>
        <v>1</v>
      </c>
      <c r="AT54" s="587"/>
    </row>
    <row r="55" spans="2:46" ht="16" customHeight="1">
      <c r="B55" s="591" t="s">
        <v>862</v>
      </c>
      <c r="C55" s="246" t="s">
        <v>2139</v>
      </c>
      <c r="D55" s="606"/>
      <c r="F55" s="689">
        <f>'Hydrology Management'!$AG$35</f>
        <v>4789.9573329552777</v>
      </c>
      <c r="G55" s="625"/>
      <c r="H55" s="843"/>
      <c r="I55" s="691"/>
      <c r="J55" s="844"/>
      <c r="K55" s="691"/>
      <c r="L55" s="844"/>
      <c r="M55" s="691"/>
      <c r="N55" s="844"/>
      <c r="O55" s="1259"/>
      <c r="P55" s="2999">
        <f>'Hydrology Management'!$U$36</f>
        <v>9.4335577344395946E-3</v>
      </c>
      <c r="Q55" s="2998"/>
      <c r="R55" s="843"/>
      <c r="S55" s="843"/>
      <c r="T55" s="843"/>
      <c r="U55" s="691"/>
      <c r="V55" s="690"/>
      <c r="W55" s="843"/>
      <c r="X55" s="691"/>
      <c r="Y55" s="404"/>
      <c r="Z55" s="591"/>
      <c r="AA55" s="109"/>
      <c r="AB55" s="2998"/>
      <c r="AC55" s="843"/>
      <c r="AD55" s="843"/>
      <c r="AE55" s="691"/>
      <c r="AF55" s="843"/>
      <c r="AG55" s="691"/>
      <c r="AH55" s="843"/>
      <c r="AI55" s="691"/>
      <c r="AJ55" s="1756">
        <f ca="1">OFFSET('Hydrology Management'!$AH$23,AJ$47+$AN55,0)</f>
        <v>0.97021755967049206</v>
      </c>
      <c r="AK55" s="1756">
        <f ca="1">OFFSET('Hydrology Management'!$AH$23,AK$47+$AN55,0)</f>
        <v>1.2039709920439344E-2</v>
      </c>
      <c r="AL55" s="1758">
        <f ca="1">OFFSET('Hydrology Management'!$AH$23,AL$47+$AN55,0)</f>
        <v>1.774273040906851E-2</v>
      </c>
      <c r="AM55" s="1757">
        <f ca="1">OFFSET('Hydrology Management'!$AH$23,AM$47+$AN55,0)</f>
        <v>0</v>
      </c>
      <c r="AN55" s="1754">
        <f t="shared" ref="AN55:AN62" si="4">AN54+4</f>
        <v>12</v>
      </c>
      <c r="AO55" s="1755">
        <f t="shared" ref="AO55:AO58" ca="1" si="5">SUM(AJ55:AM55)</f>
        <v>0.99999999999999989</v>
      </c>
      <c r="AP55" s="2953"/>
      <c r="AT55" s="587"/>
    </row>
    <row r="56" spans="2:46" ht="16" customHeight="1">
      <c r="B56" s="591" t="s">
        <v>862</v>
      </c>
      <c r="C56" s="246" t="s">
        <v>2138</v>
      </c>
      <c r="D56" s="606"/>
      <c r="F56" s="689">
        <f>'Hydrology Management'!$AG$39</f>
        <v>41125.576076173951</v>
      </c>
      <c r="G56" s="625"/>
      <c r="H56" s="843"/>
      <c r="I56" s="691"/>
      <c r="J56" s="844"/>
      <c r="K56" s="691"/>
      <c r="L56" s="844"/>
      <c r="M56" s="691"/>
      <c r="N56" s="844"/>
      <c r="O56" s="1259"/>
      <c r="P56" s="2999">
        <f>'Hydrology Management'!$U$40</f>
        <v>5.6601346406637561E-2</v>
      </c>
      <c r="Q56" s="2998"/>
      <c r="R56" s="843"/>
      <c r="S56" s="843"/>
      <c r="T56" s="843"/>
      <c r="U56" s="691"/>
      <c r="V56" s="690"/>
      <c r="W56" s="843"/>
      <c r="X56" s="691"/>
      <c r="Y56" s="404"/>
      <c r="Z56" s="591"/>
      <c r="AA56" s="109"/>
      <c r="AB56" s="2998"/>
      <c r="AC56" s="843"/>
      <c r="AD56" s="843"/>
      <c r="AE56" s="691"/>
      <c r="AF56" s="843"/>
      <c r="AG56" s="691"/>
      <c r="AH56" s="843"/>
      <c r="AI56" s="691"/>
      <c r="AJ56" s="1756">
        <f ca="1">OFFSET('Hydrology Management'!$AH$23,AJ$47+$AN56,0)</f>
        <v>0.9722495571737847</v>
      </c>
      <c r="AK56" s="1756">
        <f ca="1">OFFSET('Hydrology Management'!$AH$23,AK$47+$AN56,0)</f>
        <v>1.1218264121235971E-2</v>
      </c>
      <c r="AL56" s="1758">
        <f ca="1">OFFSET('Hydrology Management'!$AH$23,AL$47+$AN56,0)</f>
        <v>1.653217870497933E-2</v>
      </c>
      <c r="AM56" s="1757">
        <f ca="1">OFFSET('Hydrology Management'!$AH$23,AM$47+$AN56,0)</f>
        <v>0</v>
      </c>
      <c r="AN56" s="1754">
        <f t="shared" si="4"/>
        <v>16</v>
      </c>
      <c r="AO56" s="1755">
        <f t="shared" ca="1" si="5"/>
        <v>1</v>
      </c>
      <c r="AP56" s="2953"/>
      <c r="AT56" s="587"/>
    </row>
    <row r="57" spans="2:46" ht="16" customHeight="1">
      <c r="B57" s="591" t="s">
        <v>863</v>
      </c>
      <c r="C57" s="2791" t="s">
        <v>2140</v>
      </c>
      <c r="D57" s="606"/>
      <c r="F57" s="691"/>
      <c r="G57" s="337">
        <f>'Hydrology Management'!$AG$43</f>
        <v>2288.6932811004531</v>
      </c>
      <c r="H57" s="190">
        <f t="shared" ref="H57:N58" ca="1" si="6">$G57*H$49</f>
        <v>915.47731244018132</v>
      </c>
      <c r="I57" s="342">
        <f t="shared" ca="1" si="6"/>
        <v>1373.2159686602718</v>
      </c>
      <c r="J57" s="340">
        <f t="shared" ca="1" si="6"/>
        <v>1373.2159686602718</v>
      </c>
      <c r="K57" s="342">
        <f t="shared" ca="1" si="6"/>
        <v>2288.6932811004531</v>
      </c>
      <c r="L57" s="340">
        <f t="shared" ca="1" si="6"/>
        <v>2288.6932811004531</v>
      </c>
      <c r="M57" s="342">
        <f t="shared" ca="1" si="6"/>
        <v>4577.3865622009062</v>
      </c>
      <c r="N57" s="340">
        <f t="shared" ca="1" si="6"/>
        <v>4577.3865622009062</v>
      </c>
      <c r="O57" s="1259"/>
      <c r="P57" s="3305"/>
      <c r="Q57" s="3263">
        <f>'Hydrology Management'!$U$44</f>
        <v>0.26666666666666644</v>
      </c>
      <c r="R57" s="2882">
        <f t="shared" ref="R57:X58" ca="1" si="7">ROUNDUP((AC57/21),0)*$Y57*$Z57</f>
        <v>0.26666666666666644</v>
      </c>
      <c r="S57" s="2882">
        <f t="shared" ca="1" si="7"/>
        <v>0.26666666666666644</v>
      </c>
      <c r="T57" s="2882">
        <f t="shared" ca="1" si="7"/>
        <v>0.26666666666666644</v>
      </c>
      <c r="U57" s="3001">
        <f t="shared" ca="1" si="7"/>
        <v>0.26666666666666644</v>
      </c>
      <c r="V57" s="2333">
        <f t="shared" ca="1" si="7"/>
        <v>0.26666666666666644</v>
      </c>
      <c r="W57" s="2882">
        <f t="shared" ca="1" si="7"/>
        <v>0.26666666666666644</v>
      </c>
      <c r="X57" s="3001">
        <f t="shared" ca="1" si="7"/>
        <v>0.26666666666666644</v>
      </c>
      <c r="Y57" s="2991">
        <f>'Hydrology Management'!$S$44</f>
        <v>0.99999999999999911</v>
      </c>
      <c r="Z57" s="3308">
        <f>'Hydrology Management'!L43</f>
        <v>0.26666666666666666</v>
      </c>
      <c r="AA57" s="3307"/>
      <c r="AB57" s="2466">
        <f>'Hydrology Management'!G44</f>
        <v>3.8333333333333335</v>
      </c>
      <c r="AC57" s="3004">
        <f t="shared" ref="AC57:AI58" ca="1" si="8">$AB57*AC$49</f>
        <v>1.5333333333333334</v>
      </c>
      <c r="AD57" s="3004">
        <f t="shared" ca="1" si="8"/>
        <v>2.2999999999999998</v>
      </c>
      <c r="AE57" s="3005">
        <f t="shared" ca="1" si="8"/>
        <v>2.2999999999999998</v>
      </c>
      <c r="AF57" s="3004">
        <f t="shared" ca="1" si="8"/>
        <v>3.8333333333333335</v>
      </c>
      <c r="AG57" s="3005">
        <f t="shared" ca="1" si="8"/>
        <v>3.8333333333333335</v>
      </c>
      <c r="AH57" s="3004">
        <f t="shared" ca="1" si="8"/>
        <v>7.666666666666667</v>
      </c>
      <c r="AI57" s="3005">
        <f t="shared" ca="1" si="8"/>
        <v>7.666666666666667</v>
      </c>
      <c r="AJ57" s="1756">
        <f ca="1">OFFSET('Hydrology Management'!$AH$23,AJ$47+$AN57,0)</f>
        <v>0.37363678526151367</v>
      </c>
      <c r="AK57" s="1756">
        <f ca="1">OFFSET('Hydrology Management'!$AH$23,AK$47+$AN57,0)</f>
        <v>0.18202817743509644</v>
      </c>
      <c r="AL57" s="1758">
        <f ca="1">OFFSET('Hydrology Management'!$AH$23,AL$47+$AN57,0)</f>
        <v>0.264769772779965</v>
      </c>
      <c r="AM57" s="1757">
        <f ca="1">OFFSET('Hydrology Management'!$AH$23,AM$47+$AN57,0)</f>
        <v>0.17956526452342481</v>
      </c>
      <c r="AN57" s="1754">
        <f t="shared" si="4"/>
        <v>20</v>
      </c>
      <c r="AO57" s="1755">
        <f t="shared" ca="1" si="5"/>
        <v>0.99999999999999989</v>
      </c>
      <c r="AP57" s="2953"/>
      <c r="AT57" s="587"/>
    </row>
    <row r="58" spans="2:46" ht="16" customHeight="1">
      <c r="B58" s="591" t="s">
        <v>863</v>
      </c>
      <c r="C58" s="2791" t="s">
        <v>2141</v>
      </c>
      <c r="D58" s="606"/>
      <c r="F58" s="691"/>
      <c r="G58" s="842">
        <f>'Hydrology Management'!$AG$47</f>
        <v>1604.8732554964822</v>
      </c>
      <c r="H58" s="190">
        <f t="shared" ca="1" si="6"/>
        <v>641.94930219859293</v>
      </c>
      <c r="I58" s="342">
        <f t="shared" ca="1" si="6"/>
        <v>962.92395329788928</v>
      </c>
      <c r="J58" s="340">
        <f t="shared" ca="1" si="6"/>
        <v>962.92395329788928</v>
      </c>
      <c r="K58" s="342">
        <f t="shared" ca="1" si="6"/>
        <v>1604.8732554964822</v>
      </c>
      <c r="L58" s="340">
        <f t="shared" ca="1" si="6"/>
        <v>1604.8732554964822</v>
      </c>
      <c r="M58" s="342">
        <f t="shared" ca="1" si="6"/>
        <v>3209.7465109929644</v>
      </c>
      <c r="N58" s="340">
        <f t="shared" ca="1" si="6"/>
        <v>3209.7465109929644</v>
      </c>
      <c r="O58" s="1259"/>
      <c r="P58" s="3305"/>
      <c r="Q58" s="3263">
        <f>'Hydrology Management'!$U$48</f>
        <v>5.7596695767444507E-2</v>
      </c>
      <c r="R58" s="2882">
        <f t="shared" ca="1" si="7"/>
        <v>5.7596695767444507E-2</v>
      </c>
      <c r="S58" s="2882">
        <f t="shared" ca="1" si="7"/>
        <v>5.7596695767444507E-2</v>
      </c>
      <c r="T58" s="2882">
        <f t="shared" ca="1" si="7"/>
        <v>5.7596695767444507E-2</v>
      </c>
      <c r="U58" s="3001">
        <f t="shared" ca="1" si="7"/>
        <v>5.7596695767444507E-2</v>
      </c>
      <c r="V58" s="2333">
        <f t="shared" ca="1" si="7"/>
        <v>5.7596695767444507E-2</v>
      </c>
      <c r="W58" s="2882">
        <f t="shared" ca="1" si="7"/>
        <v>5.7596695767444507E-2</v>
      </c>
      <c r="X58" s="3001">
        <f t="shared" ca="1" si="7"/>
        <v>5.7596695767444507E-2</v>
      </c>
      <c r="Y58" s="2991">
        <f>'Hydrology Management'!$S$48</f>
        <v>0.2159876091279169</v>
      </c>
      <c r="Z58" s="3308">
        <f>'Hydrology Management'!L47</f>
        <v>0.26666666666666666</v>
      </c>
      <c r="AA58" s="3307"/>
      <c r="AB58" s="2466">
        <f>'Hydrology Management'!G48</f>
        <v>3.8340000000000005</v>
      </c>
      <c r="AC58" s="3004">
        <f t="shared" ca="1" si="8"/>
        <v>1.5336000000000003</v>
      </c>
      <c r="AD58" s="3004">
        <f t="shared" ca="1" si="8"/>
        <v>2.3004000000000002</v>
      </c>
      <c r="AE58" s="3005">
        <f t="shared" ca="1" si="8"/>
        <v>2.3004000000000002</v>
      </c>
      <c r="AF58" s="3004">
        <f t="shared" ca="1" si="8"/>
        <v>3.8340000000000005</v>
      </c>
      <c r="AG58" s="3005">
        <f t="shared" ca="1" si="8"/>
        <v>3.8340000000000005</v>
      </c>
      <c r="AH58" s="3004">
        <f t="shared" ca="1" si="8"/>
        <v>7.668000000000001</v>
      </c>
      <c r="AI58" s="3005">
        <f t="shared" ca="1" si="8"/>
        <v>7.668000000000001</v>
      </c>
      <c r="AJ58" s="1756">
        <f ca="1">OFFSET('Hydrology Management'!$AH$23,AJ$47+$AN58,0)</f>
        <v>0.11510676317534367</v>
      </c>
      <c r="AK58" s="1756">
        <f ca="1">OFFSET('Hydrology Management'!$AH$23,AK$47+$AN58,0)</f>
        <v>5.6077653854654616E-2</v>
      </c>
      <c r="AL58" s="1758">
        <f ca="1">OFFSET('Hydrology Management'!$AH$23,AL$47+$AN58,0)</f>
        <v>0.57273940185958072</v>
      </c>
      <c r="AM58" s="1757">
        <f ca="1">OFFSET('Hydrology Management'!$AH$23,AM$47+$AN58,0)</f>
        <v>0.25607618111042085</v>
      </c>
      <c r="AN58" s="1754">
        <f t="shared" si="4"/>
        <v>24</v>
      </c>
      <c r="AO58" s="1755">
        <f t="shared" ca="1" si="5"/>
        <v>0.99999999999999989</v>
      </c>
      <c r="AP58" s="2953"/>
      <c r="AT58" s="587"/>
    </row>
    <row r="59" spans="2:46" ht="16" customHeight="1">
      <c r="B59" s="591" t="s">
        <v>862</v>
      </c>
      <c r="C59" s="246" t="s">
        <v>2142</v>
      </c>
      <c r="D59" s="606"/>
      <c r="F59" s="689">
        <f>'Hydrology Management'!$AG$51</f>
        <v>1475.7599999999986</v>
      </c>
      <c r="G59" s="625"/>
      <c r="H59" s="843"/>
      <c r="I59" s="691"/>
      <c r="J59" s="844"/>
      <c r="K59" s="691"/>
      <c r="L59" s="844"/>
      <c r="M59" s="691"/>
      <c r="N59" s="844"/>
      <c r="O59" s="1259"/>
      <c r="P59" s="2999">
        <f>'Hydrology Management'!$U$52</f>
        <v>0.26666666666666644</v>
      </c>
      <c r="Q59" s="2998"/>
      <c r="R59" s="3137"/>
      <c r="S59" s="3137"/>
      <c r="T59" s="3137"/>
      <c r="U59" s="3102"/>
      <c r="V59" s="3138"/>
      <c r="W59" s="3137"/>
      <c r="X59" s="3102"/>
      <c r="Y59" s="404"/>
      <c r="Z59" s="591"/>
      <c r="AA59" s="109"/>
      <c r="AB59" s="2998"/>
      <c r="AC59" s="843"/>
      <c r="AD59" s="843"/>
      <c r="AE59" s="691"/>
      <c r="AF59" s="843"/>
      <c r="AG59" s="691"/>
      <c r="AH59" s="843"/>
      <c r="AI59" s="691"/>
      <c r="AJ59" s="1756">
        <f ca="1">OFFSET('Hydrology Management'!$AH$23,AJ$47+$AN59,0)</f>
        <v>0.45348837209302317</v>
      </c>
      <c r="AK59" s="1756">
        <f ca="1">OFFSET('Hydrology Management'!$AH$23,AK$47+$AN59,0)</f>
        <v>0.22093023255813951</v>
      </c>
      <c r="AL59" s="1758">
        <f ca="1">OFFSET('Hydrology Management'!$AH$23,AL$47+$AN59,0)</f>
        <v>0.32558139534883729</v>
      </c>
      <c r="AM59" s="1757">
        <f ca="1">OFFSET('Hydrology Management'!$AH$23,AM$47+$AN59,0)</f>
        <v>0</v>
      </c>
      <c r="AN59" s="1754">
        <f t="shared" si="4"/>
        <v>28</v>
      </c>
      <c r="AO59" s="1755">
        <f t="shared" ca="1" si="3"/>
        <v>1</v>
      </c>
      <c r="AT59" s="587"/>
    </row>
    <row r="60" spans="2:46" s="2953" customFormat="1" ht="16" customHeight="1">
      <c r="B60" s="591" t="s">
        <v>862</v>
      </c>
      <c r="C60" s="109" t="s">
        <v>2293</v>
      </c>
      <c r="D60" s="3456">
        <f>'Hydrology Management'!$AG$55</f>
        <v>1566629.9999999986</v>
      </c>
      <c r="F60" s="691"/>
      <c r="G60" s="625"/>
      <c r="H60" s="843"/>
      <c r="I60" s="691"/>
      <c r="J60" s="690"/>
      <c r="K60" s="691"/>
      <c r="L60" s="690"/>
      <c r="M60" s="691"/>
      <c r="N60" s="844"/>
      <c r="O60" s="844"/>
      <c r="P60" s="3457"/>
      <c r="Q60" s="2998"/>
      <c r="R60" s="3137"/>
      <c r="S60" s="3137"/>
      <c r="T60" s="3137"/>
      <c r="U60" s="3102"/>
      <c r="V60" s="3138"/>
      <c r="W60" s="3137"/>
      <c r="X60" s="3102"/>
      <c r="Y60" s="404"/>
      <c r="Z60" s="591"/>
      <c r="AA60" s="109"/>
      <c r="AB60" s="2998"/>
      <c r="AC60" s="843"/>
      <c r="AD60" s="843"/>
      <c r="AE60" s="691"/>
      <c r="AF60" s="843"/>
      <c r="AG60" s="691"/>
      <c r="AH60" s="843"/>
      <c r="AI60" s="691"/>
      <c r="AJ60" s="1756">
        <f ca="1">OFFSET('Hydrology Management'!$AH$23,AJ$47+$AN60,0)</f>
        <v>1</v>
      </c>
      <c r="AK60" s="1756" t="str">
        <f ca="1">OFFSET('Hydrology Management'!$AH$23,AK$47+$AN60,0)</f>
        <v/>
      </c>
      <c r="AL60" s="1758" t="str">
        <f ca="1">OFFSET('Hydrology Management'!$AH$23,AL$47+$AN60,0)</f>
        <v/>
      </c>
      <c r="AM60" s="1757" t="str">
        <f ca="1">OFFSET('Hydrology Management'!$AH$23,AM$47+$AN60,0)</f>
        <v/>
      </c>
      <c r="AN60" s="1754">
        <f t="shared" si="4"/>
        <v>32</v>
      </c>
      <c r="AO60" s="1755">
        <f t="shared" ref="AO60:AO62" ca="1" si="9">SUM(AJ60:AM60)</f>
        <v>1</v>
      </c>
      <c r="AT60" s="587"/>
    </row>
    <row r="61" spans="2:46">
      <c r="B61" s="591" t="s">
        <v>862</v>
      </c>
      <c r="C61" s="2791" t="s">
        <v>59</v>
      </c>
      <c r="D61" s="606"/>
      <c r="F61" s="689">
        <f>'Hydrology Management'!$AG$59</f>
        <v>106.24862468220488</v>
      </c>
      <c r="G61" s="625"/>
      <c r="H61" s="843"/>
      <c r="I61" s="691"/>
      <c r="J61" s="690"/>
      <c r="K61" s="691"/>
      <c r="L61" s="690"/>
      <c r="M61" s="691"/>
      <c r="N61" s="844"/>
      <c r="O61" s="1259"/>
      <c r="P61" s="2999">
        <f>'Hydrology Management'!$U$60</f>
        <v>5.7596695767444507E-2</v>
      </c>
      <c r="Q61" s="2998"/>
      <c r="R61" s="3137"/>
      <c r="S61" s="3137"/>
      <c r="T61" s="3137"/>
      <c r="U61" s="3102"/>
      <c r="V61" s="3138"/>
      <c r="W61" s="3137"/>
      <c r="X61" s="3102"/>
      <c r="Y61" s="404"/>
      <c r="Z61" s="591"/>
      <c r="AA61" s="109"/>
      <c r="AB61" s="2998"/>
      <c r="AC61" s="843"/>
      <c r="AD61" s="843"/>
      <c r="AE61" s="691"/>
      <c r="AF61" s="843"/>
      <c r="AG61" s="691"/>
      <c r="AH61" s="843"/>
      <c r="AI61" s="691"/>
      <c r="AJ61" s="1756">
        <f ca="1">OFFSET('Hydrology Management'!$AH$23,AJ$47+$AN61,0)</f>
        <v>0.45348837209302328</v>
      </c>
      <c r="AK61" s="1756">
        <f ca="1">OFFSET('Hydrology Management'!$AH$23,AK$47+$AN61,0)</f>
        <v>0.22093023255813957</v>
      </c>
      <c r="AL61" s="1758">
        <f ca="1">OFFSET('Hydrology Management'!$AH$23,AL$47+$AN61,0)</f>
        <v>0.32558139534883723</v>
      </c>
      <c r="AM61" s="1757" t="str">
        <f ca="1">OFFSET('Hydrology Management'!$AH$23,AM$47+$AN61,0)</f>
        <v/>
      </c>
      <c r="AN61" s="1754">
        <f t="shared" si="4"/>
        <v>36</v>
      </c>
      <c r="AO61" s="1755">
        <f t="shared" ca="1" si="9"/>
        <v>1</v>
      </c>
      <c r="AT61" s="587"/>
    </row>
    <row r="62" spans="2:46">
      <c r="B62" s="591" t="s">
        <v>862</v>
      </c>
      <c r="C62" s="2791" t="s">
        <v>1104</v>
      </c>
      <c r="D62" s="606"/>
      <c r="F62" s="689">
        <f>'Hydrology Management'!$AG$63</f>
        <v>61.596966278167812</v>
      </c>
      <c r="G62" s="625"/>
      <c r="H62" s="843"/>
      <c r="I62" s="691"/>
      <c r="J62" s="690"/>
      <c r="K62" s="691"/>
      <c r="L62" s="690"/>
      <c r="M62" s="691"/>
      <c r="N62" s="844"/>
      <c r="O62" s="1259"/>
      <c r="P62" s="3305"/>
      <c r="Q62" s="2998"/>
      <c r="R62" s="3137"/>
      <c r="S62" s="3137"/>
      <c r="T62" s="3137"/>
      <c r="U62" s="3102"/>
      <c r="V62" s="3138"/>
      <c r="W62" s="3137"/>
      <c r="X62" s="3102"/>
      <c r="Y62" s="404"/>
      <c r="Z62" s="591"/>
      <c r="AA62" s="109"/>
      <c r="AB62" s="2998"/>
      <c r="AC62" s="843"/>
      <c r="AD62" s="843"/>
      <c r="AE62" s="691"/>
      <c r="AF62" s="843"/>
      <c r="AG62" s="691"/>
      <c r="AH62" s="843"/>
      <c r="AI62" s="691"/>
      <c r="AJ62" s="1756">
        <f ca="1">OFFSET('Hydrology Management'!$AH$23,AJ$47+$AN62,0)</f>
        <v>1</v>
      </c>
      <c r="AK62" s="1756" t="str">
        <f ca="1">OFFSET('Hydrology Management'!$AH$23,AK$47+$AN62,0)</f>
        <v/>
      </c>
      <c r="AL62" s="1758" t="str">
        <f ca="1">OFFSET('Hydrology Management'!$AH$23,AL$47+$AN62,0)</f>
        <v/>
      </c>
      <c r="AM62" s="1757" t="str">
        <f ca="1">OFFSET('Hydrology Management'!$AH$23,AM$47+$AN62,0)</f>
        <v/>
      </c>
      <c r="AN62" s="1754">
        <f t="shared" si="4"/>
        <v>40</v>
      </c>
      <c r="AO62" s="1755">
        <f t="shared" ca="1" si="9"/>
        <v>1</v>
      </c>
    </row>
    <row r="63" spans="2:46">
      <c r="B63" s="481"/>
      <c r="C63" s="439"/>
      <c r="D63" s="607"/>
      <c r="F63" s="1392"/>
      <c r="G63" s="626"/>
      <c r="H63" s="843"/>
      <c r="I63" s="691"/>
      <c r="J63" s="844"/>
      <c r="K63" s="691"/>
      <c r="L63" s="844"/>
      <c r="M63" s="691"/>
      <c r="N63" s="844"/>
      <c r="O63" s="1259"/>
      <c r="P63" s="3305"/>
      <c r="Q63" s="2998"/>
      <c r="R63" s="3137"/>
      <c r="S63" s="3137"/>
      <c r="T63" s="3154"/>
      <c r="U63" s="3154"/>
      <c r="V63" s="3103"/>
      <c r="W63" s="3137"/>
      <c r="X63" s="3154"/>
      <c r="Y63" s="405"/>
      <c r="Z63" s="481"/>
      <c r="AA63" s="109"/>
      <c r="AB63" s="2998"/>
      <c r="AC63" s="843"/>
      <c r="AD63" s="843"/>
      <c r="AE63" s="1392"/>
      <c r="AF63" s="843"/>
      <c r="AG63" s="1392"/>
      <c r="AH63" s="843"/>
      <c r="AI63" s="1392"/>
      <c r="AJ63" s="1756"/>
      <c r="AK63" s="1756"/>
      <c r="AL63" s="1756"/>
      <c r="AM63" s="1757"/>
      <c r="AN63" s="1754"/>
      <c r="AO63" s="1755"/>
      <c r="AP63" s="578"/>
    </row>
    <row r="64" spans="2:46">
      <c r="B64" s="593"/>
      <c r="C64" s="1325" t="s">
        <v>833</v>
      </c>
      <c r="D64" s="1326">
        <f>SUM(D52:D62)</f>
        <v>1566629.9999999986</v>
      </c>
      <c r="E64" s="1327" t="s">
        <v>1365</v>
      </c>
      <c r="F64" s="1326">
        <f>SUM(F52:F62)</f>
        <v>48376.287331786007</v>
      </c>
      <c r="H64" s="778">
        <f t="shared" ref="H64:N64" ca="1" si="10">SUM(H52:H62)</f>
        <v>1557.4266146387743</v>
      </c>
      <c r="I64" s="778">
        <f t="shared" ca="1" si="10"/>
        <v>2336.1399219581608</v>
      </c>
      <c r="J64" s="778">
        <f t="shared" ca="1" si="10"/>
        <v>2336.1399219581608</v>
      </c>
      <c r="K64" s="778">
        <f t="shared" ca="1" si="10"/>
        <v>3893.5665365969353</v>
      </c>
      <c r="L64" s="778">
        <f t="shared" ca="1" si="10"/>
        <v>3893.5665365969353</v>
      </c>
      <c r="M64" s="778">
        <f t="shared" ca="1" si="10"/>
        <v>7787.1330731938706</v>
      </c>
      <c r="N64" s="778">
        <f t="shared" ca="1" si="10"/>
        <v>7787.1330731938706</v>
      </c>
      <c r="O64" s="1271" t="s">
        <v>2226</v>
      </c>
      <c r="P64" s="3264">
        <f>SUM(P52:P62)</f>
        <v>0.43746605524738608</v>
      </c>
      <c r="Q64" s="621"/>
      <c r="R64" s="3007">
        <f t="shared" ref="R64:X64" ca="1" si="11">SUM(R52:R62)</f>
        <v>0.32426336243411097</v>
      </c>
      <c r="S64" s="3007">
        <f t="shared" ca="1" si="11"/>
        <v>0.32426336243411097</v>
      </c>
      <c r="T64" s="3007">
        <f t="shared" ca="1" si="11"/>
        <v>0.32426336243411097</v>
      </c>
      <c r="U64" s="3007">
        <f t="shared" ca="1" si="11"/>
        <v>0.32426336243411097</v>
      </c>
      <c r="V64" s="3007">
        <f t="shared" ca="1" si="11"/>
        <v>0.32426336243411097</v>
      </c>
      <c r="W64" s="3007">
        <f t="shared" ca="1" si="11"/>
        <v>0.32426336243411097</v>
      </c>
      <c r="X64" s="3007">
        <f t="shared" ca="1" si="11"/>
        <v>0.32426336243411097</v>
      </c>
      <c r="AB64" s="621"/>
      <c r="AC64" s="1391">
        <f t="shared" ref="AC64:AI64" ca="1" si="12">SUM(AC52:AC62)</f>
        <v>3.066933333333334</v>
      </c>
      <c r="AD64" s="1391">
        <f t="shared" ca="1" si="12"/>
        <v>4.6004000000000005</v>
      </c>
      <c r="AE64" s="1391">
        <f t="shared" ca="1" si="12"/>
        <v>4.6004000000000005</v>
      </c>
      <c r="AF64" s="1391">
        <f t="shared" ca="1" si="12"/>
        <v>7.6673333333333336</v>
      </c>
      <c r="AG64" s="1391">
        <f t="shared" ca="1" si="12"/>
        <v>7.6673333333333336</v>
      </c>
      <c r="AH64" s="1391">
        <f t="shared" ca="1" si="12"/>
        <v>15.334666666666667</v>
      </c>
      <c r="AI64" s="1391">
        <f t="shared" ca="1" si="12"/>
        <v>15.334666666666667</v>
      </c>
      <c r="AJ64" s="1759"/>
      <c r="AK64" s="1760"/>
      <c r="AL64" s="1760"/>
      <c r="AM64" s="1761"/>
      <c r="AN64" s="1762"/>
      <c r="AO64" s="1762"/>
    </row>
    <row r="65" spans="2:42">
      <c r="B65" s="811"/>
      <c r="E65" s="16"/>
      <c r="G65" s="1"/>
      <c r="H65" s="1"/>
      <c r="I65" s="1"/>
      <c r="J65" s="1"/>
      <c r="K65" s="1"/>
      <c r="L65" s="1"/>
      <c r="M65" s="1"/>
      <c r="N65" s="1"/>
      <c r="AM65" s="609"/>
      <c r="AN65" s="609"/>
      <c r="AO65" s="609"/>
      <c r="AP65" s="609"/>
    </row>
    <row r="66" spans="2:42" ht="17">
      <c r="B66" s="811"/>
      <c r="C66" s="16"/>
      <c r="D66" s="16"/>
      <c r="F66" s="3412" t="s">
        <v>796</v>
      </c>
      <c r="AJ66" s="609"/>
    </row>
    <row r="67" spans="2:42">
      <c r="B67" s="811"/>
      <c r="C67" s="28" t="s">
        <v>822</v>
      </c>
      <c r="D67" s="28"/>
      <c r="E67" s="3"/>
      <c r="F67" s="3011" t="s">
        <v>803</v>
      </c>
      <c r="H67" s="1390" t="s">
        <v>745</v>
      </c>
      <c r="I67" s="273" t="s">
        <v>744</v>
      </c>
      <c r="J67" s="401" t="s">
        <v>747</v>
      </c>
      <c r="K67" s="401" t="s">
        <v>743</v>
      </c>
      <c r="L67" s="401" t="s">
        <v>748</v>
      </c>
      <c r="M67" s="401" t="s">
        <v>742</v>
      </c>
      <c r="N67" s="274" t="s">
        <v>746</v>
      </c>
      <c r="O67" s="3"/>
      <c r="P67" s="3"/>
      <c r="AJ67" s="609"/>
    </row>
    <row r="68" spans="2:42" ht="15" customHeight="1">
      <c r="B68" s="480" t="s">
        <v>862</v>
      </c>
      <c r="C68" s="255" t="s">
        <v>57</v>
      </c>
      <c r="D68" s="749"/>
      <c r="F68" s="1180">
        <f>'Hydrology Management'!$AC$23</f>
        <v>49.428894541671454</v>
      </c>
      <c r="G68" s="1261"/>
      <c r="H68" s="843"/>
      <c r="I68" s="1329"/>
      <c r="J68" s="844"/>
      <c r="K68" s="1329"/>
      <c r="L68" s="844"/>
      <c r="M68" s="1329"/>
      <c r="N68" s="844"/>
      <c r="O68" s="768"/>
      <c r="P68" s="768"/>
      <c r="AJ68" s="609"/>
    </row>
    <row r="69" spans="2:42">
      <c r="B69" s="591" t="s">
        <v>862</v>
      </c>
      <c r="C69" s="2953" t="s">
        <v>58</v>
      </c>
      <c r="D69" s="606"/>
      <c r="F69" s="689">
        <f>'Hydrology Management'!$AC$27</f>
        <v>16.265811923607465</v>
      </c>
      <c r="G69" s="625"/>
      <c r="H69" s="843"/>
      <c r="I69" s="691"/>
      <c r="J69" s="844"/>
      <c r="K69" s="691"/>
      <c r="L69" s="844"/>
      <c r="M69" s="691"/>
      <c r="N69" s="844"/>
      <c r="O69" s="779"/>
      <c r="P69" s="779"/>
      <c r="AJ69" s="609"/>
    </row>
    <row r="70" spans="2:42">
      <c r="B70" s="591" t="s">
        <v>862</v>
      </c>
      <c r="C70" s="246" t="s">
        <v>2137</v>
      </c>
      <c r="D70" s="606"/>
      <c r="F70" s="689">
        <f>'Hydrology Management'!$AC$31</f>
        <v>243.98717885411202</v>
      </c>
      <c r="G70" s="625"/>
      <c r="H70" s="843"/>
      <c r="I70" s="691"/>
      <c r="J70" s="844"/>
      <c r="K70" s="691"/>
      <c r="L70" s="844"/>
      <c r="M70" s="691"/>
      <c r="N70" s="844"/>
      <c r="O70" s="779"/>
      <c r="P70" s="779"/>
      <c r="AJ70" s="609"/>
    </row>
    <row r="71" spans="2:42">
      <c r="B71" s="591" t="s">
        <v>862</v>
      </c>
      <c r="C71" s="246" t="s">
        <v>2139</v>
      </c>
      <c r="D71" s="606"/>
      <c r="F71" s="689">
        <f>'Hydrology Management'!$AC$35</f>
        <v>2190.3046602870872</v>
      </c>
      <c r="G71" s="625"/>
      <c r="H71" s="843"/>
      <c r="I71" s="691"/>
      <c r="J71" s="844"/>
      <c r="K71" s="691"/>
      <c r="L71" s="844"/>
      <c r="M71" s="691"/>
      <c r="N71" s="844"/>
      <c r="O71" s="779"/>
      <c r="P71" s="779"/>
      <c r="AJ71" s="609"/>
    </row>
    <row r="72" spans="2:42">
      <c r="B72" s="591" t="s">
        <v>862</v>
      </c>
      <c r="C72" s="246" t="s">
        <v>2138</v>
      </c>
      <c r="D72" s="606"/>
      <c r="F72" s="689">
        <f>'Hydrology Management'!$AC$39</f>
        <v>18818.985457318082</v>
      </c>
      <c r="G72" s="625"/>
      <c r="H72" s="843"/>
      <c r="I72" s="691"/>
      <c r="J72" s="844"/>
      <c r="K72" s="691"/>
      <c r="L72" s="844"/>
      <c r="M72" s="691"/>
      <c r="N72" s="844"/>
      <c r="O72" s="779"/>
      <c r="P72" s="779"/>
      <c r="AJ72" s="609"/>
    </row>
    <row r="73" spans="2:42">
      <c r="B73" s="591" t="s">
        <v>863</v>
      </c>
      <c r="C73" s="2953" t="s">
        <v>2140</v>
      </c>
      <c r="D73" s="606"/>
      <c r="F73" s="691"/>
      <c r="G73" s="337">
        <f>'Hydrology Management'!$AC$43</f>
        <v>797.46932127959144</v>
      </c>
      <c r="H73" s="190">
        <f t="shared" ref="H73:N74" ca="1" si="13">$G73*H$49</f>
        <v>318.98772851183662</v>
      </c>
      <c r="I73" s="342">
        <f t="shared" ca="1" si="13"/>
        <v>478.48159276775482</v>
      </c>
      <c r="J73" s="340">
        <f t="shared" ca="1" si="13"/>
        <v>478.48159276775482</v>
      </c>
      <c r="K73" s="342">
        <f t="shared" ca="1" si="13"/>
        <v>797.46932127959144</v>
      </c>
      <c r="L73" s="340">
        <f t="shared" ca="1" si="13"/>
        <v>797.46932127959144</v>
      </c>
      <c r="M73" s="342">
        <f t="shared" ca="1" si="13"/>
        <v>1594.9386425591829</v>
      </c>
      <c r="N73" s="340">
        <f t="shared" ca="1" si="13"/>
        <v>1594.9386425591829</v>
      </c>
      <c r="O73" s="779"/>
      <c r="P73" s="779"/>
      <c r="AJ73" s="609"/>
    </row>
    <row r="74" spans="2:42">
      <c r="B74" s="591" t="s">
        <v>863</v>
      </c>
      <c r="C74" s="2953" t="s">
        <v>2141</v>
      </c>
      <c r="D74" s="606"/>
      <c r="F74" s="691"/>
      <c r="G74" s="842">
        <f>'Hydrology Management'!$AC$47</f>
        <v>483.65659153857121</v>
      </c>
      <c r="H74" s="190">
        <f t="shared" ca="1" si="13"/>
        <v>193.46263661542849</v>
      </c>
      <c r="I74" s="342">
        <f t="shared" ca="1" si="13"/>
        <v>290.19395492314271</v>
      </c>
      <c r="J74" s="340">
        <f t="shared" ca="1" si="13"/>
        <v>290.19395492314271</v>
      </c>
      <c r="K74" s="342">
        <f t="shared" ca="1" si="13"/>
        <v>483.65659153857121</v>
      </c>
      <c r="L74" s="340">
        <f t="shared" ca="1" si="13"/>
        <v>483.65659153857121</v>
      </c>
      <c r="M74" s="342">
        <f t="shared" ca="1" si="13"/>
        <v>967.31318307714241</v>
      </c>
      <c r="N74" s="340">
        <f t="shared" ca="1" si="13"/>
        <v>967.31318307714241</v>
      </c>
      <c r="O74" s="779"/>
      <c r="P74" s="779"/>
      <c r="AJ74" s="609"/>
    </row>
    <row r="75" spans="2:42">
      <c r="B75" s="591" t="s">
        <v>862</v>
      </c>
      <c r="C75" s="246" t="s">
        <v>2142</v>
      </c>
      <c r="D75" s="606"/>
      <c r="F75" s="689">
        <f>'Hydrology Management'!$AC$51</f>
        <v>551.75999999999954</v>
      </c>
      <c r="G75" s="625"/>
      <c r="H75" s="843"/>
      <c r="I75" s="691"/>
      <c r="J75" s="690"/>
      <c r="K75" s="691"/>
      <c r="L75" s="690"/>
      <c r="M75" s="691"/>
      <c r="N75" s="844"/>
      <c r="O75" s="779"/>
      <c r="P75" s="779"/>
      <c r="AJ75" s="609"/>
    </row>
    <row r="76" spans="2:42" s="2953" customFormat="1">
      <c r="B76" s="591" t="s">
        <v>862</v>
      </c>
      <c r="C76" s="109" t="s">
        <v>2293</v>
      </c>
      <c r="D76" s="3456">
        <f>'Hydrology Management'!$AC$55</f>
        <v>639629.99999999953</v>
      </c>
      <c r="F76" s="691"/>
      <c r="G76" s="625"/>
      <c r="H76" s="843"/>
      <c r="I76" s="691"/>
      <c r="J76" s="690"/>
      <c r="K76" s="691"/>
      <c r="L76" s="690"/>
      <c r="M76" s="691"/>
      <c r="N76" s="844"/>
      <c r="O76" s="779"/>
      <c r="P76" s="779"/>
      <c r="AA76" s="9"/>
      <c r="AJ76" s="609"/>
    </row>
    <row r="77" spans="2:42">
      <c r="B77" s="591" t="s">
        <v>862</v>
      </c>
      <c r="C77" s="2953" t="s">
        <v>59</v>
      </c>
      <c r="D77" s="606"/>
      <c r="F77" s="689">
        <f>'Hydrology Management'!$AC$59</f>
        <v>39.724441070806485</v>
      </c>
      <c r="G77" s="625"/>
      <c r="H77" s="843"/>
      <c r="I77" s="691"/>
      <c r="J77" s="844"/>
      <c r="K77" s="691"/>
      <c r="L77" s="844"/>
      <c r="M77" s="691"/>
      <c r="N77" s="844"/>
      <c r="O77" s="779"/>
      <c r="P77" s="779"/>
      <c r="AJ77" s="609"/>
    </row>
    <row r="78" spans="2:42">
      <c r="B78" s="591" t="s">
        <v>862</v>
      </c>
      <c r="C78" s="2953" t="s">
        <v>1104</v>
      </c>
      <c r="D78" s="606"/>
      <c r="F78" s="689">
        <f>'Hydrology Management'!$AC$63</f>
        <v>25.14905723783183</v>
      </c>
      <c r="G78" s="625"/>
      <c r="H78" s="843"/>
      <c r="I78" s="691"/>
      <c r="J78" s="844"/>
      <c r="K78" s="691"/>
      <c r="L78" s="844"/>
      <c r="M78" s="691"/>
      <c r="N78" s="844"/>
      <c r="O78" s="779"/>
      <c r="P78" s="779"/>
      <c r="AJ78" s="609"/>
    </row>
    <row r="79" spans="2:42">
      <c r="B79" s="591"/>
      <c r="D79" s="607"/>
      <c r="F79" s="689"/>
      <c r="G79" s="838"/>
      <c r="H79" s="843"/>
      <c r="I79" s="843"/>
      <c r="J79" s="690"/>
      <c r="K79" s="843"/>
      <c r="L79" s="690"/>
      <c r="M79" s="843"/>
      <c r="N79" s="844"/>
      <c r="O79" s="779"/>
      <c r="P79" s="779"/>
      <c r="AJ79" s="609"/>
    </row>
    <row r="80" spans="2:42">
      <c r="B80" s="593"/>
      <c r="C80" s="1325" t="s">
        <v>833</v>
      </c>
      <c r="D80" s="1326">
        <f>SUM(D68:D78)</f>
        <v>639629.99999999953</v>
      </c>
      <c r="E80" s="1327" t="s">
        <v>1365</v>
      </c>
      <c r="F80" s="1326">
        <f>SUM(F68:F78)</f>
        <v>21935.605501233196</v>
      </c>
      <c r="G80" s="1388"/>
      <c r="H80" s="1267">
        <f t="shared" ref="H80:N80" ca="1" si="14">SUM(H68:H77)</f>
        <v>512.45036512726506</v>
      </c>
      <c r="I80" s="1267">
        <f t="shared" ca="1" si="14"/>
        <v>768.67554769089747</v>
      </c>
      <c r="J80" s="1267">
        <f t="shared" ca="1" si="14"/>
        <v>768.67554769089747</v>
      </c>
      <c r="K80" s="1267">
        <f t="shared" ca="1" si="14"/>
        <v>1281.1259128181628</v>
      </c>
      <c r="L80" s="1267">
        <f t="shared" ca="1" si="14"/>
        <v>1281.1259128181628</v>
      </c>
      <c r="M80" s="1267">
        <f t="shared" ca="1" si="14"/>
        <v>2562.2518256363255</v>
      </c>
      <c r="N80" s="1286">
        <f t="shared" ca="1" si="14"/>
        <v>2562.2518256363255</v>
      </c>
    </row>
    <row r="82" spans="8:45">
      <c r="AS82" s="587"/>
    </row>
    <row r="84" spans="8:45">
      <c r="H84" s="2791">
        <v>0</v>
      </c>
      <c r="I84" s="2791">
        <f t="shared" ref="I84:N84" si="15">H84+1</f>
        <v>1</v>
      </c>
      <c r="J84" s="2791">
        <f t="shared" si="15"/>
        <v>2</v>
      </c>
      <c r="K84" s="2791">
        <f t="shared" si="15"/>
        <v>3</v>
      </c>
      <c r="L84" s="2791">
        <f t="shared" si="15"/>
        <v>4</v>
      </c>
      <c r="M84" s="2791">
        <f t="shared" si="15"/>
        <v>5</v>
      </c>
      <c r="N84" s="2791">
        <f t="shared" si="15"/>
        <v>6</v>
      </c>
    </row>
    <row r="85" spans="8:45">
      <c r="H85" s="2791" t="s">
        <v>1172</v>
      </c>
    </row>
    <row r="86" spans="8:45">
      <c r="H86" s="197"/>
      <c r="I86" s="24"/>
      <c r="J86" s="16"/>
      <c r="K86" s="1" t="s">
        <v>1171</v>
      </c>
    </row>
    <row r="87" spans="8:45">
      <c r="H87" s="594" t="s">
        <v>1173</v>
      </c>
      <c r="I87" s="594" t="s">
        <v>740</v>
      </c>
      <c r="J87" s="1" t="s">
        <v>741</v>
      </c>
      <c r="K87" s="2791" t="s">
        <v>1174</v>
      </c>
    </row>
    <row r="88" spans="8:45">
      <c r="H88" s="160" t="s">
        <v>745</v>
      </c>
      <c r="I88" s="160">
        <v>2</v>
      </c>
      <c r="J88" s="620">
        <f t="shared" ref="J88:J94" si="16">I88*1000*100</f>
        <v>200000</v>
      </c>
    </row>
    <row r="89" spans="8:45">
      <c r="H89" s="160" t="s">
        <v>744</v>
      </c>
      <c r="I89" s="160">
        <v>3</v>
      </c>
      <c r="J89" s="620">
        <f t="shared" si="16"/>
        <v>300000</v>
      </c>
    </row>
    <row r="90" spans="8:45">
      <c r="H90" s="160" t="s">
        <v>747</v>
      </c>
      <c r="I90" s="160">
        <v>3</v>
      </c>
      <c r="J90" s="620">
        <f t="shared" si="16"/>
        <v>300000</v>
      </c>
    </row>
    <row r="91" spans="8:45">
      <c r="H91" s="160" t="s">
        <v>743</v>
      </c>
      <c r="I91" s="160">
        <v>5</v>
      </c>
      <c r="J91" s="620">
        <f t="shared" si="16"/>
        <v>500000</v>
      </c>
    </row>
    <row r="92" spans="8:45">
      <c r="H92" s="160" t="s">
        <v>748</v>
      </c>
      <c r="I92" s="160">
        <v>5</v>
      </c>
      <c r="J92" s="620">
        <f t="shared" si="16"/>
        <v>500000</v>
      </c>
    </row>
    <row r="93" spans="8:45">
      <c r="H93" s="160" t="s">
        <v>742</v>
      </c>
      <c r="I93" s="160">
        <v>10</v>
      </c>
      <c r="J93" s="620">
        <f t="shared" si="16"/>
        <v>1000000</v>
      </c>
    </row>
    <row r="94" spans="8:45">
      <c r="H94" s="160" t="s">
        <v>746</v>
      </c>
      <c r="I94" s="160">
        <v>10</v>
      </c>
      <c r="J94" s="620">
        <f t="shared" si="16"/>
        <v>1000000</v>
      </c>
    </row>
    <row r="97" spans="9:10">
      <c r="I97" s="592" t="s">
        <v>1180</v>
      </c>
      <c r="J97" s="274" t="s">
        <v>1174</v>
      </c>
    </row>
    <row r="98" spans="9:10">
      <c r="I98" s="404">
        <f t="shared" ref="I98:I104" si="17">I88/$I$91</f>
        <v>0.4</v>
      </c>
      <c r="J98" s="1412" t="s">
        <v>745</v>
      </c>
    </row>
    <row r="99" spans="9:10">
      <c r="I99" s="404">
        <f t="shared" si="17"/>
        <v>0.6</v>
      </c>
      <c r="J99" s="1412" t="s">
        <v>744</v>
      </c>
    </row>
    <row r="100" spans="9:10">
      <c r="I100" s="404">
        <f t="shared" si="17"/>
        <v>0.6</v>
      </c>
      <c r="J100" s="1412" t="s">
        <v>747</v>
      </c>
    </row>
    <row r="101" spans="9:10">
      <c r="I101" s="404">
        <f t="shared" si="17"/>
        <v>1</v>
      </c>
      <c r="J101" s="1412" t="s">
        <v>743</v>
      </c>
    </row>
    <row r="102" spans="9:10">
      <c r="I102" s="404">
        <f t="shared" si="17"/>
        <v>1</v>
      </c>
      <c r="J102" s="1412" t="s">
        <v>748</v>
      </c>
    </row>
    <row r="103" spans="9:10">
      <c r="I103" s="404">
        <f t="shared" si="17"/>
        <v>2</v>
      </c>
      <c r="J103" s="1412" t="s">
        <v>742</v>
      </c>
    </row>
    <row r="104" spans="9:10">
      <c r="I104" s="405">
        <f t="shared" si="17"/>
        <v>2</v>
      </c>
      <c r="J104" s="1413" t="s">
        <v>746</v>
      </c>
    </row>
  </sheetData>
  <mergeCells count="12">
    <mergeCell ref="H47:N47"/>
    <mergeCell ref="AC47:AI47"/>
    <mergeCell ref="D48:D51"/>
    <mergeCell ref="H48:N48"/>
    <mergeCell ref="AC48:AI48"/>
    <mergeCell ref="H50:N50"/>
    <mergeCell ref="AC50:AI50"/>
    <mergeCell ref="R47:X47"/>
    <mergeCell ref="R48:X48"/>
    <mergeCell ref="R50:X50"/>
    <mergeCell ref="Y50:Y51"/>
    <mergeCell ref="Z50:Z51"/>
  </mergeCells>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2:AK96"/>
  <sheetViews>
    <sheetView showGridLines="0" zoomScaleNormal="100" workbookViewId="0">
      <selection activeCell="H36" sqref="H36"/>
    </sheetView>
  </sheetViews>
  <sheetFormatPr baseColWidth="10" defaultColWidth="11" defaultRowHeight="16"/>
  <cols>
    <col min="2" max="2" width="13.83203125" customWidth="1"/>
    <col min="3" max="3" width="21.6640625" customWidth="1"/>
    <col min="4" max="5" width="29" customWidth="1"/>
    <col min="6" max="6" width="17.33203125" customWidth="1"/>
    <col min="7" max="7" width="26.6640625" customWidth="1"/>
    <col min="8" max="8" width="21.1640625" customWidth="1"/>
    <col min="13" max="13" width="20.33203125" bestFit="1" customWidth="1"/>
    <col min="14" max="14" width="24.6640625" customWidth="1"/>
    <col min="15" max="15" width="21.5" customWidth="1"/>
    <col min="16" max="16" width="43.1640625" bestFit="1" customWidth="1"/>
    <col min="17" max="19" width="43.1640625" style="2791" customWidth="1"/>
    <col min="20" max="20" width="15.6640625" customWidth="1"/>
    <col min="21" max="21" width="20.5" customWidth="1"/>
    <col min="22" max="28" width="15.6640625" customWidth="1"/>
    <col min="36" max="37" width="19.33203125" customWidth="1"/>
  </cols>
  <sheetData>
    <row r="2" spans="2:4">
      <c r="B2" s="8" t="s">
        <v>703</v>
      </c>
    </row>
    <row r="3" spans="2:4">
      <c r="B3" t="s">
        <v>854</v>
      </c>
    </row>
    <row r="7" spans="2:4">
      <c r="C7" s="3508">
        <f>'Overall Assumptions'!$C$25</f>
        <v>1.4999999999999999E-2</v>
      </c>
      <c r="D7" t="s">
        <v>2311</v>
      </c>
    </row>
    <row r="8" spans="2:4">
      <c r="B8" t="s">
        <v>855</v>
      </c>
      <c r="C8" t="s">
        <v>711</v>
      </c>
    </row>
    <row r="9" spans="2:4">
      <c r="B9" t="s">
        <v>710</v>
      </c>
      <c r="C9" s="204">
        <f>SUM(F27:F28)</f>
        <v>565</v>
      </c>
      <c r="D9" t="s">
        <v>727</v>
      </c>
    </row>
    <row r="10" spans="2:4">
      <c r="B10" t="s">
        <v>714</v>
      </c>
      <c r="C10" s="204">
        <f>C9*(1+C7)^4.5</f>
        <v>604.15119373814434</v>
      </c>
    </row>
    <row r="11" spans="2:4">
      <c r="C11" s="366">
        <v>0.5</v>
      </c>
      <c r="D11" t="s">
        <v>725</v>
      </c>
    </row>
    <row r="12" spans="2:4">
      <c r="B12" s="592"/>
      <c r="C12" s="1594">
        <f>C10*(1+C11)</f>
        <v>906.22679060721657</v>
      </c>
      <c r="D12" s="274" t="s">
        <v>726</v>
      </c>
    </row>
    <row r="14" spans="2:4" ht="14" customHeight="1">
      <c r="C14">
        <v>7692000</v>
      </c>
      <c r="D14" t="s">
        <v>1274</v>
      </c>
    </row>
    <row r="15" spans="2:4">
      <c r="B15" s="592"/>
      <c r="C15" s="1597">
        <f>C12*1000000/C14</f>
        <v>117.81419534675203</v>
      </c>
      <c r="D15" s="274" t="s">
        <v>731</v>
      </c>
    </row>
    <row r="16" spans="2:4">
      <c r="B16" t="s">
        <v>712</v>
      </c>
    </row>
    <row r="17" spans="2:7">
      <c r="C17" t="s">
        <v>716</v>
      </c>
      <c r="D17" t="s">
        <v>717</v>
      </c>
      <c r="E17" t="s">
        <v>718</v>
      </c>
      <c r="F17" t="s">
        <v>715</v>
      </c>
    </row>
    <row r="18" spans="2:7">
      <c r="B18">
        <v>1</v>
      </c>
      <c r="C18">
        <v>67</v>
      </c>
      <c r="D18">
        <v>13</v>
      </c>
      <c r="E18">
        <v>283</v>
      </c>
      <c r="F18">
        <v>363</v>
      </c>
    </row>
    <row r="19" spans="2:7">
      <c r="B19">
        <f>B18+1</f>
        <v>2</v>
      </c>
      <c r="C19">
        <v>46</v>
      </c>
      <c r="D19">
        <v>50</v>
      </c>
      <c r="E19">
        <v>51</v>
      </c>
      <c r="F19">
        <v>147</v>
      </c>
    </row>
    <row r="20" spans="2:7">
      <c r="B20">
        <f>B19+1</f>
        <v>3</v>
      </c>
      <c r="C20">
        <v>23</v>
      </c>
      <c r="D20">
        <v>27</v>
      </c>
      <c r="E20">
        <v>5</v>
      </c>
      <c r="F20">
        <v>55</v>
      </c>
    </row>
    <row r="21" spans="2:7">
      <c r="B21">
        <f>B20+1</f>
        <v>4</v>
      </c>
      <c r="C21">
        <v>7</v>
      </c>
      <c r="D21">
        <v>15</v>
      </c>
      <c r="E21">
        <v>1</v>
      </c>
      <c r="F21" s="3747">
        <v>22</v>
      </c>
      <c r="G21" s="3747"/>
    </row>
    <row r="22" spans="2:7">
      <c r="B22">
        <f>B21+1</f>
        <v>5</v>
      </c>
      <c r="C22">
        <v>20</v>
      </c>
      <c r="D22">
        <v>138</v>
      </c>
      <c r="E22">
        <v>83</v>
      </c>
      <c r="F22" s="3498">
        <v>242</v>
      </c>
      <c r="G22" s="3498"/>
    </row>
    <row r="23" spans="2:7">
      <c r="B23">
        <f>B22+1</f>
        <v>6</v>
      </c>
      <c r="C23">
        <v>17</v>
      </c>
      <c r="D23">
        <v>0</v>
      </c>
      <c r="E23">
        <v>151</v>
      </c>
      <c r="F23">
        <v>169</v>
      </c>
    </row>
    <row r="25" spans="2:7">
      <c r="C25" t="s">
        <v>720</v>
      </c>
      <c r="D25" s="1"/>
    </row>
    <row r="26" spans="2:7">
      <c r="C26" s="1" t="s">
        <v>708</v>
      </c>
      <c r="D26" s="1" t="s">
        <v>709</v>
      </c>
      <c r="E26" s="1" t="s">
        <v>719</v>
      </c>
      <c r="F26" s="1" t="s">
        <v>707</v>
      </c>
      <c r="G26" s="1" t="s">
        <v>326</v>
      </c>
    </row>
    <row r="27" spans="2:7">
      <c r="C27" s="580">
        <f>SUM(C18:C19)</f>
        <v>113</v>
      </c>
      <c r="D27" s="580">
        <f>SUM(D18:D19)</f>
        <v>63</v>
      </c>
      <c r="E27" s="580">
        <f>SUM(E18:E19)</f>
        <v>334</v>
      </c>
      <c r="F27" s="580">
        <f>SUM(F18:F19)</f>
        <v>510</v>
      </c>
      <c r="G27" s="378" t="s">
        <v>721</v>
      </c>
    </row>
    <row r="28" spans="2:7">
      <c r="C28" s="580">
        <f>C20</f>
        <v>23</v>
      </c>
      <c r="D28" s="580">
        <f>D20</f>
        <v>27</v>
      </c>
      <c r="E28" s="580">
        <f>E20</f>
        <v>5</v>
      </c>
      <c r="F28" s="580">
        <f>F20</f>
        <v>55</v>
      </c>
      <c r="G28" s="378" t="s">
        <v>722</v>
      </c>
    </row>
    <row r="29" spans="2:7">
      <c r="C29" s="580">
        <f>SUM(C21:C22)</f>
        <v>27</v>
      </c>
      <c r="D29" s="580">
        <f>SUM(D21:D22)</f>
        <v>153</v>
      </c>
      <c r="E29" s="580">
        <f>SUM(E21:E22)</f>
        <v>84</v>
      </c>
      <c r="F29" s="580">
        <f>SUM(F21:F22)</f>
        <v>264</v>
      </c>
      <c r="G29" s="378" t="s">
        <v>723</v>
      </c>
    </row>
    <row r="30" spans="2:7">
      <c r="C30" s="204">
        <f>C23</f>
        <v>17</v>
      </c>
      <c r="D30" s="204">
        <f>D23</f>
        <v>0</v>
      </c>
      <c r="E30" s="204">
        <f>E23</f>
        <v>151</v>
      </c>
      <c r="F30" s="204">
        <f>F23</f>
        <v>169</v>
      </c>
      <c r="G30" s="378" t="s">
        <v>724</v>
      </c>
    </row>
    <row r="32" spans="2:7">
      <c r="B32" t="s">
        <v>463</v>
      </c>
      <c r="C32" s="204">
        <f>SUM(C27:C30)</f>
        <v>180</v>
      </c>
      <c r="D32" s="204">
        <f>SUM(D27:D30)</f>
        <v>243</v>
      </c>
      <c r="E32" s="204">
        <f>SUM(E27:E30)</f>
        <v>574</v>
      </c>
      <c r="F32" s="204">
        <f>SUM(F27:F30)</f>
        <v>998</v>
      </c>
    </row>
    <row r="34" spans="3:7">
      <c r="C34" s="2" t="s">
        <v>708</v>
      </c>
      <c r="D34" s="2" t="s">
        <v>709</v>
      </c>
      <c r="E34" s="2" t="s">
        <v>719</v>
      </c>
      <c r="F34" s="2" t="s">
        <v>707</v>
      </c>
    </row>
    <row r="35" spans="3:7">
      <c r="C35" s="579">
        <f t="shared" ref="C35:F38" si="0">C27/C$32</f>
        <v>0.62777777777777777</v>
      </c>
      <c r="D35" s="579">
        <f t="shared" si="0"/>
        <v>0.25925925925925924</v>
      </c>
      <c r="E35" s="579">
        <f t="shared" si="0"/>
        <v>0.58188153310104529</v>
      </c>
      <c r="F35" s="579">
        <f t="shared" si="0"/>
        <v>0.51102204408817631</v>
      </c>
      <c r="G35" s="378" t="s">
        <v>704</v>
      </c>
    </row>
    <row r="36" spans="3:7">
      <c r="C36" s="579">
        <f t="shared" si="0"/>
        <v>0.12777777777777777</v>
      </c>
      <c r="D36" s="579">
        <f t="shared" si="0"/>
        <v>0.1111111111111111</v>
      </c>
      <c r="E36" s="579">
        <f t="shared" si="0"/>
        <v>8.7108013937282226E-3</v>
      </c>
      <c r="F36" s="579">
        <f t="shared" si="0"/>
        <v>5.5110220440881763E-2</v>
      </c>
      <c r="G36" s="378" t="s">
        <v>705</v>
      </c>
    </row>
    <row r="37" spans="3:7">
      <c r="C37" s="579">
        <f t="shared" si="0"/>
        <v>0.15</v>
      </c>
      <c r="D37" s="579">
        <f t="shared" si="0"/>
        <v>0.62962962962962965</v>
      </c>
      <c r="E37" s="579">
        <f t="shared" si="0"/>
        <v>0.14634146341463414</v>
      </c>
      <c r="F37" s="579">
        <f t="shared" si="0"/>
        <v>0.26452905811623245</v>
      </c>
      <c r="G37" s="378" t="s">
        <v>706</v>
      </c>
    </row>
    <row r="38" spans="3:7">
      <c r="C38" s="579">
        <f t="shared" si="0"/>
        <v>9.4444444444444442E-2</v>
      </c>
      <c r="D38" s="579">
        <f t="shared" si="0"/>
        <v>0</v>
      </c>
      <c r="E38" s="579">
        <f t="shared" si="0"/>
        <v>0.26306620209059234</v>
      </c>
      <c r="F38" s="579">
        <f t="shared" si="0"/>
        <v>0.16933867735470942</v>
      </c>
      <c r="G38" s="378" t="s">
        <v>713</v>
      </c>
    </row>
    <row r="42" spans="3:7">
      <c r="C42" s="627" t="s">
        <v>754</v>
      </c>
    </row>
    <row r="43" spans="3:7">
      <c r="C43" s="628" t="s">
        <v>755</v>
      </c>
    </row>
    <row r="44" spans="3:7">
      <c r="C44" s="577" t="s">
        <v>756</v>
      </c>
    </row>
    <row r="45" spans="3:7">
      <c r="C45" s="577" t="s">
        <v>757</v>
      </c>
    </row>
    <row r="46" spans="3:7">
      <c r="C46" s="577" t="s">
        <v>758</v>
      </c>
    </row>
    <row r="47" spans="3:7">
      <c r="C47" s="628" t="s">
        <v>759</v>
      </c>
    </row>
    <row r="48" spans="3:7">
      <c r="C48" s="577" t="s">
        <v>760</v>
      </c>
    </row>
    <row r="49" spans="2:37">
      <c r="C49" s="577" t="s">
        <v>761</v>
      </c>
    </row>
    <row r="50" spans="2:37">
      <c r="C50" s="628" t="s">
        <v>762</v>
      </c>
    </row>
    <row r="51" spans="2:37">
      <c r="C51" s="577" t="s">
        <v>763</v>
      </c>
    </row>
    <row r="52" spans="2:37">
      <c r="C52" s="577" t="s">
        <v>764</v>
      </c>
      <c r="M52" s="578"/>
    </row>
    <row r="53" spans="2:37">
      <c r="C53" s="577" t="s">
        <v>765</v>
      </c>
      <c r="M53" s="578"/>
    </row>
    <row r="54" spans="2:37">
      <c r="M54" s="1596"/>
    </row>
    <row r="56" spans="2:37" ht="19">
      <c r="B56" s="904" t="s">
        <v>140</v>
      </c>
      <c r="C56" s="113"/>
      <c r="D56" s="16"/>
      <c r="E56" s="16"/>
      <c r="F56" s="359"/>
      <c r="G56" s="359"/>
      <c r="I56" s="359"/>
      <c r="AC56" s="1526"/>
      <c r="AF56" s="1527"/>
    </row>
    <row r="57" spans="2:37" ht="19">
      <c r="C57" s="31" t="s">
        <v>960</v>
      </c>
      <c r="D57" s="16"/>
      <c r="E57" s="16"/>
      <c r="F57" s="359"/>
      <c r="G57" s="359"/>
      <c r="I57" s="359"/>
      <c r="AC57" s="1526"/>
      <c r="AF57" s="1527"/>
    </row>
    <row r="58" spans="2:37" ht="19">
      <c r="C58" s="955" t="s">
        <v>961</v>
      </c>
      <c r="D58" s="16"/>
      <c r="E58" s="16"/>
      <c r="F58" s="359"/>
      <c r="G58" s="359"/>
      <c r="I58" s="359"/>
      <c r="U58" t="s">
        <v>1273</v>
      </c>
      <c r="AC58" s="1526"/>
      <c r="AF58" s="1527"/>
    </row>
    <row r="59" spans="2:37" ht="16" customHeight="1">
      <c r="C59" t="s">
        <v>976</v>
      </c>
      <c r="D59" s="16"/>
      <c r="E59" s="16"/>
      <c r="F59" s="359"/>
      <c r="G59" s="359"/>
      <c r="I59" s="359"/>
      <c r="L59" s="5" t="s">
        <v>399</v>
      </c>
      <c r="M59" s="5"/>
      <c r="V59" t="s">
        <v>2312</v>
      </c>
      <c r="AC59" s="813"/>
      <c r="AF59" s="814"/>
    </row>
    <row r="60" spans="2:37" ht="16" customHeight="1">
      <c r="D60" s="31"/>
      <c r="E60" s="31"/>
      <c r="F60" s="99"/>
      <c r="G60" s="99"/>
      <c r="H60" s="31"/>
      <c r="I60" s="99"/>
      <c r="J60" s="31"/>
      <c r="K60" s="31"/>
      <c r="L60" s="949">
        <f>'Overall Assumptions'!$C$21</f>
        <v>0.04</v>
      </c>
      <c r="M60" t="s">
        <v>1368</v>
      </c>
      <c r="U60" t="s">
        <v>954</v>
      </c>
      <c r="V60" t="s">
        <v>906</v>
      </c>
      <c r="AC60" s="813"/>
      <c r="AF60" s="814"/>
      <c r="AH60" t="s">
        <v>955</v>
      </c>
    </row>
    <row r="61" spans="2:37" ht="17" customHeight="1" thickBot="1">
      <c r="D61" s="955"/>
      <c r="E61" s="955"/>
      <c r="F61" s="1084"/>
      <c r="G61" s="1084"/>
      <c r="H61" s="955"/>
      <c r="I61" s="1084"/>
      <c r="J61" s="955"/>
      <c r="K61" s="955"/>
      <c r="L61" s="950">
        <f>'Overall Assumptions'!$C$22</f>
        <v>80</v>
      </c>
      <c r="M61" t="s">
        <v>186</v>
      </c>
      <c r="T61" s="16"/>
      <c r="U61" s="7">
        <v>1</v>
      </c>
      <c r="V61" s="578">
        <v>0</v>
      </c>
      <c r="W61" s="578">
        <v>0</v>
      </c>
      <c r="X61" s="578">
        <v>0</v>
      </c>
      <c r="AA61" s="813"/>
      <c r="AB61" s="814"/>
      <c r="AH61" s="7">
        <f>'Overall Assumptions'!$C$23</f>
        <v>5</v>
      </c>
      <c r="AI61" t="s">
        <v>187</v>
      </c>
    </row>
    <row r="62" spans="2:37" ht="16" customHeight="1">
      <c r="B62" s="3784" t="s">
        <v>962</v>
      </c>
      <c r="C62" s="3785"/>
      <c r="D62" s="3785"/>
      <c r="E62" s="3785"/>
      <c r="F62" s="3785"/>
      <c r="G62" s="3785"/>
      <c r="H62" s="3785"/>
      <c r="I62" s="3785"/>
      <c r="J62" s="3785"/>
      <c r="K62" s="3786"/>
      <c r="L62" s="3790" t="s">
        <v>908</v>
      </c>
      <c r="M62" s="3791"/>
      <c r="N62" s="3791"/>
      <c r="O62" s="3791"/>
      <c r="P62" s="3792"/>
      <c r="Q62" s="3013"/>
      <c r="R62" s="3013"/>
      <c r="S62" s="3013"/>
      <c r="T62" s="16"/>
      <c r="U62" s="3796" t="s">
        <v>731</v>
      </c>
      <c r="V62" s="3797"/>
      <c r="W62" s="3797"/>
      <c r="X62" s="3797"/>
      <c r="Y62" s="3797"/>
      <c r="Z62" s="3797"/>
      <c r="AA62" s="3797"/>
      <c r="AB62" s="3797"/>
      <c r="AC62" s="3797"/>
      <c r="AD62" s="3797"/>
      <c r="AE62" s="3798"/>
    </row>
    <row r="63" spans="2:37" ht="17" customHeight="1" thickBot="1">
      <c r="B63" s="3787"/>
      <c r="C63" s="3788"/>
      <c r="D63" s="3788"/>
      <c r="E63" s="3788"/>
      <c r="F63" s="3788"/>
      <c r="G63" s="3788"/>
      <c r="H63" s="3788"/>
      <c r="I63" s="3788"/>
      <c r="J63" s="3788"/>
      <c r="K63" s="3789"/>
      <c r="L63" s="3793"/>
      <c r="M63" s="3794"/>
      <c r="N63" s="3794"/>
      <c r="O63" s="3794"/>
      <c r="P63" s="3795"/>
      <c r="Q63" s="3013"/>
      <c r="R63" s="3013"/>
      <c r="S63" s="3013"/>
      <c r="T63" s="16"/>
      <c r="U63" s="3799"/>
      <c r="V63" s="3800"/>
      <c r="W63" s="3800"/>
      <c r="X63" s="3800"/>
      <c r="Y63" s="3800"/>
      <c r="Z63" s="3800"/>
      <c r="AA63" s="3800"/>
      <c r="AB63" s="3800"/>
      <c r="AC63" s="3800"/>
      <c r="AD63" s="3800"/>
      <c r="AE63" s="3801"/>
    </row>
    <row r="64" spans="2:37" s="576" customFormat="1" ht="21" customHeight="1">
      <c r="B64" s="3787"/>
      <c r="C64" s="3788"/>
      <c r="D64" s="3788"/>
      <c r="E64" s="3788"/>
      <c r="F64" s="3788"/>
      <c r="G64" s="3788"/>
      <c r="H64" s="3788"/>
      <c r="I64" s="3788"/>
      <c r="J64" s="3788"/>
      <c r="K64" s="3789"/>
      <c r="L64" s="3802" t="s">
        <v>189</v>
      </c>
      <c r="M64" s="3803"/>
      <c r="N64" s="3803"/>
      <c r="O64" s="3803"/>
      <c r="P64" s="3804"/>
      <c r="Q64" s="3014"/>
      <c r="R64" s="3014"/>
      <c r="S64" s="3014"/>
      <c r="T64" s="627"/>
      <c r="U64" s="3808" t="s">
        <v>905</v>
      </c>
      <c r="V64" s="3810" t="s">
        <v>815</v>
      </c>
      <c r="W64" s="3811"/>
      <c r="X64" s="3811"/>
      <c r="Y64" s="3811"/>
      <c r="Z64" s="3812"/>
      <c r="AA64" s="3816" t="s">
        <v>910</v>
      </c>
      <c r="AB64" s="3817"/>
      <c r="AC64" s="3820" t="s">
        <v>911</v>
      </c>
      <c r="AD64" s="3822" t="s">
        <v>1034</v>
      </c>
      <c r="AE64" s="3823"/>
      <c r="AF64" s="903"/>
      <c r="AG64" s="903"/>
      <c r="AH64" s="3761" t="s">
        <v>188</v>
      </c>
      <c r="AI64" s="3762"/>
      <c r="AJ64" s="3762"/>
      <c r="AK64" s="3763"/>
    </row>
    <row r="65" spans="2:37" s="576" customFormat="1" ht="21" customHeight="1" thickBot="1">
      <c r="B65" s="3787"/>
      <c r="C65" s="3788"/>
      <c r="D65" s="3788"/>
      <c r="E65" s="3788"/>
      <c r="F65" s="3788"/>
      <c r="G65" s="3788"/>
      <c r="H65" s="3788"/>
      <c r="I65" s="3788"/>
      <c r="J65" s="3788"/>
      <c r="K65" s="3789"/>
      <c r="L65" s="3805"/>
      <c r="M65" s="3806"/>
      <c r="N65" s="3806"/>
      <c r="O65" s="3806"/>
      <c r="P65" s="3807"/>
      <c r="Q65" s="3014"/>
      <c r="R65" s="3014"/>
      <c r="S65" s="3014"/>
      <c r="U65" s="3809"/>
      <c r="V65" s="3813"/>
      <c r="W65" s="3814"/>
      <c r="X65" s="3814"/>
      <c r="Y65" s="3814"/>
      <c r="Z65" s="3815"/>
      <c r="AA65" s="3818"/>
      <c r="AB65" s="3819"/>
      <c r="AC65" s="3821"/>
      <c r="AD65" s="3824"/>
      <c r="AE65" s="3825"/>
      <c r="AF65" s="903"/>
      <c r="AG65" s="903"/>
      <c r="AH65" s="3764"/>
      <c r="AI65" s="3765"/>
      <c r="AJ65" s="3765"/>
      <c r="AK65" s="3766"/>
    </row>
    <row r="66" spans="2:37" s="893" customFormat="1" ht="26" customHeight="1">
      <c r="B66" s="1528"/>
      <c r="C66" s="3767" t="s">
        <v>185</v>
      </c>
      <c r="D66" s="3769" t="s">
        <v>13</v>
      </c>
      <c r="E66" s="3769" t="s">
        <v>30</v>
      </c>
      <c r="F66" s="3771" t="s">
        <v>2310</v>
      </c>
      <c r="G66" s="3772"/>
      <c r="H66" s="3773" t="s">
        <v>12</v>
      </c>
      <c r="I66" s="3774"/>
      <c r="J66" s="1159" t="s">
        <v>63</v>
      </c>
      <c r="K66" s="1160"/>
      <c r="L66" s="3775" t="s">
        <v>66</v>
      </c>
      <c r="M66" s="3776"/>
      <c r="N66" s="3748" t="s">
        <v>180</v>
      </c>
      <c r="O66" s="3778" t="s">
        <v>806</v>
      </c>
      <c r="P66" s="3756" t="s">
        <v>807</v>
      </c>
      <c r="Q66" s="2786"/>
      <c r="R66" s="2786"/>
      <c r="S66" s="2786"/>
      <c r="T66" s="1029"/>
      <c r="U66" s="3826" t="s">
        <v>907</v>
      </c>
      <c r="V66" s="3780" t="s">
        <v>816</v>
      </c>
      <c r="W66" s="3746" t="s">
        <v>818</v>
      </c>
      <c r="X66" s="3746" t="s">
        <v>817</v>
      </c>
      <c r="Y66" s="3783" t="s">
        <v>909</v>
      </c>
      <c r="Z66" s="3760" t="s">
        <v>812</v>
      </c>
      <c r="AA66" s="3826" t="s">
        <v>813</v>
      </c>
      <c r="AB66" s="3756" t="s">
        <v>814</v>
      </c>
      <c r="AC66" s="3821"/>
      <c r="AD66" s="3758" t="s">
        <v>210</v>
      </c>
      <c r="AE66" s="3760" t="s">
        <v>211</v>
      </c>
      <c r="AF66" s="1525"/>
      <c r="AG66" s="1525"/>
      <c r="AH66" s="909" t="s">
        <v>66</v>
      </c>
      <c r="AI66" s="895"/>
      <c r="AJ66" s="3748" t="s">
        <v>190</v>
      </c>
      <c r="AK66" s="3748" t="s">
        <v>181</v>
      </c>
    </row>
    <row r="67" spans="2:37" s="893" customFormat="1" ht="38" customHeight="1">
      <c r="B67" s="1529" t="s">
        <v>205</v>
      </c>
      <c r="C67" s="3768"/>
      <c r="D67" s="3770"/>
      <c r="E67" s="3770"/>
      <c r="F67" s="3479" t="s">
        <v>2309</v>
      </c>
      <c r="G67" s="3480" t="s">
        <v>2318</v>
      </c>
      <c r="H67" s="896" t="s">
        <v>15</v>
      </c>
      <c r="I67" s="1210" t="s">
        <v>14</v>
      </c>
      <c r="J67" s="1161" t="s">
        <v>69</v>
      </c>
      <c r="K67" s="925" t="s">
        <v>204</v>
      </c>
      <c r="L67" s="1158" t="s">
        <v>17</v>
      </c>
      <c r="M67" s="943" t="s">
        <v>18</v>
      </c>
      <c r="N67" s="3777"/>
      <c r="O67" s="3779"/>
      <c r="P67" s="3827"/>
      <c r="Q67" s="2786"/>
      <c r="R67" s="2786"/>
      <c r="S67" s="2786"/>
      <c r="T67" s="1030"/>
      <c r="U67" s="3781"/>
      <c r="V67" s="3781"/>
      <c r="W67" s="3782"/>
      <c r="X67" s="3782"/>
      <c r="Y67" s="3782"/>
      <c r="Z67" s="3757"/>
      <c r="AA67" s="3781"/>
      <c r="AB67" s="3757"/>
      <c r="AC67" s="3759"/>
      <c r="AD67" s="3759"/>
      <c r="AE67" s="3757"/>
      <c r="AF67" s="1525"/>
      <c r="AH67" s="1530" t="s">
        <v>17</v>
      </c>
      <c r="AI67" s="898" t="s">
        <v>18</v>
      </c>
      <c r="AJ67" s="3749"/>
      <c r="AK67" s="3749"/>
    </row>
    <row r="68" spans="2:37" s="1550" customFormat="1" ht="19" customHeight="1">
      <c r="B68" s="1551">
        <f>B64+0.2</f>
        <v>0.2</v>
      </c>
      <c r="C68" s="3750" t="s">
        <v>2325</v>
      </c>
      <c r="D68" s="3753" t="s">
        <v>1271</v>
      </c>
      <c r="E68" s="1552" t="s">
        <v>1205</v>
      </c>
      <c r="F68" s="1553"/>
      <c r="G68" s="1553">
        <f>H83</f>
        <v>3934722.8945726752</v>
      </c>
      <c r="H68" s="1554">
        <f>F95</f>
        <v>906229999.99999976</v>
      </c>
      <c r="I68" s="1554" t="str">
        <f>G95</f>
        <v>Cost to prevent, detect and eradicate and contain</v>
      </c>
      <c r="J68" s="1555" t="str">
        <f>IF(K68=1,"Annual","Done every "&amp;K68&amp;" years")</f>
        <v>Annual</v>
      </c>
      <c r="K68" s="1556">
        <f>E86</f>
        <v>1</v>
      </c>
      <c r="L68" s="1557">
        <f>$L$61/K68</f>
        <v>80</v>
      </c>
      <c r="M68" s="1558">
        <f>$L$61/L68</f>
        <v>1</v>
      </c>
      <c r="N68" s="1554">
        <f>$H68*(1-(1+$L$60)^-(L68*M68))/((1+$L$60)^M68-1)*(1+((1+$L$60)^M68-1))</f>
        <v>22539759375.491531</v>
      </c>
      <c r="O68" s="191">
        <f>N68/(1+$L$60)*($L$60)/(1-(1+$L$60)^-$L$61)</f>
        <v>906229999.99999905</v>
      </c>
      <c r="P68" s="1560">
        <f>SUM(O68:O71)</f>
        <v>906229999.99999905</v>
      </c>
      <c r="Q68" s="1564"/>
      <c r="R68" s="1564"/>
      <c r="S68" s="1564"/>
      <c r="T68" s="1561" t="s">
        <v>808</v>
      </c>
      <c r="U68" s="1562">
        <f>O68/$U$61</f>
        <v>906229999.99999905</v>
      </c>
      <c r="V68" s="1563">
        <f>IF($T68="L",SUM($U68:U68)*V$61,"")</f>
        <v>0</v>
      </c>
      <c r="W68" s="1563"/>
      <c r="X68" s="1563">
        <f>IF($U68="","",SUM($U68:W68)*X$61)</f>
        <v>0</v>
      </c>
      <c r="Y68" s="1564">
        <f>IF($U68="","",SUM(V68:X68))</f>
        <v>0</v>
      </c>
      <c r="Z68" s="1560">
        <f>SUM(V68:X71)</f>
        <v>0</v>
      </c>
      <c r="AA68" s="1565">
        <f>IF($U68="","",SUM(U68,Y68))</f>
        <v>906229999.99999905</v>
      </c>
      <c r="AB68" s="1560">
        <f>SUM(AA68:AA71)</f>
        <v>906229999.99999905</v>
      </c>
      <c r="AC68" s="1566">
        <f ca="1">IF(AA68="","",AA68/OFFSET($AA$68,AF68,0))</f>
        <v>1</v>
      </c>
      <c r="AD68" s="1567"/>
      <c r="AE68" s="1568"/>
      <c r="AF68" s="1569"/>
      <c r="AG68" s="1570"/>
      <c r="AH68" s="1571">
        <f>$AH$61/K68</f>
        <v>5</v>
      </c>
      <c r="AI68" s="1571">
        <f>$AH$61/AH68</f>
        <v>1</v>
      </c>
      <c r="AJ68" s="1554">
        <f>$H68*(1-(1+$L$60)^-(AH68*AI68))/((1+$L$60)^AI68-1)*(1+((1+$L$60)^AI68-1))</f>
        <v>4195749949.078289</v>
      </c>
      <c r="AK68" s="1572">
        <f>SUM(AJ68:AJ71)</f>
        <v>4195749949.078289</v>
      </c>
    </row>
    <row r="69" spans="2:37" s="1550" customFormat="1" ht="19" customHeight="1">
      <c r="B69" s="1573"/>
      <c r="C69" s="3751"/>
      <c r="D69" s="3754"/>
      <c r="E69" s="1552" t="s">
        <v>308</v>
      </c>
      <c r="F69" s="1553">
        <v>0</v>
      </c>
      <c r="G69" s="1553">
        <v>0</v>
      </c>
      <c r="H69" s="1554"/>
      <c r="I69" s="1595"/>
      <c r="J69" s="1555"/>
      <c r="K69" s="1556"/>
      <c r="L69" s="1557"/>
      <c r="M69" s="1558"/>
      <c r="N69" s="1554"/>
      <c r="O69" s="1559"/>
      <c r="P69" s="1574"/>
      <c r="Q69" s="1577"/>
      <c r="R69" s="1577"/>
      <c r="S69" s="1577"/>
      <c r="T69" s="1575" t="s">
        <v>809</v>
      </c>
      <c r="U69" s="1563"/>
      <c r="V69" s="1576" t="str">
        <f>IF($T69="L",SUM($U69:U69)*V$61,"")</f>
        <v/>
      </c>
      <c r="W69" s="1576" t="str">
        <f>IF($U69="","",IF(OR($T69="L",$T69="T",$T69="C"),SUM($U69:V69)*W$61,""))</f>
        <v/>
      </c>
      <c r="X69" s="1576" t="str">
        <f>IF($U69="","",SUM($U69:W69)*X$61)</f>
        <v/>
      </c>
      <c r="Y69" s="1577" t="str">
        <f>IF($U69="","",SUM(V69:X69))</f>
        <v/>
      </c>
      <c r="Z69" s="1574"/>
      <c r="AA69" s="1578" t="str">
        <f>IF($U69="","",SUM(U69,Y69))</f>
        <v/>
      </c>
      <c r="AB69" s="1574"/>
      <c r="AC69" s="1566" t="str">
        <f ca="1">IF(AA69="","",AA69/OFFSET(#REF!,AF69,0))</f>
        <v/>
      </c>
      <c r="AD69" s="1579"/>
      <c r="AE69" s="1568"/>
      <c r="AF69" s="1569"/>
      <c r="AG69" s="1569"/>
      <c r="AH69" s="1571"/>
      <c r="AI69" s="1571"/>
      <c r="AJ69" s="1554"/>
      <c r="AK69" s="1580"/>
    </row>
    <row r="70" spans="2:37" s="1550" customFormat="1" ht="16" customHeight="1">
      <c r="B70" s="1573"/>
      <c r="C70" s="3751"/>
      <c r="D70" s="3754"/>
      <c r="E70" s="1552" t="s">
        <v>4</v>
      </c>
      <c r="F70" s="1553"/>
      <c r="G70" s="1553"/>
      <c r="H70" s="1554"/>
      <c r="I70" s="1595"/>
      <c r="J70" s="1555"/>
      <c r="K70" s="1556"/>
      <c r="L70" s="1557"/>
      <c r="M70" s="1558"/>
      <c r="N70" s="1554"/>
      <c r="O70" s="1559"/>
      <c r="P70" s="1574"/>
      <c r="Q70" s="1577"/>
      <c r="R70" s="1577"/>
      <c r="S70" s="1577"/>
      <c r="T70" s="1575" t="s">
        <v>810</v>
      </c>
      <c r="U70" s="1563"/>
      <c r="V70" s="1576" t="str">
        <f>IF($T70="L",SUM($U70:U70)*V$61,"")</f>
        <v/>
      </c>
      <c r="W70" s="1576" t="str">
        <f>IF($U70="","",IF(OR($T70="L",$T70="T",$T70="C"),SUM($U70:V70)*W$61,""))</f>
        <v/>
      </c>
      <c r="X70" s="1576" t="str">
        <f>IF($U70="","",SUM($U70:W70)*X$61)</f>
        <v/>
      </c>
      <c r="Y70" s="1577" t="str">
        <f>IF($U70="","",SUM(V70:X70))</f>
        <v/>
      </c>
      <c r="Z70" s="1574"/>
      <c r="AA70" s="1578" t="str">
        <f>IF($U70="","",SUM(U70,Y70))</f>
        <v/>
      </c>
      <c r="AB70" s="1574"/>
      <c r="AC70" s="1566" t="str">
        <f ca="1">IF(AA70="","",AA70/OFFSET(#REF!,AF70,0))</f>
        <v/>
      </c>
      <c r="AD70" s="1567"/>
      <c r="AE70" s="1568"/>
      <c r="AF70" s="1569"/>
      <c r="AG70" s="1569"/>
      <c r="AH70" s="1571"/>
      <c r="AI70" s="1571"/>
      <c r="AJ70" s="1554"/>
      <c r="AK70" s="1580"/>
    </row>
    <row r="71" spans="2:37" s="1550" customFormat="1" ht="19" customHeight="1">
      <c r="B71" s="1573"/>
      <c r="C71" s="3752"/>
      <c r="D71" s="3755"/>
      <c r="E71" s="1552" t="s">
        <v>21</v>
      </c>
      <c r="F71" s="1553"/>
      <c r="G71" s="1553"/>
      <c r="H71" s="1554"/>
      <c r="I71" s="1595"/>
      <c r="J71" s="1555"/>
      <c r="K71" s="1556"/>
      <c r="L71" s="1557"/>
      <c r="M71" s="1558"/>
      <c r="N71" s="1554"/>
      <c r="O71" s="1559"/>
      <c r="P71" s="1574"/>
      <c r="Q71" s="1577"/>
      <c r="R71" s="1577"/>
      <c r="S71" s="1577"/>
      <c r="T71" s="1581" t="s">
        <v>811</v>
      </c>
      <c r="U71" s="1563"/>
      <c r="V71" s="1576" t="str">
        <f>IF($T71="L",SUM($U71:U71)*V$61,"")</f>
        <v/>
      </c>
      <c r="W71" s="1576" t="str">
        <f>IF($U71="","",IF(OR($T71="L",$T71="T",$T71="C"),$U71*#REF!,""))</f>
        <v/>
      </c>
      <c r="X71" s="1576" t="str">
        <f>IF($U71="","",SUM($U71:W71)*X$61)</f>
        <v/>
      </c>
      <c r="Y71" s="1577" t="str">
        <f>IF($U71="","",SUM(V71:X71))</f>
        <v/>
      </c>
      <c r="Z71" s="1574"/>
      <c r="AA71" s="1578" t="str">
        <f>IF($U71="","",SUM(U71,Y71))</f>
        <v/>
      </c>
      <c r="AB71" s="1574"/>
      <c r="AC71" s="1566" t="str">
        <f ca="1">IF(AA71="","",AA71/OFFSET(#REF!,AF71,0))</f>
        <v/>
      </c>
      <c r="AD71" s="1567"/>
      <c r="AE71" s="1568"/>
      <c r="AF71" s="1569"/>
      <c r="AG71" s="1569"/>
      <c r="AH71" s="1571"/>
      <c r="AI71" s="1571"/>
      <c r="AJ71" s="1554"/>
      <c r="AK71" s="1580"/>
    </row>
    <row r="72" spans="2:37">
      <c r="C72" s="24"/>
      <c r="D72" s="238"/>
      <c r="F72" s="359"/>
      <c r="G72" s="359"/>
      <c r="H72" s="6"/>
      <c r="I72" s="359"/>
      <c r="U72" s="5"/>
    </row>
    <row r="73" spans="2:37">
      <c r="C73" s="24"/>
      <c r="D73" s="238"/>
      <c r="F73" s="359"/>
      <c r="G73" s="359"/>
      <c r="H73" s="6"/>
      <c r="I73" s="359"/>
      <c r="U73" s="5"/>
    </row>
    <row r="74" spans="2:37" s="7" customFormat="1">
      <c r="D74" s="134"/>
      <c r="E74" s="134"/>
      <c r="G74" s="1089"/>
    </row>
    <row r="75" spans="2:37" s="7" customFormat="1">
      <c r="E75" s="36"/>
      <c r="G75" s="1089"/>
    </row>
    <row r="76" spans="2:37" s="9" customFormat="1">
      <c r="C76" s="233" t="s">
        <v>856</v>
      </c>
      <c r="D76" s="212"/>
      <c r="E76" s="212"/>
      <c r="F76" s="212"/>
      <c r="G76" s="212"/>
      <c r="H76" s="212"/>
      <c r="I76" s="212"/>
    </row>
    <row r="77" spans="2:37" s="9" customFormat="1">
      <c r="C77" s="216"/>
      <c r="D77" s="235"/>
      <c r="E77" s="231"/>
      <c r="F77" s="234"/>
      <c r="G77" s="216"/>
      <c r="H77" s="216"/>
      <c r="I77" s="216"/>
    </row>
    <row r="78" spans="2:37" s="9" customFormat="1">
      <c r="C78" s="216"/>
      <c r="D78" s="224" t="s">
        <v>857</v>
      </c>
      <c r="E78" s="213"/>
      <c r="F78" s="216"/>
      <c r="G78" s="216"/>
      <c r="H78" s="216"/>
      <c r="I78" s="216"/>
    </row>
    <row r="79" spans="2:37" s="9" customFormat="1">
      <c r="C79" s="216"/>
      <c r="D79" s="298" t="s">
        <v>179</v>
      </c>
      <c r="E79" s="299"/>
      <c r="F79" s="214"/>
      <c r="G79" s="216"/>
      <c r="H79" s="216"/>
      <c r="I79" s="216"/>
    </row>
    <row r="80" spans="2:37" s="9" customFormat="1">
      <c r="C80" s="216"/>
      <c r="D80" s="300" t="s">
        <v>301</v>
      </c>
      <c r="E80" s="301"/>
      <c r="F80" s="216"/>
      <c r="G80" s="216"/>
      <c r="H80" s="216"/>
      <c r="I80" s="216"/>
    </row>
    <row r="81" spans="3:9" s="9" customFormat="1">
      <c r="C81" s="214"/>
      <c r="D81" s="302">
        <v>48</v>
      </c>
      <c r="E81" s="303" t="s">
        <v>61</v>
      </c>
      <c r="F81" s="216"/>
      <c r="G81" s="216"/>
      <c r="H81" s="216"/>
      <c r="I81" s="216"/>
    </row>
    <row r="82" spans="3:9" s="9" customFormat="1">
      <c r="C82" s="214"/>
      <c r="D82" s="304">
        <f>D81*5</f>
        <v>240</v>
      </c>
      <c r="E82" s="303" t="s">
        <v>138</v>
      </c>
      <c r="F82" s="216"/>
      <c r="G82" s="217" t="s">
        <v>2314</v>
      </c>
      <c r="H82" s="216" t="s">
        <v>2313</v>
      </c>
      <c r="I82" s="216"/>
    </row>
    <row r="83" spans="3:9" s="9" customFormat="1">
      <c r="C83" s="214"/>
      <c r="D83" s="1592">
        <f>D84*F83</f>
        <v>15703.715256116999</v>
      </c>
      <c r="E83" s="361" t="s">
        <v>852</v>
      </c>
      <c r="F83" s="794">
        <v>25</v>
      </c>
      <c r="G83" s="212">
        <f>D$82*D83</f>
        <v>3768891.6614680798</v>
      </c>
      <c r="H83" s="3509">
        <f>SUM(G83:G85)</f>
        <v>3934722.8945726752</v>
      </c>
      <c r="I83" s="216"/>
    </row>
    <row r="84" spans="3:9" s="9" customFormat="1">
      <c r="C84" s="214"/>
      <c r="D84" s="1592">
        <f>D85*F84</f>
        <v>628.14861024467996</v>
      </c>
      <c r="E84" s="361" t="s">
        <v>318</v>
      </c>
      <c r="F84" s="794">
        <v>10</v>
      </c>
      <c r="G84" s="212">
        <f t="shared" ref="G84:G85" si="1">D$82*D84</f>
        <v>150755.66645872319</v>
      </c>
      <c r="H84" s="216"/>
      <c r="I84" s="216"/>
    </row>
    <row r="85" spans="3:9" s="9" customFormat="1">
      <c r="C85" s="214"/>
      <c r="D85" s="1593">
        <v>62.814861024467994</v>
      </c>
      <c r="E85" s="305" t="s">
        <v>317</v>
      </c>
      <c r="F85" s="794">
        <v>1</v>
      </c>
      <c r="G85" s="212">
        <f t="shared" si="1"/>
        <v>15075.566645872319</v>
      </c>
      <c r="H85" s="216"/>
      <c r="I85" s="216"/>
    </row>
    <row r="86" spans="3:9" s="9" customFormat="1">
      <c r="C86" s="214"/>
      <c r="D86" s="306" t="s">
        <v>587</v>
      </c>
      <c r="E86" s="307">
        <v>1</v>
      </c>
      <c r="F86" s="216"/>
      <c r="G86" s="217"/>
      <c r="H86" s="216"/>
      <c r="I86" s="216"/>
    </row>
    <row r="87" spans="3:9" s="9" customFormat="1">
      <c r="C87" s="216"/>
      <c r="D87" s="304"/>
      <c r="E87" s="308"/>
      <c r="F87" s="216"/>
      <c r="G87" s="217"/>
      <c r="H87" s="216"/>
      <c r="I87" s="216"/>
    </row>
    <row r="88" spans="3:9" s="9" customFormat="1">
      <c r="C88" s="216"/>
      <c r="D88" s="614">
        <f>'Overall Assumptions'!$C$68</f>
        <v>225</v>
      </c>
      <c r="E88" s="559" t="s">
        <v>235</v>
      </c>
      <c r="F88" s="325"/>
      <c r="G88" s="215" t="s">
        <v>225</v>
      </c>
      <c r="H88" s="614"/>
      <c r="I88" s="289"/>
    </row>
    <row r="89" spans="3:9" s="9" customFormat="1">
      <c r="C89" s="216"/>
      <c r="D89" s="399">
        <f>'Overall Assumptions'!$C$72</f>
        <v>337.5</v>
      </c>
      <c r="E89" s="560" t="s">
        <v>227</v>
      </c>
      <c r="F89" s="325"/>
      <c r="G89" s="212"/>
      <c r="H89" s="399"/>
      <c r="I89" s="289"/>
    </row>
    <row r="90" spans="3:9" s="9" customFormat="1">
      <c r="C90" s="285"/>
      <c r="D90" s="112">
        <f>'Overall Assumptions'!$C$76</f>
        <v>487.5</v>
      </c>
      <c r="E90" s="561" t="s">
        <v>236</v>
      </c>
      <c r="F90" s="325"/>
      <c r="G90" s="215" t="s">
        <v>224</v>
      </c>
      <c r="H90" s="112"/>
      <c r="I90" s="289"/>
    </row>
    <row r="91" spans="3:9" s="9" customFormat="1">
      <c r="C91" s="285"/>
      <c r="D91" s="362">
        <f>D83*D88</f>
        <v>3533335.9326263247</v>
      </c>
      <c r="E91" s="310" t="s">
        <v>319</v>
      </c>
      <c r="F91" s="216"/>
      <c r="G91" s="216"/>
      <c r="H91" s="216"/>
      <c r="I91" s="216"/>
    </row>
    <row r="92" spans="3:9" s="9" customFormat="1">
      <c r="C92" s="216"/>
      <c r="D92" s="362">
        <f>D84*D89</f>
        <v>212000.1559575795</v>
      </c>
      <c r="E92" s="213" t="s">
        <v>320</v>
      </c>
      <c r="F92" s="216"/>
      <c r="G92" s="216"/>
      <c r="H92" s="216"/>
      <c r="I92" s="216"/>
    </row>
    <row r="93" spans="3:9" s="9" customFormat="1">
      <c r="C93" s="216"/>
      <c r="D93" s="362">
        <f>D85*D90</f>
        <v>30622.244749428148</v>
      </c>
      <c r="E93" s="213" t="s">
        <v>853</v>
      </c>
      <c r="F93" s="216"/>
      <c r="G93" s="216"/>
      <c r="H93" s="216"/>
      <c r="I93" s="216"/>
    </row>
    <row r="94" spans="3:9" s="9" customFormat="1">
      <c r="C94" s="216"/>
      <c r="D94" s="311"/>
      <c r="E94" s="312" t="s">
        <v>155</v>
      </c>
      <c r="F94" s="313" t="s">
        <v>166</v>
      </c>
      <c r="G94" s="313" t="s">
        <v>69</v>
      </c>
      <c r="H94" s="313" t="s">
        <v>391</v>
      </c>
      <c r="I94" s="314"/>
    </row>
    <row r="95" spans="3:9" s="9" customFormat="1">
      <c r="C95" s="216"/>
      <c r="D95" s="315" t="s">
        <v>3</v>
      </c>
      <c r="E95" s="316">
        <f>D82</f>
        <v>240</v>
      </c>
      <c r="F95" s="363">
        <f>SUM(D91:D93)*E95</f>
        <v>906229999.99999976</v>
      </c>
      <c r="G95" s="317" t="s">
        <v>1272</v>
      </c>
      <c r="H95" s="316">
        <v>1</v>
      </c>
      <c r="I95" s="318"/>
    </row>
    <row r="96" spans="3:9" s="9" customFormat="1">
      <c r="D96" s="33"/>
      <c r="E96" s="16"/>
      <c r="F96"/>
      <c r="G96" s="359"/>
    </row>
  </sheetData>
  <mergeCells count="34">
    <mergeCell ref="B62:K65"/>
    <mergeCell ref="L62:P63"/>
    <mergeCell ref="U62:AE63"/>
    <mergeCell ref="L64:P65"/>
    <mergeCell ref="U64:U65"/>
    <mergeCell ref="V64:Z65"/>
    <mergeCell ref="AA64:AB65"/>
    <mergeCell ref="AC64:AC67"/>
    <mergeCell ref="AD64:AE65"/>
    <mergeCell ref="U66:U67"/>
    <mergeCell ref="AA66:AA67"/>
    <mergeCell ref="P66:P67"/>
    <mergeCell ref="AK66:AK67"/>
    <mergeCell ref="V66:V67"/>
    <mergeCell ref="W66:W67"/>
    <mergeCell ref="X66:X67"/>
    <mergeCell ref="Y66:Y67"/>
    <mergeCell ref="Z66:Z67"/>
    <mergeCell ref="F21:G21"/>
    <mergeCell ref="AJ66:AJ67"/>
    <mergeCell ref="C68:C71"/>
    <mergeCell ref="D68:D71"/>
    <mergeCell ref="AB66:AB67"/>
    <mergeCell ref="AD66:AD67"/>
    <mergeCell ref="AE66:AE67"/>
    <mergeCell ref="AH64:AK65"/>
    <mergeCell ref="C66:C67"/>
    <mergeCell ref="D66:D67"/>
    <mergeCell ref="E66:E67"/>
    <mergeCell ref="F66:G66"/>
    <mergeCell ref="H66:I66"/>
    <mergeCell ref="L66:M66"/>
    <mergeCell ref="N66:N67"/>
    <mergeCell ref="O66:O67"/>
  </mergeCell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P971"/>
  <sheetViews>
    <sheetView showGridLines="0" zoomScaleNormal="100" workbookViewId="0">
      <selection activeCell="H36" sqref="H36"/>
    </sheetView>
  </sheetViews>
  <sheetFormatPr baseColWidth="10" defaultColWidth="11" defaultRowHeight="16"/>
  <cols>
    <col min="1" max="1" width="2.6640625" customWidth="1"/>
    <col min="2" max="2" width="9.1640625" customWidth="1"/>
    <col min="3" max="3" width="28.5" customWidth="1"/>
    <col min="4" max="4" width="31.6640625" style="24" customWidth="1"/>
    <col min="5" max="5" width="19.33203125" style="16" customWidth="1"/>
    <col min="6" max="6" width="13.6640625" customWidth="1"/>
    <col min="7" max="7" width="23.1640625" style="359" customWidth="1"/>
    <col min="8" max="9" width="15.83203125" customWidth="1"/>
    <col min="10" max="10" width="18.6640625" customWidth="1"/>
    <col min="11" max="11" width="10.83203125" customWidth="1"/>
    <col min="12" max="12" width="12.1640625" customWidth="1"/>
    <col min="13" max="13" width="10.6640625" customWidth="1"/>
    <col min="14" max="14" width="18.6640625" customWidth="1"/>
    <col min="15" max="15" width="13.6640625" customWidth="1"/>
    <col min="16" max="16" width="14.5" customWidth="1"/>
    <col min="17" max="19" width="20.83203125" style="2794" customWidth="1"/>
    <col min="20" max="20" width="2.6640625" customWidth="1"/>
    <col min="21" max="21" width="13" customWidth="1"/>
    <col min="22" max="24" width="11.6640625" customWidth="1"/>
    <col min="25" max="26" width="18.83203125" customWidth="1"/>
    <col min="27" max="27" width="19.33203125" customWidth="1"/>
    <col min="28" max="29" width="16.6640625" customWidth="1"/>
    <col min="30" max="30" width="21" customWidth="1"/>
    <col min="31" max="31" width="23.5" customWidth="1"/>
    <col min="32" max="32" width="37.5" customWidth="1"/>
    <col min="33" max="33" width="11" bestFit="1" customWidth="1"/>
    <col min="34" max="34" width="14.33203125" customWidth="1"/>
    <col min="35" max="35" width="12.83203125" bestFit="1" customWidth="1"/>
    <col min="36" max="36" width="11.83203125" bestFit="1" customWidth="1"/>
    <col min="37" max="37" width="12.5" bestFit="1" customWidth="1"/>
    <col min="42" max="42" width="12.5" bestFit="1" customWidth="1"/>
  </cols>
  <sheetData>
    <row r="1" spans="2:35">
      <c r="B1" s="3" t="s">
        <v>19</v>
      </c>
      <c r="C1" s="24"/>
      <c r="D1" s="214" t="s">
        <v>265</v>
      </c>
      <c r="E1"/>
      <c r="F1" s="359"/>
      <c r="G1"/>
      <c r="H1" s="359"/>
    </row>
    <row r="2" spans="2:35">
      <c r="C2" s="24" t="s">
        <v>10</v>
      </c>
      <c r="D2" s="610" t="s">
        <v>264</v>
      </c>
      <c r="E2"/>
      <c r="F2" s="359"/>
      <c r="G2"/>
      <c r="H2" s="359"/>
    </row>
    <row r="3" spans="2:35">
      <c r="C3" s="24" t="s">
        <v>0</v>
      </c>
      <c r="D3" s="213" t="s">
        <v>233</v>
      </c>
      <c r="E3"/>
      <c r="F3" s="359"/>
      <c r="G3"/>
      <c r="H3" s="359"/>
    </row>
    <row r="4" spans="2:35">
      <c r="B4" s="3"/>
      <c r="C4" s="24" t="s">
        <v>1</v>
      </c>
      <c r="D4" s="610" t="s">
        <v>232</v>
      </c>
      <c r="E4"/>
      <c r="F4" s="359"/>
      <c r="G4"/>
      <c r="H4" s="359"/>
    </row>
    <row r="5" spans="2:35">
      <c r="B5" s="3" t="s">
        <v>20</v>
      </c>
      <c r="C5" s="24"/>
      <c r="D5" s="16"/>
      <c r="E5"/>
      <c r="F5" s="359"/>
      <c r="H5" s="1"/>
      <c r="I5" s="359"/>
    </row>
    <row r="6" spans="2:35">
      <c r="C6" s="24" t="s">
        <v>2</v>
      </c>
      <c r="D6" s="224" t="s">
        <v>231</v>
      </c>
      <c r="E6"/>
      <c r="F6" s="359"/>
      <c r="H6" s="6"/>
      <c r="I6" s="359" t="s">
        <v>1249</v>
      </c>
      <c r="T6" s="15"/>
    </row>
    <row r="7" spans="2:35">
      <c r="C7" s="24" t="s">
        <v>22</v>
      </c>
      <c r="D7" s="610" t="s">
        <v>1181</v>
      </c>
      <c r="E7"/>
      <c r="F7" s="359"/>
      <c r="H7" s="6"/>
      <c r="I7" s="359" t="s">
        <v>1248</v>
      </c>
      <c r="U7" s="2723"/>
      <c r="V7" s="2723"/>
      <c r="W7" s="2723"/>
      <c r="X7" s="2723"/>
      <c r="Y7" s="2723"/>
      <c r="Z7" s="2723"/>
      <c r="AA7" s="2723"/>
      <c r="AB7" s="2723"/>
      <c r="AC7" s="2723"/>
    </row>
    <row r="8" spans="2:35">
      <c r="C8" s="24" t="s">
        <v>7</v>
      </c>
      <c r="D8" s="213" t="s">
        <v>29</v>
      </c>
      <c r="E8"/>
      <c r="F8" s="359"/>
      <c r="H8" s="6"/>
      <c r="I8" t="s">
        <v>1250</v>
      </c>
      <c r="W8" s="15"/>
    </row>
    <row r="9" spans="2:35">
      <c r="C9" s="24" t="s">
        <v>8</v>
      </c>
      <c r="D9" s="224" t="s">
        <v>230</v>
      </c>
      <c r="E9"/>
      <c r="F9" s="359"/>
      <c r="H9" s="6"/>
      <c r="I9" s="359" t="s">
        <v>1247</v>
      </c>
      <c r="N9">
        <v>1</v>
      </c>
      <c r="P9" s="2723">
        <f>N9/(1+$L$15)*($L$15)/(1-(1+$L$15)^-$L$16)</f>
        <v>4.0205841815036523E-2</v>
      </c>
      <c r="T9" s="2723"/>
      <c r="U9" s="5"/>
      <c r="V9" s="2723"/>
      <c r="W9" s="2723"/>
      <c r="X9" s="2723"/>
      <c r="Y9" s="2723"/>
      <c r="Z9" s="2723"/>
      <c r="AA9" s="2723"/>
    </row>
    <row r="10" spans="2:35" ht="19">
      <c r="C10" s="24"/>
      <c r="D10" s="16"/>
      <c r="F10" s="359"/>
      <c r="I10" s="359" t="s">
        <v>1252</v>
      </c>
      <c r="AC10" s="1407"/>
      <c r="AF10" s="1408"/>
    </row>
    <row r="11" spans="2:35" ht="19">
      <c r="B11" s="904" t="s">
        <v>140</v>
      </c>
      <c r="C11" s="113"/>
      <c r="D11" s="16"/>
      <c r="F11" s="359"/>
      <c r="I11" s="359" t="s">
        <v>1251</v>
      </c>
      <c r="AA11" s="2953" t="s">
        <v>2305</v>
      </c>
      <c r="AB11" s="2953"/>
      <c r="AC11" s="1407"/>
      <c r="AF11" s="1408"/>
    </row>
    <row r="12" spans="2:35" ht="19">
      <c r="C12" s="31" t="s">
        <v>960</v>
      </c>
      <c r="D12" s="16"/>
      <c r="F12" s="359"/>
      <c r="I12" s="359" t="s">
        <v>1253</v>
      </c>
      <c r="AA12" s="204">
        <f ca="1">SUMIF(T23:T84,"L",AA23:AA84)-AA13-AA15+AA16</f>
        <v>12258.340766844125</v>
      </c>
      <c r="AB12" s="2953" t="s">
        <v>2303</v>
      </c>
      <c r="AC12" s="1407"/>
      <c r="AF12" s="1408"/>
    </row>
    <row r="13" spans="2:35" ht="19">
      <c r="C13" s="955" t="s">
        <v>961</v>
      </c>
      <c r="D13" s="16"/>
      <c r="F13" s="359"/>
      <c r="I13" s="359"/>
      <c r="AA13" s="454">
        <f>SUM(AA31)</f>
        <v>1566629.9999999986</v>
      </c>
      <c r="AB13" s="2953" t="s">
        <v>2304</v>
      </c>
      <c r="AC13" s="1407"/>
      <c r="AF13" s="1408"/>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SUM(AA43,AA47,AA51,AA63,AA67)</f>
        <v>64990.279157614663</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Q16" s="2794" t="s">
        <v>2108</v>
      </c>
      <c r="T16" s="16"/>
      <c r="U16" s="7">
        <f>'Overall Assumptions'!$C$6</f>
        <v>100</v>
      </c>
      <c r="V16" s="578">
        <f>'Overall Assumptions'!$C$13</f>
        <v>0.3</v>
      </c>
      <c r="W16" s="578">
        <f>'Overall Assumptions'!$C$14</f>
        <v>0.1</v>
      </c>
      <c r="X16" s="578">
        <f>'Overall Assumptions'!$C$15</f>
        <v>0.3</v>
      </c>
      <c r="AA16" s="3713">
        <f ca="1">SUM(AA63,AA67)*'GIS - Invasive Fish Mgmt'!J55</f>
        <v>7800.1536431015666</v>
      </c>
      <c r="AB16" s="814" t="s">
        <v>2605</v>
      </c>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1409"/>
      <c r="C21" s="3767" t="s">
        <v>185</v>
      </c>
      <c r="D21" s="3769" t="s">
        <v>13</v>
      </c>
      <c r="E21" s="3769" t="s">
        <v>30</v>
      </c>
      <c r="F21" s="3773" t="s">
        <v>2335</v>
      </c>
      <c r="G21" s="3774"/>
      <c r="H21" s="3773" t="s">
        <v>12</v>
      </c>
      <c r="I21" s="3774"/>
      <c r="J21" s="1159" t="s">
        <v>63</v>
      </c>
      <c r="K21" s="1160"/>
      <c r="L21" s="3775" t="s">
        <v>66</v>
      </c>
      <c r="M21" s="3776"/>
      <c r="N21" s="3748" t="s">
        <v>180</v>
      </c>
      <c r="O21" s="3778" t="s">
        <v>806</v>
      </c>
      <c r="P21" s="3745"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1406"/>
      <c r="AG21" s="1406"/>
      <c r="AH21" s="909" t="s">
        <v>66</v>
      </c>
      <c r="AI21" s="895"/>
      <c r="AJ21" s="3748" t="s">
        <v>190</v>
      </c>
      <c r="AK21" s="3748" t="s">
        <v>181</v>
      </c>
    </row>
    <row r="22" spans="1:37" s="893" customFormat="1" ht="38" customHeight="1">
      <c r="B22" s="1410" t="s">
        <v>205</v>
      </c>
      <c r="C22" s="3768"/>
      <c r="D22" s="3770"/>
      <c r="E22" s="3770"/>
      <c r="F22" s="3559" t="s">
        <v>2309</v>
      </c>
      <c r="G22" s="3560" t="s">
        <v>2334</v>
      </c>
      <c r="H22" s="896" t="s">
        <v>15</v>
      </c>
      <c r="I22" s="1210" t="s">
        <v>14</v>
      </c>
      <c r="J22" s="1161" t="s">
        <v>69</v>
      </c>
      <c r="K22" s="925" t="s">
        <v>204</v>
      </c>
      <c r="L22" s="1158" t="s">
        <v>17</v>
      </c>
      <c r="M22" s="943" t="s">
        <v>18</v>
      </c>
      <c r="N22" s="3777"/>
      <c r="O22" s="3779"/>
      <c r="P22" s="3746"/>
      <c r="Q22" s="3855"/>
      <c r="R22" s="3856"/>
      <c r="S22" s="3858"/>
      <c r="T22" s="1030"/>
      <c r="U22" s="3781"/>
      <c r="V22" s="3781"/>
      <c r="W22" s="3782"/>
      <c r="X22" s="3782"/>
      <c r="Y22" s="3782"/>
      <c r="Z22" s="3757"/>
      <c r="AA22" s="3781"/>
      <c r="AB22" s="3757"/>
      <c r="AC22" s="3759"/>
      <c r="AD22" s="3759"/>
      <c r="AE22" s="3757"/>
      <c r="AF22" s="1406"/>
      <c r="AG22" s="893" t="s">
        <v>732</v>
      </c>
      <c r="AH22" s="1411" t="s">
        <v>17</v>
      </c>
      <c r="AI22" s="898" t="s">
        <v>18</v>
      </c>
      <c r="AJ22" s="3749"/>
      <c r="AK22" s="3749"/>
    </row>
    <row r="23" spans="1:37" ht="19" customHeight="1">
      <c r="B23" s="260">
        <v>1</v>
      </c>
      <c r="C23" s="3844" t="s">
        <v>201</v>
      </c>
      <c r="D23" s="3847" t="s">
        <v>131</v>
      </c>
      <c r="E23" s="12" t="s">
        <v>3</v>
      </c>
      <c r="F23" s="1172"/>
      <c r="G23" s="1172">
        <f>$E$113</f>
        <v>15</v>
      </c>
      <c r="H23" s="188">
        <f>F113</f>
        <v>5062.5</v>
      </c>
      <c r="I23" s="921" t="s">
        <v>407</v>
      </c>
      <c r="J23" s="377" t="str">
        <f>IF(K23=1,"Annual","Done every "&amp;K23&amp;" years")</f>
        <v>Annual</v>
      </c>
      <c r="K23" s="11">
        <f>$D$100</f>
        <v>1</v>
      </c>
      <c r="L23" s="1043">
        <f>$L$16/K23</f>
        <v>80</v>
      </c>
      <c r="M23" s="171">
        <f>$L$16/L23</f>
        <v>1</v>
      </c>
      <c r="N23" s="240">
        <f>$H23*(1-(1+$L$15)^-(L23*M23))/((1+$L$15)^M23-1)*(1+((1+$L$15)^M23-1))</f>
        <v>125914.53807358607</v>
      </c>
      <c r="O23" s="191">
        <f t="shared" ref="O23:O45" si="0">N23/(1+$L$15)*($L$15)/(1-(1+$L$15)^-$L$16)</f>
        <v>5062.4999999999955</v>
      </c>
      <c r="P23" s="240">
        <f>SUM(O23:O26)</f>
        <v>5062.4999999999955</v>
      </c>
      <c r="Q23" s="2816"/>
      <c r="R23" s="2817"/>
      <c r="S23" s="2859"/>
      <c r="T23" s="1031" t="s">
        <v>808</v>
      </c>
      <c r="U23" s="583">
        <f>O23/$U$16</f>
        <v>50.624999999999957</v>
      </c>
      <c r="V23" s="583">
        <f>IF($T23="L",SUM($U23:U23)*V$16,"")</f>
        <v>15.187499999999986</v>
      </c>
      <c r="W23" s="1474"/>
      <c r="X23" s="583">
        <f>IF($U23="","",SUM($U23:W23)*X$16)</f>
        <v>19.743749999999981</v>
      </c>
      <c r="Y23" s="240">
        <f t="shared" ref="Y23:Y26" si="1">IF($U23="","",SUM(V23:X23))</f>
        <v>34.931249999999963</v>
      </c>
      <c r="Z23" s="240">
        <f>SUM(V23:X26)</f>
        <v>34.931249999999963</v>
      </c>
      <c r="AA23" s="191">
        <f t="shared" ref="AA23:AA26" si="2">IF($U23="","",SUM(U23,Y23))</f>
        <v>85.55624999999992</v>
      </c>
      <c r="AB23" s="195">
        <f>SUM(AA23:AA26)</f>
        <v>85.55624999999992</v>
      </c>
      <c r="AC23" s="889">
        <f t="shared" ref="AC23:AC26" ca="1" si="3">IF(AA23="","",AA23/OFFSET($AB$23,AF23,0))</f>
        <v>1</v>
      </c>
      <c r="AD23" s="941"/>
      <c r="AE23" s="1063"/>
      <c r="AF23" s="587">
        <v>0</v>
      </c>
      <c r="AG23" s="816">
        <f ca="1">SUM(AC23:AC26)-1</f>
        <v>0</v>
      </c>
      <c r="AH23" s="13">
        <f>$AH$16/K23</f>
        <v>5</v>
      </c>
      <c r="AI23" s="13">
        <f>$AH$16/AH23</f>
        <v>1</v>
      </c>
      <c r="AJ23" s="14">
        <f>$H23*(1-(1+$L$15)^-(AH23*AI23))/((1+$L$15)^AI23-1)*(1+((1+$L$15)^AI23-1))</f>
        <v>23438.844572800335</v>
      </c>
      <c r="AK23" s="191">
        <f>SUM(AJ23:AJ26)</f>
        <v>23438.844572800335</v>
      </c>
    </row>
    <row r="24" spans="1:37" ht="19" customHeight="1">
      <c r="B24" s="261"/>
      <c r="C24" s="3845"/>
      <c r="D24" s="3848"/>
      <c r="E24" s="12" t="s">
        <v>308</v>
      </c>
      <c r="F24" s="1172"/>
      <c r="G24" s="1172"/>
      <c r="H24" s="188"/>
      <c r="I24" s="921"/>
      <c r="J24" s="377"/>
      <c r="K24" s="11"/>
      <c r="L24" s="1044"/>
      <c r="M24" s="944"/>
      <c r="N24" s="241"/>
      <c r="O24" s="342">
        <f t="shared" si="0"/>
        <v>0</v>
      </c>
      <c r="P24" s="242"/>
      <c r="Q24" s="2818"/>
      <c r="R24" s="2819"/>
      <c r="S24" s="2860"/>
      <c r="T24" s="1032" t="s">
        <v>809</v>
      </c>
      <c r="U24" s="585"/>
      <c r="V24" s="585" t="str">
        <f>IF($T24="L",SUM($U24:U24)*V$16,"")</f>
        <v/>
      </c>
      <c r="W24" s="1475"/>
      <c r="X24" s="585" t="str">
        <f>IF($U24="","",$U24*#REF!)</f>
        <v/>
      </c>
      <c r="Y24" s="242" t="str">
        <f t="shared" si="1"/>
        <v/>
      </c>
      <c r="Z24" s="242"/>
      <c r="AA24" s="342" t="str">
        <f t="shared" si="2"/>
        <v/>
      </c>
      <c r="AB24" s="193"/>
      <c r="AC24" s="890" t="str">
        <f t="shared" ca="1" si="3"/>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f t="shared" si="0"/>
        <v>0</v>
      </c>
      <c r="P25" s="242"/>
      <c r="Q25" s="2818"/>
      <c r="R25" s="2819"/>
      <c r="S25" s="2860"/>
      <c r="T25" s="1032" t="s">
        <v>810</v>
      </c>
      <c r="U25" s="585"/>
      <c r="V25" s="585" t="str">
        <f>IF($T25="L",SUM($U25:U25)*V$16,"")</f>
        <v/>
      </c>
      <c r="W25" s="1475"/>
      <c r="X25" s="585" t="str">
        <f>IF($U25="","",$U25*#REF!)</f>
        <v/>
      </c>
      <c r="Y25" s="242" t="str">
        <f t="shared" si="1"/>
        <v/>
      </c>
      <c r="Z25" s="242"/>
      <c r="AA25" s="342" t="str">
        <f t="shared" si="2"/>
        <v/>
      </c>
      <c r="AB25" s="193"/>
      <c r="AC25" s="890" t="str">
        <f t="shared" ca="1" si="3"/>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f t="shared" si="0"/>
        <v>0</v>
      </c>
      <c r="P26" s="244"/>
      <c r="Q26" s="2820"/>
      <c r="R26" s="2821"/>
      <c r="S26" s="2861"/>
      <c r="T26" s="1033" t="s">
        <v>811</v>
      </c>
      <c r="U26" s="891"/>
      <c r="V26" s="891" t="str">
        <f>IF($T26="L",SUM($U26:U26)*V$16,"")</f>
        <v/>
      </c>
      <c r="W26" s="1478"/>
      <c r="X26" s="891" t="str">
        <f>IF($U26="","",$U26*#REF!)</f>
        <v/>
      </c>
      <c r="Y26" s="244" t="str">
        <f t="shared" si="1"/>
        <v/>
      </c>
      <c r="Z26" s="244"/>
      <c r="AA26" s="343" t="str">
        <f t="shared" si="2"/>
        <v/>
      </c>
      <c r="AB26" s="196"/>
      <c r="AC26" s="892" t="str">
        <f t="shared" ca="1" si="3"/>
        <v/>
      </c>
      <c r="AD26" s="942"/>
      <c r="AE26" s="1065"/>
      <c r="AF26" s="587">
        <f>AF25</f>
        <v>0</v>
      </c>
      <c r="AG26" s="587"/>
      <c r="AH26" s="13"/>
      <c r="AI26" s="13"/>
      <c r="AJ26" s="189"/>
      <c r="AK26" s="342"/>
    </row>
    <row r="27" spans="1:37" ht="18" customHeight="1">
      <c r="A27" s="676"/>
      <c r="B27" s="711">
        <v>2.2000000000000002</v>
      </c>
      <c r="C27" s="1401" t="s">
        <v>202</v>
      </c>
      <c r="D27" s="3852" t="e">
        <f>#REF!</f>
        <v>#REF!</v>
      </c>
      <c r="E27" s="685" t="s">
        <v>3</v>
      </c>
      <c r="F27" s="1177"/>
      <c r="G27" s="1177">
        <f t="shared" ref="G27:G29" si="4">E224</f>
        <v>3.1270553064275037</v>
      </c>
      <c r="H27" s="665">
        <f>I224</f>
        <v>838.11659192825118</v>
      </c>
      <c r="I27" s="818" t="s">
        <v>3</v>
      </c>
      <c r="J27" s="666" t="str">
        <f>IF(K27=1,"Annual","Done every "&amp;K27&amp;" years")</f>
        <v>Annual</v>
      </c>
      <c r="K27" s="667">
        <f>L224</f>
        <v>1</v>
      </c>
      <c r="L27" s="671">
        <f t="shared" ref="L27:M29" si="5">$L$16/K27</f>
        <v>80</v>
      </c>
      <c r="M27" s="880">
        <f t="shared" si="5"/>
        <v>1</v>
      </c>
      <c r="N27" s="883">
        <f>$H27*(1-(1+$L$15)^-(L27*M27))/((1+$L$15)^M27-1)*(1+((1+$L$15)^M27-1))</f>
        <v>20845.642177669924</v>
      </c>
      <c r="O27" s="673">
        <f t="shared" si="0"/>
        <v>838.1165919282505</v>
      </c>
      <c r="P27" s="2802">
        <f>SUM(O27:O30)</f>
        <v>1788.9237668161422</v>
      </c>
      <c r="Q27" s="2822"/>
      <c r="R27" s="2823"/>
      <c r="S27" s="2862"/>
      <c r="T27" s="1035" t="s">
        <v>808</v>
      </c>
      <c r="U27" s="675">
        <f t="shared" ref="U27:U29" si="6">O27/$U$16</f>
        <v>8.3811659192825054</v>
      </c>
      <c r="V27" s="675">
        <f>IF($T27="L",SUM($U27:U27)*V$16,"")</f>
        <v>2.5143497757847517</v>
      </c>
      <c r="W27" s="675">
        <f>IF($U27="","",IF(OR($T27="L",$T27="T",$T27="C"),SUM($U27:V27)*W$16,""))</f>
        <v>1.0895515695067257</v>
      </c>
      <c r="X27" s="675">
        <f>IF($U27="","",SUM($U27:W27)*X$16)</f>
        <v>3.5955201793721949</v>
      </c>
      <c r="Y27" s="670">
        <f>IF($U27="","",SUM(V27:X27))</f>
        <v>7.1994215246636726</v>
      </c>
      <c r="Z27" s="716">
        <f>SUM(V27:X30)</f>
        <v>11.287892376681608</v>
      </c>
      <c r="AA27" s="736">
        <f>IF($U27="","",SUM(U27,Y27))</f>
        <v>15.580587443946179</v>
      </c>
      <c r="AB27" s="716">
        <f>SUM(AA27:AA30)</f>
        <v>29.177130044843025</v>
      </c>
      <c r="AC27" s="730">
        <f ca="1">IF(AA27="","",AA27/OFFSET($AB$23,AF27,0))</f>
        <v>0.53400000000000014</v>
      </c>
      <c r="AD27" s="674"/>
      <c r="AE27" s="1067"/>
      <c r="AF27" s="587">
        <v>4</v>
      </c>
      <c r="AG27" s="816">
        <f ca="1">SUM(AC27:AC30)-1</f>
        <v>0</v>
      </c>
      <c r="AH27" s="669">
        <f>$AH$16/K27</f>
        <v>5</v>
      </c>
      <c r="AI27" s="669">
        <f>$AH$16/AH27</f>
        <v>1</v>
      </c>
      <c r="AJ27" s="665">
        <f>$H27*(1-(1+$L$15)^-(AH27*AI27))/((1+$L$15)^AI27-1)*(1+((1+$L$15)^AI27-1))</f>
        <v>3880.3920063390424</v>
      </c>
      <c r="AK27" s="983">
        <f>SUM(AJ27:AJ30)</f>
        <v>8282.529604541649</v>
      </c>
    </row>
    <row r="28" spans="1:37" ht="18" customHeight="1">
      <c r="A28" s="676"/>
      <c r="B28" s="712"/>
      <c r="C28" s="1402" t="s">
        <v>779</v>
      </c>
      <c r="D28" s="3853"/>
      <c r="E28" s="685" t="s">
        <v>308</v>
      </c>
      <c r="F28" s="1177">
        <f>$E$211</f>
        <v>1</v>
      </c>
      <c r="G28" s="1177">
        <f t="shared" si="4"/>
        <v>1.5635276532137519</v>
      </c>
      <c r="H28" s="665">
        <f>I225</f>
        <v>530.80717488789242</v>
      </c>
      <c r="I28" s="818" t="s">
        <v>132</v>
      </c>
      <c r="J28" s="666" t="str">
        <f>IF(K28=1,"Annual","Done every "&amp;K28&amp;" years")</f>
        <v>Annual</v>
      </c>
      <c r="K28" s="667">
        <f>L225</f>
        <v>1</v>
      </c>
      <c r="L28" s="668">
        <f t="shared" si="5"/>
        <v>80</v>
      </c>
      <c r="M28" s="667">
        <f t="shared" si="5"/>
        <v>1</v>
      </c>
      <c r="N28" s="665">
        <f>$H28*(1-(1+$L$15)^-(L28*M28))/((1+$L$15)^M28-1)*(1+((1+$L$15)^M28-1))</f>
        <v>13202.240045857618</v>
      </c>
      <c r="O28" s="680">
        <f t="shared" si="0"/>
        <v>530.80717488789196</v>
      </c>
      <c r="P28" s="678"/>
      <c r="Q28" s="2824">
        <f>1*(1-(1+$L$15)^-(L28*M28))/((1+$L$15)^M28-1)*(1+((1+$L$15)^M28-1))</f>
        <v>24.872007520708362</v>
      </c>
      <c r="R28" s="2825">
        <f>Q28/(1+$L$15)*($L$15)/(1-(1+$L$15)^-$L$16)</f>
        <v>0.99999999999999911</v>
      </c>
      <c r="S28" s="2863">
        <f>F28*R28</f>
        <v>0.99999999999999911</v>
      </c>
      <c r="T28" s="1036" t="s">
        <v>809</v>
      </c>
      <c r="U28" s="675">
        <f t="shared" si="6"/>
        <v>5.3080717488789197</v>
      </c>
      <c r="V28" s="682" t="str">
        <f>IF($T28="L",SUM($U28:U28)*V$16,"")</f>
        <v/>
      </c>
      <c r="W28" s="682">
        <f>IF($U28="","",IF(OR($T28="L",$T28="T",$T28="C"),SUM($U28:V28)*W$16,""))</f>
        <v>0.53080717488789197</v>
      </c>
      <c r="X28" s="682">
        <f>IF($U28="","",SUM($U28:W28)*X$16)</f>
        <v>1.7516636771300436</v>
      </c>
      <c r="Y28" s="679">
        <f>IF($U28="","",SUM(V28:X28))</f>
        <v>2.2824708520179353</v>
      </c>
      <c r="Z28" s="720"/>
      <c r="AA28" s="737">
        <f>IF($U28="","",SUM(U28,Y28))</f>
        <v>7.5905426008968551</v>
      </c>
      <c r="AB28" s="720"/>
      <c r="AC28" s="730">
        <f ca="1">IF(AA28="","",AA28/OFFSET($AB$23,AF28,0))</f>
        <v>0.26015384615384618</v>
      </c>
      <c r="AD28" s="681"/>
      <c r="AE28" s="1067"/>
      <c r="AF28" s="587">
        <f>AF27</f>
        <v>4</v>
      </c>
      <c r="AG28" s="587"/>
      <c r="AH28" s="669">
        <f>$AH$16/K28</f>
        <v>5</v>
      </c>
      <c r="AI28" s="669">
        <f>$AH$16/AH28</f>
        <v>1</v>
      </c>
      <c r="AJ28" s="665">
        <f>$H28*(1-(1+$L$15)^-(AH28*AI28))/((1+$L$15)^AI28-1)*(1+((1+$L$15)^AI28-1))</f>
        <v>2457.5816040147265</v>
      </c>
      <c r="AK28" s="984"/>
    </row>
    <row r="29" spans="1:37" ht="18" customHeight="1">
      <c r="A29" s="676"/>
      <c r="B29" s="712"/>
      <c r="C29" s="1402"/>
      <c r="D29" s="3853"/>
      <c r="E29" s="685" t="s">
        <v>4</v>
      </c>
      <c r="F29" s="1177"/>
      <c r="G29" s="1177">
        <f t="shared" si="4"/>
        <v>2</v>
      </c>
      <c r="H29" s="665">
        <f>I226</f>
        <v>420</v>
      </c>
      <c r="I29" s="818" t="s">
        <v>4</v>
      </c>
      <c r="J29" s="666" t="str">
        <f>IF(K29=1,"Annual","Done every "&amp;K29&amp;" years")</f>
        <v>Annual</v>
      </c>
      <c r="K29" s="667">
        <f>L226</f>
        <v>1</v>
      </c>
      <c r="L29" s="668">
        <f t="shared" si="5"/>
        <v>80</v>
      </c>
      <c r="M29" s="667">
        <f t="shared" si="5"/>
        <v>1</v>
      </c>
      <c r="N29" s="665">
        <f>$H29*(1-(1+$L$15)^-(L29*M29))/((1+$L$15)^M29-1)*(1+((1+$L$15)^M29-1))</f>
        <v>10446.243158697513</v>
      </c>
      <c r="O29" s="680">
        <f t="shared" si="0"/>
        <v>419.99999999999966</v>
      </c>
      <c r="P29" s="2803"/>
      <c r="Q29" s="2824"/>
      <c r="R29" s="2825"/>
      <c r="S29" s="2863"/>
      <c r="T29" s="1036" t="s">
        <v>810</v>
      </c>
      <c r="U29" s="675">
        <f t="shared" si="6"/>
        <v>4.1999999999999966</v>
      </c>
      <c r="V29" s="684" t="str">
        <f>IF($T29="L",SUM($U29:U29)*V$16,"")</f>
        <v/>
      </c>
      <c r="W29" s="684">
        <f>IF($U29="","",IF(OR($T29="L",$T29="T",$T29="C"),SUM($U29:V29)*W$16,""))</f>
        <v>0.41999999999999971</v>
      </c>
      <c r="X29" s="684">
        <f>IF($U29="","",SUM($U29:W29)*X$16)</f>
        <v>1.385999999999999</v>
      </c>
      <c r="Y29" s="1024">
        <f>IF($U29="","",SUM(V29:X29))</f>
        <v>1.8059999999999987</v>
      </c>
      <c r="Z29" s="721"/>
      <c r="AA29" s="738">
        <f>IF($U29="","",SUM(U29,Y29))</f>
        <v>6.0059999999999949</v>
      </c>
      <c r="AB29" s="721"/>
      <c r="AC29" s="730">
        <f ca="1">IF(AA29="","",AA29/OFFSET($AB$23,AF29,0))</f>
        <v>0.20584615384615385</v>
      </c>
      <c r="AD29" s="683"/>
      <c r="AE29" s="1067"/>
      <c r="AF29" s="587">
        <f>AF28</f>
        <v>4</v>
      </c>
      <c r="AG29" s="587"/>
      <c r="AH29" s="669">
        <f>$AH$16/K29</f>
        <v>5</v>
      </c>
      <c r="AI29" s="669">
        <f>$AH$16/AH29</f>
        <v>1</v>
      </c>
      <c r="AJ29" s="665">
        <f>$H29*(1-(1+$L$15)^-(AH29*AI29))/((1+$L$15)^AI29-1)*(1+((1+$L$15)^AI29-1))</f>
        <v>1944.5559941878794</v>
      </c>
      <c r="AK29" s="985"/>
    </row>
    <row r="30" spans="1:37" ht="18" customHeight="1">
      <c r="A30" s="676"/>
      <c r="B30" s="712"/>
      <c r="C30" s="1402"/>
      <c r="D30" s="3854"/>
      <c r="E30" s="1082" t="s">
        <v>21</v>
      </c>
      <c r="F30" s="1177"/>
      <c r="G30" s="1177"/>
      <c r="H30" s="665"/>
      <c r="I30" s="818"/>
      <c r="J30" s="666"/>
      <c r="K30" s="667"/>
      <c r="L30" s="668"/>
      <c r="M30" s="667"/>
      <c r="N30" s="665"/>
      <c r="O30" s="680">
        <f t="shared" si="0"/>
        <v>0</v>
      </c>
      <c r="P30" s="2803"/>
      <c r="Q30" s="2824"/>
      <c r="R30" s="2825"/>
      <c r="S30" s="2863"/>
      <c r="T30" s="1036" t="s">
        <v>811</v>
      </c>
      <c r="U30" s="675"/>
      <c r="V30" s="684" t="str">
        <f>IF($T30="L",SUM($U30:U30)*V$16,"")</f>
        <v/>
      </c>
      <c r="W30" s="684"/>
      <c r="X30" s="684"/>
      <c r="Y30" s="1024"/>
      <c r="Z30" s="721"/>
      <c r="AA30" s="738"/>
      <c r="AB30" s="721"/>
      <c r="AC30" s="730"/>
      <c r="AD30" s="683"/>
      <c r="AE30" s="1067"/>
      <c r="AF30" s="587">
        <f>AF29</f>
        <v>4</v>
      </c>
      <c r="AG30" s="587"/>
      <c r="AH30" s="669"/>
      <c r="AI30" s="669"/>
      <c r="AJ30" s="665"/>
      <c r="AK30" s="985"/>
    </row>
    <row r="31" spans="1:37" s="828" customFormat="1" ht="19" customHeight="1">
      <c r="B31" s="1486">
        <v>3</v>
      </c>
      <c r="C31" s="3952" t="s">
        <v>316</v>
      </c>
      <c r="D31" s="3866" t="s">
        <v>1275</v>
      </c>
      <c r="E31" s="1487" t="s">
        <v>1205</v>
      </c>
      <c r="F31" s="1488"/>
      <c r="G31" s="1488"/>
      <c r="H31" s="1489">
        <f>F256</f>
        <v>927000</v>
      </c>
      <c r="I31" s="1489" t="str">
        <f>G256</f>
        <v>Cost for liaison officers</v>
      </c>
      <c r="J31" s="1491" t="str">
        <f>IF(K31=1,"Annual","Done every "&amp;K31&amp;" years")</f>
        <v>Annual</v>
      </c>
      <c r="K31" s="1492">
        <f>$D$242</f>
        <v>1</v>
      </c>
      <c r="L31" s="1493">
        <f>$L$16/K31</f>
        <v>80</v>
      </c>
      <c r="M31" s="1494">
        <f>$L$16/L31</f>
        <v>1</v>
      </c>
      <c r="N31" s="1489">
        <f>$H31*(1-(1+$L$15)^-(L31*M31))/((1+$L$15)^M31-1)*(1+((1+$L$15)^M31-1))</f>
        <v>23056350.971696652</v>
      </c>
      <c r="O31" s="1495">
        <f t="shared" si="0"/>
        <v>926999.99999999919</v>
      </c>
      <c r="P31" s="1181">
        <f>SUM(O31:O34)</f>
        <v>926999.99999999919</v>
      </c>
      <c r="Q31" s="2826"/>
      <c r="R31" s="2827"/>
      <c r="S31" s="2864"/>
      <c r="T31" s="1497" t="s">
        <v>808</v>
      </c>
      <c r="U31" s="2529">
        <f>O31</f>
        <v>926999.99999999919</v>
      </c>
      <c r="V31" s="1498">
        <f>IF($T31="L",SUM($U31:U31)*V$16,"")</f>
        <v>278099.99999999977</v>
      </c>
      <c r="W31" s="1474"/>
      <c r="X31" s="1498">
        <f>IF($U31="","",SUM($U31:W31)*X$16)</f>
        <v>361529.99999999971</v>
      </c>
      <c r="Y31" s="1182">
        <f t="shared" ref="Y31:Y42" si="7">IF($U31="","",SUM(V31:X31))</f>
        <v>639629.99999999953</v>
      </c>
      <c r="Z31" s="1496">
        <f>SUM(V31:X34)</f>
        <v>639629.99999999953</v>
      </c>
      <c r="AA31" s="1499">
        <f t="shared" ref="AA31:AA42" si="8">IF($U31="","",SUM(U31,Y31))</f>
        <v>1566629.9999999986</v>
      </c>
      <c r="AB31" s="2530">
        <f>SUM(AA31:AA34)</f>
        <v>1566629.9999999986</v>
      </c>
      <c r="AC31" s="1500">
        <f t="shared" ref="AC31:AC42" ca="1" si="9">IF(AA31="","",AA31/OFFSET($AB$23,AF31,0))</f>
        <v>1</v>
      </c>
      <c r="AD31" s="1501"/>
      <c r="AE31" s="1502"/>
      <c r="AF31" s="587">
        <v>8</v>
      </c>
      <c r="AG31" s="1504">
        <f ca="1">SUM(AC31:AC34)-1</f>
        <v>0</v>
      </c>
      <c r="AH31" s="1505">
        <f>$AH$16/K31</f>
        <v>5</v>
      </c>
      <c r="AI31" s="1505">
        <f>$AH$16/AH31</f>
        <v>1</v>
      </c>
      <c r="AJ31" s="1489">
        <f>$H31*(1-(1+$L$15)^-(AH31*AI31))/((1+$L$15)^AI31-1)*(1+((1+$L$15)^AI31-1))</f>
        <v>4291912.8728861054</v>
      </c>
      <c r="AK31" s="1180">
        <f>SUM(AJ31:AJ34)</f>
        <v>4291912.8728861054</v>
      </c>
    </row>
    <row r="32" spans="1:37" s="828" customFormat="1" ht="19" customHeight="1">
      <c r="B32" s="1506"/>
      <c r="C32" s="3953"/>
      <c r="D32" s="3867"/>
      <c r="E32" s="1487" t="s">
        <v>308</v>
      </c>
      <c r="F32" s="1488"/>
      <c r="G32" s="1488">
        <f>$E$256</f>
        <v>2640</v>
      </c>
      <c r="H32" s="1489"/>
      <c r="I32" s="1490"/>
      <c r="J32" s="1491"/>
      <c r="K32" s="1492"/>
      <c r="L32" s="1493"/>
      <c r="M32" s="1494"/>
      <c r="N32" s="1489"/>
      <c r="O32" s="1495">
        <f t="shared" si="0"/>
        <v>0</v>
      </c>
      <c r="P32" s="839"/>
      <c r="Q32" s="2828"/>
      <c r="R32" s="2829"/>
      <c r="S32" s="2865"/>
      <c r="T32" s="1508" t="s">
        <v>809</v>
      </c>
      <c r="U32" s="1498"/>
      <c r="V32" s="1509" t="str">
        <f>IF($T32="L",SUM($U32:U32)*V$16,"")</f>
        <v/>
      </c>
      <c r="W32" s="1475" t="str">
        <f>IF($U32="","",IF(OR($T32="L",$T32="T",$T32="C"),SUM($U32:V32)*W$16,""))</f>
        <v/>
      </c>
      <c r="X32" s="1509" t="str">
        <f>IF($U32="","",SUM($U32:W32)*X$16)</f>
        <v/>
      </c>
      <c r="Y32" s="748" t="str">
        <f t="shared" si="7"/>
        <v/>
      </c>
      <c r="Z32" s="1507"/>
      <c r="AA32" s="1510" t="str">
        <f t="shared" si="8"/>
        <v/>
      </c>
      <c r="AB32" s="1507"/>
      <c r="AC32" s="1500" t="str">
        <f t="shared" ca="1" si="9"/>
        <v/>
      </c>
      <c r="AD32" s="1511"/>
      <c r="AE32" s="1502"/>
      <c r="AF32" s="1503">
        <f>AF31</f>
        <v>8</v>
      </c>
      <c r="AG32" s="1503"/>
      <c r="AH32" s="1505"/>
      <c r="AI32" s="1505"/>
      <c r="AJ32" s="1489"/>
      <c r="AK32" s="1512"/>
    </row>
    <row r="33" spans="1:37" s="828" customFormat="1" ht="16" customHeight="1">
      <c r="B33" s="1506"/>
      <c r="C33" s="3953"/>
      <c r="D33" s="3867"/>
      <c r="E33" s="1487" t="s">
        <v>4</v>
      </c>
      <c r="F33" s="1488"/>
      <c r="G33" s="1488"/>
      <c r="H33" s="1489"/>
      <c r="I33" s="1490"/>
      <c r="J33" s="1491"/>
      <c r="K33" s="1492"/>
      <c r="L33" s="1493"/>
      <c r="M33" s="1494"/>
      <c r="N33" s="1489"/>
      <c r="O33" s="1495">
        <f t="shared" si="0"/>
        <v>0</v>
      </c>
      <c r="P33" s="839"/>
      <c r="Q33" s="2828"/>
      <c r="R33" s="2829"/>
      <c r="S33" s="2865"/>
      <c r="T33" s="1508" t="s">
        <v>810</v>
      </c>
      <c r="U33" s="1498"/>
      <c r="V33" s="1509" t="str">
        <f>IF($T33="L",SUM($U33:U33)*V$16,"")</f>
        <v/>
      </c>
      <c r="W33" s="1475" t="str">
        <f>IF($U33="","",IF(OR($T33="L",$T33="T",$T33="C"),SUM($U33:V33)*W$16,""))</f>
        <v/>
      </c>
      <c r="X33" s="1509" t="str">
        <f>IF($U33="","",SUM($U33:W33)*X$16)</f>
        <v/>
      </c>
      <c r="Y33" s="748" t="str">
        <f t="shared" si="7"/>
        <v/>
      </c>
      <c r="Z33" s="1507"/>
      <c r="AA33" s="1510" t="str">
        <f t="shared" si="8"/>
        <v/>
      </c>
      <c r="AB33" s="1507"/>
      <c r="AC33" s="1500" t="str">
        <f t="shared" ca="1" si="9"/>
        <v/>
      </c>
      <c r="AD33" s="1501"/>
      <c r="AE33" s="1502"/>
      <c r="AF33" s="1503">
        <f>AF32</f>
        <v>8</v>
      </c>
      <c r="AG33" s="1503"/>
      <c r="AH33" s="1505"/>
      <c r="AI33" s="1505"/>
      <c r="AJ33" s="1489"/>
      <c r="AK33" s="1512"/>
    </row>
    <row r="34" spans="1:37" s="828" customFormat="1" ht="19" customHeight="1">
      <c r="B34" s="1506"/>
      <c r="C34" s="3954"/>
      <c r="D34" s="3868"/>
      <c r="E34" s="1487" t="s">
        <v>21</v>
      </c>
      <c r="F34" s="1488"/>
      <c r="G34" s="1488"/>
      <c r="H34" s="1489"/>
      <c r="I34" s="1490"/>
      <c r="J34" s="1491"/>
      <c r="K34" s="1492"/>
      <c r="L34" s="1493"/>
      <c r="M34" s="1494"/>
      <c r="N34" s="1489"/>
      <c r="O34" s="1495">
        <f t="shared" si="0"/>
        <v>0</v>
      </c>
      <c r="P34" s="839"/>
      <c r="Q34" s="2828"/>
      <c r="R34" s="2829"/>
      <c r="S34" s="2865"/>
      <c r="T34" s="1513" t="s">
        <v>811</v>
      </c>
      <c r="U34" s="1498"/>
      <c r="V34" s="1509" t="str">
        <f>IF($T34="L",SUM($U34:U34)*V$16,"")</f>
        <v/>
      </c>
      <c r="W34" s="1475" t="str">
        <f>IF($U34="","",IF(OR($T34="L",$T34="T",$T34="C"),$U34*#REF!,""))</f>
        <v/>
      </c>
      <c r="X34" s="1509" t="str">
        <f>IF($U34="","",SUM($U34:W34)*X$16)</f>
        <v/>
      </c>
      <c r="Y34" s="748" t="str">
        <f t="shared" si="7"/>
        <v/>
      </c>
      <c r="Z34" s="1507"/>
      <c r="AA34" s="1510" t="str">
        <f t="shared" si="8"/>
        <v/>
      </c>
      <c r="AB34" s="1507"/>
      <c r="AC34" s="1500" t="str">
        <f t="shared" ca="1" si="9"/>
        <v/>
      </c>
      <c r="AD34" s="1501"/>
      <c r="AE34" s="1502"/>
      <c r="AF34" s="1503">
        <f>AF33</f>
        <v>8</v>
      </c>
      <c r="AG34" s="1503"/>
      <c r="AH34" s="1505"/>
      <c r="AI34" s="1505"/>
      <c r="AJ34" s="1489"/>
      <c r="AK34" s="1512"/>
    </row>
    <row r="35" spans="1:37" s="1349" customFormat="1" ht="19" customHeight="1">
      <c r="B35" s="167">
        <v>4</v>
      </c>
      <c r="C35" s="3961" t="s">
        <v>654</v>
      </c>
      <c r="D35" s="3973" t="s">
        <v>228</v>
      </c>
      <c r="E35" s="168" t="s">
        <v>3</v>
      </c>
      <c r="F35" s="1350"/>
      <c r="G35" s="1350">
        <f t="shared" ref="G35:G37" si="10">E338</f>
        <v>10.666666666666666</v>
      </c>
      <c r="H35" s="169">
        <f t="shared" ref="H35:I38" si="11">G338</f>
        <v>2400</v>
      </c>
      <c r="I35" s="169" t="str">
        <f t="shared" si="11"/>
        <v>Cost for person hours</v>
      </c>
      <c r="J35" s="1351" t="str">
        <f t="shared" ref="J35:J41" si="12">IF(K35=1,"Annual","Done every "&amp;K35&amp;" years")</f>
        <v>Done every 10 years</v>
      </c>
      <c r="K35" s="1352">
        <f>I338</f>
        <v>10</v>
      </c>
      <c r="L35" s="1353">
        <f t="shared" ref="L35:M37" si="13">$L$16/K35</f>
        <v>8</v>
      </c>
      <c r="M35" s="1354">
        <f t="shared" si="13"/>
        <v>10</v>
      </c>
      <c r="N35" s="169">
        <f t="shared" ref="N35:N41" si="14">$H35*(1-(1+$L$15)^-(L35*M35))/((1+$L$15)^M35-1)*(1+((1+$L$15)^M35-1))</f>
        <v>7076.5229875716705</v>
      </c>
      <c r="O35" s="1355">
        <f t="shared" si="0"/>
        <v>284.51756383877625</v>
      </c>
      <c r="P35" s="1380">
        <f>SUM(O35:O38)</f>
        <v>3084.6445879520661</v>
      </c>
      <c r="Q35" s="2830"/>
      <c r="R35" s="2831"/>
      <c r="S35" s="2866"/>
      <c r="T35" s="1357" t="s">
        <v>808</v>
      </c>
      <c r="U35" s="1358">
        <f t="shared" ref="U35:U41" si="15">O35/$U$16</f>
        <v>2.8451756383877624</v>
      </c>
      <c r="V35" s="1359">
        <f>IF($T35="L",SUM($U35:U35)*V$16,"")</f>
        <v>0.85355269151632873</v>
      </c>
      <c r="W35" s="1359">
        <f>IF($U35="","",IF(OR($T35="L",$T35="T",$T35="C"),SUM($U35:V35)*W$16,""))</f>
        <v>0.36987283299040913</v>
      </c>
      <c r="X35" s="1359">
        <f>IF($U35="","",SUM($U35:W35)*X$16)</f>
        <v>1.2205803488683502</v>
      </c>
      <c r="Y35" s="1360">
        <f t="shared" si="7"/>
        <v>2.444005873375088</v>
      </c>
      <c r="Z35" s="1356">
        <f>SUM(V35:X38)</f>
        <v>11.402278468808824</v>
      </c>
      <c r="AA35" s="1361">
        <f t="shared" si="8"/>
        <v>5.28918151176285</v>
      </c>
      <c r="AB35" s="1356">
        <f>SUM(AA35:AA38)</f>
        <v>42.248724348329482</v>
      </c>
      <c r="AC35" s="1362">
        <f t="shared" ca="1" si="9"/>
        <v>0.12519150798861894</v>
      </c>
      <c r="AD35" s="1587"/>
      <c r="AE35" s="1364"/>
      <c r="AF35" s="1365">
        <f>AF31+4</f>
        <v>12</v>
      </c>
      <c r="AG35" s="1366">
        <f ca="1">SUM(AC35:AC38)-1</f>
        <v>0</v>
      </c>
      <c r="AH35" s="1367">
        <f>$AH$16/K35</f>
        <v>0.5</v>
      </c>
      <c r="AI35" s="1367">
        <f>$AH$16/AH35</f>
        <v>10</v>
      </c>
      <c r="AJ35" s="169">
        <f>$H35*(1-(1+$L$15)^-(AH35*AI35))/((1+$L$15)^AI35-1)*(1+((1+$L$15)^AI35-1))</f>
        <v>1317.2865100343465</v>
      </c>
      <c r="AK35" s="1368">
        <f>SUM(AJ35:AJ38)</f>
        <v>3304.193662669486</v>
      </c>
    </row>
    <row r="36" spans="1:37" s="1349" customFormat="1" ht="19" customHeight="1">
      <c r="B36" s="170"/>
      <c r="C36" s="3962"/>
      <c r="D36" s="3974"/>
      <c r="E36" s="168" t="s">
        <v>308</v>
      </c>
      <c r="F36" s="1350">
        <f>$D$304</f>
        <v>1</v>
      </c>
      <c r="G36" s="1350">
        <f t="shared" si="10"/>
        <v>5.333333333333333</v>
      </c>
      <c r="H36" s="169">
        <f t="shared" si="11"/>
        <v>1520</v>
      </c>
      <c r="I36" s="169" t="str">
        <f t="shared" si="11"/>
        <v>Cost for ute hire</v>
      </c>
      <c r="J36" s="1351" t="str">
        <f t="shared" si="12"/>
        <v>Done every 10 years</v>
      </c>
      <c r="K36" s="1352">
        <f>I339</f>
        <v>10</v>
      </c>
      <c r="L36" s="1353">
        <f t="shared" si="13"/>
        <v>8</v>
      </c>
      <c r="M36" s="1354">
        <f t="shared" si="13"/>
        <v>10</v>
      </c>
      <c r="N36" s="169">
        <f t="shared" si="14"/>
        <v>4481.7978921287249</v>
      </c>
      <c r="O36" s="1355">
        <f t="shared" si="0"/>
        <v>180.19445709789164</v>
      </c>
      <c r="P36" s="1382"/>
      <c r="Q36" s="2832">
        <f>1*(1-(1+$L$15)^-(L36*M36))/((1+$L$15)^M36-1)*(1+((1+$L$15)^M36-1))</f>
        <v>2.9485512448215299</v>
      </c>
      <c r="R36" s="2833">
        <f>Q36/(1+$L$15)*($L$15)/(1-(1+$L$15)^-$L$16)</f>
        <v>0.11854898493282347</v>
      </c>
      <c r="S36" s="2867">
        <f>F36*R36</f>
        <v>0.11854898493282347</v>
      </c>
      <c r="T36" s="1370" t="s">
        <v>809</v>
      </c>
      <c r="U36" s="1359">
        <f t="shared" si="15"/>
        <v>1.8019445709789164</v>
      </c>
      <c r="V36" s="1371" t="str">
        <f>IF($T36="L",SUM($U36:U36)*V$16,"")</f>
        <v/>
      </c>
      <c r="W36" s="1371">
        <f>IF($U36="","",IF(OR($T36="L",$T36="T",$T36="C"),SUM($U36:V36)*W$16,""))</f>
        <v>0.18019445709789164</v>
      </c>
      <c r="X36" s="1371">
        <f>IF($U36="","",SUM($U36:W36)*X$16)</f>
        <v>0.59464170842304243</v>
      </c>
      <c r="Y36" s="1372">
        <f t="shared" si="7"/>
        <v>0.77483616552093404</v>
      </c>
      <c r="Z36" s="1369"/>
      <c r="AA36" s="1373">
        <f t="shared" si="8"/>
        <v>2.5767807364998503</v>
      </c>
      <c r="AB36" s="1369"/>
      <c r="AC36" s="1362">
        <f t="shared" ca="1" si="9"/>
        <v>6.0990734661122058E-2</v>
      </c>
      <c r="AD36" s="1374"/>
      <c r="AE36" s="1375"/>
      <c r="AF36" s="1365">
        <f>AF35</f>
        <v>12</v>
      </c>
      <c r="AG36" s="1365"/>
      <c r="AH36" s="1367">
        <f>$AH$16/K36</f>
        <v>0.5</v>
      </c>
      <c r="AI36" s="1367">
        <f>$AH$16/AH36</f>
        <v>10</v>
      </c>
      <c r="AJ36" s="169">
        <f>$H36*(1-(1+$L$15)^-(AH36*AI36))/((1+$L$15)^AI36-1)*(1+((1+$L$15)^AI36-1))</f>
        <v>834.28145635508611</v>
      </c>
      <c r="AK36" s="1376"/>
    </row>
    <row r="37" spans="1:37" s="1349" customFormat="1" ht="16" customHeight="1">
      <c r="B37" s="170"/>
      <c r="C37" s="3962"/>
      <c r="D37" s="3974"/>
      <c r="E37" s="168" t="s">
        <v>4</v>
      </c>
      <c r="F37" s="1350"/>
      <c r="G37" s="1350">
        <f t="shared" si="10"/>
        <v>10</v>
      </c>
      <c r="H37" s="169">
        <f t="shared" si="11"/>
        <v>2100</v>
      </c>
      <c r="I37" s="169" t="str">
        <f t="shared" si="11"/>
        <v>Accomodation + Food Cost</v>
      </c>
      <c r="J37" s="1351" t="str">
        <f t="shared" si="12"/>
        <v>Done every 10 years</v>
      </c>
      <c r="K37" s="1352">
        <f>I340</f>
        <v>10</v>
      </c>
      <c r="L37" s="1353">
        <f t="shared" si="13"/>
        <v>8</v>
      </c>
      <c r="M37" s="1354">
        <f t="shared" si="13"/>
        <v>10</v>
      </c>
      <c r="N37" s="169">
        <f t="shared" si="14"/>
        <v>6191.9576141252128</v>
      </c>
      <c r="O37" s="1355">
        <f t="shared" si="0"/>
        <v>248.95286835892927</v>
      </c>
      <c r="P37" s="1382"/>
      <c r="Q37" s="2832"/>
      <c r="R37" s="2833"/>
      <c r="S37" s="2867"/>
      <c r="T37" s="1370" t="s">
        <v>810</v>
      </c>
      <c r="U37" s="1359">
        <f t="shared" si="15"/>
        <v>2.4895286835892927</v>
      </c>
      <c r="V37" s="1371" t="str">
        <f>IF($T37="L",SUM($U37:U37)*V$16,"")</f>
        <v/>
      </c>
      <c r="W37" s="1371">
        <f>IF($U37="","",IF(OR($T37="L",$T37="T",$T37="C"),SUM($U37:V37)*W$16,""))</f>
        <v>0.24895286835892927</v>
      </c>
      <c r="X37" s="1371">
        <f>IF($U37="","",SUM($U37:W37)*X$16)</f>
        <v>0.82154446558446659</v>
      </c>
      <c r="Y37" s="1372">
        <f t="shared" si="7"/>
        <v>1.0704973339433959</v>
      </c>
      <c r="Z37" s="1369"/>
      <c r="AA37" s="1373">
        <f t="shared" si="8"/>
        <v>3.5600260175326888</v>
      </c>
      <c r="AB37" s="1369"/>
      <c r="AC37" s="1362">
        <f t="shared" ca="1" si="9"/>
        <v>8.4263514992339708E-2</v>
      </c>
      <c r="AD37" s="1588"/>
      <c r="AE37" s="1375"/>
      <c r="AF37" s="1365">
        <f>AF36</f>
        <v>12</v>
      </c>
      <c r="AG37" s="1365"/>
      <c r="AH37" s="1367">
        <f>$AH$16/K37</f>
        <v>0.5</v>
      </c>
      <c r="AI37" s="1367">
        <f>$AH$16/AH37</f>
        <v>10</v>
      </c>
      <c r="AJ37" s="169">
        <f>$H37*(1-(1+$L$15)^-(AH37*AI37))/((1+$L$15)^AI37-1)*(1+((1+$L$15)^AI37-1))</f>
        <v>1152.6256962800535</v>
      </c>
      <c r="AK37" s="1376"/>
    </row>
    <row r="38" spans="1:37" s="1349" customFormat="1" ht="19" customHeight="1">
      <c r="B38" s="170"/>
      <c r="C38" s="3963"/>
      <c r="D38" s="3975"/>
      <c r="E38" s="168" t="s">
        <v>21</v>
      </c>
      <c r="F38" s="1350"/>
      <c r="G38" s="1350"/>
      <c r="H38" s="169">
        <f t="shared" si="11"/>
        <v>20000</v>
      </c>
      <c r="I38" s="169" t="str">
        <f t="shared" si="11"/>
        <v>Consumables cost</v>
      </c>
      <c r="J38" s="1351" t="str">
        <f t="shared" si="12"/>
        <v>Done every 10 years</v>
      </c>
      <c r="K38" s="1352">
        <f>I341</f>
        <v>10</v>
      </c>
      <c r="L38" s="1353">
        <f t="shared" ref="L38:M41" si="16">$L$16/K38</f>
        <v>8</v>
      </c>
      <c r="M38" s="1354">
        <f t="shared" si="16"/>
        <v>10</v>
      </c>
      <c r="N38" s="169">
        <f t="shared" si="14"/>
        <v>58971.024896430594</v>
      </c>
      <c r="O38" s="1355">
        <f t="shared" si="0"/>
        <v>2370.9796986564688</v>
      </c>
      <c r="P38" s="1382"/>
      <c r="Q38" s="2832"/>
      <c r="R38" s="2833"/>
      <c r="S38" s="2867"/>
      <c r="T38" s="1378" t="s">
        <v>811</v>
      </c>
      <c r="U38" s="1359">
        <f t="shared" si="15"/>
        <v>23.709796986564687</v>
      </c>
      <c r="V38" s="1371" t="str">
        <f>IF($T38="L",SUM($U38:U38)*V$16,"")</f>
        <v/>
      </c>
      <c r="W38" s="1371" t="str">
        <f>IF($U38="","",IF(OR($T38="L",$T38="T",$T38="C"),SUM($U38:V38)*W$16,""))</f>
        <v/>
      </c>
      <c r="X38" s="1371">
        <f>IF($U38="","",SUM($U38:W38)*X$16)</f>
        <v>7.1129390959694057</v>
      </c>
      <c r="Y38" s="1372">
        <f t="shared" si="7"/>
        <v>7.1129390959694057</v>
      </c>
      <c r="Z38" s="1369"/>
      <c r="AA38" s="1373">
        <f t="shared" si="8"/>
        <v>30.822736082534092</v>
      </c>
      <c r="AB38" s="1369"/>
      <c r="AC38" s="1362">
        <f t="shared" ca="1" si="9"/>
        <v>0.72955424235791932</v>
      </c>
      <c r="AD38" s="1589"/>
      <c r="AE38" s="1590"/>
      <c r="AF38" s="1365">
        <f>AF37</f>
        <v>12</v>
      </c>
      <c r="AG38" s="1365"/>
      <c r="AH38" s="1367"/>
      <c r="AI38" s="1367"/>
      <c r="AJ38" s="169"/>
      <c r="AK38" s="1376"/>
    </row>
    <row r="39" spans="1:37" s="172" customFormat="1" ht="19" customHeight="1">
      <c r="B39" s="2495">
        <v>5</v>
      </c>
      <c r="C39" s="3869" t="s">
        <v>394</v>
      </c>
      <c r="D39" s="4037" t="s">
        <v>1267</v>
      </c>
      <c r="E39" s="2496" t="s">
        <v>1205</v>
      </c>
      <c r="F39" s="2497"/>
      <c r="G39" s="2497">
        <f t="shared" ref="G39:G41" si="17">E406</f>
        <v>480</v>
      </c>
      <c r="H39" s="2498">
        <f t="shared" ref="H39:I41" si="18">H406</f>
        <v>108000</v>
      </c>
      <c r="I39" s="2498" t="str">
        <f t="shared" si="18"/>
        <v>Cost for all personnel to hunt invasive species</v>
      </c>
      <c r="J39" s="2499" t="str">
        <f t="shared" si="12"/>
        <v>Annual</v>
      </c>
      <c r="K39" s="2658">
        <f>J406</f>
        <v>1</v>
      </c>
      <c r="L39" s="2501">
        <f t="shared" si="16"/>
        <v>80</v>
      </c>
      <c r="M39" s="2502">
        <f t="shared" si="16"/>
        <v>1</v>
      </c>
      <c r="N39" s="2498">
        <f t="shared" si="14"/>
        <v>2686176.8122365032</v>
      </c>
      <c r="O39" s="2503">
        <f t="shared" si="0"/>
        <v>107999.99999999991</v>
      </c>
      <c r="P39" s="2804">
        <f>SUM(O39:O42)</f>
        <v>277199.99999999977</v>
      </c>
      <c r="Q39" s="2834"/>
      <c r="R39" s="2835"/>
      <c r="S39" s="2868"/>
      <c r="T39" s="2505" t="s">
        <v>808</v>
      </c>
      <c r="U39" s="2560">
        <f t="shared" si="15"/>
        <v>1079.9999999999991</v>
      </c>
      <c r="V39" s="2506">
        <f>IF($T39="L",SUM($U39:U39)*V$16,"")</f>
        <v>323.99999999999972</v>
      </c>
      <c r="W39" s="2520">
        <f>IF($U39="","",IF(OR($T39="L",$T39="T",$T39="C"),SUM($U39:V39)*W$16,""))</f>
        <v>140.39999999999989</v>
      </c>
      <c r="X39" s="2506">
        <f>IF($U39="","",SUM($U39:W39)*X$16)</f>
        <v>463.3199999999996</v>
      </c>
      <c r="Y39" s="2507">
        <f t="shared" si="7"/>
        <v>927.71999999999923</v>
      </c>
      <c r="Z39" s="2504">
        <f>SUM(V39:X42)</f>
        <v>1655.2799999999986</v>
      </c>
      <c r="AA39" s="2508">
        <f t="shared" si="8"/>
        <v>2007.7199999999984</v>
      </c>
      <c r="AB39" s="2504">
        <f>SUM(AA39:AA42)</f>
        <v>4427.2799999999961</v>
      </c>
      <c r="AC39" s="2509">
        <f t="shared" ca="1" si="9"/>
        <v>0.45348837209302328</v>
      </c>
      <c r="AD39" s="2510"/>
      <c r="AE39" s="2511"/>
      <c r="AF39" s="2512">
        <f>AF35+4</f>
        <v>16</v>
      </c>
      <c r="AG39" s="2513">
        <f ca="1">SUM(AC39:AC42)-1</f>
        <v>0</v>
      </c>
      <c r="AH39" s="2514">
        <f t="shared" ref="AH39:AH45" si="19">$AH$16/K39</f>
        <v>5</v>
      </c>
      <c r="AI39" s="2514">
        <f t="shared" ref="AI39:AI46" si="20">$AH$16/AH39</f>
        <v>1</v>
      </c>
      <c r="AJ39" s="2498">
        <f t="shared" ref="AJ39:AJ45" si="21">$H39*(1-(1+$L$15)^-(AH39*AI39))/((1+$L$15)^AI39-1)*(1+((1+$L$15)^AI39-1))</f>
        <v>500028.68421974045</v>
      </c>
      <c r="AK39" s="2515" t="e">
        <f>SUM(AJ39:AJ42)</f>
        <v>#DIV/0!</v>
      </c>
    </row>
    <row r="40" spans="1:37" s="172" customFormat="1" ht="19" customHeight="1">
      <c r="B40" s="2516"/>
      <c r="C40" s="3870"/>
      <c r="D40" s="4038"/>
      <c r="E40" s="2496" t="s">
        <v>308</v>
      </c>
      <c r="F40" s="2497">
        <f>D393</f>
        <v>12</v>
      </c>
      <c r="G40" s="2497">
        <f t="shared" si="17"/>
        <v>240</v>
      </c>
      <c r="H40" s="2498">
        <f t="shared" si="18"/>
        <v>68400</v>
      </c>
      <c r="I40" s="2498" t="str">
        <f t="shared" si="18"/>
        <v>Cost for ute hire for the whole activity</v>
      </c>
      <c r="J40" s="2499" t="str">
        <f t="shared" si="12"/>
        <v>Annual</v>
      </c>
      <c r="K40" s="2658">
        <f>J407</f>
        <v>1</v>
      </c>
      <c r="L40" s="2501">
        <f t="shared" si="16"/>
        <v>80</v>
      </c>
      <c r="M40" s="2502">
        <f t="shared" si="16"/>
        <v>1</v>
      </c>
      <c r="N40" s="2498">
        <f t="shared" si="14"/>
        <v>1701245.3144164518</v>
      </c>
      <c r="O40" s="2503">
        <f t="shared" si="0"/>
        <v>68399.999999999942</v>
      </c>
      <c r="P40" s="2805"/>
      <c r="Q40" s="2836">
        <f>1*(1-(1+$L$15)^-(L40*M40))/((1+$L$15)^M40-1)*(1+((1+$L$15)^M40-1))</f>
        <v>24.872007520708362</v>
      </c>
      <c r="R40" s="2837">
        <f>Q40/(1+$L$15)*($L$15)/(1-(1+$L$15)^-$L$16)</f>
        <v>0.99999999999999911</v>
      </c>
      <c r="S40" s="2869">
        <f>F40*R40</f>
        <v>11.999999999999989</v>
      </c>
      <c r="T40" s="2519" t="s">
        <v>809</v>
      </c>
      <c r="U40" s="2560">
        <f t="shared" si="15"/>
        <v>683.99999999999943</v>
      </c>
      <c r="V40" s="2520" t="str">
        <f>IF($T40="L",SUM($U40:U40)*V$16,"")</f>
        <v/>
      </c>
      <c r="W40" s="2520">
        <f>IF($U40="","",IF(OR($T40="L",$T40="T",$T40="C"),SUM($U40:V40)*W$16,""))</f>
        <v>68.399999999999949</v>
      </c>
      <c r="X40" s="2520">
        <f>IF($U40="","",SUM($U40:W40)*X$16)</f>
        <v>225.71999999999983</v>
      </c>
      <c r="Y40" s="2521">
        <f t="shared" si="7"/>
        <v>294.11999999999978</v>
      </c>
      <c r="Z40" s="2518"/>
      <c r="AA40" s="2522">
        <f t="shared" si="8"/>
        <v>978.11999999999921</v>
      </c>
      <c r="AB40" s="2518"/>
      <c r="AC40" s="2509">
        <f t="shared" ca="1" si="9"/>
        <v>0.22093023255813954</v>
      </c>
      <c r="AD40" s="2523"/>
      <c r="AE40" s="2511"/>
      <c r="AF40" s="2512">
        <f>AF39</f>
        <v>16</v>
      </c>
      <c r="AG40" s="2512"/>
      <c r="AH40" s="2514">
        <f t="shared" si="19"/>
        <v>5</v>
      </c>
      <c r="AI40" s="2514">
        <f t="shared" si="20"/>
        <v>1</v>
      </c>
      <c r="AJ40" s="2498">
        <f t="shared" si="21"/>
        <v>316684.83333916898</v>
      </c>
      <c r="AK40" s="2524"/>
    </row>
    <row r="41" spans="1:37" s="172" customFormat="1" ht="16" customHeight="1">
      <c r="B41" s="2516"/>
      <c r="C41" s="3870"/>
      <c r="D41" s="4038"/>
      <c r="E41" s="2496" t="s">
        <v>4</v>
      </c>
      <c r="F41" s="2497"/>
      <c r="G41" s="2497">
        <f t="shared" si="17"/>
        <v>480</v>
      </c>
      <c r="H41" s="2498">
        <f t="shared" si="18"/>
        <v>100800</v>
      </c>
      <c r="I41" s="2498" t="str">
        <f t="shared" si="18"/>
        <v>Accomodation + Food Cost</v>
      </c>
      <c r="J41" s="2499" t="str">
        <f t="shared" si="12"/>
        <v>Annual</v>
      </c>
      <c r="K41" s="2658">
        <f>J408</f>
        <v>1</v>
      </c>
      <c r="L41" s="2501">
        <f t="shared" si="16"/>
        <v>80</v>
      </c>
      <c r="M41" s="2502">
        <f t="shared" si="16"/>
        <v>1</v>
      </c>
      <c r="N41" s="2498">
        <f t="shared" si="14"/>
        <v>2507098.3580874023</v>
      </c>
      <c r="O41" s="2503">
        <f t="shared" si="0"/>
        <v>100799.9999999999</v>
      </c>
      <c r="P41" s="2805"/>
      <c r="Q41" s="2836"/>
      <c r="R41" s="2837"/>
      <c r="S41" s="2869"/>
      <c r="T41" s="2519" t="s">
        <v>810</v>
      </c>
      <c r="U41" s="2560">
        <f t="shared" si="15"/>
        <v>1007.999999999999</v>
      </c>
      <c r="V41" s="2520" t="str">
        <f>IF($T41="L",SUM($U41:U41)*V$16,"")</f>
        <v/>
      </c>
      <c r="W41" s="2520">
        <f>IF($U41="","",IF(OR($T41="L",$T41="T",$T41="C"),SUM($U41:V41)*W$16,""))</f>
        <v>100.7999999999999</v>
      </c>
      <c r="X41" s="2520">
        <f>IF($U41="","",SUM($U41:W41)*X$16)</f>
        <v>332.63999999999965</v>
      </c>
      <c r="Y41" s="2521">
        <f t="shared" si="7"/>
        <v>433.43999999999954</v>
      </c>
      <c r="Z41" s="2518"/>
      <c r="AA41" s="2522">
        <f t="shared" si="8"/>
        <v>1441.4399999999985</v>
      </c>
      <c r="AB41" s="2518"/>
      <c r="AC41" s="2509">
        <f t="shared" ca="1" si="9"/>
        <v>0.32558139534883712</v>
      </c>
      <c r="AD41" s="2510"/>
      <c r="AE41" s="2511"/>
      <c r="AF41" s="2512">
        <f>AF40</f>
        <v>16</v>
      </c>
      <c r="AG41" s="2512"/>
      <c r="AH41" s="2514">
        <f t="shared" si="19"/>
        <v>5</v>
      </c>
      <c r="AI41" s="2514">
        <f t="shared" si="20"/>
        <v>1</v>
      </c>
      <c r="AJ41" s="2498">
        <f t="shared" si="21"/>
        <v>466693.43860509107</v>
      </c>
      <c r="AK41" s="2524"/>
    </row>
    <row r="42" spans="1:37" s="172" customFormat="1" ht="19" customHeight="1">
      <c r="B42" s="2516"/>
      <c r="C42" s="3871"/>
      <c r="D42" s="4039"/>
      <c r="E42" s="2496" t="s">
        <v>21</v>
      </c>
      <c r="F42" s="2497"/>
      <c r="G42" s="2497"/>
      <c r="H42" s="2498"/>
      <c r="I42" s="2517"/>
      <c r="J42" s="2499"/>
      <c r="K42" s="2658"/>
      <c r="L42" s="2501"/>
      <c r="M42" s="2502"/>
      <c r="N42" s="2498"/>
      <c r="O42" s="2503">
        <f t="shared" si="0"/>
        <v>0</v>
      </c>
      <c r="P42" s="2805"/>
      <c r="Q42" s="2836"/>
      <c r="R42" s="2837"/>
      <c r="S42" s="2869"/>
      <c r="T42" s="2525" t="s">
        <v>811</v>
      </c>
      <c r="U42" s="2506"/>
      <c r="V42" s="2520" t="str">
        <f>IF($T42="L",SUM($U42:U42)*V$16,"")</f>
        <v/>
      </c>
      <c r="W42" s="2520" t="str">
        <f>IF($U42="","",IF(OR($T42="L",$T42="T",$T42="C"),$U42*#REF!,""))</f>
        <v/>
      </c>
      <c r="X42" s="2520" t="str">
        <f>IF($U42="","",SUM($U42:W42)*X$16)</f>
        <v/>
      </c>
      <c r="Y42" s="2521" t="str">
        <f t="shared" si="7"/>
        <v/>
      </c>
      <c r="Z42" s="2518"/>
      <c r="AA42" s="2522" t="str">
        <f t="shared" si="8"/>
        <v/>
      </c>
      <c r="AB42" s="2518"/>
      <c r="AC42" s="2509" t="str">
        <f t="shared" ca="1" si="9"/>
        <v/>
      </c>
      <c r="AD42" s="2510"/>
      <c r="AE42" s="2511"/>
      <c r="AF42" s="2512">
        <f>AF41</f>
        <v>16</v>
      </c>
      <c r="AG42" s="2512"/>
      <c r="AH42" s="2514" t="e">
        <f t="shared" si="19"/>
        <v>#DIV/0!</v>
      </c>
      <c r="AI42" s="2514" t="e">
        <f t="shared" si="20"/>
        <v>#DIV/0!</v>
      </c>
      <c r="AJ42" s="2498" t="e">
        <f t="shared" si="21"/>
        <v>#DIV/0!</v>
      </c>
      <c r="AK42" s="2524"/>
    </row>
    <row r="43" spans="1:37" s="1144" customFormat="1" ht="19" customHeight="1">
      <c r="A43" s="9"/>
      <c r="B43" s="2735">
        <v>6.1</v>
      </c>
      <c r="C43" s="3844" t="s">
        <v>655</v>
      </c>
      <c r="D43" s="3847" t="s">
        <v>1206</v>
      </c>
      <c r="E43" s="12" t="s">
        <v>1205</v>
      </c>
      <c r="F43" s="1172"/>
      <c r="G43" s="1172">
        <f t="shared" ref="G43:G45" si="22">F523</f>
        <v>2400</v>
      </c>
      <c r="H43" s="188">
        <f>G523</f>
        <v>20000000</v>
      </c>
      <c r="I43" s="1088" t="str">
        <f>Q523</f>
        <v>Labour+Equipment costs for construction</v>
      </c>
      <c r="J43" s="377" t="str">
        <f t="shared" ref="J43:J53" si="23">IF(K43=1,"Annual","Done every "&amp;K43&amp;" years")</f>
        <v>Done every 20 years</v>
      </c>
      <c r="K43" s="1146">
        <f>H523</f>
        <v>20</v>
      </c>
      <c r="L43" s="158">
        <f t="shared" ref="L43:M45" si="24">$L$16/K43</f>
        <v>4</v>
      </c>
      <c r="M43" s="586">
        <f t="shared" si="24"/>
        <v>20</v>
      </c>
      <c r="N43" s="188">
        <f t="shared" ref="N43:N53" si="25">$H43*(1-(1+$L$15)^-(L43*M43))/((1+$L$15)^M43-1)*(1+((1+$L$15)^M43-1))</f>
        <v>35194727.837702744</v>
      </c>
      <c r="O43" s="1147">
        <f t="shared" si="0"/>
        <v>1415033.660165939</v>
      </c>
      <c r="P43" s="2806">
        <f>SUM(O43:O46)</f>
        <v>1474889.5839909581</v>
      </c>
      <c r="Q43" s="2816"/>
      <c r="R43" s="2817"/>
      <c r="S43" s="2859"/>
      <c r="T43" s="1148" t="s">
        <v>808</v>
      </c>
      <c r="U43" s="1149">
        <f t="shared" ref="U43:U51" si="26">O43/$U$16</f>
        <v>14150.33660165939</v>
      </c>
      <c r="V43" s="583">
        <f>IF($T43="L",SUM($U43:U43)*V$16,"")</f>
        <v>4245.1009804978166</v>
      </c>
      <c r="W43" s="583">
        <f>IF($U43="","",IF(OR($T43="L",$T43="T",$T43="C"),SUM($U43:V43)*W$16,""))</f>
        <v>1839.5437582157208</v>
      </c>
      <c r="X43" s="583">
        <f>IF($U43="","",SUM($U43:W43)*X$16)</f>
        <v>6070.4944021118781</v>
      </c>
      <c r="Y43" s="240">
        <f t="shared" ref="Y43:Y78" si="27">IF($U43="","",SUM(V43:X43))</f>
        <v>12155.139140825417</v>
      </c>
      <c r="Z43" s="192">
        <f>SUM(V43:X46)</f>
        <v>12412.519613273</v>
      </c>
      <c r="AA43" s="742">
        <f t="shared" ref="AA43:AA78" si="28">IF($U43="","",SUM(U43,Y43))</f>
        <v>26305.475742484807</v>
      </c>
      <c r="AB43" s="192">
        <f>SUM(AA43:AA46)</f>
        <v>27161.415453182584</v>
      </c>
      <c r="AC43" s="889">
        <f t="shared" ref="AC43:AC78" ca="1" si="29">IF(AA43="","",AA43/OFFSET($AB$23,AF43,0))</f>
        <v>0.96848692542650661</v>
      </c>
      <c r="AD43" s="2736"/>
      <c r="AE43" s="1437"/>
      <c r="AF43" s="1482">
        <f>AF39+4</f>
        <v>20</v>
      </c>
      <c r="AG43" s="1439">
        <f ca="1">SUM(AC43:AC46)-1</f>
        <v>0</v>
      </c>
      <c r="AH43" s="13">
        <f t="shared" si="19"/>
        <v>0.25</v>
      </c>
      <c r="AI43" s="13">
        <f t="shared" si="20"/>
        <v>20</v>
      </c>
      <c r="AJ43" s="188">
        <f t="shared" si="21"/>
        <v>6551457.5853649853</v>
      </c>
      <c r="AK43" s="191">
        <f>SUM(AJ43:AJ46)</f>
        <v>8828584.2412259243</v>
      </c>
    </row>
    <row r="44" spans="1:37" s="1144" customFormat="1" ht="19" customHeight="1">
      <c r="A44" s="9"/>
      <c r="B44" s="261"/>
      <c r="C44" s="3845"/>
      <c r="D44" s="3848"/>
      <c r="E44" s="12" t="s">
        <v>308</v>
      </c>
      <c r="F44" s="1172">
        <f>D480</f>
        <v>58</v>
      </c>
      <c r="G44" s="1172">
        <f t="shared" si="22"/>
        <v>1200</v>
      </c>
      <c r="H44" s="188">
        <f>G524</f>
        <v>342000</v>
      </c>
      <c r="I44" s="1088" t="str">
        <f>Q524</f>
        <v>On site Vehicle Costs</v>
      </c>
      <c r="J44" s="377" t="str">
        <f t="shared" si="23"/>
        <v>Done every 20 years</v>
      </c>
      <c r="K44" s="1146">
        <f>H524</f>
        <v>20</v>
      </c>
      <c r="L44" s="158">
        <f t="shared" si="24"/>
        <v>4</v>
      </c>
      <c r="M44" s="586">
        <f t="shared" si="24"/>
        <v>20</v>
      </c>
      <c r="N44" s="188">
        <f t="shared" si="25"/>
        <v>601829.84602471697</v>
      </c>
      <c r="O44" s="1147">
        <f t="shared" si="0"/>
        <v>24197.075588837561</v>
      </c>
      <c r="P44" s="190"/>
      <c r="Q44" s="2818">
        <f>1*(1-(1+$L$15)^-(L44*M44))/((1+$L$15)^M44-1)*(1+((1+$L$15)^M44-1))</f>
        <v>1.7597363918851372</v>
      </c>
      <c r="R44" s="2819">
        <f>Q44/(1+$L$15)*($L$15)/(1-(1+$L$15)^-$L$16)</f>
        <v>7.0751683008296956E-2</v>
      </c>
      <c r="S44" s="2860">
        <f>F44*R44</f>
        <v>4.1035976144812238</v>
      </c>
      <c r="T44" s="1152" t="s">
        <v>809</v>
      </c>
      <c r="U44" s="583">
        <f t="shared" si="26"/>
        <v>241.97075588837561</v>
      </c>
      <c r="V44" s="585" t="str">
        <f>IF($T44="L",SUM($U44:U44)*V$16,"")</f>
        <v/>
      </c>
      <c r="W44" s="585">
        <f>IF($U44="","",IF(OR($T44="L",$T44="T",$T44="C"),SUM($U44:V44)*W$16,""))</f>
        <v>24.197075588837563</v>
      </c>
      <c r="X44" s="585">
        <f>IF($U44="","",SUM($U44:W44)*X$16)</f>
        <v>79.85034944316395</v>
      </c>
      <c r="Y44" s="242">
        <f t="shared" si="27"/>
        <v>104.04742503200151</v>
      </c>
      <c r="Z44" s="194"/>
      <c r="AA44" s="733">
        <f t="shared" si="28"/>
        <v>346.01818092037712</v>
      </c>
      <c r="AB44" s="194"/>
      <c r="AC44" s="889">
        <f t="shared" ca="1" si="29"/>
        <v>1.2739328019071744E-2</v>
      </c>
      <c r="AD44" s="2737"/>
      <c r="AE44" s="1437"/>
      <c r="AF44" s="1438">
        <f>AF43</f>
        <v>20</v>
      </c>
      <c r="AG44" s="1438"/>
      <c r="AH44" s="13">
        <f t="shared" si="19"/>
        <v>0.25</v>
      </c>
      <c r="AI44" s="13">
        <f t="shared" si="20"/>
        <v>20</v>
      </c>
      <c r="AJ44" s="188">
        <f t="shared" si="21"/>
        <v>112029.92470974124</v>
      </c>
      <c r="AK44" s="342"/>
    </row>
    <row r="45" spans="1:37" s="1144" customFormat="1" ht="16" customHeight="1">
      <c r="A45" s="9"/>
      <c r="B45" s="261"/>
      <c r="C45" s="3845"/>
      <c r="D45" s="3848"/>
      <c r="E45" s="12" t="s">
        <v>4</v>
      </c>
      <c r="F45" s="1172"/>
      <c r="G45" s="1172">
        <f t="shared" si="22"/>
        <v>2400</v>
      </c>
      <c r="H45" s="188">
        <f>G525</f>
        <v>504000</v>
      </c>
      <c r="I45" s="1088" t="str">
        <f>Q525</f>
        <v>Accomodation</v>
      </c>
      <c r="J45" s="377" t="str">
        <f t="shared" si="23"/>
        <v>Done every 20 years</v>
      </c>
      <c r="K45" s="1146">
        <f>H525</f>
        <v>20</v>
      </c>
      <c r="L45" s="158">
        <f t="shared" si="24"/>
        <v>4</v>
      </c>
      <c r="M45" s="586">
        <f t="shared" si="24"/>
        <v>20</v>
      </c>
      <c r="N45" s="188">
        <f t="shared" si="25"/>
        <v>886907.14151010907</v>
      </c>
      <c r="O45" s="1147">
        <f t="shared" si="0"/>
        <v>35658.848236181657</v>
      </c>
      <c r="P45" s="190"/>
      <c r="Q45" s="2818"/>
      <c r="R45" s="2819"/>
      <c r="S45" s="2860"/>
      <c r="T45" s="1152" t="s">
        <v>810</v>
      </c>
      <c r="U45" s="583">
        <f t="shared" si="26"/>
        <v>356.58848236181655</v>
      </c>
      <c r="V45" s="585" t="str">
        <f>IF($T45="L",SUM($U45:U45)*V$16,"")</f>
        <v/>
      </c>
      <c r="W45" s="585">
        <f>IF($U45="","",IF(OR($T45="L",$T45="T",$T45="C"),SUM($U45:V45)*W$16,""))</f>
        <v>35.658848236181655</v>
      </c>
      <c r="X45" s="585">
        <f>IF($U45="","",SUM($U45:W45)*X$16)</f>
        <v>117.67419917939945</v>
      </c>
      <c r="Y45" s="242">
        <f t="shared" si="27"/>
        <v>153.33304741558112</v>
      </c>
      <c r="Z45" s="194"/>
      <c r="AA45" s="733">
        <f t="shared" si="28"/>
        <v>509.92152977739767</v>
      </c>
      <c r="AB45" s="194"/>
      <c r="AC45" s="889">
        <f t="shared" ca="1" si="29"/>
        <v>1.877374655442151E-2</v>
      </c>
      <c r="AD45" s="2736"/>
      <c r="AE45" s="1437"/>
      <c r="AF45" s="1438">
        <f>AF44</f>
        <v>20</v>
      </c>
      <c r="AG45" s="1438"/>
      <c r="AH45" s="13">
        <f t="shared" si="19"/>
        <v>0.25</v>
      </c>
      <c r="AI45" s="13">
        <f t="shared" si="20"/>
        <v>20</v>
      </c>
      <c r="AJ45" s="188">
        <f t="shared" si="21"/>
        <v>165096.73115119763</v>
      </c>
      <c r="AK45" s="342"/>
    </row>
    <row r="46" spans="1:37" s="1144" customFormat="1" ht="19" customHeight="1">
      <c r="A46" s="9"/>
      <c r="B46" s="261"/>
      <c r="C46" s="3846"/>
      <c r="D46" s="3849"/>
      <c r="E46" s="12"/>
      <c r="F46" s="2742"/>
      <c r="G46" s="2742"/>
      <c r="H46" s="2742"/>
      <c r="I46" s="2742"/>
      <c r="J46" s="2742"/>
      <c r="K46" s="2742"/>
      <c r="L46" s="158"/>
      <c r="M46" s="586"/>
      <c r="N46" s="188"/>
      <c r="O46" s="1147"/>
      <c r="P46" s="2807"/>
      <c r="Q46" s="2820"/>
      <c r="R46" s="2821"/>
      <c r="S46" s="2861"/>
      <c r="T46" s="1156"/>
      <c r="U46" s="2744"/>
      <c r="V46" s="891"/>
      <c r="W46" s="891"/>
      <c r="X46" s="891"/>
      <c r="Y46" s="244"/>
      <c r="Z46" s="2743"/>
      <c r="AA46" s="2745"/>
      <c r="AB46" s="2743"/>
      <c r="AC46" s="2746"/>
      <c r="AD46" s="2736"/>
      <c r="AE46" s="1437"/>
      <c r="AF46" s="1438">
        <f>AF45</f>
        <v>20</v>
      </c>
      <c r="AG46" s="1438"/>
      <c r="AH46" s="13">
        <f>$AH$16/K47</f>
        <v>1</v>
      </c>
      <c r="AI46" s="13">
        <f t="shared" si="20"/>
        <v>5</v>
      </c>
      <c r="AJ46" s="188">
        <f>$H47*(1-(1+$L$15)^-(AH46*AI46))/((1+$L$15)^AI46-1)*(1+((1+$L$15)^AI46-1))</f>
        <v>2000000</v>
      </c>
      <c r="AK46" s="342"/>
    </row>
    <row r="47" spans="1:37" s="1144" customFormat="1" ht="19" customHeight="1">
      <c r="A47" s="9"/>
      <c r="B47" s="261"/>
      <c r="C47" s="2719"/>
      <c r="D47" s="2718" t="s">
        <v>1195</v>
      </c>
      <c r="E47" s="12" t="s">
        <v>1205</v>
      </c>
      <c r="F47" s="2738"/>
      <c r="G47" s="2738">
        <f>F530</f>
        <v>200</v>
      </c>
      <c r="H47" s="2738">
        <f>G530</f>
        <v>2000000</v>
      </c>
      <c r="I47" s="2739" t="str">
        <f t="shared" ref="I47:I49" si="30">I530</f>
        <v>Labour+Equipment costs for construction</v>
      </c>
      <c r="J47" s="2740" t="str">
        <f>IF(K47=1,"Annual","Done every "&amp;K47&amp;" years")</f>
        <v>Done every 5 years</v>
      </c>
      <c r="K47" s="2741">
        <f t="shared" ref="K47:K49" si="31">H530</f>
        <v>5</v>
      </c>
      <c r="L47" s="158">
        <f t="shared" ref="L47" si="32">$L$16/K47</f>
        <v>16</v>
      </c>
      <c r="M47" s="586">
        <f t="shared" ref="M47" si="33">$L$16/L47</f>
        <v>5</v>
      </c>
      <c r="N47" s="188">
        <f t="shared" ref="N47" si="34">$H47*(1-(1+$L$15)^-(L47*M47))/((1+$L$15)^M47-1)*(1+((1+$L$15)^M47-1))</f>
        <v>10744090.877218746</v>
      </c>
      <c r="O47" s="1147">
        <f t="shared" ref="O47" si="35">N47/(1+$L$15)*($L$15)/(1-(1+$L$15)^-$L$16)</f>
        <v>431975.21825583396</v>
      </c>
      <c r="P47" s="2806">
        <f>SUM(O47:O50)</f>
        <v>447202.34469935211</v>
      </c>
      <c r="Q47" s="2816"/>
      <c r="R47" s="2817"/>
      <c r="S47" s="2859"/>
      <c r="T47" s="1148" t="s">
        <v>808</v>
      </c>
      <c r="U47" s="1149">
        <f t="shared" ref="U47:U49" si="36">O47/$U$16</f>
        <v>4319.7521825583399</v>
      </c>
      <c r="V47" s="583">
        <f>IF($T47="L",SUM($U47:U47)*V$16,"")</f>
        <v>1295.925654767502</v>
      </c>
      <c r="W47" s="583">
        <f>IF($U47="","",IF(OR($T47="L",$T47="T",$T47="C"),SUM($U47:V47)*W$16,""))</f>
        <v>561.56778373258419</v>
      </c>
      <c r="X47" s="583">
        <f>IF($U47="","",SUM($U47:W47)*X$16)</f>
        <v>1853.1736863175277</v>
      </c>
      <c r="Y47" s="240">
        <f t="shared" ref="Y47:Y49" si="37">IF($U47="","",SUM(V47:X47))</f>
        <v>3710.6671248176135</v>
      </c>
      <c r="Z47" s="192">
        <f>SUM(V47:X50)</f>
        <v>3776.1437685247411</v>
      </c>
      <c r="AA47" s="742">
        <f t="shared" ref="AA47:AA49" si="38">IF($U47="","",SUM(U47,Y47))</f>
        <v>8030.4193073759534</v>
      </c>
      <c r="AB47" s="192">
        <f>SUM(AA47:AA50)</f>
        <v>8248.1672155182623</v>
      </c>
      <c r="AC47" s="889">
        <f t="shared" ref="AC47:AC50" ca="1" si="39">IF(AA47="","",AA47/OFFSET($AB$23,AF47,0))</f>
        <v>0.97360044935405365</v>
      </c>
      <c r="AD47" s="1436"/>
      <c r="AE47" s="1437"/>
      <c r="AF47" s="1438">
        <f>AF43+4</f>
        <v>24</v>
      </c>
      <c r="AG47" s="1438"/>
      <c r="AH47" s="13"/>
      <c r="AI47" s="13"/>
      <c r="AJ47" s="188"/>
      <c r="AK47" s="342"/>
    </row>
    <row r="48" spans="1:37" s="1144" customFormat="1" ht="19" customHeight="1">
      <c r="A48" s="9"/>
      <c r="B48" s="261"/>
      <c r="C48" s="2719"/>
      <c r="D48" s="2718"/>
      <c r="E48" s="12" t="s">
        <v>308</v>
      </c>
      <c r="F48" s="1172">
        <f>$D$509</f>
        <v>5</v>
      </c>
      <c r="G48" s="2738">
        <f t="shared" ref="G48:H49" si="40">F531</f>
        <v>100</v>
      </c>
      <c r="H48" s="2738">
        <f t="shared" si="40"/>
        <v>28500</v>
      </c>
      <c r="I48" s="1088" t="str">
        <f t="shared" si="30"/>
        <v>On site Vehicle Costs</v>
      </c>
      <c r="J48" s="2740" t="str">
        <f t="shared" ref="J48:J49" si="41">IF(K48=1,"Annual","Done every "&amp;K48&amp;" years")</f>
        <v>Done every 5 years</v>
      </c>
      <c r="K48" s="1146">
        <f t="shared" si="31"/>
        <v>5</v>
      </c>
      <c r="L48" s="158">
        <f t="shared" ref="L48:L49" si="42">$L$16/K48</f>
        <v>16</v>
      </c>
      <c r="M48" s="586">
        <f t="shared" ref="M48:M49" si="43">$L$16/L48</f>
        <v>5</v>
      </c>
      <c r="N48" s="188">
        <f t="shared" ref="N48:N49" si="44">$H48*(1-(1+$L$15)^-(L48*M48))/((1+$L$15)^M48-1)*(1+((1+$L$15)^M48-1))</f>
        <v>153103.2950003671</v>
      </c>
      <c r="O48" s="1147">
        <f t="shared" ref="O48:O49" si="45">N48/(1+$L$15)*($L$15)/(1-(1+$L$15)^-$L$16)</f>
        <v>6155.6468601456327</v>
      </c>
      <c r="P48" s="190"/>
      <c r="Q48" s="2818">
        <f>1*(1-(1+$L$15)^-(L48*M48))/((1+$L$15)^M48-1)*(1+((1+$L$15)^M48-1))</f>
        <v>5.3720454386093719</v>
      </c>
      <c r="R48" s="2819">
        <f>Q48/(1+$L$15)*($L$15)/(1-(1+$L$15)^-$L$16)</f>
        <v>0.2159876091279169</v>
      </c>
      <c r="S48" s="2860">
        <f>F48*R48</f>
        <v>1.0799380456395844</v>
      </c>
      <c r="T48" s="1152" t="s">
        <v>809</v>
      </c>
      <c r="U48" s="583">
        <f t="shared" si="36"/>
        <v>61.556468601456324</v>
      </c>
      <c r="V48" s="585" t="str">
        <f>IF($T48="L",SUM($U48:U48)*V$16,"")</f>
        <v/>
      </c>
      <c r="W48" s="585">
        <f>IF($U48="","",IF(OR($T48="L",$T48="T",$T48="C"),SUM($U48:V48)*W$16,""))</f>
        <v>6.1556468601456329</v>
      </c>
      <c r="X48" s="585">
        <f>IF($U48="","",SUM($U48:W48)*X$16)</f>
        <v>20.313634638480586</v>
      </c>
      <c r="Y48" s="242">
        <f t="shared" si="37"/>
        <v>26.46928149862622</v>
      </c>
      <c r="Z48" s="194"/>
      <c r="AA48" s="733">
        <f t="shared" si="38"/>
        <v>88.025750100082547</v>
      </c>
      <c r="AB48" s="194"/>
      <c r="AC48" s="889">
        <f t="shared" ca="1" si="39"/>
        <v>1.0672158771765585E-2</v>
      </c>
      <c r="AD48" s="1436"/>
      <c r="AE48" s="1437"/>
      <c r="AF48" s="1438">
        <f t="shared" ref="AF48:AF50" si="46">AF44+4</f>
        <v>24</v>
      </c>
      <c r="AG48" s="1438"/>
      <c r="AH48" s="13"/>
      <c r="AI48" s="13"/>
      <c r="AJ48" s="188"/>
      <c r="AK48" s="342"/>
    </row>
    <row r="49" spans="1:37" s="1144" customFormat="1" ht="19" customHeight="1">
      <c r="A49" s="9"/>
      <c r="B49" s="261"/>
      <c r="C49" s="2719"/>
      <c r="D49" s="2718"/>
      <c r="E49" s="12" t="s">
        <v>4</v>
      </c>
      <c r="F49" s="1172"/>
      <c r="G49" s="2738">
        <f t="shared" si="40"/>
        <v>200</v>
      </c>
      <c r="H49" s="2738">
        <f t="shared" si="40"/>
        <v>42000</v>
      </c>
      <c r="I49" s="1088" t="str">
        <f t="shared" si="30"/>
        <v>Accomodation</v>
      </c>
      <c r="J49" s="2740" t="str">
        <f t="shared" si="41"/>
        <v>Done every 5 years</v>
      </c>
      <c r="K49" s="1146">
        <f t="shared" si="31"/>
        <v>5</v>
      </c>
      <c r="L49" s="158">
        <f t="shared" si="42"/>
        <v>16</v>
      </c>
      <c r="M49" s="586">
        <f t="shared" si="43"/>
        <v>5</v>
      </c>
      <c r="N49" s="188">
        <f t="shared" si="44"/>
        <v>225625.90842159366</v>
      </c>
      <c r="O49" s="1147">
        <f t="shared" si="45"/>
        <v>9071.4795833725111</v>
      </c>
      <c r="P49" s="190"/>
      <c r="Q49" s="2818"/>
      <c r="R49" s="2819"/>
      <c r="S49" s="2860"/>
      <c r="T49" s="1152" t="s">
        <v>810</v>
      </c>
      <c r="U49" s="583">
        <f t="shared" si="36"/>
        <v>90.714795833725105</v>
      </c>
      <c r="V49" s="585" t="str">
        <f>IF($T49="L",SUM($U49:U49)*V$16,"")</f>
        <v/>
      </c>
      <c r="W49" s="585">
        <f>IF($U49="","",IF(OR($T49="L",$T49="T",$T49="C"),SUM($U49:V49)*W$16,""))</f>
        <v>9.0714795833725113</v>
      </c>
      <c r="X49" s="585">
        <f>IF($U49="","",SUM($U49:W49)*X$16)</f>
        <v>29.935882625129281</v>
      </c>
      <c r="Y49" s="242">
        <f t="shared" si="37"/>
        <v>39.007362208501789</v>
      </c>
      <c r="Z49" s="194"/>
      <c r="AA49" s="733">
        <f t="shared" si="38"/>
        <v>129.72215804222691</v>
      </c>
      <c r="AB49" s="194"/>
      <c r="AC49" s="889">
        <f t="shared" ca="1" si="39"/>
        <v>1.5727391874180863E-2</v>
      </c>
      <c r="AD49" s="1436"/>
      <c r="AE49" s="1437"/>
      <c r="AF49" s="1438">
        <f t="shared" si="46"/>
        <v>24</v>
      </c>
      <c r="AG49" s="1438"/>
      <c r="AH49" s="13"/>
      <c r="AI49" s="13"/>
      <c r="AJ49" s="188"/>
      <c r="AK49" s="342"/>
    </row>
    <row r="50" spans="1:37" s="1144" customFormat="1" ht="19" customHeight="1">
      <c r="A50" s="9"/>
      <c r="B50" s="261"/>
      <c r="C50" s="2719"/>
      <c r="D50" s="2718"/>
      <c r="E50" s="12"/>
      <c r="F50" s="1172"/>
      <c r="G50" s="1172"/>
      <c r="H50" s="188"/>
      <c r="I50" s="1088"/>
      <c r="J50" s="377"/>
      <c r="K50" s="1146"/>
      <c r="L50" s="158"/>
      <c r="M50" s="586"/>
      <c r="N50" s="188"/>
      <c r="O50" s="1147"/>
      <c r="P50" s="190"/>
      <c r="Q50" s="2820"/>
      <c r="R50" s="2821"/>
      <c r="S50" s="2861"/>
      <c r="T50" s="1156"/>
      <c r="U50" s="2744"/>
      <c r="V50" s="891"/>
      <c r="W50" s="891"/>
      <c r="X50" s="891"/>
      <c r="Y50" s="244"/>
      <c r="Z50" s="2743"/>
      <c r="AA50" s="2745"/>
      <c r="AB50" s="2743"/>
      <c r="AC50" s="889" t="str">
        <f t="shared" ca="1" si="39"/>
        <v/>
      </c>
      <c r="AD50" s="1436"/>
      <c r="AE50" s="1437"/>
      <c r="AF50" s="1438">
        <f t="shared" si="46"/>
        <v>24</v>
      </c>
      <c r="AG50" s="1438"/>
      <c r="AH50" s="13"/>
      <c r="AI50" s="13"/>
      <c r="AJ50" s="188"/>
      <c r="AK50" s="342"/>
    </row>
    <row r="51" spans="1:37" s="1441" customFormat="1" ht="19" customHeight="1">
      <c r="A51" s="9"/>
      <c r="B51" s="1442">
        <v>6.2</v>
      </c>
      <c r="C51" s="3912" t="s">
        <v>1270</v>
      </c>
      <c r="D51" s="3915" t="s">
        <v>1207</v>
      </c>
      <c r="E51" s="1443" t="s">
        <v>1205</v>
      </c>
      <c r="F51" s="1444"/>
      <c r="G51" s="1444">
        <f t="shared" ref="G51:G53" si="47">I523</f>
        <v>40</v>
      </c>
      <c r="H51" s="1445">
        <f>J523</f>
        <v>600000</v>
      </c>
      <c r="I51" s="1446" t="str">
        <f>Q523</f>
        <v>Labour+Equipment costs for construction</v>
      </c>
      <c r="J51" s="1447" t="str">
        <f t="shared" si="23"/>
        <v>Annual</v>
      </c>
      <c r="K51" s="1448">
        <f>K523</f>
        <v>1</v>
      </c>
      <c r="L51" s="1449">
        <f t="shared" ref="L51:M53" si="48">$L$16/K51</f>
        <v>80</v>
      </c>
      <c r="M51" s="1450">
        <f t="shared" si="48"/>
        <v>1</v>
      </c>
      <c r="N51" s="1445">
        <f t="shared" si="25"/>
        <v>14923204.512425017</v>
      </c>
      <c r="O51" s="1451">
        <f t="shared" ref="O51:O74" si="49">N51/(1+$L$15)*($L$15)/(1-(1+$L$15)^-$L$16)</f>
        <v>599999.99999999953</v>
      </c>
      <c r="P51" s="2808">
        <f>SUM(O51:O54)</f>
        <v>614099.99999999953</v>
      </c>
      <c r="Q51" s="2838"/>
      <c r="R51" s="2839"/>
      <c r="S51" s="2870"/>
      <c r="T51" s="1453" t="s">
        <v>808</v>
      </c>
      <c r="U51" s="1454">
        <f t="shared" si="26"/>
        <v>5999.9999999999955</v>
      </c>
      <c r="V51" s="1455">
        <f>IF($T51="L",SUM($U51:U51)*V$16,"")</f>
        <v>1799.9999999999986</v>
      </c>
      <c r="W51" s="1455">
        <f>IF($U51="","",IF(OR($T51="L",$T51="T",$T51="C"),SUM($U51:V51)*W$16,""))</f>
        <v>779.99999999999955</v>
      </c>
      <c r="X51" s="1455">
        <f>IF($U51="","",SUM($U51:W51)*X$16)</f>
        <v>2573.9999999999982</v>
      </c>
      <c r="Y51" s="1456">
        <f>IF($U51="","",SUM(V51:X51))</f>
        <v>5153.9999999999964</v>
      </c>
      <c r="Z51" s="1452">
        <f>SUM(V51:X54)</f>
        <v>5214.6299999999965</v>
      </c>
      <c r="AA51" s="1457">
        <f t="shared" ref="AA51:AA57" si="50">IF($U51="","",SUM(U51,Y51))</f>
        <v>11153.999999999993</v>
      </c>
      <c r="AB51" s="1452">
        <f>SUM(AA51:AA54)</f>
        <v>11355.629999999994</v>
      </c>
      <c r="AC51" s="1458">
        <f t="shared" ref="AC51:AC57" ca="1" si="51">IF(AA51="","",AA51/OFFSET($AB$23,AF51,0))</f>
        <v>0.98224404986777469</v>
      </c>
      <c r="AD51" s="1459"/>
      <c r="AE51" s="1460"/>
      <c r="AF51" s="1461">
        <f>AF47+4</f>
        <v>28</v>
      </c>
      <c r="AG51" s="1462">
        <f ca="1">SUM(AC51:AC54)-1</f>
        <v>0</v>
      </c>
      <c r="AH51" s="1463">
        <f t="shared" ref="AH51:AH57" si="52">$AH$16/K51</f>
        <v>5</v>
      </c>
      <c r="AI51" s="1463">
        <f t="shared" ref="AI51:AI58" si="53">$AH$16/AH51</f>
        <v>1</v>
      </c>
      <c r="AJ51" s="1445">
        <f t="shared" ref="AJ51:AJ57" si="54">$H51*(1-(1+$L$15)^-(AH51*AI51))/((1+$L$15)^AI51-1)*(1+((1+$L$15)^AI51-1))</f>
        <v>2777937.1345541133</v>
      </c>
      <c r="AK51" s="1464" t="e">
        <f>SUM(AJ51:AJ54)</f>
        <v>#DIV/0!</v>
      </c>
    </row>
    <row r="52" spans="1:37" s="1441" customFormat="1" ht="19" customHeight="1">
      <c r="A52" s="9"/>
      <c r="B52" s="1465"/>
      <c r="C52" s="3913"/>
      <c r="D52" s="3916"/>
      <c r="E52" s="1443" t="s">
        <v>308</v>
      </c>
      <c r="F52" s="1444">
        <f>E480</f>
        <v>1</v>
      </c>
      <c r="G52" s="1444">
        <f t="shared" si="47"/>
        <v>20</v>
      </c>
      <c r="H52" s="1445">
        <f>J524</f>
        <v>5700</v>
      </c>
      <c r="I52" s="1446" t="str">
        <f>Q524</f>
        <v>On site Vehicle Costs</v>
      </c>
      <c r="J52" s="1447" t="str">
        <f t="shared" si="23"/>
        <v>Annual</v>
      </c>
      <c r="K52" s="1448">
        <f>K524</f>
        <v>1</v>
      </c>
      <c r="L52" s="1449">
        <f t="shared" si="48"/>
        <v>80</v>
      </c>
      <c r="M52" s="1450">
        <f t="shared" si="48"/>
        <v>1</v>
      </c>
      <c r="N52" s="1445">
        <f t="shared" si="25"/>
        <v>141770.44286803767</v>
      </c>
      <c r="O52" s="1451">
        <f t="shared" si="49"/>
        <v>5699.9999999999955</v>
      </c>
      <c r="P52" s="2809"/>
      <c r="Q52" s="2881">
        <f>1*(1-(1+$L$15)^-(L52*M52))/((1+$L$15)^M52-1)*(1+((1+$L$15)^M52-1))</f>
        <v>24.872007520708362</v>
      </c>
      <c r="R52" s="2840">
        <f>Q52/(1+$L$15)*($L$15)/(1-(1+$L$15)^-$L$16)</f>
        <v>0.99999999999999911</v>
      </c>
      <c r="S52" s="2871">
        <f>F52*R52</f>
        <v>0.99999999999999911</v>
      </c>
      <c r="T52" s="1467" t="s">
        <v>809</v>
      </c>
      <c r="U52" s="1454">
        <f t="shared" ref="U52:U53" si="55">O52/$U$16</f>
        <v>56.999999999999957</v>
      </c>
      <c r="V52" s="1455" t="str">
        <f>IF($T52="L",SUM($U52:U52)*V$16,"")</f>
        <v/>
      </c>
      <c r="W52" s="1455">
        <f>IF($U52="","",IF(OR($T52="L",$T52="T",$T52="C"),SUM($U52:V52)*W$16,""))</f>
        <v>5.6999999999999957</v>
      </c>
      <c r="X52" s="1455">
        <f>IF($U52="","",SUM($U52:W52)*X$16)</f>
        <v>18.809999999999985</v>
      </c>
      <c r="Y52" s="1469">
        <f>IF($U52="","",SUM(V52:X52))</f>
        <v>24.50999999999998</v>
      </c>
      <c r="Z52" s="1466"/>
      <c r="AA52" s="1470">
        <f t="shared" si="50"/>
        <v>81.509999999999934</v>
      </c>
      <c r="AB52" s="1466"/>
      <c r="AC52" s="1458">
        <f t="shared" ca="1" si="51"/>
        <v>7.1779372874952755E-3</v>
      </c>
      <c r="AD52" s="1471"/>
      <c r="AE52" s="1460"/>
      <c r="AF52" s="1461">
        <f>AF51</f>
        <v>28</v>
      </c>
      <c r="AG52" s="1461"/>
      <c r="AH52" s="1463">
        <f t="shared" si="52"/>
        <v>5</v>
      </c>
      <c r="AI52" s="1463">
        <f t="shared" si="53"/>
        <v>1</v>
      </c>
      <c r="AJ52" s="1445">
        <f t="shared" si="54"/>
        <v>26390.402778264077</v>
      </c>
      <c r="AK52" s="1472"/>
    </row>
    <row r="53" spans="1:37" s="1441" customFormat="1" ht="16" customHeight="1">
      <c r="A53" s="9"/>
      <c r="B53" s="1465"/>
      <c r="C53" s="3913"/>
      <c r="D53" s="3916"/>
      <c r="E53" s="1443" t="s">
        <v>4</v>
      </c>
      <c r="F53" s="1444"/>
      <c r="G53" s="1444">
        <f t="shared" si="47"/>
        <v>40</v>
      </c>
      <c r="H53" s="1445">
        <f>J525</f>
        <v>8400</v>
      </c>
      <c r="I53" s="1446" t="str">
        <f>Q525</f>
        <v>Accomodation</v>
      </c>
      <c r="J53" s="1447" t="str">
        <f t="shared" si="23"/>
        <v>Annual</v>
      </c>
      <c r="K53" s="1448">
        <f>K525</f>
        <v>1</v>
      </c>
      <c r="L53" s="1449">
        <f t="shared" si="48"/>
        <v>80</v>
      </c>
      <c r="M53" s="1450">
        <f t="shared" si="48"/>
        <v>1</v>
      </c>
      <c r="N53" s="1445">
        <f t="shared" si="25"/>
        <v>208924.86317395023</v>
      </c>
      <c r="O53" s="1451">
        <f t="shared" si="49"/>
        <v>8399.9999999999927</v>
      </c>
      <c r="P53" s="2809"/>
      <c r="Q53" s="2838"/>
      <c r="R53" s="2840"/>
      <c r="S53" s="2871"/>
      <c r="T53" s="1467" t="s">
        <v>810</v>
      </c>
      <c r="U53" s="1454">
        <f t="shared" si="55"/>
        <v>83.999999999999929</v>
      </c>
      <c r="V53" s="1455" t="str">
        <f>IF($T53="L",SUM($U53:U53)*V$16,"")</f>
        <v/>
      </c>
      <c r="W53" s="1455">
        <f>IF($U53="","",IF(OR($T53="L",$T53="T",$T53="C"),SUM($U53:V53)*W$16,""))</f>
        <v>8.3999999999999932</v>
      </c>
      <c r="X53" s="1455">
        <f>IF($U53="","",SUM($U53:W53)*X$16)</f>
        <v>27.719999999999974</v>
      </c>
      <c r="Y53" s="1469">
        <f>IF($U53="","",SUM(V53:X53))</f>
        <v>36.119999999999969</v>
      </c>
      <c r="Z53" s="1466"/>
      <c r="AA53" s="1470">
        <f t="shared" si="50"/>
        <v>120.11999999999989</v>
      </c>
      <c r="AB53" s="1466"/>
      <c r="AC53" s="1458">
        <f t="shared" ca="1" si="51"/>
        <v>1.0578012844729879E-2</v>
      </c>
      <c r="AD53" s="1459"/>
      <c r="AE53" s="1460"/>
      <c r="AF53" s="1461">
        <f>AF52</f>
        <v>28</v>
      </c>
      <c r="AG53" s="1461"/>
      <c r="AH53" s="1463">
        <f t="shared" si="52"/>
        <v>5</v>
      </c>
      <c r="AI53" s="1463">
        <f t="shared" si="53"/>
        <v>1</v>
      </c>
      <c r="AJ53" s="1445">
        <f t="shared" si="54"/>
        <v>38891.119883757594</v>
      </c>
      <c r="AK53" s="1472"/>
    </row>
    <row r="54" spans="1:37" s="1441" customFormat="1" ht="19" customHeight="1">
      <c r="A54" s="9"/>
      <c r="B54" s="1465"/>
      <c r="C54" s="3914"/>
      <c r="D54" s="3917"/>
      <c r="E54" s="1443" t="s">
        <v>21</v>
      </c>
      <c r="F54" s="1444"/>
      <c r="G54" s="1444"/>
      <c r="H54" s="1445"/>
      <c r="I54" s="1446"/>
      <c r="J54" s="1447"/>
      <c r="K54" s="1448"/>
      <c r="L54" s="1449"/>
      <c r="M54" s="1450"/>
      <c r="N54" s="1445"/>
      <c r="O54" s="1451">
        <f t="shared" si="49"/>
        <v>0</v>
      </c>
      <c r="P54" s="2809"/>
      <c r="Q54" s="2838"/>
      <c r="R54" s="2840"/>
      <c r="S54" s="2871"/>
      <c r="T54" s="1473"/>
      <c r="U54" s="1455"/>
      <c r="V54" s="1468" t="str">
        <f>IF($T54="L",SUM($U54:U54)*V$16,"")</f>
        <v/>
      </c>
      <c r="W54" s="1468"/>
      <c r="X54" s="1468"/>
      <c r="Y54" s="1469"/>
      <c r="Z54" s="1466"/>
      <c r="AA54" s="1470" t="str">
        <f t="shared" si="50"/>
        <v/>
      </c>
      <c r="AB54" s="1466"/>
      <c r="AC54" s="1458" t="str">
        <f t="shared" ca="1" si="51"/>
        <v/>
      </c>
      <c r="AD54" s="1459"/>
      <c r="AE54" s="1460"/>
      <c r="AF54" s="1461">
        <f>AF53</f>
        <v>28</v>
      </c>
      <c r="AG54" s="1461"/>
      <c r="AH54" s="1463" t="e">
        <f t="shared" si="52"/>
        <v>#DIV/0!</v>
      </c>
      <c r="AI54" s="1463" t="e">
        <f t="shared" si="53"/>
        <v>#DIV/0!</v>
      </c>
      <c r="AJ54" s="1445" t="e">
        <f t="shared" si="54"/>
        <v>#DIV/0!</v>
      </c>
      <c r="AK54" s="1472"/>
    </row>
    <row r="55" spans="1:37" s="266" customFormat="1" ht="19" customHeight="1">
      <c r="B55" s="2642">
        <v>6.3</v>
      </c>
      <c r="C55" s="3955" t="s">
        <v>2007</v>
      </c>
      <c r="D55" s="4040" t="s">
        <v>1221</v>
      </c>
      <c r="E55" s="1955" t="s">
        <v>1205</v>
      </c>
      <c r="F55" s="1956"/>
      <c r="G55" s="1956">
        <f t="shared" ref="G55:G57" si="56">L523</f>
        <v>120</v>
      </c>
      <c r="H55" s="1957">
        <f>M523</f>
        <v>1400000</v>
      </c>
      <c r="I55" s="2643" t="str">
        <f>Q523</f>
        <v>Labour+Equipment costs for construction</v>
      </c>
      <c r="J55" s="1959" t="str">
        <f t="shared" ref="J55:J57" si="57">IF(K55=1,"Annual","Done every "&amp;K55&amp;" years")</f>
        <v>Done every 20 years</v>
      </c>
      <c r="K55" s="802">
        <f>N523</f>
        <v>20</v>
      </c>
      <c r="L55" s="1961">
        <f t="shared" ref="L55:L57" si="58">$L$16/K55</f>
        <v>4</v>
      </c>
      <c r="M55" s="1960">
        <f t="shared" ref="M55:M57" si="59">$L$16/L55</f>
        <v>20</v>
      </c>
      <c r="N55" s="1957">
        <f t="shared" ref="N55:N57" si="60">$H55*(1-(1+$L$15)^-(L55*M55))/((1+$L$15)^M55-1)*(1+((1+$L$15)^M55-1))</f>
        <v>2463630.9486391917</v>
      </c>
      <c r="O55" s="1962">
        <f t="shared" si="49"/>
        <v>99052.356211615712</v>
      </c>
      <c r="P55" s="1243">
        <f>SUM(O55:O58)</f>
        <v>102045.15240286668</v>
      </c>
      <c r="Q55" s="2841"/>
      <c r="R55" s="2842"/>
      <c r="S55" s="2872"/>
      <c r="T55" s="1964" t="s">
        <v>808</v>
      </c>
      <c r="U55" s="2644">
        <f t="shared" ref="U55:U57" si="61">O55/$U$16</f>
        <v>990.52356211615711</v>
      </c>
      <c r="V55" s="1965">
        <f>IF($T55="L",SUM($U55:U55)*V$16,"")</f>
        <v>297.15706863484712</v>
      </c>
      <c r="W55" s="1965">
        <f>IF($U55="","",IF(OR($T55="L",$T55="T",$T55="C"),SUM($U55:V55)*W$16,""))</f>
        <v>128.76806307510043</v>
      </c>
      <c r="X55" s="1965">
        <f>IF($U55="","",SUM($U55:W55)*X$16)</f>
        <v>424.93460814783134</v>
      </c>
      <c r="Y55" s="1966">
        <f t="shared" ref="Y55:Y57" si="62">IF($U55="","",SUM(V55:X55))</f>
        <v>850.85973985777889</v>
      </c>
      <c r="Z55" s="1963">
        <f>SUM(V55:X58)</f>
        <v>863.72876348015814</v>
      </c>
      <c r="AA55" s="1967">
        <f t="shared" si="50"/>
        <v>1841.3833019739359</v>
      </c>
      <c r="AB55" s="1963">
        <f>SUM(AA55:AA58)</f>
        <v>1884.1802875088247</v>
      </c>
      <c r="AC55" s="1968">
        <f t="shared" ca="1" si="51"/>
        <v>0.97728615153305054</v>
      </c>
      <c r="AD55" s="2645"/>
      <c r="AE55" s="1970"/>
      <c r="AF55" s="1482">
        <f>AF51+4</f>
        <v>32</v>
      </c>
      <c r="AG55" s="1971">
        <f ca="1">SUM(AC55:AC58)-1</f>
        <v>0</v>
      </c>
      <c r="AH55" s="1972">
        <f t="shared" si="52"/>
        <v>0.25</v>
      </c>
      <c r="AI55" s="1972">
        <f t="shared" si="53"/>
        <v>20</v>
      </c>
      <c r="AJ55" s="1957">
        <f t="shared" si="54"/>
        <v>458602.03097554902</v>
      </c>
      <c r="AK55" s="1973">
        <f>SUM(AJ55:AJ58)</f>
        <v>572458.36376859597</v>
      </c>
    </row>
    <row r="56" spans="1:37" s="266" customFormat="1" ht="19" customHeight="1">
      <c r="B56" s="2646"/>
      <c r="C56" s="3956"/>
      <c r="D56" s="4041"/>
      <c r="E56" s="1955" t="s">
        <v>308</v>
      </c>
      <c r="F56" s="1956">
        <f>F480</f>
        <v>3</v>
      </c>
      <c r="G56" s="1956">
        <f t="shared" si="56"/>
        <v>60</v>
      </c>
      <c r="H56" s="1957">
        <f>M524</f>
        <v>17100</v>
      </c>
      <c r="I56" s="2643" t="str">
        <f>Q524</f>
        <v>On site Vehicle Costs</v>
      </c>
      <c r="J56" s="1959" t="str">
        <f t="shared" si="57"/>
        <v>Done every 20 years</v>
      </c>
      <c r="K56" s="802">
        <f>N524</f>
        <v>20</v>
      </c>
      <c r="L56" s="1961">
        <f t="shared" si="58"/>
        <v>4</v>
      </c>
      <c r="M56" s="1960">
        <f t="shared" si="59"/>
        <v>20</v>
      </c>
      <c r="N56" s="1957">
        <f t="shared" si="60"/>
        <v>30091.492301235845</v>
      </c>
      <c r="O56" s="1962">
        <f t="shared" si="49"/>
        <v>1209.8537794418778</v>
      </c>
      <c r="P56" s="2161"/>
      <c r="Q56" s="2843">
        <f>1*(1-(1+$L$15)^-(L56*M56))/((1+$L$15)^M56-1)*(1+((1+$L$15)^M56-1))</f>
        <v>1.7597363918851372</v>
      </c>
      <c r="R56" s="2844">
        <f>Q56/(1+$L$15)*($L$15)/(1-(1+$L$15)^-$L$16)</f>
        <v>7.0751683008296956E-2</v>
      </c>
      <c r="S56" s="2873">
        <f>F56*R56</f>
        <v>0.21225504902489087</v>
      </c>
      <c r="T56" s="1977" t="s">
        <v>809</v>
      </c>
      <c r="U56" s="1965">
        <f t="shared" si="61"/>
        <v>12.098537794418778</v>
      </c>
      <c r="V56" s="1978" t="str">
        <f>IF($T56="L",SUM($U56:U56)*V$16,"")</f>
        <v/>
      </c>
      <c r="W56" s="1978">
        <f>IF($U56="","",IF(OR($T56="L",$T56="T",$T56="C"),SUM($U56:V56)*W$16,""))</f>
        <v>1.209853779441878</v>
      </c>
      <c r="X56" s="1978">
        <f>IF($U56="","",SUM($U56:W56)*X$16)</f>
        <v>3.9925174721581969</v>
      </c>
      <c r="Y56" s="1979">
        <f t="shared" si="62"/>
        <v>5.2023712516000753</v>
      </c>
      <c r="Z56" s="1976"/>
      <c r="AA56" s="1980">
        <f t="shared" si="50"/>
        <v>17.300909046018852</v>
      </c>
      <c r="AB56" s="1976"/>
      <c r="AC56" s="1968">
        <f t="shared" ca="1" si="51"/>
        <v>9.182194061107235E-3</v>
      </c>
      <c r="AD56" s="1981"/>
      <c r="AE56" s="1970"/>
      <c r="AF56" s="1482">
        <f>AF55</f>
        <v>32</v>
      </c>
      <c r="AG56" s="1482"/>
      <c r="AH56" s="1972">
        <f t="shared" si="52"/>
        <v>0.25</v>
      </c>
      <c r="AI56" s="1972">
        <f t="shared" si="53"/>
        <v>20</v>
      </c>
      <c r="AJ56" s="1957">
        <f t="shared" si="54"/>
        <v>5601.4962354870622</v>
      </c>
      <c r="AK56" s="1982"/>
    </row>
    <row r="57" spans="1:37" s="266" customFormat="1" ht="16" customHeight="1">
      <c r="B57" s="2646"/>
      <c r="C57" s="3956"/>
      <c r="D57" s="4041"/>
      <c r="E57" s="1955" t="s">
        <v>4</v>
      </c>
      <c r="F57" s="1956"/>
      <c r="G57" s="1956">
        <f t="shared" si="56"/>
        <v>120</v>
      </c>
      <c r="H57" s="1957">
        <f>M525</f>
        <v>25200</v>
      </c>
      <c r="I57" s="2643" t="str">
        <f>Q525</f>
        <v>Accomodation</v>
      </c>
      <c r="J57" s="1959" t="str">
        <f t="shared" si="57"/>
        <v>Done every 20 years</v>
      </c>
      <c r="K57" s="802">
        <f>N525</f>
        <v>20</v>
      </c>
      <c r="L57" s="1961">
        <f t="shared" si="58"/>
        <v>4</v>
      </c>
      <c r="M57" s="1960">
        <f t="shared" si="59"/>
        <v>20</v>
      </c>
      <c r="N57" s="1957">
        <f t="shared" si="60"/>
        <v>44345.357075505461</v>
      </c>
      <c r="O57" s="1962">
        <f t="shared" si="49"/>
        <v>1782.9424118090833</v>
      </c>
      <c r="P57" s="2161"/>
      <c r="Q57" s="2843"/>
      <c r="R57" s="2844"/>
      <c r="S57" s="2873"/>
      <c r="T57" s="1977" t="s">
        <v>810</v>
      </c>
      <c r="U57" s="1965">
        <f t="shared" si="61"/>
        <v>17.829424118090834</v>
      </c>
      <c r="V57" s="1978" t="str">
        <f>IF($T57="L",SUM($U57:U57)*V$16,"")</f>
        <v/>
      </c>
      <c r="W57" s="1978">
        <f>IF($U57="","",IF(OR($T57="L",$T57="T",$T57="C"),SUM($U57:V57)*W$16,""))</f>
        <v>1.7829424118090835</v>
      </c>
      <c r="X57" s="1978">
        <f>IF($U57="","",SUM($U57:W57)*X$16)</f>
        <v>5.883709958969976</v>
      </c>
      <c r="Y57" s="1979">
        <f t="shared" si="62"/>
        <v>7.6666523707790599</v>
      </c>
      <c r="Z57" s="1976"/>
      <c r="AA57" s="1980">
        <f t="shared" si="50"/>
        <v>25.496076488869896</v>
      </c>
      <c r="AB57" s="1976"/>
      <c r="AC57" s="1968">
        <f t="shared" ca="1" si="51"/>
        <v>1.3531654405842246E-2</v>
      </c>
      <c r="AD57" s="2645"/>
      <c r="AE57" s="1970"/>
      <c r="AF57" s="1482">
        <f>AF56</f>
        <v>32</v>
      </c>
      <c r="AG57" s="1482"/>
      <c r="AH57" s="1972">
        <f t="shared" si="52"/>
        <v>0.25</v>
      </c>
      <c r="AI57" s="1972">
        <f t="shared" si="53"/>
        <v>20</v>
      </c>
      <c r="AJ57" s="1957">
        <f t="shared" si="54"/>
        <v>8254.8365575598818</v>
      </c>
      <c r="AK57" s="1982"/>
    </row>
    <row r="58" spans="1:37" s="266" customFormat="1" ht="19" customHeight="1">
      <c r="B58" s="2646"/>
      <c r="C58" s="3957"/>
      <c r="D58" s="4042"/>
      <c r="E58" s="1955"/>
      <c r="L58" s="1961"/>
      <c r="M58" s="1960"/>
      <c r="N58" s="1957"/>
      <c r="O58" s="1962"/>
      <c r="P58" s="2161"/>
      <c r="Q58" s="2843"/>
      <c r="R58" s="2844"/>
      <c r="S58" s="2873"/>
      <c r="T58" s="1993"/>
      <c r="U58" s="1965"/>
      <c r="V58" s="1978"/>
      <c r="W58" s="1978"/>
      <c r="X58" s="1978"/>
      <c r="Y58" s="1979"/>
      <c r="Z58" s="1976"/>
      <c r="AA58" s="1980"/>
      <c r="AB58" s="1976"/>
      <c r="AC58" s="1968"/>
      <c r="AD58" s="2645"/>
      <c r="AE58" s="1970"/>
      <c r="AF58" s="1482">
        <f>AF57</f>
        <v>32</v>
      </c>
      <c r="AG58" s="1482"/>
      <c r="AH58" s="1972">
        <f>$AH$16/K59</f>
        <v>1</v>
      </c>
      <c r="AI58" s="1972">
        <f t="shared" si="53"/>
        <v>5</v>
      </c>
      <c r="AJ58" s="1957">
        <f>$H59*(1-(1+$L$15)^-(AH58*AI58))/((1+$L$15)^AI58-1)*(1+((1+$L$15)^AI58-1))</f>
        <v>99999.999999999985</v>
      </c>
      <c r="AK58" s="1982"/>
    </row>
    <row r="59" spans="1:37" s="266" customFormat="1" ht="19" customHeight="1">
      <c r="B59" s="2646"/>
      <c r="C59" s="2720"/>
      <c r="D59" s="2721" t="s">
        <v>1195</v>
      </c>
      <c r="E59" s="1955" t="s">
        <v>1205</v>
      </c>
      <c r="F59" s="1956"/>
      <c r="G59" s="1956">
        <f t="shared" ref="G59:H61" si="63">L530</f>
        <v>10</v>
      </c>
      <c r="H59" s="1956">
        <f t="shared" si="63"/>
        <v>100000</v>
      </c>
      <c r="I59" s="2643" t="str">
        <f t="shared" ref="I59:I61" si="64">O530</f>
        <v>Labour+Equipment costs for construction</v>
      </c>
      <c r="J59" s="1959" t="str">
        <f>IF(K59=1,"Annual","Done every "&amp;K59&amp;" years")</f>
        <v>Done every 5 years</v>
      </c>
      <c r="K59" s="802">
        <f t="shared" ref="K59:K61" si="65">N530</f>
        <v>5</v>
      </c>
      <c r="L59" s="1961">
        <f t="shared" ref="L59" si="66">$L$16/K59</f>
        <v>16</v>
      </c>
      <c r="M59" s="1960">
        <f t="shared" ref="M59" si="67">$L$16/L59</f>
        <v>5</v>
      </c>
      <c r="N59" s="1957">
        <f t="shared" ref="N59" si="68">$H59*(1-(1+$L$15)^-(L59*M59))/((1+$L$15)^M59-1)*(1+((1+$L$15)^M59-1))</f>
        <v>537204.54386093724</v>
      </c>
      <c r="O59" s="1962">
        <f t="shared" ref="O59" si="69">N59/(1+$L$15)*($L$15)/(1-(1+$L$15)^-$L$16)</f>
        <v>21598.760912791695</v>
      </c>
      <c r="P59" s="1243">
        <f>SUM(O59:O62)</f>
        <v>22360.117234967602</v>
      </c>
      <c r="Q59" s="2841"/>
      <c r="R59" s="2842"/>
      <c r="S59" s="2872"/>
      <c r="T59" s="1964" t="s">
        <v>808</v>
      </c>
      <c r="U59" s="2644">
        <f t="shared" ref="U59:U61" si="70">O59/$U$16</f>
        <v>215.98760912791695</v>
      </c>
      <c r="V59" s="1965">
        <f>IF($T59="L",SUM($U59:U59)*V$16,"")</f>
        <v>64.796282738375083</v>
      </c>
      <c r="W59" s="1965">
        <f>IF($U59="","",IF(OR($T59="L",$T59="T",$T59="C"),SUM($U59:V59)*W$16,""))</f>
        <v>28.078389186629206</v>
      </c>
      <c r="X59" s="1965">
        <f>IF($U59="","",SUM($U59:W59)*X$16)</f>
        <v>92.658684315876357</v>
      </c>
      <c r="Y59" s="1966">
        <f t="shared" ref="Y59:Y61" si="71">IF($U59="","",SUM(V59:X59))</f>
        <v>185.53335624088066</v>
      </c>
      <c r="Z59" s="1963">
        <f>SUM(V59:X62)</f>
        <v>188.80718842623705</v>
      </c>
      <c r="AA59" s="1967">
        <f t="shared" ref="AA59:AA61" si="72">IF($U59="","",SUM(U59,Y59))</f>
        <v>401.52096536879765</v>
      </c>
      <c r="AB59" s="1963">
        <f>SUM(AA59:AA62)</f>
        <v>412.40836077591314</v>
      </c>
      <c r="AC59" s="1968">
        <f t="shared" ref="AC59:AC62" ca="1" si="73">IF(AA59="","",AA59/OFFSET($AB$23,AF59,0))</f>
        <v>0.97360044935405354</v>
      </c>
      <c r="AD59" s="2645"/>
      <c r="AE59" s="1970"/>
      <c r="AF59" s="1482">
        <f>AF55+4</f>
        <v>36</v>
      </c>
      <c r="AG59" s="1482"/>
      <c r="AH59" s="1972"/>
      <c r="AI59" s="1972"/>
      <c r="AJ59" s="1957"/>
      <c r="AK59" s="1982"/>
    </row>
    <row r="60" spans="1:37" s="266" customFormat="1" ht="19" customHeight="1">
      <c r="B60" s="2646"/>
      <c r="C60" s="2720"/>
      <c r="D60" s="2721"/>
      <c r="E60" s="1955" t="s">
        <v>308</v>
      </c>
      <c r="F60" s="1956">
        <f>$F$509</f>
        <v>1</v>
      </c>
      <c r="G60" s="1956">
        <f t="shared" si="63"/>
        <v>5</v>
      </c>
      <c r="H60" s="1956">
        <f t="shared" si="63"/>
        <v>1425</v>
      </c>
      <c r="I60" s="2643" t="str">
        <f t="shared" si="64"/>
        <v>On site Vehicle Costs</v>
      </c>
      <c r="J60" s="1959" t="str">
        <f t="shared" ref="J60:J61" si="74">IF(K60=1,"Annual","Done every "&amp;K60&amp;" years")</f>
        <v>Done every 5 years</v>
      </c>
      <c r="K60" s="802">
        <f t="shared" si="65"/>
        <v>5</v>
      </c>
      <c r="L60" s="1961">
        <f t="shared" ref="L60:L61" si="75">$L$16/K60</f>
        <v>16</v>
      </c>
      <c r="M60" s="1960">
        <f t="shared" ref="M60:M61" si="76">$L$16/L60</f>
        <v>5</v>
      </c>
      <c r="N60" s="1957">
        <f t="shared" ref="N60:N61" si="77">$H60*(1-(1+$L$15)^-(L60*M60))/((1+$L$15)^M60-1)*(1+((1+$L$15)^M60-1))</f>
        <v>7655.1647500183572</v>
      </c>
      <c r="O60" s="1962">
        <f t="shared" ref="O60:O61" si="78">N60/(1+$L$15)*($L$15)/(1-(1+$L$15)^-$L$16)</f>
        <v>307.78234300728167</v>
      </c>
      <c r="P60" s="2161"/>
      <c r="Q60" s="2843">
        <f>1*(1-(1+$L$15)^-(L60*M60))/((1+$L$15)^M60-1)*(1+((1+$L$15)^M60-1))</f>
        <v>5.3720454386093719</v>
      </c>
      <c r="R60" s="2844">
        <f>Q60/(1+$L$15)*($L$15)/(1-(1+$L$15)^-$L$16)</f>
        <v>0.2159876091279169</v>
      </c>
      <c r="S60" s="2873">
        <f>F60*R60</f>
        <v>0.2159876091279169</v>
      </c>
      <c r="T60" s="1977" t="s">
        <v>809</v>
      </c>
      <c r="U60" s="1965">
        <f t="shared" si="70"/>
        <v>3.0778234300728169</v>
      </c>
      <c r="V60" s="1978" t="str">
        <f>IF($T60="L",SUM($U60:U60)*V$16,"")</f>
        <v/>
      </c>
      <c r="W60" s="1978">
        <f>IF($U60="","",IF(OR($T60="L",$T60="T",$T60="C"),SUM($U60:V60)*W$16,""))</f>
        <v>0.30778234300728169</v>
      </c>
      <c r="X60" s="1978">
        <f>IF($U60="","",SUM($U60:W60)*X$16)</f>
        <v>1.0156817319240294</v>
      </c>
      <c r="Y60" s="1979">
        <f t="shared" si="71"/>
        <v>1.3234640749313111</v>
      </c>
      <c r="Z60" s="1976"/>
      <c r="AA60" s="1980">
        <f t="shared" si="72"/>
        <v>4.4012875050041282</v>
      </c>
      <c r="AB60" s="1976"/>
      <c r="AC60" s="1968">
        <f t="shared" ca="1" si="73"/>
        <v>1.0672158771765586E-2</v>
      </c>
      <c r="AD60" s="2645"/>
      <c r="AE60" s="1970"/>
      <c r="AF60" s="1482">
        <f t="shared" ref="AF60:AF62" si="79">AF56+4</f>
        <v>36</v>
      </c>
      <c r="AG60" s="1482"/>
      <c r="AH60" s="1972"/>
      <c r="AI60" s="1972"/>
      <c r="AJ60" s="1957"/>
      <c r="AK60" s="1982"/>
    </row>
    <row r="61" spans="1:37" s="266" customFormat="1" ht="19" customHeight="1">
      <c r="B61" s="2646"/>
      <c r="C61" s="2720"/>
      <c r="D61" s="2721"/>
      <c r="E61" s="1955" t="s">
        <v>4</v>
      </c>
      <c r="F61" s="1956"/>
      <c r="G61" s="1956">
        <f t="shared" si="63"/>
        <v>10</v>
      </c>
      <c r="H61" s="1956">
        <f t="shared" si="63"/>
        <v>2100</v>
      </c>
      <c r="I61" s="2643" t="str">
        <f t="shared" si="64"/>
        <v>Accomodation</v>
      </c>
      <c r="J61" s="1959" t="str">
        <f t="shared" si="74"/>
        <v>Done every 5 years</v>
      </c>
      <c r="K61" s="802">
        <f t="shared" si="65"/>
        <v>5</v>
      </c>
      <c r="L61" s="1961">
        <f t="shared" si="75"/>
        <v>16</v>
      </c>
      <c r="M61" s="1960">
        <f t="shared" si="76"/>
        <v>5</v>
      </c>
      <c r="N61" s="1957">
        <f t="shared" si="77"/>
        <v>11281.295421079682</v>
      </c>
      <c r="O61" s="1962">
        <f t="shared" si="78"/>
        <v>453.57397916862556</v>
      </c>
      <c r="P61" s="2161"/>
      <c r="Q61" s="2843"/>
      <c r="R61" s="2844"/>
      <c r="S61" s="2873"/>
      <c r="T61" s="1977" t="s">
        <v>810</v>
      </c>
      <c r="U61" s="1965">
        <f t="shared" si="70"/>
        <v>4.5357397916862556</v>
      </c>
      <c r="V61" s="1978" t="str">
        <f>IF($T61="L",SUM($U61:U61)*V$16,"")</f>
        <v/>
      </c>
      <c r="W61" s="1978">
        <f>IF($U61="","",IF(OR($T61="L",$T61="T",$T61="C"),SUM($U61:V61)*W$16,""))</f>
        <v>0.45357397916862557</v>
      </c>
      <c r="X61" s="1978">
        <f>IF($U61="","",SUM($U61:W61)*X$16)</f>
        <v>1.4967941312564643</v>
      </c>
      <c r="Y61" s="1979">
        <f t="shared" si="71"/>
        <v>1.9503681104250898</v>
      </c>
      <c r="Z61" s="1976"/>
      <c r="AA61" s="1980">
        <f t="shared" si="72"/>
        <v>6.4861079021113452</v>
      </c>
      <c r="AB61" s="1976"/>
      <c r="AC61" s="1968">
        <f t="shared" ca="1" si="73"/>
        <v>1.572739187418086E-2</v>
      </c>
      <c r="AD61" s="2645"/>
      <c r="AE61" s="1970"/>
      <c r="AF61" s="1482">
        <f t="shared" si="79"/>
        <v>36</v>
      </c>
      <c r="AG61" s="1482"/>
      <c r="AH61" s="1972"/>
      <c r="AI61" s="1972"/>
      <c r="AJ61" s="1957"/>
      <c r="AK61" s="1982"/>
    </row>
    <row r="62" spans="1:37" s="266" customFormat="1" ht="19" customHeight="1">
      <c r="B62" s="2646"/>
      <c r="C62" s="2720"/>
      <c r="D62" s="2721"/>
      <c r="E62" s="1955"/>
      <c r="F62" s="1956"/>
      <c r="G62" s="1956"/>
      <c r="H62" s="1957"/>
      <c r="I62" s="2643"/>
      <c r="J62" s="1959"/>
      <c r="K62" s="802"/>
      <c r="L62" s="1961"/>
      <c r="M62" s="1960"/>
      <c r="N62" s="1957"/>
      <c r="O62" s="1962"/>
      <c r="P62" s="2161"/>
      <c r="Q62" s="2843"/>
      <c r="R62" s="2844"/>
      <c r="S62" s="2873"/>
      <c r="T62" s="1977"/>
      <c r="U62" s="1965"/>
      <c r="V62" s="1978"/>
      <c r="W62" s="1978"/>
      <c r="X62" s="1978"/>
      <c r="Y62" s="1979"/>
      <c r="Z62" s="1976"/>
      <c r="AA62" s="1980"/>
      <c r="AB62" s="1976"/>
      <c r="AC62" s="1968" t="str">
        <f t="shared" ca="1" si="73"/>
        <v/>
      </c>
      <c r="AD62" s="2645"/>
      <c r="AE62" s="1970"/>
      <c r="AF62" s="1482">
        <f t="shared" si="79"/>
        <v>36</v>
      </c>
      <c r="AG62" s="1482"/>
      <c r="AH62" s="1972"/>
      <c r="AI62" s="1972"/>
      <c r="AJ62" s="1957"/>
      <c r="AK62" s="1982"/>
    </row>
    <row r="63" spans="1:37" s="1699" customFormat="1" ht="19" customHeight="1">
      <c r="B63" s="1700">
        <v>7.1</v>
      </c>
      <c r="C63" s="3967" t="s">
        <v>1268</v>
      </c>
      <c r="D63" s="4028" t="s">
        <v>1256</v>
      </c>
      <c r="E63" s="1701" t="s">
        <v>3</v>
      </c>
      <c r="F63" s="1702"/>
      <c r="G63" s="1702">
        <f t="shared" ref="G63:G65" si="80">E707</f>
        <v>3833.9999999999995</v>
      </c>
      <c r="H63" s="1703">
        <f>F707</f>
        <v>862649.99999999988</v>
      </c>
      <c r="I63" s="1703" t="str">
        <f>G707</f>
        <v>Cost for person hours</v>
      </c>
      <c r="J63" s="1704" t="str">
        <f t="shared" ref="J63:J69" si="81">IF(K63=1,"Annual","Done every "&amp;K63&amp;" years")</f>
        <v>Annual</v>
      </c>
      <c r="K63" s="2180">
        <f>H707</f>
        <v>1</v>
      </c>
      <c r="L63" s="1706">
        <f t="shared" ref="L63:M70" si="82">$L$16/K63</f>
        <v>80</v>
      </c>
      <c r="M63" s="1707">
        <f t="shared" si="82"/>
        <v>1</v>
      </c>
      <c r="N63" s="1703">
        <f t="shared" ref="N63:N70" si="83">$H63*(1-(1+$L$15)^-(L63*M63))/((1+$L$15)^M63-1)*(1+((1+$L$15)^M63-1))</f>
        <v>21455837.287739065</v>
      </c>
      <c r="O63" s="1708">
        <f t="shared" si="49"/>
        <v>862649.99999999907</v>
      </c>
      <c r="P63" s="2810">
        <f>SUM(O63:O66)</f>
        <v>2379870.4898493257</v>
      </c>
      <c r="Q63" s="2845"/>
      <c r="R63" s="2846"/>
      <c r="S63" s="2874"/>
      <c r="T63" s="1710" t="s">
        <v>808</v>
      </c>
      <c r="U63" s="1711">
        <f t="shared" ref="U63:U70" si="84">O63/$U$16</f>
        <v>8626.4999999999909</v>
      </c>
      <c r="V63" s="1712">
        <f>IF($T63="L",SUM($U63:U63)*V$16,"")</f>
        <v>2587.9499999999971</v>
      </c>
      <c r="W63" s="1712">
        <f>IF($U63="","",IF(OR($T63="L",$T63="T",$T63="C"),SUM($U63:V63)*W$16,""))</f>
        <v>1121.4449999999988</v>
      </c>
      <c r="X63" s="1712">
        <f>IF($U63="","",SUM($U63:W63)*X$16)</f>
        <v>3700.7684999999956</v>
      </c>
      <c r="Y63" s="1713">
        <f t="shared" ref="Y63:Y70" si="85">IF($U63="","",SUM(V63:X63))</f>
        <v>7410.1634999999915</v>
      </c>
      <c r="Z63" s="1709">
        <f>SUM(V63:X66)</f>
        <v>13932.670469547969</v>
      </c>
      <c r="AA63" s="1714">
        <f t="shared" ref="AA63:AA70" si="86">IF($U63="","",SUM(U63,Y63))</f>
        <v>16036.663499999982</v>
      </c>
      <c r="AB63" s="1709">
        <f>SUM(AA63:AA66)</f>
        <v>37731.375368041234</v>
      </c>
      <c r="AC63" s="2169">
        <f t="shared" ref="AC63:AC70" ca="1" si="87">IF(AA63="","",AA63/OFFSET($AB$23,AF63,0))</f>
        <v>0.42502197027207123</v>
      </c>
      <c r="AD63" s="2647"/>
      <c r="AE63" s="2171"/>
      <c r="AF63" s="1715">
        <v>40</v>
      </c>
      <c r="AG63" s="1716">
        <f ca="1">SUM(AC63:AC66)-1</f>
        <v>0</v>
      </c>
      <c r="AH63" s="1717">
        <f t="shared" ref="AH63:AH65" si="88">$AH$16/K63</f>
        <v>5</v>
      </c>
      <c r="AI63" s="1717">
        <f t="shared" ref="AI63:AI65" si="89">$AH$16/AH63</f>
        <v>1</v>
      </c>
      <c r="AJ63" s="1703">
        <f t="shared" ref="AJ63:AJ65" si="90">$H63*(1-(1+$L$15)^-(AH63*AI63))/((1+$L$15)^AI63-1)*(1+((1+$L$15)^AI63-1))</f>
        <v>3993979.1152051762</v>
      </c>
      <c r="AK63" s="1718">
        <f>SUM(AJ63:AJ66)</f>
        <v>11013062.321511418</v>
      </c>
    </row>
    <row r="64" spans="1:37" s="1699" customFormat="1" ht="19" customHeight="1">
      <c r="B64" s="1719"/>
      <c r="C64" s="3968"/>
      <c r="D64" s="4029"/>
      <c r="E64" s="1701" t="s">
        <v>308</v>
      </c>
      <c r="F64" s="1702">
        <f>$D$691</f>
        <v>92</v>
      </c>
      <c r="G64" s="1702">
        <f t="shared" si="80"/>
        <v>1916.9999999999998</v>
      </c>
      <c r="H64" s="1703">
        <f t="shared" ref="H64:I66" si="91">F708</f>
        <v>546344.99999999988</v>
      </c>
      <c r="I64" s="1703" t="str">
        <f t="shared" si="91"/>
        <v>Cost for ute hire for the whole activity</v>
      </c>
      <c r="J64" s="1704" t="str">
        <f t="shared" si="81"/>
        <v>Annual</v>
      </c>
      <c r="K64" s="2180">
        <f>H708</f>
        <v>1</v>
      </c>
      <c r="L64" s="1706">
        <f t="shared" si="82"/>
        <v>80</v>
      </c>
      <c r="M64" s="1707">
        <f t="shared" si="82"/>
        <v>1</v>
      </c>
      <c r="N64" s="1703">
        <f t="shared" si="83"/>
        <v>13588696.948901407</v>
      </c>
      <c r="O64" s="1708">
        <f t="shared" si="49"/>
        <v>546344.99999999942</v>
      </c>
      <c r="P64" s="2811"/>
      <c r="Q64" s="2847">
        <f>1*(1-(1+$L$15)^-(L64*M64))/((1+$L$15)^M64-1)*(1+((1+$L$15)^M64-1))</f>
        <v>24.872007520708362</v>
      </c>
      <c r="R64" s="2848">
        <f>Q64/(1+$L$15)*($L$15)/(1-(1+$L$15)^-$L$16)</f>
        <v>0.99999999999999911</v>
      </c>
      <c r="S64" s="2875">
        <f>F64*R64</f>
        <v>91.999999999999915</v>
      </c>
      <c r="T64" s="1721" t="s">
        <v>809</v>
      </c>
      <c r="U64" s="1712">
        <f t="shared" si="84"/>
        <v>5463.4499999999944</v>
      </c>
      <c r="V64" s="1722" t="str">
        <f>IF($T64="L",SUM($U64:U64)*V$16,"")</f>
        <v/>
      </c>
      <c r="W64" s="1722">
        <f>IF($U64="","",IF(OR($T64="L",$T64="T",$T64="C"),SUM($U64:V64)*W$16,""))</f>
        <v>546.34499999999946</v>
      </c>
      <c r="X64" s="1722">
        <f>IF($U64="","",SUM($U64:W64)*X$16)</f>
        <v>1802.9384999999982</v>
      </c>
      <c r="Y64" s="1723">
        <f t="shared" si="85"/>
        <v>2349.2834999999977</v>
      </c>
      <c r="Z64" s="1720"/>
      <c r="AA64" s="1724">
        <f t="shared" si="86"/>
        <v>7812.7334999999921</v>
      </c>
      <c r="AB64" s="1720"/>
      <c r="AC64" s="2169">
        <f t="shared" ca="1" si="87"/>
        <v>0.20706198551716293</v>
      </c>
      <c r="AD64" s="2173"/>
      <c r="AE64" s="2171"/>
      <c r="AF64" s="1715">
        <f>AF63</f>
        <v>40</v>
      </c>
      <c r="AG64" s="1715"/>
      <c r="AH64" s="1717">
        <f t="shared" si="88"/>
        <v>5</v>
      </c>
      <c r="AI64" s="1717">
        <f t="shared" si="89"/>
        <v>1</v>
      </c>
      <c r="AJ64" s="1703">
        <f t="shared" si="90"/>
        <v>2529520.106296611</v>
      </c>
      <c r="AK64" s="1725"/>
    </row>
    <row r="65" spans="2:37" s="1699" customFormat="1" ht="16" customHeight="1">
      <c r="B65" s="1719"/>
      <c r="C65" s="3968"/>
      <c r="D65" s="4029"/>
      <c r="E65" s="1701" t="s">
        <v>4</v>
      </c>
      <c r="F65" s="1702"/>
      <c r="G65" s="1702">
        <f t="shared" si="80"/>
        <v>3834</v>
      </c>
      <c r="H65" s="1703">
        <f t="shared" si="91"/>
        <v>969690</v>
      </c>
      <c r="I65" s="1703" t="str">
        <f t="shared" si="91"/>
        <v>Accomodation + Food Cost</v>
      </c>
      <c r="J65" s="1704" t="str">
        <f t="shared" si="81"/>
        <v>Annual</v>
      </c>
      <c r="K65" s="2180">
        <f>H709</f>
        <v>1</v>
      </c>
      <c r="L65" s="1706">
        <f t="shared" si="82"/>
        <v>80</v>
      </c>
      <c r="M65" s="1707">
        <f t="shared" si="82"/>
        <v>1</v>
      </c>
      <c r="N65" s="1703">
        <f t="shared" si="83"/>
        <v>24118136.972755689</v>
      </c>
      <c r="O65" s="1708">
        <f t="shared" si="49"/>
        <v>969689.99999999919</v>
      </c>
      <c r="P65" s="2811"/>
      <c r="Q65" s="2847"/>
      <c r="R65" s="2848"/>
      <c r="S65" s="2875"/>
      <c r="T65" s="1721" t="s">
        <v>810</v>
      </c>
      <c r="U65" s="1712">
        <f t="shared" si="84"/>
        <v>9696.8999999999924</v>
      </c>
      <c r="V65" s="1722" t="str">
        <f>IF($T65="L",SUM($U65:U65)*V$16,"")</f>
        <v/>
      </c>
      <c r="W65" s="1722">
        <f>IF($U65="","",IF(OR($T65="L",$T65="T",$T65="C"),SUM($U65:V65)*W$16,""))</f>
        <v>969.68999999999926</v>
      </c>
      <c r="X65" s="1722">
        <f>IF($U65="","",SUM($U65:W65)*X$16)</f>
        <v>3199.9769999999971</v>
      </c>
      <c r="Y65" s="1723">
        <f t="shared" si="85"/>
        <v>4169.6669999999967</v>
      </c>
      <c r="Z65" s="1720"/>
      <c r="AA65" s="1724">
        <f t="shared" si="86"/>
        <v>13866.566999999988</v>
      </c>
      <c r="AB65" s="1720"/>
      <c r="AC65" s="2169">
        <f t="shared" ca="1" si="87"/>
        <v>0.36750759453484111</v>
      </c>
      <c r="AD65" s="2647"/>
      <c r="AE65" s="2171"/>
      <c r="AF65" s="1715">
        <f>AF64</f>
        <v>40</v>
      </c>
      <c r="AG65" s="1715"/>
      <c r="AH65" s="1717">
        <f t="shared" si="88"/>
        <v>5</v>
      </c>
      <c r="AI65" s="1717">
        <f t="shared" si="89"/>
        <v>1</v>
      </c>
      <c r="AJ65" s="1703">
        <f t="shared" si="90"/>
        <v>4489563.1000096304</v>
      </c>
      <c r="AK65" s="1725"/>
    </row>
    <row r="66" spans="2:37" s="1699" customFormat="1" ht="19" customHeight="1">
      <c r="B66" s="1719"/>
      <c r="C66" s="3969"/>
      <c r="D66" s="4030"/>
      <c r="E66" s="1701" t="s">
        <v>21</v>
      </c>
      <c r="F66" s="1702"/>
      <c r="G66" s="1702"/>
      <c r="H66" s="1703">
        <f t="shared" si="91"/>
        <v>10000</v>
      </c>
      <c r="I66" s="1703" t="str">
        <f t="shared" si="91"/>
        <v>Total equipment cost</v>
      </c>
      <c r="J66" s="1704" t="str">
        <f t="shared" si="81"/>
        <v>Done every 10 years</v>
      </c>
      <c r="K66" s="1707">
        <f>H710</f>
        <v>10</v>
      </c>
      <c r="L66" s="1706">
        <f t="shared" si="82"/>
        <v>8</v>
      </c>
      <c r="M66" s="1707">
        <f t="shared" si="82"/>
        <v>10</v>
      </c>
      <c r="N66" s="1703">
        <f t="shared" si="83"/>
        <v>29485.512448215297</v>
      </c>
      <c r="O66" s="1708">
        <f t="shared" si="49"/>
        <v>1185.4898493282344</v>
      </c>
      <c r="P66" s="2811"/>
      <c r="Q66" s="2847"/>
      <c r="R66" s="2848"/>
      <c r="S66" s="2875"/>
      <c r="T66" s="1727" t="s">
        <v>811</v>
      </c>
      <c r="U66" s="1712">
        <f t="shared" si="84"/>
        <v>11.854898493282343</v>
      </c>
      <c r="V66" s="1722" t="str">
        <f>IF($T66="L",SUM($U66:U66)*V$16,"")</f>
        <v/>
      </c>
      <c r="W66" s="1722" t="str">
        <f>IF($U66="","",IF(OR($T66="L",$T66="T",$T66="C"),$U66*#REF!,""))</f>
        <v/>
      </c>
      <c r="X66" s="1722">
        <f>IF($U66="","",SUM($U66:W66)*X$16)</f>
        <v>3.5564695479847028</v>
      </c>
      <c r="Y66" s="1723">
        <f t="shared" si="85"/>
        <v>3.5564695479847028</v>
      </c>
      <c r="Z66" s="1720"/>
      <c r="AA66" s="1724">
        <f t="shared" si="86"/>
        <v>15.411368041267046</v>
      </c>
      <c r="AB66" s="1720"/>
      <c r="AC66" s="2169">
        <f t="shared" ca="1" si="87"/>
        <v>4.0844967592463101E-4</v>
      </c>
      <c r="AD66" s="2647"/>
      <c r="AE66" s="2171"/>
      <c r="AF66" s="1715">
        <f>AF65</f>
        <v>40</v>
      </c>
      <c r="AG66" s="1715"/>
      <c r="AH66" s="1717"/>
      <c r="AI66" s="1717"/>
      <c r="AJ66" s="1703"/>
      <c r="AK66" s="1725"/>
    </row>
    <row r="67" spans="2:37" s="2207" customFormat="1" ht="19" customHeight="1">
      <c r="B67" s="2648">
        <v>7.2</v>
      </c>
      <c r="C67" s="4017" t="s">
        <v>1269</v>
      </c>
      <c r="D67" s="4020" t="s">
        <v>1258</v>
      </c>
      <c r="E67" s="2187" t="s">
        <v>3</v>
      </c>
      <c r="F67" s="2188"/>
      <c r="G67" s="2188">
        <f t="shared" ref="G67:G69" si="92">E855</f>
        <v>3833.9999999999995</v>
      </c>
      <c r="H67" s="2189">
        <f t="shared" ref="H67:I70" si="93">H855</f>
        <v>862649.99999999988</v>
      </c>
      <c r="I67" s="2189" t="str">
        <f t="shared" si="93"/>
        <v>Cost for person hours</v>
      </c>
      <c r="J67" s="2191" t="str">
        <f t="shared" si="81"/>
        <v>Done every 5 years</v>
      </c>
      <c r="K67" s="2224">
        <f>J855</f>
        <v>5</v>
      </c>
      <c r="L67" s="2193">
        <f t="shared" si="82"/>
        <v>16</v>
      </c>
      <c r="M67" s="2192">
        <f t="shared" si="82"/>
        <v>5</v>
      </c>
      <c r="N67" s="2189">
        <f t="shared" si="83"/>
        <v>4634194.9976163739</v>
      </c>
      <c r="O67" s="2194">
        <f t="shared" si="49"/>
        <v>186321.7110141975</v>
      </c>
      <c r="P67" s="2812">
        <f>SUM(O67:O70)</f>
        <v>1548549.8799689573</v>
      </c>
      <c r="Q67" s="2849"/>
      <c r="R67" s="2850"/>
      <c r="S67" s="2876"/>
      <c r="T67" s="2196" t="s">
        <v>808</v>
      </c>
      <c r="U67" s="2649">
        <f t="shared" si="84"/>
        <v>1863.2171101419749</v>
      </c>
      <c r="V67" s="2197">
        <f>IF($T67="L",SUM($U67:U67)*V$16,"")</f>
        <v>558.96513304259247</v>
      </c>
      <c r="W67" s="2197">
        <f>IF($U67="","",IF(OR($T67="L",$T67="T",$T67="C"),SUM($U67:V67)*W$16,""))</f>
        <v>242.21822431845678</v>
      </c>
      <c r="X67" s="2197">
        <f>IF($U67="","",SUM($U67:W67)*X$16)</f>
        <v>799.32014025090723</v>
      </c>
      <c r="Y67" s="2198">
        <f t="shared" si="85"/>
        <v>1600.5034976119564</v>
      </c>
      <c r="Z67" s="2195">
        <f>SUM(V67:X70)</f>
        <v>7456.5434873132963</v>
      </c>
      <c r="AA67" s="2199">
        <f t="shared" si="86"/>
        <v>3463.7206077539313</v>
      </c>
      <c r="AB67" s="2195">
        <f>SUM(AA67:AA70)</f>
        <v>22942.042287002867</v>
      </c>
      <c r="AC67" s="2200">
        <f t="shared" ca="1" si="87"/>
        <v>0.15097699517868116</v>
      </c>
      <c r="AD67" s="2650"/>
      <c r="AE67" s="2202"/>
      <c r="AF67" s="2203">
        <f>AF63+4</f>
        <v>44</v>
      </c>
      <c r="AG67" s="2204">
        <f ca="1">SUM(AC67:AC70)-1</f>
        <v>0</v>
      </c>
      <c r="AH67" s="2205">
        <f>$AH$16/K67</f>
        <v>1</v>
      </c>
      <c r="AI67" s="2205">
        <f>$AH$16/AH67</f>
        <v>5</v>
      </c>
      <c r="AJ67" s="2189">
        <f>$H67*(1-(1+$L$15)^-(AH67*AI67))/((1+$L$15)^AI67-1)*(1+((1+$L$15)^AI67-1))</f>
        <v>862649.99999999977</v>
      </c>
      <c r="AK67" s="2206">
        <f>SUM(AJ67:AJ70)</f>
        <v>7164134.9999999981</v>
      </c>
    </row>
    <row r="68" spans="2:37" s="2207" customFormat="1" ht="19" customHeight="1">
      <c r="B68" s="2651"/>
      <c r="C68" s="4018"/>
      <c r="D68" s="4021"/>
      <c r="E68" s="2187" t="s">
        <v>308</v>
      </c>
      <c r="F68" s="2188">
        <f>$D$836</f>
        <v>92</v>
      </c>
      <c r="G68" s="2188">
        <f t="shared" si="92"/>
        <v>1916.9999999999998</v>
      </c>
      <c r="H68" s="2189">
        <f t="shared" si="93"/>
        <v>546344.99999999988</v>
      </c>
      <c r="I68" s="2189" t="str">
        <f t="shared" si="93"/>
        <v>Cost for ute hire for the whole activity</v>
      </c>
      <c r="J68" s="2191" t="str">
        <f t="shared" si="81"/>
        <v>Done every 5 years</v>
      </c>
      <c r="K68" s="2224">
        <f>J856</f>
        <v>5</v>
      </c>
      <c r="L68" s="2193">
        <f t="shared" si="82"/>
        <v>16</v>
      </c>
      <c r="M68" s="2192">
        <f t="shared" si="82"/>
        <v>5</v>
      </c>
      <c r="N68" s="2189">
        <f t="shared" si="83"/>
        <v>2934990.1651570369</v>
      </c>
      <c r="O68" s="2194">
        <f t="shared" si="49"/>
        <v>118003.75030899174</v>
      </c>
      <c r="P68" s="2813"/>
      <c r="Q68" s="2851">
        <f>1*(1-(1+$L$15)^-(L68*M68))/((1+$L$15)^M68-1)*(1+((1+$L$15)^M68-1))</f>
        <v>5.3720454386093719</v>
      </c>
      <c r="R68" s="2852">
        <f>Q68/(1+$L$15)*($L$15)/(1-(1+$L$15)^-$L$16)</f>
        <v>0.2159876091279169</v>
      </c>
      <c r="S68" s="2877">
        <f>F68*R68</f>
        <v>19.870860039768356</v>
      </c>
      <c r="T68" s="2211" t="s">
        <v>809</v>
      </c>
      <c r="U68" s="2197">
        <f t="shared" si="84"/>
        <v>1180.0375030899174</v>
      </c>
      <c r="V68" s="2212" t="str">
        <f>IF($T68="L",SUM($U68:U68)*V$16,"")</f>
        <v/>
      </c>
      <c r="W68" s="2212">
        <f>IF($U68="","",IF(OR($T68="L",$T68="T",$T68="C"),SUM($U68:V68)*W$16,""))</f>
        <v>118.00375030899175</v>
      </c>
      <c r="X68" s="2212">
        <f>IF($U68="","",SUM($U68:W68)*X$16)</f>
        <v>389.41237601967276</v>
      </c>
      <c r="Y68" s="2213">
        <f t="shared" si="85"/>
        <v>507.41612632866452</v>
      </c>
      <c r="Z68" s="2210"/>
      <c r="AA68" s="2214">
        <f t="shared" si="86"/>
        <v>1687.4536294185818</v>
      </c>
      <c r="AB68" s="2210"/>
      <c r="AC68" s="2200">
        <f t="shared" ca="1" si="87"/>
        <v>7.3552895087049791E-2</v>
      </c>
      <c r="AD68" s="2215"/>
      <c r="AE68" s="2202"/>
      <c r="AF68" s="2203">
        <f>AF67</f>
        <v>44</v>
      </c>
      <c r="AG68" s="2203"/>
      <c r="AH68" s="2205">
        <f>$AH$16/K68</f>
        <v>1</v>
      </c>
      <c r="AI68" s="2205">
        <f>$AH$16/AH68</f>
        <v>5</v>
      </c>
      <c r="AJ68" s="2189">
        <f>$H68*(1-(1+$L$15)^-(AH68*AI68))/((1+$L$15)^AI68-1)*(1+((1+$L$15)^AI68-1))</f>
        <v>546344.99999999988</v>
      </c>
      <c r="AK68" s="2216"/>
    </row>
    <row r="69" spans="2:37" s="2207" customFormat="1" ht="16" customHeight="1">
      <c r="B69" s="2651"/>
      <c r="C69" s="4018"/>
      <c r="D69" s="4021"/>
      <c r="E69" s="2187" t="s">
        <v>4</v>
      </c>
      <c r="F69" s="2188"/>
      <c r="G69" s="2188">
        <f t="shared" si="92"/>
        <v>3834</v>
      </c>
      <c r="H69" s="2189">
        <f t="shared" si="93"/>
        <v>5755139.9999999991</v>
      </c>
      <c r="I69" s="2189" t="str">
        <f t="shared" si="93"/>
        <v>Consumables (Bush regen material + Accomodation)</v>
      </c>
      <c r="J69" s="2191" t="str">
        <f t="shared" si="81"/>
        <v>Done every 5 years</v>
      </c>
      <c r="K69" s="2224">
        <f>J857</f>
        <v>5</v>
      </c>
      <c r="L69" s="2193">
        <f t="shared" si="82"/>
        <v>16</v>
      </c>
      <c r="M69" s="2192">
        <f t="shared" si="82"/>
        <v>5</v>
      </c>
      <c r="N69" s="2189">
        <f t="shared" si="83"/>
        <v>30916873.58555834</v>
      </c>
      <c r="O69" s="2194">
        <f t="shared" si="49"/>
        <v>1243038.9287964397</v>
      </c>
      <c r="P69" s="2813"/>
      <c r="Q69" s="2851"/>
      <c r="R69" s="2852"/>
      <c r="S69" s="2877"/>
      <c r="T69" s="2211" t="s">
        <v>810</v>
      </c>
      <c r="U69" s="2197">
        <f t="shared" si="84"/>
        <v>12430.389287964397</v>
      </c>
      <c r="V69" s="2212" t="str">
        <f>IF($T69="L",SUM($U69:U69)*V$16,"")</f>
        <v/>
      </c>
      <c r="W69" s="2212">
        <f>IF($U69="","",IF(OR($T69="L",$T69="T",$T69="C"),SUM($U69:V69)*W$16,""))</f>
        <v>1243.0389287964399</v>
      </c>
      <c r="X69" s="2212">
        <f>IF($U69="","",SUM($U69:W69)*X$16)</f>
        <v>4102.028465028251</v>
      </c>
      <c r="Y69" s="2213">
        <f t="shared" si="85"/>
        <v>5345.067393824691</v>
      </c>
      <c r="Z69" s="2210"/>
      <c r="AA69" s="2214">
        <f t="shared" si="86"/>
        <v>17775.456681789088</v>
      </c>
      <c r="AB69" s="2210"/>
      <c r="AC69" s="2200">
        <f t="shared" ca="1" si="87"/>
        <v>0.77479835750539283</v>
      </c>
      <c r="AD69" s="2650"/>
      <c r="AE69" s="2202"/>
      <c r="AF69" s="2203">
        <f>AF68</f>
        <v>44</v>
      </c>
      <c r="AG69" s="2203"/>
      <c r="AH69" s="2205">
        <f>$AH$16/K69</f>
        <v>1</v>
      </c>
      <c r="AI69" s="2205">
        <f>$AH$16/AH69</f>
        <v>5</v>
      </c>
      <c r="AJ69" s="2189">
        <f>$H69*(1-(1+$L$15)^-(AH69*AI69))/((1+$L$15)^AI69-1)*(1+((1+$L$15)^AI69-1))</f>
        <v>5755139.9999999991</v>
      </c>
      <c r="AK69" s="2216"/>
    </row>
    <row r="70" spans="2:37" s="2207" customFormat="1" ht="19" customHeight="1">
      <c r="B70" s="2651"/>
      <c r="C70" s="4019"/>
      <c r="D70" s="4022"/>
      <c r="E70" s="2187" t="s">
        <v>21</v>
      </c>
      <c r="F70" s="2188"/>
      <c r="G70" s="2188"/>
      <c r="H70" s="2189">
        <f t="shared" si="93"/>
        <v>10000</v>
      </c>
      <c r="I70" s="2189" t="str">
        <f t="shared" si="93"/>
        <v>Total equipment cost</v>
      </c>
      <c r="J70" s="2191"/>
      <c r="K70" s="2192">
        <f>J858</f>
        <v>10</v>
      </c>
      <c r="L70" s="2193">
        <f t="shared" si="82"/>
        <v>8</v>
      </c>
      <c r="M70" s="2192">
        <f t="shared" si="82"/>
        <v>10</v>
      </c>
      <c r="N70" s="2189">
        <f t="shared" si="83"/>
        <v>29485.512448215297</v>
      </c>
      <c r="O70" s="2194">
        <f t="shared" si="49"/>
        <v>1185.4898493282344</v>
      </c>
      <c r="P70" s="2813"/>
      <c r="Q70" s="2851"/>
      <c r="R70" s="2852"/>
      <c r="S70" s="2877"/>
      <c r="T70" s="2226" t="s">
        <v>811</v>
      </c>
      <c r="U70" s="2197">
        <f t="shared" si="84"/>
        <v>11.854898493282343</v>
      </c>
      <c r="V70" s="2212" t="str">
        <f>IF($T70="L",SUM($U70:U70)*V$16,"")</f>
        <v/>
      </c>
      <c r="W70" s="2212" t="str">
        <f>IF($U70="","",IF(OR($T70="L",$T70="T",$T70="C"),$U70*#REF!,""))</f>
        <v/>
      </c>
      <c r="X70" s="2212">
        <f>IF($U70="","",SUM($U70:W70)*X$16)</f>
        <v>3.5564695479847028</v>
      </c>
      <c r="Y70" s="2213">
        <f t="shared" si="85"/>
        <v>3.5564695479847028</v>
      </c>
      <c r="Z70" s="2210"/>
      <c r="AA70" s="2214">
        <f t="shared" si="86"/>
        <v>15.411368041267046</v>
      </c>
      <c r="AB70" s="2210"/>
      <c r="AC70" s="2200">
        <f t="shared" ca="1" si="87"/>
        <v>6.717522288762365E-4</v>
      </c>
      <c r="AD70" s="2650"/>
      <c r="AE70" s="2202"/>
      <c r="AF70" s="2203">
        <f>AF69</f>
        <v>44</v>
      </c>
      <c r="AG70" s="2203"/>
      <c r="AH70" s="2205"/>
      <c r="AI70" s="2205"/>
      <c r="AJ70" s="2189"/>
      <c r="AK70" s="2216"/>
    </row>
    <row r="71" spans="2:37" s="9" customFormat="1" ht="19" customHeight="1">
      <c r="B71" s="2652">
        <v>8.1999999999999993</v>
      </c>
      <c r="C71" s="3949" t="s">
        <v>203</v>
      </c>
      <c r="D71" s="3929" t="s">
        <v>1551</v>
      </c>
      <c r="E71" s="148" t="s">
        <v>3</v>
      </c>
      <c r="F71" s="1174"/>
      <c r="G71" s="1174">
        <f t="shared" ref="G71:G73" si="94">E875</f>
        <v>3.1270553064275037</v>
      </c>
      <c r="H71" s="150">
        <f>I875</f>
        <v>838.11659192825118</v>
      </c>
      <c r="I71" s="996" t="s">
        <v>474</v>
      </c>
      <c r="J71" s="376" t="str">
        <f>IF(K71=1,"Annual","Done every "&amp;K71&amp;" years")</f>
        <v>Annual</v>
      </c>
      <c r="K71" s="117">
        <f>L875</f>
        <v>1</v>
      </c>
      <c r="L71" s="379">
        <f t="shared" ref="L71:M73" si="95">$L$16/K71</f>
        <v>80</v>
      </c>
      <c r="M71" s="272">
        <f t="shared" si="95"/>
        <v>1</v>
      </c>
      <c r="N71" s="150">
        <f>$H71*(1-(1+$L$15)^-(L71*M71))/((1+$L$15)^M71-1)*(1+((1+$L$15)^M71-1))</f>
        <v>20845.642177669924</v>
      </c>
      <c r="O71" s="915">
        <f t="shared" si="49"/>
        <v>838.1165919282505</v>
      </c>
      <c r="P71" s="381">
        <f>SUM(O71:O74)</f>
        <v>1788.9237668161422</v>
      </c>
      <c r="Q71" s="2853"/>
      <c r="R71" s="2854"/>
      <c r="S71" s="2878"/>
      <c r="T71" s="1582" t="s">
        <v>808</v>
      </c>
      <c r="U71" s="588">
        <f>O71/$U$16</f>
        <v>8.3811659192825054</v>
      </c>
      <c r="V71" s="588">
        <f>IF($T71="L",SUM($U71:U71)*V$16,"")</f>
        <v>2.5143497757847517</v>
      </c>
      <c r="W71" s="588">
        <f>IF($U71="","",IF(OR($T71="L",$T71="T",$T71="C"),SUM($U71:V71)*W$16,""))</f>
        <v>1.0895515695067257</v>
      </c>
      <c r="X71" s="588">
        <f>IF($U71="","",SUM($U71:W71)*X$16)</f>
        <v>3.5955201793721949</v>
      </c>
      <c r="Y71" s="384">
        <f t="shared" si="27"/>
        <v>7.1994215246636726</v>
      </c>
      <c r="Z71" s="382">
        <f>SUM(V71:X74)</f>
        <v>11.287892376681608</v>
      </c>
      <c r="AA71" s="920">
        <f t="shared" si="28"/>
        <v>15.580587443946179</v>
      </c>
      <c r="AB71" s="381">
        <f>SUM(AA71:AA74)</f>
        <v>29.177130044843025</v>
      </c>
      <c r="AC71" s="2653">
        <f t="shared" ca="1" si="29"/>
        <v>0.53400000000000014</v>
      </c>
      <c r="AD71" s="1062"/>
      <c r="AE71" s="2526"/>
      <c r="AF71" s="587">
        <v>48</v>
      </c>
      <c r="AG71" s="995">
        <f ca="1">SUM(AC71:AC74)-1</f>
        <v>0</v>
      </c>
      <c r="AH71" s="380">
        <f>$AH$16/K71</f>
        <v>5</v>
      </c>
      <c r="AI71" s="380">
        <f>$AH$16/AH71</f>
        <v>1</v>
      </c>
      <c r="AJ71" s="150">
        <f>$H71*(1-(1+$L$15)^-(AH71*AI71))/((1+$L$15)^AI71-1)*(1+((1+$L$15)^AI71-1))</f>
        <v>3880.3920063390424</v>
      </c>
      <c r="AK71" s="715">
        <f>SUM(AJ71:AJ74)</f>
        <v>8282.529604541649</v>
      </c>
    </row>
    <row r="72" spans="2:37" s="9" customFormat="1" ht="19" customHeight="1">
      <c r="B72" s="27"/>
      <c r="C72" s="3950"/>
      <c r="D72" s="3930"/>
      <c r="E72" s="148" t="s">
        <v>308</v>
      </c>
      <c r="F72" s="1174">
        <f>$F$28</f>
        <v>1</v>
      </c>
      <c r="G72" s="1174">
        <f t="shared" si="94"/>
        <v>1.5635276532137519</v>
      </c>
      <c r="H72" s="150">
        <f>I876</f>
        <v>530.80717488789242</v>
      </c>
      <c r="I72" s="996" t="s">
        <v>65</v>
      </c>
      <c r="J72" s="376" t="str">
        <f>IF(K72=1,"Annual","Done every "&amp;K72&amp;" years")</f>
        <v>Annual</v>
      </c>
      <c r="K72" s="117">
        <f t="shared" ref="K72:K73" si="96">L876</f>
        <v>1</v>
      </c>
      <c r="L72" s="379">
        <f t="shared" si="95"/>
        <v>80</v>
      </c>
      <c r="M72" s="272">
        <f t="shared" si="95"/>
        <v>1</v>
      </c>
      <c r="N72" s="150">
        <f>$H72*(1-(1+$L$15)^-(L72*M72))/((1+$L$15)^M72-1)*(1+((1+$L$15)^M72-1))</f>
        <v>13202.240045857618</v>
      </c>
      <c r="O72" s="915">
        <f t="shared" si="49"/>
        <v>530.80717488789196</v>
      </c>
      <c r="P72" s="381"/>
      <c r="Q72" s="2853">
        <f>1*(1-(1+$L$15)^-(L72*M72))/((1+$L$15)^M72-1)*(1+((1+$L$15)^M72-1))</f>
        <v>24.872007520708362</v>
      </c>
      <c r="R72" s="2854">
        <f>Q72/(1+$L$15)*($L$15)/(1-(1+$L$15)^-$L$16)</f>
        <v>0.99999999999999911</v>
      </c>
      <c r="S72" s="2878">
        <f>F72*R72</f>
        <v>0.99999999999999911</v>
      </c>
      <c r="T72" s="1076" t="s">
        <v>809</v>
      </c>
      <c r="U72" s="588">
        <f>O72/$U$16</f>
        <v>5.3080717488789197</v>
      </c>
      <c r="V72" s="919" t="str">
        <f>IF($T72="L",SUM($U72:U72)*V$16,"")</f>
        <v/>
      </c>
      <c r="W72" s="919">
        <f>IF($U72="","",IF(OR($T72="L",$T72="T",$T72="C"),SUM($U72:V72)*W$16,""))</f>
        <v>0.53080717488789197</v>
      </c>
      <c r="X72" s="919">
        <f>IF($U72="","",SUM($U72:W72)*X$16)</f>
        <v>1.7516636771300436</v>
      </c>
      <c r="Y72" s="384">
        <f t="shared" si="27"/>
        <v>2.2824708520179353</v>
      </c>
      <c r="Z72" s="382"/>
      <c r="AA72" s="920">
        <f t="shared" si="28"/>
        <v>7.5905426008968551</v>
      </c>
      <c r="AB72" s="381"/>
      <c r="AC72" s="2653">
        <f t="shared" ca="1" si="29"/>
        <v>0.26015384615384618</v>
      </c>
      <c r="AD72" s="589"/>
      <c r="AE72" s="2526"/>
      <c r="AF72" s="587">
        <f>AF71</f>
        <v>48</v>
      </c>
      <c r="AG72" s="587"/>
      <c r="AH72" s="380">
        <f>$AH$16/K72</f>
        <v>5</v>
      </c>
      <c r="AI72" s="380">
        <f>$AH$16/AH72</f>
        <v>1</v>
      </c>
      <c r="AJ72" s="150">
        <f>$H72*(1-(1+$L$15)^-(AH72*AI72))/((1+$L$15)^AI72-1)*(1+((1+$L$15)^AI72-1))</f>
        <v>2457.5816040147265</v>
      </c>
      <c r="AK72" s="715"/>
    </row>
    <row r="73" spans="2:37" s="9" customFormat="1" ht="19" customHeight="1">
      <c r="B73" s="27"/>
      <c r="C73" s="3950"/>
      <c r="D73" s="3930"/>
      <c r="E73" s="148" t="s">
        <v>4</v>
      </c>
      <c r="F73" s="1174"/>
      <c r="G73" s="1174">
        <f t="shared" si="94"/>
        <v>2</v>
      </c>
      <c r="H73" s="150">
        <f>I877</f>
        <v>420</v>
      </c>
      <c r="I73" s="996" t="s">
        <v>70</v>
      </c>
      <c r="J73" s="376" t="str">
        <f>IF(K73=1,"Annual","Done every "&amp;K73&amp;" years")</f>
        <v>Annual</v>
      </c>
      <c r="K73" s="117">
        <f t="shared" si="96"/>
        <v>1</v>
      </c>
      <c r="L73" s="379">
        <f t="shared" si="95"/>
        <v>80</v>
      </c>
      <c r="M73" s="272">
        <f t="shared" si="95"/>
        <v>1</v>
      </c>
      <c r="N73" s="150">
        <f>$H73*(1-(1+$L$15)^-(L73*M73))/((1+$L$15)^M73-1)*(1+((1+$L$15)^M73-1))</f>
        <v>10446.243158697513</v>
      </c>
      <c r="O73" s="915">
        <f t="shared" si="49"/>
        <v>419.99999999999966</v>
      </c>
      <c r="P73" s="381"/>
      <c r="Q73" s="2853"/>
      <c r="R73" s="2854"/>
      <c r="S73" s="2878"/>
      <c r="T73" s="1076" t="s">
        <v>810</v>
      </c>
      <c r="U73" s="588">
        <f>O73/$U$16</f>
        <v>4.1999999999999966</v>
      </c>
      <c r="V73" s="919" t="str">
        <f>IF($T73="L",SUM($U73:U73)*V$16,"")</f>
        <v/>
      </c>
      <c r="W73" s="919">
        <f>IF($U73="","",IF(OR($T73="L",$T73="T",$T73="C"),SUM($U73:V73)*W$16,""))</f>
        <v>0.41999999999999971</v>
      </c>
      <c r="X73" s="919">
        <f>IF($U73="","",SUM($U73:W73)*X$16)</f>
        <v>1.385999999999999</v>
      </c>
      <c r="Y73" s="384">
        <f t="shared" si="27"/>
        <v>1.8059999999999987</v>
      </c>
      <c r="Z73" s="382"/>
      <c r="AA73" s="920">
        <f t="shared" si="28"/>
        <v>6.0059999999999949</v>
      </c>
      <c r="AB73" s="381"/>
      <c r="AC73" s="2653">
        <f t="shared" ca="1" si="29"/>
        <v>0.20584615384615385</v>
      </c>
      <c r="AD73" s="589"/>
      <c r="AE73" s="2526"/>
      <c r="AF73" s="587">
        <f>AF72</f>
        <v>48</v>
      </c>
      <c r="AG73" s="587"/>
      <c r="AH73" s="380">
        <f>$AH$16/K73</f>
        <v>5</v>
      </c>
      <c r="AI73" s="380">
        <f>$AH$16/AH73</f>
        <v>1</v>
      </c>
      <c r="AJ73" s="150">
        <f>$H73*(1-(1+$L$15)^-(AH73*AI73))/((1+$L$15)^AI73-1)*(1+((1+$L$15)^AI73-1))</f>
        <v>1944.5559941878794</v>
      </c>
      <c r="AK73" s="715"/>
    </row>
    <row r="74" spans="2:37" s="9" customFormat="1" ht="19" customHeight="1">
      <c r="B74" s="2654"/>
      <c r="C74" s="3951"/>
      <c r="D74" s="4036"/>
      <c r="E74" s="148" t="s">
        <v>21</v>
      </c>
      <c r="F74" s="1174"/>
      <c r="G74" s="1174"/>
      <c r="H74" s="150"/>
      <c r="I74" s="996"/>
      <c r="J74" s="376"/>
      <c r="K74" s="117"/>
      <c r="L74" s="379"/>
      <c r="M74" s="272"/>
      <c r="N74" s="150"/>
      <c r="O74" s="179">
        <f t="shared" si="49"/>
        <v>0</v>
      </c>
      <c r="P74" s="385"/>
      <c r="Q74" s="2855"/>
      <c r="R74" s="2856"/>
      <c r="S74" s="2879"/>
      <c r="T74" s="1583" t="s">
        <v>811</v>
      </c>
      <c r="U74" s="2527"/>
      <c r="V74" s="2527" t="str">
        <f>IF($T74="L",SUM($U74:U74)*V$16,"")</f>
        <v/>
      </c>
      <c r="W74" s="2527" t="str">
        <f>IF($U74="","",IF(OR($T74="L",$T74="T",$T74="C"),$U74*#REF!,""))</f>
        <v/>
      </c>
      <c r="X74" s="2527" t="str">
        <f>IF($U74="","",SUM($U74:W74)*X$16)</f>
        <v/>
      </c>
      <c r="Y74" s="179" t="str">
        <f t="shared" si="27"/>
        <v/>
      </c>
      <c r="Z74" s="2655"/>
      <c r="AA74" s="2656" t="str">
        <f t="shared" si="28"/>
        <v/>
      </c>
      <c r="AB74" s="385"/>
      <c r="AC74" s="2657" t="str">
        <f t="shared" ca="1" si="29"/>
        <v/>
      </c>
      <c r="AD74" s="1064"/>
      <c r="AE74" s="2526"/>
      <c r="AF74" s="587">
        <f>AF73</f>
        <v>48</v>
      </c>
      <c r="AG74" s="587"/>
      <c r="AH74" s="380"/>
      <c r="AI74" s="380"/>
      <c r="AJ74" s="150"/>
      <c r="AK74" s="988"/>
    </row>
    <row r="75" spans="2:37" ht="19" customHeight="1">
      <c r="B75" s="926">
        <v>9</v>
      </c>
      <c r="C75" s="1403" t="s">
        <v>397</v>
      </c>
      <c r="D75" s="3847" t="s">
        <v>192</v>
      </c>
      <c r="E75" s="12" t="s">
        <v>3</v>
      </c>
      <c r="F75" s="1172"/>
      <c r="G75" s="1172">
        <f>$E$905</f>
        <v>15</v>
      </c>
      <c r="H75" s="188">
        <f>F905</f>
        <v>5062.5</v>
      </c>
      <c r="I75" s="1088" t="str">
        <f>G905</f>
        <v>Cost for reporting, analysis and feedback</v>
      </c>
      <c r="J75" s="377" t="str">
        <f>IF(K75=1,"Annual","Done every "&amp;K75&amp;" years")</f>
        <v>Annual</v>
      </c>
      <c r="K75" s="586">
        <f>$D$893</f>
        <v>1</v>
      </c>
      <c r="L75" s="158">
        <f>$L$16/K75</f>
        <v>80</v>
      </c>
      <c r="M75" s="586">
        <f>$L$16/L75</f>
        <v>1</v>
      </c>
      <c r="N75" s="188">
        <f>$H75*(1-(1+$L$15)^-(L75*M75))/((1+$L$15)^M75-1)*(1+((1+$L$15)^M75-1))</f>
        <v>125914.53807358607</v>
      </c>
      <c r="O75" s="242">
        <f>N75/(1+$L$15)*($L$15)/(1-(1+$L$15)^-$L$16)</f>
        <v>5062.4999999999955</v>
      </c>
      <c r="P75" s="2806">
        <f>SUM(O75:O78)</f>
        <v>5062.4999999999955</v>
      </c>
      <c r="Q75" s="2816"/>
      <c r="R75" s="2817"/>
      <c r="S75" s="2859"/>
      <c r="T75" s="1039" t="s">
        <v>808</v>
      </c>
      <c r="U75" s="583">
        <f>O75/$U$16</f>
        <v>50.624999999999957</v>
      </c>
      <c r="V75" s="583">
        <f>IF($T75="L",SUM($U75:U75)*V$16,"")</f>
        <v>15.187499999999986</v>
      </c>
      <c r="W75" s="1474"/>
      <c r="X75" s="583">
        <f>IF($U75="","",SUM($U75:W75)*X$16)</f>
        <v>19.743749999999981</v>
      </c>
      <c r="Y75" s="240">
        <f t="shared" si="27"/>
        <v>34.931249999999963</v>
      </c>
      <c r="Z75" s="192">
        <f>SUM(V75:X78)</f>
        <v>34.931249999999963</v>
      </c>
      <c r="AA75" s="742">
        <f t="shared" si="28"/>
        <v>85.55624999999992</v>
      </c>
      <c r="AB75" s="192">
        <f>SUM(AA75:AA78)</f>
        <v>85.55624999999992</v>
      </c>
      <c r="AC75" s="727">
        <f t="shared" ca="1" si="29"/>
        <v>1</v>
      </c>
      <c r="AD75" s="589"/>
      <c r="AE75" s="573"/>
      <c r="AF75" s="587">
        <v>52</v>
      </c>
      <c r="AG75" s="816">
        <f ca="1">SUM(AC75:AC78)-1</f>
        <v>0</v>
      </c>
      <c r="AH75" s="13">
        <f>$AH$16/K75</f>
        <v>5</v>
      </c>
      <c r="AI75" s="13">
        <f>$AH$16/AH75</f>
        <v>1</v>
      </c>
      <c r="AJ75" s="188">
        <f>$H75*(1-(1+$L$15)^-(AH75*AI75))/((1+$L$15)^AI75-1)*(1+((1+$L$15)^AI75-1))</f>
        <v>23438.844572800335</v>
      </c>
      <c r="AK75" s="191">
        <f>SUM(AJ75:AJ78)</f>
        <v>23438.844572800335</v>
      </c>
    </row>
    <row r="76" spans="2:37" ht="19" customHeight="1">
      <c r="B76" s="261"/>
      <c r="C76" s="1404"/>
      <c r="D76" s="3848"/>
      <c r="E76" s="12" t="s">
        <v>308</v>
      </c>
      <c r="F76" s="1172"/>
      <c r="G76" s="1172"/>
      <c r="H76" s="188"/>
      <c r="I76" s="921"/>
      <c r="J76" s="377"/>
      <c r="K76" s="586"/>
      <c r="L76" s="158"/>
      <c r="M76" s="586"/>
      <c r="N76" s="188"/>
      <c r="O76" s="242"/>
      <c r="P76" s="190"/>
      <c r="Q76" s="2818"/>
      <c r="R76" s="2819"/>
      <c r="S76" s="2860"/>
      <c r="T76" s="1034" t="s">
        <v>809</v>
      </c>
      <c r="U76" s="585"/>
      <c r="V76" s="585" t="str">
        <f>IF($T76="L",SUM($U76:U76)*V$16,"")</f>
        <v/>
      </c>
      <c r="W76" s="1475"/>
      <c r="X76" s="585" t="str">
        <f>IF($U76="","",SUM($U76:W76)*X$16)</f>
        <v/>
      </c>
      <c r="Y76" s="242" t="str">
        <f t="shared" si="27"/>
        <v/>
      </c>
      <c r="Z76" s="194"/>
      <c r="AA76" s="733" t="str">
        <f t="shared" si="28"/>
        <v/>
      </c>
      <c r="AB76" s="194"/>
      <c r="AC76" s="728" t="str">
        <f t="shared" ca="1" si="29"/>
        <v/>
      </c>
      <c r="AD76" s="589"/>
      <c r="AE76" s="1072"/>
      <c r="AF76" s="587">
        <f>AF75</f>
        <v>52</v>
      </c>
      <c r="AG76" s="587"/>
      <c r="AH76" s="13"/>
      <c r="AI76" s="13"/>
      <c r="AJ76" s="209"/>
      <c r="AK76" s="342"/>
    </row>
    <row r="77" spans="2:37" ht="19" customHeight="1">
      <c r="B77" s="261"/>
      <c r="C77" s="1404"/>
      <c r="D77" s="3848"/>
      <c r="E77" s="12" t="s">
        <v>4</v>
      </c>
      <c r="F77" s="1172"/>
      <c r="G77" s="1172"/>
      <c r="H77" s="188"/>
      <c r="I77" s="921"/>
      <c r="J77" s="377"/>
      <c r="K77" s="586"/>
      <c r="L77" s="158"/>
      <c r="M77" s="586"/>
      <c r="N77" s="188"/>
      <c r="O77" s="241"/>
      <c r="P77" s="2814"/>
      <c r="Q77" s="2818"/>
      <c r="R77" s="2819"/>
      <c r="S77" s="2860"/>
      <c r="T77" s="1034" t="s">
        <v>810</v>
      </c>
      <c r="U77" s="584"/>
      <c r="V77" s="584" t="str">
        <f>IF($T77="L",SUM($U77:U77)*V$16,"")</f>
        <v/>
      </c>
      <c r="W77" s="1476"/>
      <c r="X77" s="584" t="str">
        <f>IF($U77="","",SUM($U77:W77)*X$16)</f>
        <v/>
      </c>
      <c r="Y77" s="241" t="str">
        <f t="shared" si="27"/>
        <v/>
      </c>
      <c r="Z77" s="210"/>
      <c r="AA77" s="746" t="str">
        <f t="shared" si="28"/>
        <v/>
      </c>
      <c r="AB77" s="210"/>
      <c r="AC77" s="732" t="str">
        <f t="shared" ca="1" si="29"/>
        <v/>
      </c>
      <c r="AD77" s="815"/>
      <c r="AE77" s="1072"/>
      <c r="AF77" s="587">
        <f>AF76</f>
        <v>52</v>
      </c>
      <c r="AG77" s="587"/>
      <c r="AH77" s="13"/>
      <c r="AI77" s="13"/>
      <c r="AJ77" s="188"/>
      <c r="AK77" s="477"/>
    </row>
    <row r="78" spans="2:37" ht="19" customHeight="1" thickBot="1">
      <c r="B78" s="261"/>
      <c r="C78" s="1405"/>
      <c r="D78" s="3849"/>
      <c r="E78" s="12" t="s">
        <v>21</v>
      </c>
      <c r="F78" s="1172"/>
      <c r="G78" s="1172"/>
      <c r="H78" s="188"/>
      <c r="I78" s="921"/>
      <c r="J78" s="377"/>
      <c r="K78" s="11"/>
      <c r="L78" s="1046"/>
      <c r="M78" s="1047"/>
      <c r="N78" s="1048"/>
      <c r="O78" s="726"/>
      <c r="P78" s="2815"/>
      <c r="Q78" s="2857"/>
      <c r="R78" s="2858"/>
      <c r="S78" s="2880"/>
      <c r="T78" s="1040" t="s">
        <v>811</v>
      </c>
      <c r="U78" s="724"/>
      <c r="V78" s="724" t="str">
        <f>IF($T78="L",SUM($U78:U78)*V$16,"")</f>
        <v/>
      </c>
      <c r="W78" s="1477"/>
      <c r="X78" s="724" t="str">
        <f>IF($U78="","",SUM($U78:W78)*X$16)</f>
        <v/>
      </c>
      <c r="Y78" s="726" t="str">
        <f t="shared" si="27"/>
        <v/>
      </c>
      <c r="Z78" s="725"/>
      <c r="AA78" s="747" t="str">
        <f t="shared" si="28"/>
        <v/>
      </c>
      <c r="AB78" s="725"/>
      <c r="AC78" s="767" t="str">
        <f t="shared" ca="1" si="29"/>
        <v/>
      </c>
      <c r="AD78" s="1073"/>
      <c r="AE78" s="1074"/>
      <c r="AF78" s="587">
        <f>AF77</f>
        <v>52</v>
      </c>
      <c r="AG78" s="587"/>
      <c r="AH78" s="13"/>
      <c r="AI78" s="13"/>
      <c r="AJ78" s="188"/>
      <c r="AK78" s="478"/>
    </row>
    <row r="79" spans="2:37">
      <c r="C79" s="24"/>
      <c r="D79" s="238"/>
      <c r="E79"/>
      <c r="F79" s="359"/>
      <c r="H79" s="6"/>
      <c r="I79" s="359"/>
      <c r="U79" s="5"/>
    </row>
    <row r="80" spans="2:37">
      <c r="C80" s="24"/>
      <c r="D80" s="238"/>
      <c r="E80"/>
      <c r="F80" s="359"/>
      <c r="H80" s="6"/>
      <c r="I80" s="359"/>
      <c r="U80" s="5"/>
    </row>
    <row r="81" spans="3:21">
      <c r="C81" s="24"/>
      <c r="D81" s="238"/>
      <c r="E81"/>
      <c r="F81" s="359"/>
      <c r="H81" s="6"/>
      <c r="I81" s="359"/>
      <c r="U81" s="5"/>
    </row>
    <row r="82" spans="3:21">
      <c r="C82" s="24"/>
      <c r="D82" s="238"/>
      <c r="E82"/>
      <c r="F82" s="359"/>
      <c r="H82" s="6"/>
      <c r="I82" s="359"/>
      <c r="U82" s="5"/>
    </row>
    <row r="83" spans="3:21">
      <c r="C83" s="24"/>
      <c r="D83" s="238"/>
      <c r="E83"/>
      <c r="F83" s="359"/>
      <c r="H83" s="6"/>
      <c r="I83" s="359"/>
      <c r="U83" s="5"/>
    </row>
    <row r="84" spans="3:21">
      <c r="C84" s="24"/>
      <c r="D84" s="238" t="s">
        <v>299</v>
      </c>
      <c r="E84"/>
      <c r="F84" s="359"/>
      <c r="H84" s="6"/>
      <c r="I84" s="359"/>
      <c r="U84" s="5"/>
    </row>
    <row r="85" spans="3:21">
      <c r="C85" s="24"/>
      <c r="D85" s="238"/>
      <c r="E85"/>
      <c r="F85" s="359"/>
      <c r="H85" s="6"/>
      <c r="I85" s="359"/>
      <c r="U85" s="5"/>
    </row>
    <row r="86" spans="3:21">
      <c r="C86" s="24"/>
      <c r="D86" s="238"/>
      <c r="E86"/>
      <c r="F86" s="359"/>
      <c r="H86" s="6"/>
      <c r="I86" s="359"/>
      <c r="U86" s="5"/>
    </row>
    <row r="87" spans="3:21">
      <c r="C87" s="24"/>
      <c r="D87" s="238"/>
      <c r="E87"/>
      <c r="F87" s="359"/>
      <c r="H87" s="6"/>
      <c r="I87" s="359"/>
      <c r="U87" s="5"/>
    </row>
    <row r="88" spans="3:21">
      <c r="C88" s="24"/>
      <c r="D88" s="238"/>
      <c r="E88"/>
      <c r="F88" s="359"/>
      <c r="H88" s="6"/>
      <c r="I88" s="359"/>
      <c r="U88" s="5"/>
    </row>
    <row r="89" spans="3:21">
      <c r="C89" s="24"/>
      <c r="D89" s="238"/>
      <c r="E89"/>
      <c r="F89" s="359"/>
      <c r="H89" s="6"/>
      <c r="I89" s="359"/>
      <c r="U89" s="5"/>
    </row>
    <row r="90" spans="3:21">
      <c r="C90" s="24"/>
      <c r="D90" s="238"/>
      <c r="E90"/>
      <c r="F90" s="359"/>
      <c r="H90" s="6"/>
      <c r="I90" s="359"/>
      <c r="U90" s="5"/>
    </row>
    <row r="91" spans="3:21">
      <c r="C91" s="24"/>
      <c r="D91" s="238"/>
      <c r="E91"/>
      <c r="F91" s="359"/>
      <c r="H91" s="6"/>
      <c r="I91" s="359"/>
      <c r="U91" s="5"/>
    </row>
    <row r="92" spans="3:21" s="7" customFormat="1">
      <c r="E92" s="36"/>
      <c r="G92" s="1089"/>
      <c r="Q92" s="2796"/>
      <c r="R92" s="2796"/>
      <c r="S92" s="2796"/>
    </row>
    <row r="93" spans="3:21" s="9" customFormat="1">
      <c r="C93" s="120" t="s">
        <v>57</v>
      </c>
      <c r="D93" s="34" t="s">
        <v>1054</v>
      </c>
      <c r="E93" s="34"/>
      <c r="G93" s="572"/>
      <c r="Q93" s="2797"/>
      <c r="R93" s="2797"/>
      <c r="S93" s="2797"/>
    </row>
    <row r="94" spans="3:21" s="9" customFormat="1">
      <c r="D94" s="592" t="s">
        <v>1259</v>
      </c>
      <c r="E94" s="970"/>
      <c r="G94" s="572"/>
      <c r="Q94" s="2797"/>
      <c r="R94" s="2797"/>
      <c r="S94" s="2797"/>
    </row>
    <row r="95" spans="3:21" s="9" customFormat="1">
      <c r="D95" s="332" t="s">
        <v>91</v>
      </c>
      <c r="E95" s="43"/>
      <c r="F95" s="24"/>
      <c r="G95" s="359"/>
      <c r="Q95" s="2797"/>
      <c r="R95" s="2797"/>
      <c r="S95" s="2797"/>
    </row>
    <row r="96" spans="3:21" s="9" customFormat="1">
      <c r="D96" s="135">
        <f>'Overall Assumptions'!$C$8</f>
        <v>100</v>
      </c>
      <c r="E96" s="246" t="s">
        <v>1260</v>
      </c>
      <c r="F96"/>
      <c r="G96" s="359"/>
      <c r="Q96" s="2797"/>
      <c r="R96" s="2797"/>
      <c r="S96" s="2797"/>
    </row>
    <row r="97" spans="3:19" s="9" customFormat="1">
      <c r="D97" s="332">
        <f>'Overall Assumptions'!$C$115</f>
        <v>3</v>
      </c>
      <c r="E97" s="131" t="str">
        <f>'Overall Assumptions'!$D$115</f>
        <v>weeks</v>
      </c>
      <c r="F97"/>
      <c r="G97" s="359"/>
      <c r="Q97" s="2797"/>
      <c r="R97" s="2797"/>
      <c r="S97" s="2797"/>
    </row>
    <row r="98" spans="3:19" s="9" customFormat="1">
      <c r="C98" s="105"/>
      <c r="D98" s="332">
        <f>'Overall Assumptions'!$C$116</f>
        <v>15</v>
      </c>
      <c r="E98" s="131" t="str">
        <f>'Overall Assumptions'!$D$116</f>
        <v>days</v>
      </c>
      <c r="F98"/>
      <c r="G98" s="359"/>
      <c r="Q98" s="2797"/>
      <c r="R98" s="2797"/>
      <c r="S98" s="2797"/>
    </row>
    <row r="99" spans="3:19" s="9" customFormat="1">
      <c r="C99" s="105"/>
      <c r="D99" s="332"/>
      <c r="E99" s="43"/>
      <c r="F99"/>
      <c r="G99" s="359"/>
      <c r="Q99" s="2797"/>
      <c r="R99" s="2797"/>
      <c r="S99" s="2797"/>
    </row>
    <row r="100" spans="3:19" s="9" customFormat="1">
      <c r="C100" s="105"/>
      <c r="D100" s="268">
        <v>1</v>
      </c>
      <c r="E100" s="43" t="s">
        <v>245</v>
      </c>
      <c r="F100"/>
      <c r="G100" s="359"/>
      <c r="Q100" s="2797"/>
      <c r="R100" s="2797"/>
      <c r="S100" s="2797"/>
    </row>
    <row r="101" spans="3:19" s="9" customFormat="1">
      <c r="C101" s="105"/>
      <c r="D101" s="332"/>
      <c r="E101" s="43"/>
      <c r="F101"/>
      <c r="G101" s="359"/>
      <c r="Q101" s="2797"/>
      <c r="R101" s="2797"/>
      <c r="S101" s="2797"/>
    </row>
    <row r="102" spans="3:19" s="9" customFormat="1">
      <c r="C102" s="105"/>
      <c r="D102" s="332"/>
      <c r="E102" s="43"/>
      <c r="F102"/>
      <c r="G102" s="359"/>
      <c r="Q102" s="2797"/>
      <c r="R102" s="2797"/>
      <c r="S102" s="2797"/>
    </row>
    <row r="103" spans="3:19" s="9" customFormat="1">
      <c r="C103" s="105"/>
      <c r="D103" s="332" t="str">
        <f>'Overall Assumptions'!$D$76</f>
        <v>Daily rate (AUD) for labour assuming 7.5 hours/day</v>
      </c>
      <c r="E103" s="246"/>
      <c r="F103"/>
      <c r="G103" s="359"/>
      <c r="Q103" s="2797"/>
      <c r="R103" s="2797"/>
      <c r="S103" s="2797"/>
    </row>
    <row r="104" spans="3:19" s="9" customFormat="1">
      <c r="D104" s="614">
        <f>'Overall Assumptions'!$C$68</f>
        <v>225</v>
      </c>
      <c r="E104" s="246" t="str">
        <f>'Overall Assumptions'!$B$67</f>
        <v>Labour 1- APS Low (Entry lvl)</v>
      </c>
      <c r="F104"/>
      <c r="G104" s="359"/>
      <c r="Q104" s="2797"/>
      <c r="R104" s="2797"/>
      <c r="S104" s="2797"/>
    </row>
    <row r="105" spans="3:19" s="9" customFormat="1">
      <c r="D105" s="399">
        <f>'Overall Assumptions'!$C$72</f>
        <v>337.5</v>
      </c>
      <c r="E105" s="530" t="str">
        <f>'Overall Assumptions'!$B$71</f>
        <v>Labour 2 - APS High (Experienced)</v>
      </c>
      <c r="F105"/>
      <c r="G105" s="359"/>
      <c r="Q105" s="2797"/>
      <c r="R105" s="2797"/>
      <c r="S105" s="2797"/>
    </row>
    <row r="106" spans="3:19" s="9" customFormat="1">
      <c r="D106" s="112">
        <f>'Overall Assumptions'!$C$76</f>
        <v>487.5</v>
      </c>
      <c r="E106" s="45" t="str">
        <f>'Overall Assumptions'!$B$75</f>
        <v>Labour 3 - EL (Management)</v>
      </c>
      <c r="F106"/>
      <c r="G106" s="359"/>
      <c r="Q106" s="2797"/>
      <c r="R106" s="2797"/>
      <c r="S106" s="2797"/>
    </row>
    <row r="107" spans="3:19" s="9" customFormat="1">
      <c r="D107" s="33"/>
      <c r="E107" s="16"/>
      <c r="F107"/>
      <c r="G107" s="359"/>
      <c r="Q107" s="2797"/>
      <c r="R107" s="2797"/>
      <c r="S107" s="2797"/>
    </row>
    <row r="108" spans="3:19" s="9" customFormat="1">
      <c r="D108" s="531"/>
      <c r="E108" s="33"/>
      <c r="F108"/>
      <c r="G108" s="359"/>
      <c r="Q108" s="2797"/>
      <c r="R108" s="2797"/>
      <c r="S108" s="2797"/>
    </row>
    <row r="109" spans="3:19" s="9" customFormat="1">
      <c r="D109" s="912"/>
      <c r="E109" s="16"/>
      <c r="F109"/>
      <c r="G109" s="359"/>
      <c r="Q109" s="2797"/>
      <c r="R109" s="2797"/>
      <c r="S109" s="2797"/>
    </row>
    <row r="110" spans="3:19" s="9" customFormat="1">
      <c r="D110" s="33"/>
      <c r="E110" s="16"/>
      <c r="F110"/>
      <c r="G110" s="359"/>
      <c r="Q110" s="2797"/>
      <c r="R110" s="2797"/>
      <c r="S110" s="2797"/>
    </row>
    <row r="111" spans="3:19" s="9" customFormat="1">
      <c r="D111" s="33"/>
      <c r="E111" s="16"/>
      <c r="F111"/>
      <c r="G111" s="359"/>
      <c r="Q111" s="2797"/>
      <c r="R111" s="2797"/>
      <c r="S111" s="2797"/>
    </row>
    <row r="112" spans="3:19" s="9" customFormat="1">
      <c r="D112" s="175"/>
      <c r="E112" s="164" t="s">
        <v>155</v>
      </c>
      <c r="F112" s="255" t="s">
        <v>166</v>
      </c>
      <c r="G112" s="1090" t="s">
        <v>69</v>
      </c>
      <c r="H112" s="108"/>
      <c r="Q112" s="2797"/>
      <c r="R112" s="2797"/>
      <c r="S112" s="2797"/>
    </row>
    <row r="113" spans="3:19" s="9" customFormat="1">
      <c r="D113" s="405" t="s">
        <v>3</v>
      </c>
      <c r="E113" s="509">
        <f>D98</f>
        <v>15</v>
      </c>
      <c r="F113" s="321">
        <f>D98*D105</f>
        <v>5062.5</v>
      </c>
      <c r="G113" s="1091" t="s">
        <v>162</v>
      </c>
      <c r="H113" s="323"/>
      <c r="Q113" s="2797"/>
      <c r="R113" s="2797"/>
      <c r="S113" s="2797"/>
    </row>
    <row r="114" spans="3:19" s="9" customFormat="1">
      <c r="D114" s="105"/>
      <c r="E114" s="34"/>
      <c r="G114" s="572"/>
      <c r="Q114" s="2797"/>
      <c r="R114" s="2797"/>
      <c r="S114" s="2797"/>
    </row>
    <row r="115" spans="3:19" s="7" customFormat="1">
      <c r="D115" s="977"/>
      <c r="E115" s="35"/>
      <c r="G115" s="1089"/>
      <c r="Q115" s="2796"/>
      <c r="R115" s="2796"/>
      <c r="S115" s="2796"/>
    </row>
    <row r="116" spans="3:19" s="7" customFormat="1">
      <c r="D116" s="35"/>
      <c r="E116" s="36"/>
      <c r="G116" s="1089"/>
      <c r="Q116" s="2796"/>
      <c r="R116" s="2796"/>
      <c r="S116" s="2796"/>
    </row>
    <row r="117" spans="3:19">
      <c r="C117" s="8" t="s">
        <v>1001</v>
      </c>
      <c r="D117" s="16"/>
    </row>
    <row r="118" spans="3:19">
      <c r="D118"/>
    </row>
    <row r="119" spans="3:19">
      <c r="D119"/>
      <c r="E119"/>
    </row>
    <row r="120" spans="3:19">
      <c r="D120"/>
      <c r="E120"/>
    </row>
    <row r="121" spans="3:19">
      <c r="D121" s="455"/>
      <c r="E121"/>
    </row>
    <row r="122" spans="3:19">
      <c r="D122" s="2127" t="s">
        <v>1464</v>
      </c>
      <c r="E122"/>
    </row>
    <row r="123" spans="3:19">
      <c r="D123" s="455"/>
      <c r="E123"/>
    </row>
    <row r="124" spans="3:19">
      <c r="D124"/>
      <c r="E124"/>
    </row>
    <row r="125" spans="3:19">
      <c r="D125" s="592" t="s">
        <v>179</v>
      </c>
      <c r="E125" s="274"/>
    </row>
    <row r="126" spans="3:19">
      <c r="D126" s="974"/>
      <c r="E126" s="246"/>
    </row>
    <row r="127" spans="3:19">
      <c r="D127" s="974">
        <f>'Overall Assumptions'!$C$8</f>
        <v>100</v>
      </c>
      <c r="E127" s="246" t="s">
        <v>1193</v>
      </c>
    </row>
    <row r="128" spans="3:19">
      <c r="D128" s="974">
        <f>'Overall Assumptions'!$C$8*2</f>
        <v>200</v>
      </c>
      <c r="E128" s="246" t="s">
        <v>256</v>
      </c>
    </row>
    <row r="129" spans="3:9">
      <c r="D129" s="408">
        <f>'Overall Assumptions'!$C$120</f>
        <v>0.3</v>
      </c>
      <c r="E129" s="483" t="s">
        <v>1465</v>
      </c>
    </row>
    <row r="130" spans="3:9">
      <c r="D130" s="446">
        <f>D127*D129</f>
        <v>30</v>
      </c>
      <c r="E130" s="483" t="s">
        <v>1187</v>
      </c>
    </row>
    <row r="131" spans="3:9">
      <c r="D131" s="447">
        <v>1</v>
      </c>
      <c r="E131" s="483" t="s">
        <v>246</v>
      </c>
    </row>
    <row r="132" spans="3:9">
      <c r="D132" s="44"/>
      <c r="E132" s="43"/>
    </row>
    <row r="133" spans="3:9">
      <c r="D133" s="54">
        <f>D130</f>
        <v>30</v>
      </c>
      <c r="E133" s="483" t="s">
        <v>1188</v>
      </c>
    </row>
    <row r="134" spans="3:9">
      <c r="D134" s="42">
        <f>'Overall Assumptions'!$C$53</f>
        <v>4.46</v>
      </c>
      <c r="E134" s="631" t="s">
        <v>780</v>
      </c>
    </row>
    <row r="135" spans="3:9">
      <c r="D135" s="42">
        <f>'Overall Assumptions'!$C$54</f>
        <v>3.3449999999999998</v>
      </c>
      <c r="E135" s="631" t="s">
        <v>781</v>
      </c>
    </row>
    <row r="136" spans="3:9">
      <c r="D136" s="125">
        <f>'Overall Assumptions'!$C$55</f>
        <v>2.23</v>
      </c>
      <c r="E136" s="635" t="s">
        <v>782</v>
      </c>
    </row>
    <row r="138" spans="3:9">
      <c r="D138" s="25"/>
    </row>
    <row r="139" spans="3:9">
      <c r="D139" s="151" t="s">
        <v>179</v>
      </c>
      <c r="E139" s="164"/>
      <c r="F139" s="255"/>
      <c r="G139" s="1090"/>
      <c r="H139" s="161"/>
    </row>
    <row r="140" spans="3:9">
      <c r="D140" s="444">
        <f>10/60</f>
        <v>0.16666666666666666</v>
      </c>
      <c r="E140" s="443" t="s">
        <v>2329</v>
      </c>
      <c r="F140" s="465"/>
      <c r="G140" s="1097"/>
      <c r="H140" s="466"/>
    </row>
    <row r="141" spans="3:9">
      <c r="D141" s="446">
        <f>D133</f>
        <v>30</v>
      </c>
      <c r="E141" s="16" t="s">
        <v>253</v>
      </c>
      <c r="H141" s="246"/>
    </row>
    <row r="142" spans="3:9">
      <c r="D142" s="154">
        <f>D140*D141</f>
        <v>5</v>
      </c>
      <c r="E142" s="333" t="s">
        <v>1135</v>
      </c>
      <c r="F142" s="439"/>
      <c r="G142" s="1098"/>
      <c r="H142" s="162"/>
    </row>
    <row r="143" spans="3:9">
      <c r="C143" s="79"/>
      <c r="D143" s="66"/>
      <c r="H143" s="79"/>
      <c r="I143" s="79"/>
    </row>
    <row r="144" spans="3:9">
      <c r="D144"/>
      <c r="E144"/>
    </row>
    <row r="145" spans="3:12">
      <c r="D145"/>
      <c r="E145"/>
    </row>
    <row r="146" spans="3:12">
      <c r="D146"/>
      <c r="K146" s="1400"/>
      <c r="L146" s="1400"/>
    </row>
    <row r="147" spans="3:12">
      <c r="D147" s="825"/>
      <c r="E147" s="825"/>
    </row>
    <row r="148" spans="3:12">
      <c r="D148"/>
      <c r="E148"/>
      <c r="F148" s="432"/>
      <c r="G148" s="1099"/>
    </row>
    <row r="149" spans="3:12" ht="19">
      <c r="C149" t="s">
        <v>50</v>
      </c>
      <c r="D149" s="37" t="s">
        <v>81</v>
      </c>
      <c r="E149" s="24"/>
      <c r="F149" s="1"/>
      <c r="G149" s="1100"/>
      <c r="H149" s="3"/>
      <c r="I149" s="3"/>
      <c r="J149" s="3"/>
    </row>
    <row r="150" spans="3:12">
      <c r="F150" s="1"/>
      <c r="G150" s="1100"/>
      <c r="H150" s="3"/>
      <c r="I150" s="3"/>
      <c r="J150" s="3"/>
    </row>
    <row r="151" spans="3:12">
      <c r="D151" s="160" t="s">
        <v>408</v>
      </c>
    </row>
    <row r="153" spans="3:12">
      <c r="D153" s="50"/>
    </row>
    <row r="154" spans="3:12">
      <c r="D154" s="51" t="s">
        <v>82</v>
      </c>
      <c r="E154" s="273"/>
      <c r="F154" s="274"/>
    </row>
    <row r="155" spans="3:12" ht="19">
      <c r="D155" s="54">
        <f>'Overall Assumptions'!$C$68</f>
        <v>225</v>
      </c>
      <c r="E155" s="1215" t="s">
        <v>99</v>
      </c>
      <c r="F155" s="246"/>
    </row>
    <row r="156" spans="3:12">
      <c r="D156" s="54">
        <f>'Overall Assumptions'!$C$130</f>
        <v>2</v>
      </c>
      <c r="E156" s="76" t="s">
        <v>84</v>
      </c>
      <c r="F156" s="246"/>
    </row>
    <row r="157" spans="3:12">
      <c r="D157" s="152"/>
      <c r="E157" s="76"/>
      <c r="F157" s="246"/>
    </row>
    <row r="158" spans="3:12">
      <c r="D158" s="42">
        <f>'Overall Assumptions'!$C$53</f>
        <v>4.46</v>
      </c>
      <c r="E158" s="629" t="s">
        <v>780</v>
      </c>
      <c r="F158" s="246"/>
    </row>
    <row r="159" spans="3:12">
      <c r="D159" s="42">
        <f>'Overall Assumptions'!$C$54</f>
        <v>3.3449999999999998</v>
      </c>
      <c r="E159" s="629" t="s">
        <v>781</v>
      </c>
      <c r="F159" s="246"/>
    </row>
    <row r="160" spans="3:12">
      <c r="D160" s="42">
        <f>'Overall Assumptions'!$C$55</f>
        <v>2.23</v>
      </c>
      <c r="E160" s="629" t="s">
        <v>782</v>
      </c>
      <c r="F160" s="246"/>
    </row>
    <row r="161" spans="3:10">
      <c r="D161" s="616"/>
      <c r="E161" s="833"/>
      <c r="F161" s="246"/>
    </row>
    <row r="162" spans="3:10">
      <c r="D162" s="467">
        <f>D133</f>
        <v>30</v>
      </c>
      <c r="E162" s="1216" t="str">
        <f>E133</f>
        <v>Effective distance to be walked along river (km)</v>
      </c>
      <c r="F162" s="246"/>
    </row>
    <row r="163" spans="3:10">
      <c r="D163" s="467"/>
      <c r="E163" s="76"/>
      <c r="F163" s="246"/>
    </row>
    <row r="164" spans="3:10">
      <c r="D164" s="468">
        <f>D142/7.5</f>
        <v>0.66666666666666663</v>
      </c>
      <c r="E164" s="76" t="s">
        <v>464</v>
      </c>
      <c r="F164" s="246"/>
    </row>
    <row r="165" spans="3:10">
      <c r="D165" s="54">
        <f>'Overall Assumptions'!$C$10</f>
        <v>0</v>
      </c>
      <c r="E165" s="76" t="s">
        <v>85</v>
      </c>
      <c r="F165" s="246"/>
    </row>
    <row r="166" spans="3:10">
      <c r="D166" s="54">
        <f>'Overall Assumptions'!$C$90</f>
        <v>80</v>
      </c>
      <c r="E166" s="76" t="s">
        <v>86</v>
      </c>
      <c r="F166" s="246"/>
    </row>
    <row r="167" spans="3:10">
      <c r="D167" s="56">
        <f>'Overall Assumptions'!$C$81</f>
        <v>210</v>
      </c>
      <c r="E167" s="333" t="s">
        <v>87</v>
      </c>
      <c r="F167" s="162"/>
      <c r="J167" s="578"/>
    </row>
    <row r="168" spans="3:10">
      <c r="D168" s="57"/>
    </row>
    <row r="169" spans="3:10">
      <c r="C169" s="21"/>
      <c r="J169" s="90"/>
    </row>
    <row r="170" spans="3:10">
      <c r="C170" s="21"/>
      <c r="D170" s="59" t="s">
        <v>735</v>
      </c>
      <c r="E170" s="2" t="s">
        <v>218</v>
      </c>
      <c r="F170" s="2" t="s">
        <v>733</v>
      </c>
      <c r="G170" s="359" t="s">
        <v>796</v>
      </c>
    </row>
    <row r="171" spans="3:10">
      <c r="C171" s="21"/>
      <c r="D171" s="46">
        <f>D158</f>
        <v>4.46</v>
      </c>
      <c r="E171" s="46">
        <f>D159</f>
        <v>3.3449999999999998</v>
      </c>
      <c r="F171" s="1219">
        <f>D160</f>
        <v>2.23</v>
      </c>
      <c r="G171" s="359" t="s">
        <v>254</v>
      </c>
      <c r="J171" s="90"/>
    </row>
    <row r="172" spans="3:10">
      <c r="C172" s="21"/>
      <c r="D172" s="77">
        <f>2*D165/D166/7.5</f>
        <v>0</v>
      </c>
      <c r="E172" s="77">
        <f>D172</f>
        <v>0</v>
      </c>
      <c r="F172" s="77">
        <f>E172</f>
        <v>0</v>
      </c>
      <c r="G172" s="59" t="s">
        <v>95</v>
      </c>
      <c r="J172" s="90"/>
    </row>
    <row r="173" spans="3:10">
      <c r="C173" s="21"/>
      <c r="D173" s="77"/>
      <c r="G173" s="16" t="s">
        <v>778</v>
      </c>
      <c r="J173" s="90"/>
    </row>
    <row r="174" spans="3:10">
      <c r="C174" s="21"/>
      <c r="J174" s="90"/>
    </row>
    <row r="175" spans="3:10" ht="18" customHeight="1">
      <c r="C175" s="21"/>
      <c r="D175" s="77">
        <f>$D162/D171/7.5</f>
        <v>0.89686098654708524</v>
      </c>
      <c r="E175" s="77">
        <f>$D162/E171/7.5</f>
        <v>1.195814648729447</v>
      </c>
      <c r="F175" s="77">
        <f>$D162/F171/7.5</f>
        <v>1.7937219730941705</v>
      </c>
      <c r="G175" s="693" t="s">
        <v>96</v>
      </c>
    </row>
    <row r="176" spans="3:10" ht="18" customHeight="1">
      <c r="C176" s="21"/>
      <c r="D176" s="77">
        <f>$D164</f>
        <v>0.66666666666666663</v>
      </c>
      <c r="E176" s="77">
        <f>$D164</f>
        <v>0.66666666666666663</v>
      </c>
      <c r="F176" s="77">
        <f>$D164</f>
        <v>0.66666666666666663</v>
      </c>
      <c r="G176" s="693" t="s">
        <v>786</v>
      </c>
    </row>
    <row r="177" spans="3:11" ht="18" customHeight="1">
      <c r="C177" s="21"/>
      <c r="D177" s="77">
        <f>SUM(D175:D176)</f>
        <v>1.5635276532137519</v>
      </c>
      <c r="E177" s="77">
        <f>SUM(E175:E176)</f>
        <v>1.8624813153961135</v>
      </c>
      <c r="F177" s="77">
        <f>SUM(F175:F176)</f>
        <v>2.4603886397608372</v>
      </c>
      <c r="G177" s="693" t="s">
        <v>171</v>
      </c>
    </row>
    <row r="178" spans="3:11" ht="18" customHeight="1">
      <c r="C178" s="21"/>
      <c r="D178" s="16"/>
      <c r="E178"/>
    </row>
    <row r="179" spans="3:11" ht="18" customHeight="1">
      <c r="C179" s="21"/>
      <c r="D179" s="77">
        <f>D177*$D156</f>
        <v>3.1270553064275037</v>
      </c>
      <c r="E179" s="77">
        <f>E177*$D156</f>
        <v>3.724962630792227</v>
      </c>
      <c r="F179" s="77">
        <f>F177*$D156</f>
        <v>4.9207772795216744</v>
      </c>
      <c r="G179" s="99" t="s">
        <v>787</v>
      </c>
    </row>
    <row r="180" spans="3:11">
      <c r="C180" s="21"/>
      <c r="D180" s="16"/>
      <c r="E180"/>
      <c r="G180" s="99"/>
    </row>
    <row r="181" spans="3:11">
      <c r="C181" s="21"/>
      <c r="D181" s="63">
        <f>$D155*$D156*D175</f>
        <v>403.58744394618833</v>
      </c>
      <c r="E181" s="63">
        <f>$D155*$D156*E175</f>
        <v>538.11659192825118</v>
      </c>
      <c r="F181" s="63">
        <f>$D155*$D156*F175</f>
        <v>807.17488789237666</v>
      </c>
      <c r="G181" s="99" t="s">
        <v>37</v>
      </c>
      <c r="J181" s="90"/>
    </row>
    <row r="182" spans="3:11">
      <c r="C182" s="21"/>
      <c r="D182" s="63">
        <f>$D155*$D156*D176</f>
        <v>300</v>
      </c>
      <c r="E182" s="63">
        <f>$D155*$D156*E176</f>
        <v>300</v>
      </c>
      <c r="F182" s="63">
        <f>$D155*$D156*F176</f>
        <v>300</v>
      </c>
      <c r="G182" s="99" t="s">
        <v>2331</v>
      </c>
      <c r="J182" s="259"/>
      <c r="K182" s="16"/>
    </row>
    <row r="183" spans="3:11">
      <c r="C183" s="21"/>
      <c r="D183" s="64">
        <f>SUM(D181:D182)</f>
        <v>703.58744394618839</v>
      </c>
      <c r="E183" s="905">
        <f>SUM(E181:E182)</f>
        <v>838.11659192825118</v>
      </c>
      <c r="F183" s="905">
        <f>SUM(F181:F182)</f>
        <v>1107.1748878923768</v>
      </c>
      <c r="G183" s="1101" t="s">
        <v>486</v>
      </c>
      <c r="J183" s="259"/>
      <c r="K183" s="16"/>
    </row>
    <row r="184" spans="3:11">
      <c r="F184" s="16"/>
      <c r="G184" s="99"/>
    </row>
    <row r="185" spans="3:11">
      <c r="D185" s="46"/>
      <c r="E185" s="46"/>
      <c r="F185" s="46"/>
      <c r="J185" s="65"/>
      <c r="K185" s="24"/>
    </row>
    <row r="186" spans="3:11">
      <c r="D186" s="75"/>
      <c r="E186" s="75"/>
      <c r="F186" s="75"/>
      <c r="G186" s="99"/>
      <c r="J186" s="65"/>
      <c r="K186" s="24"/>
    </row>
    <row r="187" spans="3:11">
      <c r="D187" s="75"/>
      <c r="E187" s="75"/>
      <c r="F187" s="75"/>
      <c r="G187" s="99"/>
      <c r="J187" s="65"/>
      <c r="K187" s="24"/>
    </row>
    <row r="188" spans="3:11" ht="19">
      <c r="C188" t="s">
        <v>64</v>
      </c>
      <c r="D188" s="37" t="s">
        <v>89</v>
      </c>
    </row>
    <row r="189" spans="3:11">
      <c r="C189" t="s">
        <v>54</v>
      </c>
    </row>
    <row r="191" spans="3:11">
      <c r="D191" s="16"/>
    </row>
    <row r="192" spans="3:11">
      <c r="D192" s="67" t="s">
        <v>91</v>
      </c>
      <c r="E192" s="41"/>
    </row>
    <row r="193" spans="4:11">
      <c r="D193" s="52">
        <f>'Overall Assumptions'!$C$93</f>
        <v>285</v>
      </c>
      <c r="E193" s="41" t="s">
        <v>93</v>
      </c>
    </row>
    <row r="194" spans="4:11">
      <c r="D194" s="54">
        <f>'Overall Assumptions'!$C$10</f>
        <v>0</v>
      </c>
      <c r="E194" s="43" t="s">
        <v>85</v>
      </c>
    </row>
    <row r="195" spans="4:11">
      <c r="D195" s="54"/>
      <c r="E195" s="43"/>
    </row>
    <row r="196" spans="4:11">
      <c r="D196" s="616"/>
      <c r="E196" s="43"/>
    </row>
    <row r="197" spans="4:11">
      <c r="D197" s="56"/>
      <c r="E197" s="45"/>
      <c r="J197" s="578"/>
    </row>
    <row r="198" spans="4:11">
      <c r="D198" s="75"/>
    </row>
    <row r="199" spans="4:11">
      <c r="D199" s="46">
        <f>D172</f>
        <v>0</v>
      </c>
      <c r="E199" s="46">
        <f>D199</f>
        <v>0</v>
      </c>
      <c r="F199" s="46">
        <f>E199</f>
        <v>0</v>
      </c>
      <c r="G199" s="693"/>
      <c r="J199" s="532"/>
      <c r="K199" s="59"/>
    </row>
    <row r="200" spans="4:11">
      <c r="D200" s="46">
        <f>D175</f>
        <v>0.89686098654708524</v>
      </c>
      <c r="E200" s="46">
        <f t="shared" ref="D200:F201" si="97">E175</f>
        <v>1.195814648729447</v>
      </c>
      <c r="F200" s="46">
        <f t="shared" si="97"/>
        <v>1.7937219730941705</v>
      </c>
      <c r="G200" s="693" t="s">
        <v>98</v>
      </c>
      <c r="K200" s="59"/>
    </row>
    <row r="201" spans="4:11">
      <c r="D201" s="46">
        <f t="shared" si="97"/>
        <v>0.66666666666666663</v>
      </c>
      <c r="E201" s="46">
        <f t="shared" si="97"/>
        <v>0.66666666666666663</v>
      </c>
      <c r="F201" s="46">
        <f t="shared" si="97"/>
        <v>0.66666666666666663</v>
      </c>
      <c r="G201" s="693" t="str">
        <f>G176</f>
        <v>3rd term is the days required to do all activities (for one person)</v>
      </c>
      <c r="K201" s="59"/>
    </row>
    <row r="202" spans="4:11">
      <c r="D202" s="46"/>
      <c r="E202" s="46"/>
      <c r="F202" s="46"/>
      <c r="G202" s="693"/>
      <c r="K202" s="59"/>
    </row>
    <row r="203" spans="4:11">
      <c r="D203" s="46">
        <f>SUM(D199:D201)</f>
        <v>1.5635276532137519</v>
      </c>
      <c r="E203" s="46">
        <f>SUM(E199:E201)</f>
        <v>1.8624813153961135</v>
      </c>
      <c r="F203" s="46">
        <f>SUM(F199:F201)</f>
        <v>2.4603886397608372</v>
      </c>
      <c r="G203" s="693" t="s">
        <v>135</v>
      </c>
      <c r="J203" s="90"/>
    </row>
    <row r="204" spans="4:11">
      <c r="D204" s="46"/>
      <c r="E204" s="59"/>
      <c r="J204" s="90"/>
    </row>
    <row r="205" spans="4:11">
      <c r="D205" s="63"/>
      <c r="E205" s="63"/>
      <c r="F205" s="63"/>
      <c r="G205" s="99"/>
      <c r="J205" s="259"/>
      <c r="K205" s="16"/>
    </row>
    <row r="206" spans="4:11">
      <c r="D206" s="63">
        <f>$D193*D200</f>
        <v>255.60538116591928</v>
      </c>
      <c r="E206" s="63">
        <f>$D193*E200</f>
        <v>340.80717488789242</v>
      </c>
      <c r="F206" s="63">
        <f>$D193*F200</f>
        <v>511.21076233183857</v>
      </c>
      <c r="G206" s="99" t="s">
        <v>52</v>
      </c>
      <c r="J206" s="259"/>
      <c r="K206" s="16"/>
    </row>
    <row r="207" spans="4:11">
      <c r="D207" s="63">
        <f>$D193*D201</f>
        <v>190</v>
      </c>
      <c r="E207" s="63">
        <f>$D193*E201</f>
        <v>190</v>
      </c>
      <c r="F207" s="63">
        <f>$D193*F201</f>
        <v>190</v>
      </c>
      <c r="G207" s="99" t="s">
        <v>52</v>
      </c>
      <c r="J207" s="259"/>
      <c r="K207" s="16"/>
    </row>
    <row r="208" spans="4:11">
      <c r="D208" s="68">
        <f>SUM(D205:D207)</f>
        <v>445.60538116591931</v>
      </c>
      <c r="E208" s="906">
        <f>SUM(E205:E207)</f>
        <v>530.80717488789242</v>
      </c>
      <c r="F208" s="906">
        <f>SUM(F205:F207)</f>
        <v>701.21076233183862</v>
      </c>
      <c r="G208" s="1101" t="s">
        <v>53</v>
      </c>
      <c r="J208" s="65"/>
      <c r="K208" s="24"/>
    </row>
    <row r="209" spans="3:12">
      <c r="D209" s="432"/>
      <c r="J209" s="65"/>
      <c r="K209" s="24"/>
    </row>
    <row r="210" spans="3:12">
      <c r="D210" s="46">
        <f>D203</f>
        <v>1.5635276532137519</v>
      </c>
      <c r="E210" s="46">
        <f>E203</f>
        <v>1.8624813153961135</v>
      </c>
      <c r="F210" s="46">
        <f>F203</f>
        <v>2.4603886397608372</v>
      </c>
      <c r="G210" s="359" t="s">
        <v>795</v>
      </c>
      <c r="J210" s="65"/>
      <c r="K210" s="24"/>
    </row>
    <row r="211" spans="3:12">
      <c r="D211" s="75">
        <f>ROUNDUP((D203/21),0)</f>
        <v>1</v>
      </c>
      <c r="E211" s="75">
        <f>ROUNDUP((E203/21),0)</f>
        <v>1</v>
      </c>
      <c r="F211" s="75">
        <f>ROUNDUP((F203/21),0)</f>
        <v>1</v>
      </c>
      <c r="G211" s="99" t="s">
        <v>739</v>
      </c>
      <c r="J211" s="65"/>
      <c r="K211" s="24"/>
    </row>
    <row r="212" spans="3:12">
      <c r="D212" s="432"/>
      <c r="J212" s="65"/>
      <c r="K212" s="24"/>
    </row>
    <row r="213" spans="3:12">
      <c r="D213" s="65"/>
      <c r="E213" s="24"/>
      <c r="J213" s="65"/>
      <c r="K213" s="24"/>
    </row>
    <row r="214" spans="3:12">
      <c r="C214" t="s">
        <v>70</v>
      </c>
      <c r="D214" s="58"/>
      <c r="E214" s="59" t="s">
        <v>156</v>
      </c>
      <c r="J214" s="65"/>
      <c r="K214" s="24"/>
    </row>
    <row r="215" spans="3:12">
      <c r="D215" s="160" t="s">
        <v>238</v>
      </c>
      <c r="E215" s="59"/>
      <c r="J215" s="65"/>
      <c r="K215" s="24"/>
    </row>
    <row r="216" spans="3:12">
      <c r="D216" s="58"/>
      <c r="E216" s="59"/>
      <c r="J216" s="65"/>
      <c r="K216" s="24"/>
    </row>
    <row r="217" spans="3:12">
      <c r="D217" s="25">
        <f>D177</f>
        <v>1.5635276532137519</v>
      </c>
      <c r="E217" s="25">
        <f>E177</f>
        <v>1.8624813153961135</v>
      </c>
      <c r="F217" s="25">
        <f>F177</f>
        <v>2.4603886397608372</v>
      </c>
      <c r="G217" s="99" t="s">
        <v>157</v>
      </c>
      <c r="J217" s="65"/>
      <c r="K217" s="24"/>
    </row>
    <row r="218" spans="3:12">
      <c r="D218" s="61">
        <f>FLOOR(D217,1)</f>
        <v>1</v>
      </c>
      <c r="E218" s="61">
        <f>FLOOR(E217,1)</f>
        <v>1</v>
      </c>
      <c r="F218" s="61">
        <f>FLOOR(F217,1)</f>
        <v>2</v>
      </c>
      <c r="G218" s="99" t="s">
        <v>73</v>
      </c>
      <c r="J218" s="65"/>
      <c r="K218" s="24"/>
    </row>
    <row r="219" spans="3:12">
      <c r="D219" s="65"/>
      <c r="G219" s="1102"/>
      <c r="J219" s="65"/>
      <c r="K219" s="24"/>
    </row>
    <row r="220" spans="3:12">
      <c r="D220" s="65">
        <f>D218*$D156</f>
        <v>2</v>
      </c>
      <c r="E220" s="65">
        <f>E218*$D156</f>
        <v>2</v>
      </c>
      <c r="F220" s="65">
        <f>F218*$D156</f>
        <v>4</v>
      </c>
      <c r="G220" s="1102" t="s">
        <v>88</v>
      </c>
      <c r="J220" s="65"/>
      <c r="K220" s="24"/>
    </row>
    <row r="221" spans="3:12">
      <c r="D221" s="102">
        <f>D220*$D167</f>
        <v>420</v>
      </c>
      <c r="E221" s="907">
        <f>E220*$D167</f>
        <v>420</v>
      </c>
      <c r="F221" s="907">
        <f>F220*$D167</f>
        <v>840</v>
      </c>
      <c r="G221" s="1101" t="s">
        <v>74</v>
      </c>
      <c r="J221" s="259"/>
      <c r="K221" s="16"/>
    </row>
    <row r="222" spans="3:12">
      <c r="D222" s="825"/>
      <c r="E222" s="825"/>
      <c r="H222" s="1" t="s">
        <v>788</v>
      </c>
      <c r="I222" s="1" t="s">
        <v>779</v>
      </c>
      <c r="J222" s="1" t="s">
        <v>789</v>
      </c>
    </row>
    <row r="223" spans="3:12">
      <c r="D223" s="617" t="s">
        <v>172</v>
      </c>
      <c r="E223" s="618" t="s">
        <v>155</v>
      </c>
      <c r="F223" s="618" t="s">
        <v>173</v>
      </c>
      <c r="G223" s="1103" t="s">
        <v>174</v>
      </c>
      <c r="H223" s="618" t="s">
        <v>166</v>
      </c>
      <c r="I223" s="618" t="s">
        <v>166</v>
      </c>
      <c r="J223" s="618" t="s">
        <v>166</v>
      </c>
      <c r="K223" s="619" t="s">
        <v>69</v>
      </c>
    </row>
    <row r="224" spans="3:12">
      <c r="D224" s="404" t="s">
        <v>3</v>
      </c>
      <c r="E224" s="90">
        <f>D179</f>
        <v>3.1270553064275037</v>
      </c>
      <c r="F224" s="531">
        <f>D130</f>
        <v>30</v>
      </c>
      <c r="H224" s="432">
        <f>D183</f>
        <v>703.58744394618839</v>
      </c>
      <c r="I224" s="432">
        <f>E183</f>
        <v>838.11659192825118</v>
      </c>
      <c r="J224" s="432">
        <f>F183</f>
        <v>1107.1748878923768</v>
      </c>
      <c r="K224" s="830" t="str">
        <f>G183</f>
        <v>Cost for labour</v>
      </c>
      <c r="L224" s="558">
        <f>D131</f>
        <v>1</v>
      </c>
    </row>
    <row r="225" spans="3:19">
      <c r="D225" s="404" t="s">
        <v>490</v>
      </c>
      <c r="E225" s="90">
        <f>D203</f>
        <v>1.5635276532137519</v>
      </c>
      <c r="F225" s="531">
        <f>F226</f>
        <v>30</v>
      </c>
      <c r="G225" s="1104">
        <f>D194</f>
        <v>0</v>
      </c>
      <c r="H225" s="432">
        <f>D208</f>
        <v>445.60538116591931</v>
      </c>
      <c r="I225" s="432">
        <f>E208</f>
        <v>530.80717488789242</v>
      </c>
      <c r="J225" s="432">
        <f>F208</f>
        <v>701.21076233183862</v>
      </c>
      <c r="K225" s="830" t="str">
        <f>G208</f>
        <v>Cost for ute hire for the whole activity</v>
      </c>
      <c r="L225" s="558">
        <f>L224</f>
        <v>1</v>
      </c>
    </row>
    <row r="226" spans="3:19">
      <c r="D226" s="404" t="s">
        <v>169</v>
      </c>
      <c r="E226" s="90">
        <f>D220</f>
        <v>2</v>
      </c>
      <c r="F226" s="531">
        <f>F224</f>
        <v>30</v>
      </c>
      <c r="H226" s="432">
        <f>D221</f>
        <v>420</v>
      </c>
      <c r="I226" s="432">
        <f>E221</f>
        <v>420</v>
      </c>
      <c r="J226" s="432">
        <f>F221</f>
        <v>840</v>
      </c>
      <c r="K226" s="830" t="str">
        <f>G221</f>
        <v>Accomodation + Food Cost</v>
      </c>
      <c r="L226" s="558">
        <f>L225</f>
        <v>1</v>
      </c>
    </row>
    <row r="227" spans="3:19">
      <c r="D227" s="404"/>
      <c r="E227" s="90"/>
      <c r="F227" s="531"/>
      <c r="H227" s="432"/>
      <c r="I227" s="259"/>
      <c r="J227" s="259"/>
      <c r="K227" s="830"/>
      <c r="L227" s="558"/>
    </row>
    <row r="228" spans="3:19">
      <c r="D228" s="404"/>
      <c r="E228" s="90"/>
      <c r="F228" s="531"/>
      <c r="H228" s="432"/>
      <c r="I228" s="259"/>
      <c r="J228" s="259"/>
      <c r="K228" s="830"/>
    </row>
    <row r="229" spans="3:19">
      <c r="D229" s="405"/>
      <c r="E229" s="439"/>
      <c r="F229" s="439"/>
      <c r="G229" s="1098"/>
      <c r="H229" s="622">
        <f>SUM(H224:H228)</f>
        <v>1569.1928251121076</v>
      </c>
      <c r="I229" s="622">
        <f>SUM(I224:I228)</f>
        <v>1788.9237668161436</v>
      </c>
      <c r="J229" s="622">
        <f>SUM(J224:J228)</f>
        <v>2648.3856502242152</v>
      </c>
      <c r="K229" s="623" t="s">
        <v>165</v>
      </c>
    </row>
    <row r="230" spans="3:19">
      <c r="D230"/>
      <c r="E230"/>
      <c r="F230" s="432"/>
      <c r="G230" s="1099"/>
    </row>
    <row r="231" spans="3:19">
      <c r="D231" s="25"/>
    </row>
    <row r="232" spans="3:19" s="7" customFormat="1">
      <c r="D232" s="134"/>
      <c r="E232" s="134"/>
      <c r="G232" s="1089"/>
      <c r="Q232" s="2796"/>
      <c r="R232" s="2796"/>
      <c r="S232" s="2796"/>
    </row>
    <row r="233" spans="3:19" s="7" customFormat="1">
      <c r="E233" s="36"/>
      <c r="G233" s="1089"/>
      <c r="Q233" s="2796"/>
      <c r="R233" s="2796"/>
      <c r="S233" s="2796"/>
    </row>
    <row r="234" spans="3:19" s="9" customFormat="1">
      <c r="C234" s="120" t="s">
        <v>2350</v>
      </c>
      <c r="D234" s="34" t="s">
        <v>1227</v>
      </c>
      <c r="E234" s="34"/>
      <c r="G234" s="572"/>
      <c r="Q234" s="2797"/>
      <c r="R234" s="2797"/>
      <c r="S234" s="2797"/>
    </row>
    <row r="235" spans="3:19" s="9" customFormat="1">
      <c r="C235" s="120"/>
      <c r="D235" s="34" t="s">
        <v>1054</v>
      </c>
      <c r="E235" s="34"/>
      <c r="G235" s="572"/>
      <c r="Q235" s="2797"/>
      <c r="R235" s="2797"/>
      <c r="S235" s="2797"/>
    </row>
    <row r="236" spans="3:19" s="9" customFormat="1">
      <c r="D236" s="1598" t="s">
        <v>1285</v>
      </c>
      <c r="E236" s="970"/>
      <c r="G236" s="572"/>
      <c r="Q236" s="2797"/>
      <c r="R236" s="2797"/>
      <c r="S236" s="2797"/>
    </row>
    <row r="237" spans="3:19" s="9" customFormat="1">
      <c r="D237" s="332" t="s">
        <v>91</v>
      </c>
      <c r="E237" s="43"/>
      <c r="F237" s="24"/>
      <c r="G237" s="359"/>
      <c r="Q237" s="2797"/>
      <c r="R237" s="2797"/>
      <c r="S237" s="2797"/>
    </row>
    <row r="238" spans="3:19" s="9" customFormat="1">
      <c r="D238" s="135"/>
      <c r="E238" s="246"/>
      <c r="F238"/>
      <c r="G238" s="359"/>
      <c r="Q238" s="2797"/>
      <c r="R238" s="2797"/>
      <c r="S238" s="2797"/>
    </row>
    <row r="239" spans="3:19" s="9" customFormat="1">
      <c r="D239" s="398">
        <f>'Overall Assumptions'!$C$149</f>
        <v>48</v>
      </c>
      <c r="E239" s="131" t="str">
        <f>'Overall Assumptions'!$D$115</f>
        <v>weeks</v>
      </c>
      <c r="F239"/>
      <c r="G239" s="359"/>
      <c r="Q239" s="2797"/>
      <c r="R239" s="2797"/>
      <c r="S239" s="2797"/>
    </row>
    <row r="240" spans="3:19" s="9" customFormat="1">
      <c r="C240" s="105"/>
      <c r="D240" s="332">
        <f>D239*5</f>
        <v>240</v>
      </c>
      <c r="E240" s="131" t="str">
        <f>'Overall Assumptions'!$D$116</f>
        <v>days</v>
      </c>
      <c r="F240"/>
      <c r="G240" s="359"/>
      <c r="Q240" s="2797"/>
      <c r="R240" s="2797"/>
      <c r="S240" s="2797"/>
    </row>
    <row r="241" spans="3:19" s="9" customFormat="1">
      <c r="C241" s="105"/>
      <c r="D241" s="332"/>
      <c r="E241" s="43"/>
      <c r="F241"/>
      <c r="G241" s="359"/>
      <c r="Q241" s="2797"/>
      <c r="R241" s="2797"/>
      <c r="S241" s="2797"/>
    </row>
    <row r="242" spans="3:19" s="9" customFormat="1">
      <c r="C242" s="105"/>
      <c r="D242" s="398">
        <v>1</v>
      </c>
      <c r="E242" s="43" t="s">
        <v>263</v>
      </c>
      <c r="F242"/>
      <c r="G242" s="359"/>
      <c r="H242" s="9" t="s">
        <v>2349</v>
      </c>
      <c r="Q242" s="2797"/>
      <c r="R242" s="2797"/>
      <c r="S242" s="2797"/>
    </row>
    <row r="243" spans="3:19" s="9" customFormat="1">
      <c r="C243" s="105"/>
      <c r="D243" s="398">
        <f>'Overall Assumptions'!$C$150</f>
        <v>10</v>
      </c>
      <c r="E243" s="43" t="s">
        <v>1222</v>
      </c>
      <c r="F243"/>
      <c r="G243" s="359">
        <f>D243*D$240</f>
        <v>2400</v>
      </c>
      <c r="H243" s="9">
        <f>SUM(G243:G244)</f>
        <v>2640</v>
      </c>
      <c r="Q243" s="2797"/>
      <c r="R243" s="2797"/>
      <c r="S243" s="2797"/>
    </row>
    <row r="244" spans="3:19" s="9" customFormat="1">
      <c r="C244" s="105"/>
      <c r="D244" s="398">
        <f>'Overall Assumptions'!$C$151</f>
        <v>1</v>
      </c>
      <c r="E244" s="43" t="s">
        <v>1225</v>
      </c>
      <c r="F244"/>
      <c r="G244" s="359">
        <f>D244*D$240</f>
        <v>240</v>
      </c>
      <c r="Q244" s="2797"/>
      <c r="R244" s="2797"/>
      <c r="S244" s="2797"/>
    </row>
    <row r="245" spans="3:19" s="9" customFormat="1">
      <c r="C245" s="105"/>
      <c r="D245" s="332"/>
      <c r="E245" s="43"/>
      <c r="F245"/>
      <c r="G245" s="359"/>
      <c r="Q245" s="2797"/>
      <c r="R245" s="2797"/>
      <c r="S245" s="2797"/>
    </row>
    <row r="246" spans="3:19" s="9" customFormat="1">
      <c r="C246" s="105"/>
      <c r="D246" s="332" t="str">
        <f>'Overall Assumptions'!$D$76</f>
        <v>Daily rate (AUD) for labour assuming 7.5 hours/day</v>
      </c>
      <c r="E246" s="246"/>
      <c r="F246"/>
      <c r="G246" s="359"/>
      <c r="Q246" s="2797"/>
      <c r="R246" s="2797"/>
      <c r="S246" s="2797"/>
    </row>
    <row r="247" spans="3:19" s="9" customFormat="1">
      <c r="D247" s="614">
        <f>'Overall Assumptions'!$C$68</f>
        <v>225</v>
      </c>
      <c r="E247" s="246" t="str">
        <f>'Overall Assumptions'!$B$67</f>
        <v>Labour 1- APS Low (Entry lvl)</v>
      </c>
      <c r="F247"/>
      <c r="G247" s="359"/>
      <c r="Q247" s="2797"/>
      <c r="R247" s="2797"/>
      <c r="S247" s="2797"/>
    </row>
    <row r="248" spans="3:19" s="9" customFormat="1">
      <c r="D248" s="1484">
        <f>'Overall Assumptions'!$C$72</f>
        <v>337.5</v>
      </c>
      <c r="E248" s="530" t="str">
        <f>'Overall Assumptions'!$B$71</f>
        <v>Labour 2 - APS High (Experienced)</v>
      </c>
      <c r="F248"/>
      <c r="G248" s="359"/>
      <c r="Q248" s="2797"/>
      <c r="R248" s="2797"/>
      <c r="S248" s="2797"/>
    </row>
    <row r="249" spans="3:19" s="9" customFormat="1">
      <c r="D249" s="1485">
        <f>'Overall Assumptions'!$C$76</f>
        <v>487.5</v>
      </c>
      <c r="E249" s="45" t="str">
        <f>'Overall Assumptions'!$B$75</f>
        <v>Labour 3 - EL (Management)</v>
      </c>
      <c r="F249"/>
      <c r="G249" s="359"/>
      <c r="Q249" s="2797"/>
      <c r="R249" s="2797"/>
      <c r="S249" s="2797"/>
    </row>
    <row r="250" spans="3:19" s="9" customFormat="1">
      <c r="D250" s="33"/>
      <c r="E250" s="16"/>
      <c r="F250"/>
      <c r="G250" s="359"/>
      <c r="Q250" s="2797"/>
      <c r="R250" s="2797"/>
      <c r="S250" s="2797"/>
    </row>
    <row r="251" spans="3:19" s="9" customFormat="1">
      <c r="D251" s="531"/>
      <c r="E251" s="33"/>
      <c r="F251"/>
      <c r="G251" s="359"/>
      <c r="Q251" s="2797"/>
      <c r="R251" s="2797"/>
      <c r="S251" s="2797"/>
    </row>
    <row r="252" spans="3:19" s="9" customFormat="1">
      <c r="D252" s="912"/>
      <c r="E252" s="16"/>
      <c r="F252"/>
      <c r="G252" s="359"/>
      <c r="Q252" s="2797"/>
      <c r="R252" s="2797"/>
      <c r="S252" s="2797"/>
    </row>
    <row r="253" spans="3:19" s="9" customFormat="1">
      <c r="D253" s="33"/>
      <c r="E253" s="16"/>
      <c r="F253"/>
      <c r="G253" s="359"/>
      <c r="Q253" s="2797"/>
      <c r="R253" s="2797"/>
      <c r="S253" s="2797"/>
    </row>
    <row r="254" spans="3:19" s="9" customFormat="1">
      <c r="D254" s="33"/>
      <c r="E254" s="16"/>
      <c r="F254"/>
      <c r="G254" s="359"/>
      <c r="Q254" s="2797"/>
      <c r="R254" s="2797"/>
      <c r="S254" s="2797"/>
    </row>
    <row r="255" spans="3:19" s="9" customFormat="1">
      <c r="D255" s="175"/>
      <c r="E255" s="164" t="s">
        <v>155</v>
      </c>
      <c r="F255" s="255" t="s">
        <v>166</v>
      </c>
      <c r="G255" s="1090" t="s">
        <v>69</v>
      </c>
      <c r="H255" s="108"/>
      <c r="Q255" s="2797"/>
      <c r="R255" s="2797"/>
      <c r="S255" s="2797"/>
    </row>
    <row r="256" spans="3:19" s="9" customFormat="1">
      <c r="D256" s="405" t="s">
        <v>3</v>
      </c>
      <c r="E256" s="509">
        <f>H243</f>
        <v>2640</v>
      </c>
      <c r="F256" s="321">
        <f>D240*D248*D243+D240*D244*D249</f>
        <v>927000</v>
      </c>
      <c r="G256" s="1091" t="s">
        <v>1230</v>
      </c>
      <c r="H256" s="323"/>
      <c r="Q256" s="2797"/>
      <c r="R256" s="2797"/>
      <c r="S256" s="2797"/>
    </row>
    <row r="257" spans="1:42" s="9" customFormat="1">
      <c r="D257" s="105"/>
      <c r="E257" s="34"/>
      <c r="G257" s="572"/>
      <c r="Q257" s="2797"/>
      <c r="R257" s="2797"/>
      <c r="S257" s="2797"/>
    </row>
    <row r="258" spans="1:42" s="7" customFormat="1">
      <c r="D258" s="977"/>
      <c r="E258" s="35"/>
      <c r="G258" s="1089"/>
      <c r="Q258" s="2796"/>
      <c r="R258" s="2796"/>
      <c r="S258" s="2796"/>
    </row>
    <row r="259" spans="1:42" s="7" customFormat="1">
      <c r="E259" s="36"/>
      <c r="G259" s="1089"/>
      <c r="Q259" s="2796"/>
      <c r="R259" s="2796"/>
      <c r="S259" s="2796"/>
    </row>
    <row r="260" spans="1:42" s="212" customFormat="1" ht="18" customHeight="1">
      <c r="A260" s="219"/>
      <c r="B260" s="219"/>
      <c r="C260" s="219"/>
      <c r="D260" s="223"/>
      <c r="E260" s="220"/>
      <c r="F260" s="219"/>
      <c r="G260" s="219"/>
      <c r="H260" s="219"/>
      <c r="I260" s="219"/>
      <c r="J260" s="219"/>
      <c r="K260" s="219"/>
      <c r="L260" s="219"/>
      <c r="M260" s="219"/>
      <c r="N260" s="219"/>
      <c r="O260" s="219"/>
      <c r="P260" s="219"/>
      <c r="Q260" s="2798"/>
      <c r="R260" s="2798"/>
      <c r="S260" s="2798"/>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row>
    <row r="261" spans="1:42" s="79" customFormat="1">
      <c r="D261" s="279"/>
      <c r="E261" s="76"/>
      <c r="Q261" s="2333"/>
      <c r="R261" s="2333"/>
      <c r="S261" s="2333"/>
    </row>
    <row r="262" spans="1:42" s="79" customFormat="1">
      <c r="C262" s="233" t="s">
        <v>226</v>
      </c>
      <c r="D262" s="232" t="s">
        <v>222</v>
      </c>
      <c r="E262" s="76"/>
      <c r="G262" s="76"/>
      <c r="H262" s="92"/>
      <c r="I262" s="76"/>
      <c r="J262" s="65"/>
      <c r="K262" s="66"/>
      <c r="Q262" s="2333"/>
      <c r="R262" s="2333"/>
      <c r="S262" s="2333"/>
    </row>
    <row r="263" spans="1:42" s="79" customFormat="1">
      <c r="D263" s="489" t="s">
        <v>1231</v>
      </c>
      <c r="E263" s="66"/>
      <c r="G263" s="76"/>
      <c r="H263" s="76"/>
      <c r="I263" s="76"/>
      <c r="J263" s="65"/>
      <c r="K263" s="66"/>
      <c r="Q263" s="2333"/>
      <c r="R263" s="2333"/>
      <c r="S263" s="2333"/>
    </row>
    <row r="264" spans="1:42" s="79" customFormat="1">
      <c r="D264" s="76" t="s">
        <v>1232</v>
      </c>
      <c r="E264" s="66"/>
      <c r="L264" s="491" t="s">
        <v>509</v>
      </c>
      <c r="Q264" s="2333"/>
      <c r="R264" s="2333"/>
      <c r="S264" s="2333"/>
    </row>
    <row r="265" spans="1:42" s="79" customFormat="1">
      <c r="C265" s="1" t="s">
        <v>4</v>
      </c>
      <c r="D265" s="1543" t="s">
        <v>128</v>
      </c>
      <c r="E265" s="95"/>
      <c r="F265" s="494"/>
      <c r="G265" s="495" t="s">
        <v>221</v>
      </c>
      <c r="J265" s="494"/>
      <c r="K265" s="79" t="s">
        <v>391</v>
      </c>
      <c r="L265" s="496" t="s">
        <v>506</v>
      </c>
      <c r="Q265" s="2333"/>
      <c r="R265" s="2333"/>
      <c r="S265" s="2333"/>
    </row>
    <row r="266" spans="1:42" s="79" customFormat="1">
      <c r="C266" s="9"/>
      <c r="D266" s="1544">
        <v>5</v>
      </c>
      <c r="E266" s="96" t="s">
        <v>1185</v>
      </c>
      <c r="F266" s="498">
        <v>2000</v>
      </c>
      <c r="G266" s="499" t="s">
        <v>220</v>
      </c>
      <c r="J266" s="500"/>
      <c r="L266" s="496" t="s">
        <v>506</v>
      </c>
      <c r="Q266" s="2333"/>
      <c r="R266" s="2333"/>
      <c r="S266" s="2333"/>
    </row>
    <row r="267" spans="1:42" s="79" customFormat="1">
      <c r="C267" s="9"/>
      <c r="D267" s="1545">
        <v>0.5</v>
      </c>
      <c r="E267" s="96" t="s">
        <v>248</v>
      </c>
      <c r="F267" s="147"/>
      <c r="G267" s="492"/>
      <c r="H267" s="492"/>
      <c r="I267" s="492"/>
      <c r="J267" s="493"/>
      <c r="K267" s="213"/>
      <c r="Q267" s="2333"/>
      <c r="R267" s="2333"/>
      <c r="S267" s="2333"/>
    </row>
    <row r="268" spans="1:42" s="79" customFormat="1">
      <c r="C268"/>
      <c r="D268" s="442">
        <f>F266</f>
        <v>2000</v>
      </c>
      <c r="E268" s="96" t="s">
        <v>129</v>
      </c>
      <c r="F268" s="147"/>
      <c r="G268" s="490"/>
      <c r="Q268" s="2333"/>
      <c r="R268" s="2333"/>
      <c r="S268" s="2333"/>
    </row>
    <row r="269" spans="1:42" s="79" customFormat="1">
      <c r="C269" s="9"/>
      <c r="D269" s="404"/>
      <c r="E269" s="246"/>
      <c r="G269" s="288"/>
      <c r="Q269" s="2333"/>
      <c r="R269" s="2333"/>
      <c r="S269" s="2333"/>
    </row>
    <row r="270" spans="1:42" s="79" customFormat="1">
      <c r="C270" s="9"/>
      <c r="D270" s="404">
        <f>'Overall Assumptions'!$C$8*2</f>
        <v>200</v>
      </c>
      <c r="E270" s="109" t="s">
        <v>256</v>
      </c>
      <c r="F270" s="213"/>
      <c r="G270" s="213"/>
      <c r="Q270" s="2333"/>
      <c r="R270" s="2333"/>
      <c r="S270" s="2333"/>
    </row>
    <row r="271" spans="1:42" s="79" customFormat="1">
      <c r="C271" s="9"/>
      <c r="D271" s="1546">
        <f>ROUNDUP(D266/100*D270,0)</f>
        <v>10</v>
      </c>
      <c r="E271" s="45" t="s">
        <v>310</v>
      </c>
      <c r="F271" s="147"/>
      <c r="G271" s="216"/>
      <c r="Q271" s="2333"/>
      <c r="R271" s="2333"/>
      <c r="S271" s="2333"/>
    </row>
    <row r="272" spans="1:42" s="79" customFormat="1">
      <c r="C272" s="9"/>
      <c r="D272" s="294"/>
      <c r="E272" s="16"/>
      <c r="F272" s="147"/>
      <c r="G272" s="216"/>
      <c r="H272" s="288"/>
      <c r="I272" s="288"/>
      <c r="J272" s="289"/>
      <c r="K272" s="216"/>
      <c r="Q272" s="2333"/>
      <c r="R272" s="2333"/>
      <c r="S272" s="2333"/>
    </row>
    <row r="273" spans="3:19" s="79" customFormat="1">
      <c r="C273" s="9"/>
      <c r="G273" s="288"/>
      <c r="H273" s="288"/>
      <c r="I273" s="288"/>
      <c r="J273" s="289"/>
      <c r="K273" s="216"/>
      <c r="Q273" s="2333"/>
      <c r="R273" s="2333"/>
      <c r="S273" s="2333"/>
    </row>
    <row r="274" spans="3:19" s="79" customFormat="1">
      <c r="C274" s="9"/>
      <c r="D274" s="74">
        <f>D268*D271</f>
        <v>20000</v>
      </c>
      <c r="E274" s="39" t="s">
        <v>67</v>
      </c>
      <c r="F274"/>
      <c r="G274" s="288"/>
      <c r="H274" s="288"/>
      <c r="I274" s="288"/>
      <c r="J274" s="289"/>
      <c r="K274" s="216"/>
      <c r="Q274" s="2333"/>
      <c r="R274" s="2333"/>
      <c r="S274" s="2333"/>
    </row>
    <row r="275" spans="3:19" s="79" customFormat="1">
      <c r="C275" s="9"/>
      <c r="D275" s="339">
        <v>10</v>
      </c>
      <c r="E275" s="218" t="s">
        <v>261</v>
      </c>
      <c r="G275" s="288"/>
      <c r="H275" s="288"/>
      <c r="I275" s="288"/>
      <c r="J275" s="289"/>
      <c r="K275" s="216"/>
      <c r="Q275" s="2333"/>
      <c r="R275" s="2333"/>
      <c r="S275" s="2333"/>
    </row>
    <row r="276" spans="3:19" s="79" customFormat="1">
      <c r="C276" s="9"/>
      <c r="D276" s="290"/>
      <c r="E276" s="124"/>
      <c r="F276" s="147"/>
      <c r="G276" s="288"/>
      <c r="H276" s="288"/>
      <c r="I276" s="288"/>
      <c r="J276" s="289"/>
      <c r="K276" s="216"/>
      <c r="Q276" s="2333"/>
      <c r="R276" s="2333"/>
      <c r="S276" s="2333"/>
    </row>
    <row r="277" spans="3:19" s="79" customFormat="1" ht="19">
      <c r="C277" t="s">
        <v>50</v>
      </c>
      <c r="D277" s="37" t="s">
        <v>81</v>
      </c>
      <c r="E277" s="24"/>
      <c r="F277" s="1"/>
      <c r="G277" s="3"/>
      <c r="H277" s="286"/>
      <c r="I277" s="286"/>
      <c r="J277" s="289"/>
      <c r="K277" s="216"/>
      <c r="Q277" s="2333"/>
      <c r="R277" s="2333"/>
      <c r="S277" s="2333"/>
    </row>
    <row r="278" spans="3:19" s="79" customFormat="1">
      <c r="C278"/>
      <c r="D278" s="24" t="s">
        <v>519</v>
      </c>
      <c r="E278" s="16"/>
      <c r="F278" s="1"/>
      <c r="G278" s="3"/>
      <c r="J278" s="248"/>
      <c r="K278" s="248"/>
      <c r="L278" s="122"/>
      <c r="Q278" s="2333"/>
      <c r="R278" s="2333"/>
      <c r="S278" s="2333"/>
    </row>
    <row r="279" spans="3:19" s="79" customFormat="1">
      <c r="C279"/>
      <c r="D279" s="160" t="s">
        <v>514</v>
      </c>
      <c r="E279" s="16"/>
      <c r="F279"/>
      <c r="G279"/>
      <c r="J279" s="248"/>
      <c r="K279" s="288"/>
      <c r="L279" s="122"/>
      <c r="Q279" s="2333"/>
      <c r="R279" s="2333"/>
      <c r="S279" s="2333"/>
    </row>
    <row r="280" spans="3:19" s="79" customFormat="1">
      <c r="C280"/>
      <c r="D280" s="50"/>
      <c r="E280" s="16"/>
      <c r="F280"/>
      <c r="G280"/>
      <c r="J280" s="286"/>
      <c r="K280" s="286"/>
      <c r="L280" s="122"/>
      <c r="Q280" s="2333"/>
      <c r="R280" s="2333"/>
      <c r="S280" s="2333"/>
    </row>
    <row r="281" spans="3:19" s="79" customFormat="1">
      <c r="C281"/>
      <c r="D281" s="51" t="s">
        <v>82</v>
      </c>
      <c r="E281" s="39"/>
      <c r="F281"/>
      <c r="G281"/>
      <c r="H281" s="212"/>
      <c r="I281" s="212"/>
      <c r="J281" s="216"/>
      <c r="K281" s="216"/>
      <c r="Q281" s="2333"/>
      <c r="R281" s="2333"/>
      <c r="S281" s="2333"/>
    </row>
    <row r="282" spans="3:19" s="79" customFormat="1" ht="19">
      <c r="C282"/>
      <c r="D282" s="54">
        <f>'Overall Assumptions'!$C$68</f>
        <v>225</v>
      </c>
      <c r="E282" s="1215" t="s">
        <v>99</v>
      </c>
      <c r="F282" s="246"/>
      <c r="G282"/>
      <c r="J282" s="65"/>
      <c r="K282" s="66"/>
      <c r="Q282" s="2333"/>
      <c r="R282" s="2333"/>
      <c r="S282" s="2333"/>
    </row>
    <row r="283" spans="3:19" s="79" customFormat="1">
      <c r="C283"/>
      <c r="D283" s="54">
        <f>'Overall Assumptions'!$C$130</f>
        <v>2</v>
      </c>
      <c r="E283" s="76" t="s">
        <v>84</v>
      </c>
      <c r="F283" s="246"/>
      <c r="G283"/>
      <c r="J283" s="65"/>
      <c r="K283" s="66"/>
      <c r="Q283" s="2333"/>
      <c r="R283" s="2333"/>
      <c r="S283" s="2333"/>
    </row>
    <row r="284" spans="3:19" s="79" customFormat="1">
      <c r="C284"/>
      <c r="D284" s="467"/>
      <c r="E284" s="43"/>
      <c r="F284"/>
      <c r="G284"/>
      <c r="J284" s="65"/>
      <c r="K284" s="66"/>
      <c r="Q284" s="2333"/>
      <c r="R284" s="2333"/>
      <c r="S284" s="2333"/>
    </row>
    <row r="285" spans="3:19" s="79" customFormat="1">
      <c r="C285"/>
      <c r="D285" s="506">
        <f>D267</f>
        <v>0.5</v>
      </c>
      <c r="E285" s="43" t="s">
        <v>248</v>
      </c>
      <c r="F285"/>
      <c r="G285"/>
      <c r="J285" s="65"/>
      <c r="K285" s="66"/>
      <c r="Q285" s="2333"/>
      <c r="R285" s="2333"/>
      <c r="S285" s="2333"/>
    </row>
    <row r="286" spans="3:19" s="79" customFormat="1">
      <c r="C286"/>
      <c r="D286" s="54">
        <f>D271</f>
        <v>10</v>
      </c>
      <c r="E286" s="43" t="s">
        <v>249</v>
      </c>
      <c r="F286"/>
      <c r="G286"/>
      <c r="J286" s="65"/>
      <c r="K286" s="66"/>
      <c r="Q286" s="2333"/>
      <c r="R286" s="2333"/>
      <c r="S286" s="2333"/>
    </row>
    <row r="287" spans="3:19" s="79" customFormat="1">
      <c r="C287"/>
      <c r="D287" s="507">
        <f>D270</f>
        <v>200</v>
      </c>
      <c r="E287" s="508" t="s">
        <v>1235</v>
      </c>
      <c r="F287"/>
      <c r="G287"/>
      <c r="J287" s="65"/>
      <c r="K287" s="66"/>
      <c r="Q287" s="2333"/>
      <c r="R287" s="2333"/>
      <c r="S287" s="2333"/>
    </row>
    <row r="288" spans="3:19" s="79" customFormat="1">
      <c r="C288"/>
      <c r="D288" s="507">
        <v>0</v>
      </c>
      <c r="E288" s="508" t="s">
        <v>521</v>
      </c>
      <c r="F288"/>
      <c r="G288"/>
      <c r="J288" s="65"/>
      <c r="K288" s="66"/>
      <c r="Q288" s="2333"/>
      <c r="R288" s="2333"/>
      <c r="S288" s="2333"/>
    </row>
    <row r="289" spans="3:19" s="79" customFormat="1">
      <c r="C289"/>
      <c r="D289" s="54">
        <f>'Overall Assumptions'!$C$10</f>
        <v>0</v>
      </c>
      <c r="E289" s="43" t="s">
        <v>85</v>
      </c>
      <c r="F289"/>
      <c r="G289"/>
      <c r="J289" s="65"/>
      <c r="K289" s="66"/>
      <c r="Q289" s="2333"/>
      <c r="R289" s="2333"/>
      <c r="S289" s="2333"/>
    </row>
    <row r="290" spans="3:19" s="79" customFormat="1">
      <c r="C290"/>
      <c r="D290" s="54">
        <f>'Overall Assumptions'!$C$90</f>
        <v>80</v>
      </c>
      <c r="E290" s="43" t="s">
        <v>86</v>
      </c>
      <c r="F290"/>
      <c r="G290"/>
      <c r="J290" s="65"/>
      <c r="K290" s="66"/>
      <c r="Q290" s="2333"/>
      <c r="R290" s="2333"/>
      <c r="S290" s="2333"/>
    </row>
    <row r="291" spans="3:19" s="79" customFormat="1">
      <c r="C291"/>
      <c r="D291" s="56">
        <f>'Overall Assumptions'!$C$81</f>
        <v>210</v>
      </c>
      <c r="E291" s="45" t="s">
        <v>87</v>
      </c>
      <c r="F291"/>
      <c r="G291"/>
      <c r="J291" s="65"/>
      <c r="K291" s="66"/>
      <c r="Q291" s="2333"/>
      <c r="R291" s="2333"/>
      <c r="S291" s="2333"/>
    </row>
    <row r="292" spans="3:19" s="79" customFormat="1">
      <c r="C292"/>
      <c r="D292" s="57"/>
      <c r="E292" s="16"/>
      <c r="F292"/>
      <c r="G292"/>
      <c r="J292" s="65"/>
      <c r="K292" s="66"/>
      <c r="Q292" s="2333"/>
      <c r="R292" s="2333"/>
      <c r="S292" s="2333"/>
    </row>
    <row r="293" spans="3:19" s="79" customFormat="1">
      <c r="C293" s="21"/>
      <c r="D293" s="296">
        <f>2*D289/D290/7.5</f>
        <v>0</v>
      </c>
      <c r="E293" s="59" t="s">
        <v>95</v>
      </c>
      <c r="F293"/>
      <c r="G293"/>
      <c r="J293" s="129"/>
      <c r="K293" s="76"/>
      <c r="Q293" s="2333"/>
      <c r="R293" s="2333"/>
      <c r="S293" s="2333"/>
    </row>
    <row r="294" spans="3:19" s="79" customFormat="1">
      <c r="C294" s="21"/>
      <c r="D294" s="296"/>
      <c r="E294" s="60" t="s">
        <v>100</v>
      </c>
      <c r="F294"/>
      <c r="G294"/>
      <c r="J294" s="65"/>
      <c r="K294" s="66"/>
      <c r="Q294" s="2333"/>
      <c r="R294" s="2333"/>
      <c r="S294" s="2333"/>
    </row>
    <row r="295" spans="3:19" s="79" customFormat="1">
      <c r="C295" s="21"/>
      <c r="D295" s="296">
        <f>D287/D290/7.5</f>
        <v>0.33333333333333331</v>
      </c>
      <c r="E295" s="124" t="s">
        <v>1236</v>
      </c>
      <c r="F295"/>
      <c r="G295"/>
      <c r="Q295" s="2333"/>
      <c r="R295" s="2333"/>
      <c r="S295" s="2333"/>
    </row>
    <row r="296" spans="3:19" s="79" customFormat="1">
      <c r="C296" s="21"/>
      <c r="D296" s="297">
        <f>SUMPRODUCT(D285:D285,D286:D286)</f>
        <v>5</v>
      </c>
      <c r="E296" s="59" t="s">
        <v>522</v>
      </c>
      <c r="Q296" s="2333"/>
      <c r="R296" s="2333"/>
      <c r="S296" s="2333"/>
    </row>
    <row r="297" spans="3:19" s="79" customFormat="1" ht="28">
      <c r="C297" s="21"/>
      <c r="D297" s="296">
        <f>D293+D295+D296</f>
        <v>5.333333333333333</v>
      </c>
      <c r="E297" s="16" t="s">
        <v>157</v>
      </c>
      <c r="F297" s="19"/>
      <c r="G297"/>
      <c r="Q297" s="2333"/>
      <c r="R297" s="2333"/>
      <c r="S297" s="2333"/>
    </row>
    <row r="298" spans="3:19" s="122" customFormat="1">
      <c r="C298" s="9"/>
      <c r="D298" s="105"/>
      <c r="E298" s="34" t="s">
        <v>88</v>
      </c>
      <c r="F298" s="9"/>
      <c r="G298" s="9"/>
      <c r="Q298" s="2795"/>
      <c r="R298" s="2795"/>
      <c r="S298" s="2795"/>
    </row>
    <row r="299" spans="3:19" s="79" customFormat="1">
      <c r="C299"/>
      <c r="D299" s="77">
        <f>D297*D283</f>
        <v>10.666666666666666</v>
      </c>
      <c r="E299" s="16" t="s">
        <v>133</v>
      </c>
      <c r="F299"/>
      <c r="G299"/>
      <c r="Q299" s="2333"/>
      <c r="R299" s="2333"/>
      <c r="S299" s="2333"/>
    </row>
    <row r="300" spans="3:19" s="79" customFormat="1">
      <c r="C300"/>
      <c r="D300" s="77"/>
      <c r="E300" s="16"/>
      <c r="F300"/>
      <c r="G300"/>
      <c r="Q300" s="2333"/>
      <c r="R300" s="2333"/>
      <c r="S300" s="2333"/>
    </row>
    <row r="301" spans="3:19" s="79" customFormat="1">
      <c r="C301" s="21"/>
      <c r="D301" s="64">
        <f>D299*D282</f>
        <v>2400</v>
      </c>
      <c r="E301" s="47" t="s">
        <v>329</v>
      </c>
      <c r="F301"/>
      <c r="G301"/>
      <c r="H301" s="276"/>
      <c r="I301" s="276"/>
      <c r="Q301" s="2333"/>
      <c r="R301" s="2333"/>
      <c r="S301" s="2333"/>
    </row>
    <row r="302" spans="3:19" s="79" customFormat="1">
      <c r="C302" s="21"/>
      <c r="H302" s="119"/>
      <c r="I302" s="119"/>
      <c r="Q302" s="2333"/>
      <c r="R302" s="2333"/>
      <c r="S302" s="2333"/>
    </row>
    <row r="303" spans="3:19" s="79" customFormat="1">
      <c r="C303" s="21"/>
      <c r="D303" s="46">
        <f>D297</f>
        <v>5.333333333333333</v>
      </c>
      <c r="E303" s="359" t="s">
        <v>795</v>
      </c>
      <c r="H303" s="119"/>
      <c r="I303" s="119"/>
      <c r="Q303" s="2333"/>
      <c r="R303" s="2333"/>
      <c r="S303" s="2333"/>
    </row>
    <row r="304" spans="3:19" s="79" customFormat="1">
      <c r="C304" s="21"/>
      <c r="D304" s="75">
        <f>ROUNDUP((D303/21),0)</f>
        <v>1</v>
      </c>
      <c r="E304" s="99" t="s">
        <v>739</v>
      </c>
      <c r="H304" s="119"/>
      <c r="I304" s="119"/>
      <c r="Q304" s="2333"/>
      <c r="R304" s="2333"/>
      <c r="S304" s="2333"/>
    </row>
    <row r="305" spans="3:19" s="79" customFormat="1">
      <c r="C305" s="21"/>
      <c r="H305" s="119"/>
      <c r="I305" s="119"/>
      <c r="Q305" s="2333"/>
      <c r="R305" s="2333"/>
      <c r="S305" s="2333"/>
    </row>
    <row r="306" spans="3:19" s="79" customFormat="1" ht="19">
      <c r="C306" s="2" t="s">
        <v>132</v>
      </c>
      <c r="D306" s="37" t="s">
        <v>89</v>
      </c>
      <c r="E306" s="16"/>
      <c r="F306"/>
      <c r="G306"/>
      <c r="H306"/>
      <c r="I306"/>
      <c r="Q306" s="2333"/>
      <c r="R306" s="2333"/>
      <c r="S306" s="2333"/>
    </row>
    <row r="307" spans="3:19" s="79" customFormat="1">
      <c r="C307" t="s">
        <v>54</v>
      </c>
      <c r="E307" s="16"/>
      <c r="F307"/>
      <c r="G307"/>
      <c r="H307"/>
      <c r="I307"/>
      <c r="Q307" s="2333"/>
      <c r="R307" s="2333"/>
      <c r="S307" s="2333"/>
    </row>
    <row r="308" spans="3:19" s="79" customFormat="1">
      <c r="C308"/>
      <c r="D308" s="160" t="s">
        <v>251</v>
      </c>
      <c r="E308" s="16"/>
      <c r="F308"/>
      <c r="G308"/>
      <c r="H308"/>
      <c r="I308"/>
      <c r="Q308" s="2333"/>
      <c r="R308" s="2333"/>
      <c r="S308" s="2333"/>
    </row>
    <row r="309" spans="3:19" s="79" customFormat="1">
      <c r="C309"/>
      <c r="D309" s="16"/>
      <c r="E309" s="16"/>
      <c r="F309"/>
      <c r="G309"/>
      <c r="H309"/>
      <c r="I309"/>
      <c r="Q309" s="2333"/>
      <c r="R309" s="2333"/>
      <c r="S309" s="2333"/>
    </row>
    <row r="310" spans="3:19" s="79" customFormat="1">
      <c r="C310"/>
      <c r="D310" s="67" t="s">
        <v>91</v>
      </c>
      <c r="E310" s="41"/>
      <c r="F310"/>
      <c r="G310"/>
      <c r="H310"/>
      <c r="I310"/>
      <c r="Q310" s="2333"/>
      <c r="R310" s="2333"/>
      <c r="S310" s="2333"/>
    </row>
    <row r="311" spans="3:19" s="79" customFormat="1">
      <c r="C311"/>
      <c r="D311" s="52">
        <f>'Overall Assumptions'!$C$93</f>
        <v>285</v>
      </c>
      <c r="E311" s="41" t="s">
        <v>93</v>
      </c>
      <c r="F311"/>
      <c r="G311"/>
      <c r="H311"/>
      <c r="I311"/>
      <c r="Q311" s="2333"/>
      <c r="R311" s="2333"/>
      <c r="S311" s="2333"/>
    </row>
    <row r="312" spans="3:19" s="79" customFormat="1">
      <c r="C312"/>
      <c r="D312" s="56"/>
      <c r="E312" s="45"/>
      <c r="F312"/>
      <c r="G312"/>
      <c r="H312"/>
      <c r="I312"/>
      <c r="Q312" s="2333"/>
      <c r="R312" s="2333"/>
      <c r="S312" s="2333"/>
    </row>
    <row r="313" spans="3:19" s="79" customFormat="1">
      <c r="C313"/>
      <c r="D313" s="75"/>
      <c r="E313" s="76"/>
      <c r="F313"/>
      <c r="G313"/>
      <c r="H313"/>
      <c r="I313"/>
      <c r="Q313" s="2333"/>
      <c r="R313" s="2333"/>
      <c r="S313" s="2333"/>
    </row>
    <row r="314" spans="3:19" s="79" customFormat="1">
      <c r="C314"/>
      <c r="D314" s="50">
        <f>D293</f>
        <v>0</v>
      </c>
      <c r="E314" s="59" t="s">
        <v>97</v>
      </c>
      <c r="F314"/>
      <c r="G314"/>
      <c r="H314"/>
      <c r="I314"/>
      <c r="Q314" s="2333"/>
      <c r="R314" s="2333"/>
      <c r="S314" s="2333"/>
    </row>
    <row r="315" spans="3:19" s="79" customFormat="1">
      <c r="C315"/>
      <c r="D315" s="50">
        <f>D295</f>
        <v>0.33333333333333331</v>
      </c>
      <c r="E315" s="59" t="s">
        <v>98</v>
      </c>
      <c r="F315"/>
      <c r="G315"/>
      <c r="H315"/>
      <c r="I315"/>
      <c r="Q315" s="2333"/>
      <c r="R315" s="2333"/>
      <c r="S315" s="2333"/>
    </row>
    <row r="316" spans="3:19" s="79" customFormat="1">
      <c r="C316"/>
      <c r="D316" s="50">
        <f>D296</f>
        <v>5</v>
      </c>
      <c r="E316" s="59" t="s">
        <v>244</v>
      </c>
      <c r="F316"/>
      <c r="G316"/>
      <c r="H316"/>
      <c r="I316"/>
      <c r="Q316" s="2333"/>
      <c r="R316" s="2333"/>
      <c r="S316" s="2333"/>
    </row>
    <row r="317" spans="3:19" s="79" customFormat="1">
      <c r="C317"/>
      <c r="D317" s="50">
        <f>SUM(D314:D316)</f>
        <v>5.333333333333333</v>
      </c>
      <c r="E317" s="59" t="s">
        <v>135</v>
      </c>
      <c r="F317"/>
      <c r="G317"/>
      <c r="H317"/>
      <c r="I317"/>
      <c r="Q317" s="2333"/>
      <c r="R317" s="2333"/>
      <c r="S317" s="2333"/>
    </row>
    <row r="318" spans="3:19" s="79" customFormat="1">
      <c r="C318"/>
      <c r="D318" s="63"/>
      <c r="E318" s="16"/>
      <c r="F318"/>
      <c r="G318"/>
      <c r="H318"/>
      <c r="I318"/>
      <c r="Q318" s="2333"/>
      <c r="R318" s="2333"/>
      <c r="S318" s="2333"/>
    </row>
    <row r="319" spans="3:19" s="79" customFormat="1">
      <c r="C319"/>
      <c r="D319" s="63"/>
      <c r="E319" s="16"/>
      <c r="F319"/>
      <c r="G319"/>
      <c r="H319"/>
      <c r="I319"/>
      <c r="Q319" s="2333"/>
      <c r="R319" s="2333"/>
      <c r="S319" s="2333"/>
    </row>
    <row r="320" spans="3:19" s="79" customFormat="1">
      <c r="C320"/>
      <c r="D320" s="68">
        <f>D317*D311</f>
        <v>1520</v>
      </c>
      <c r="E320" s="47" t="s">
        <v>500</v>
      </c>
      <c r="F320"/>
      <c r="G320"/>
      <c r="H320"/>
      <c r="I320"/>
      <c r="Q320" s="2333"/>
      <c r="R320" s="2333"/>
      <c r="S320" s="2333"/>
    </row>
    <row r="321" spans="3:19" s="79" customFormat="1">
      <c r="Q321" s="2333"/>
      <c r="R321" s="2333"/>
      <c r="S321" s="2333"/>
    </row>
    <row r="322" spans="3:19" s="79" customFormat="1">
      <c r="D322" s="46">
        <f>D317</f>
        <v>5.333333333333333</v>
      </c>
      <c r="E322" s="359" t="s">
        <v>795</v>
      </c>
      <c r="Q322" s="2333"/>
      <c r="R322" s="2333"/>
      <c r="S322" s="2333"/>
    </row>
    <row r="323" spans="3:19" s="79" customFormat="1">
      <c r="D323" s="75">
        <f>ROUNDUP((D322/21),0)</f>
        <v>1</v>
      </c>
      <c r="E323" s="99" t="s">
        <v>739</v>
      </c>
      <c r="F323" s="46"/>
      <c r="Q323" s="2333"/>
      <c r="R323" s="2333"/>
      <c r="S323" s="2333"/>
    </row>
    <row r="324" spans="3:19" s="79" customFormat="1">
      <c r="F324" s="75"/>
      <c r="Q324" s="2333"/>
      <c r="R324" s="2333"/>
      <c r="S324" s="2333"/>
    </row>
    <row r="325" spans="3:19" s="79" customFormat="1">
      <c r="D325" s="75"/>
      <c r="E325" s="99"/>
      <c r="F325" s="75"/>
      <c r="Q325" s="2333"/>
      <c r="R325" s="2333"/>
      <c r="S325" s="2333"/>
    </row>
    <row r="326" spans="3:19" s="79" customFormat="1">
      <c r="C326" s="225" t="s">
        <v>70</v>
      </c>
      <c r="D326" s="230"/>
      <c r="E326" s="224" t="s">
        <v>156</v>
      </c>
      <c r="F326" s="212"/>
      <c r="G326" s="212"/>
      <c r="H326" s="212"/>
      <c r="I326" s="119"/>
      <c r="Q326" s="2333"/>
      <c r="R326" s="2333"/>
      <c r="S326" s="2333"/>
    </row>
    <row r="327" spans="3:19" s="79" customFormat="1">
      <c r="C327" s="212"/>
      <c r="D327" s="230"/>
      <c r="E327" s="224"/>
      <c r="F327" s="212"/>
      <c r="G327" s="212"/>
      <c r="H327" s="212"/>
      <c r="I327" s="119"/>
      <c r="Q327" s="2333"/>
      <c r="R327" s="2333"/>
      <c r="S327" s="2333"/>
    </row>
    <row r="328" spans="3:19" s="79" customFormat="1">
      <c r="C328" s="212"/>
      <c r="D328" s="230"/>
      <c r="E328" s="224"/>
      <c r="F328" s="212"/>
      <c r="G328" s="212"/>
      <c r="H328" s="212"/>
      <c r="I328" s="119"/>
      <c r="Q328" s="2333"/>
      <c r="R328" s="2333"/>
      <c r="S328" s="2333"/>
    </row>
    <row r="329" spans="3:19" s="79" customFormat="1">
      <c r="C329" s="212"/>
      <c r="D329" s="222">
        <f>D297</f>
        <v>5.333333333333333</v>
      </c>
      <c r="E329" s="213" t="s">
        <v>157</v>
      </c>
      <c r="F329" s="212"/>
      <c r="G329" s="212"/>
      <c r="H329" s="212"/>
      <c r="I329" s="119"/>
      <c r="Q329" s="2333"/>
      <c r="R329" s="2333"/>
      <c r="S329" s="2333"/>
    </row>
    <row r="330" spans="3:19" s="79" customFormat="1">
      <c r="C330" s="212"/>
      <c r="D330" s="229">
        <f>FLOOR(D329,1)</f>
        <v>5</v>
      </c>
      <c r="E330" s="213" t="s">
        <v>73</v>
      </c>
      <c r="F330" s="212"/>
      <c r="G330" s="212"/>
      <c r="H330" s="212"/>
      <c r="I330" s="119"/>
      <c r="Q330" s="2333"/>
      <c r="R330" s="2333"/>
      <c r="S330" s="2333"/>
    </row>
    <row r="331" spans="3:19" s="79" customFormat="1">
      <c r="C331" s="212"/>
      <c r="D331" s="228">
        <f>D330*D283</f>
        <v>10</v>
      </c>
      <c r="E331" s="214" t="s">
        <v>175</v>
      </c>
      <c r="F331" s="212"/>
      <c r="G331" s="212"/>
      <c r="H331" s="212"/>
      <c r="I331" s="119"/>
      <c r="Q331" s="2333"/>
      <c r="R331" s="2333"/>
      <c r="S331" s="2333"/>
    </row>
    <row r="332" spans="3:19" s="79" customFormat="1">
      <c r="C332" s="212"/>
      <c r="D332" s="227"/>
      <c r="E332" s="214" t="s">
        <v>88</v>
      </c>
      <c r="F332" s="212"/>
      <c r="G332" s="212"/>
      <c r="H332" s="212"/>
      <c r="Q332" s="2333"/>
      <c r="R332" s="2333"/>
      <c r="S332" s="2333"/>
    </row>
    <row r="333" spans="3:19" s="79" customFormat="1">
      <c r="C333" s="212"/>
      <c r="D333" s="226">
        <f>D331*D291</f>
        <v>2100</v>
      </c>
      <c r="E333" s="221" t="s">
        <v>74</v>
      </c>
      <c r="F333" s="212"/>
      <c r="G333" s="212"/>
      <c r="H333" s="212"/>
      <c r="Q333" s="2333"/>
      <c r="R333" s="2333"/>
      <c r="S333" s="2333"/>
    </row>
    <row r="334" spans="3:19" s="79" customFormat="1">
      <c r="D334" s="282"/>
      <c r="E334" s="76"/>
      <c r="Q334" s="2333"/>
      <c r="R334" s="2333"/>
      <c r="S334" s="2333"/>
    </row>
    <row r="335" spans="3:19" s="79" customFormat="1">
      <c r="D335" s="283"/>
      <c r="E335" s="284"/>
      <c r="F335" s="78"/>
      <c r="Q335" s="2333"/>
      <c r="R335" s="2333"/>
      <c r="S335" s="2333"/>
    </row>
    <row r="336" spans="3:19" s="79" customFormat="1">
      <c r="D336" s="283"/>
      <c r="E336" s="76"/>
      <c r="Q336" s="2333"/>
      <c r="R336" s="2333"/>
      <c r="S336" s="2333"/>
    </row>
    <row r="337" spans="3:19" s="79" customFormat="1">
      <c r="D337" s="143" t="s">
        <v>172</v>
      </c>
      <c r="E337" s="144" t="s">
        <v>155</v>
      </c>
      <c r="F337" s="144" t="s">
        <v>174</v>
      </c>
      <c r="G337" s="144" t="s">
        <v>166</v>
      </c>
      <c r="H337" s="145" t="s">
        <v>69</v>
      </c>
      <c r="I337" s="276" t="s">
        <v>391</v>
      </c>
      <c r="Q337" s="2333"/>
      <c r="R337" s="2333"/>
      <c r="S337" s="2333"/>
    </row>
    <row r="338" spans="3:19" s="79" customFormat="1">
      <c r="D338" s="135" t="s">
        <v>3</v>
      </c>
      <c r="E338" s="136">
        <f>D299</f>
        <v>10.666666666666666</v>
      </c>
      <c r="F338" s="122"/>
      <c r="G338" s="119">
        <f>D301</f>
        <v>2400</v>
      </c>
      <c r="H338" s="119" t="str">
        <f>E301</f>
        <v>Cost for person hours</v>
      </c>
      <c r="I338" s="79">
        <f>$D$275</f>
        <v>10</v>
      </c>
      <c r="Q338" s="2333"/>
      <c r="R338" s="2333"/>
      <c r="S338" s="2333"/>
    </row>
    <row r="339" spans="3:19" s="79" customFormat="1">
      <c r="D339" s="135" t="s">
        <v>132</v>
      </c>
      <c r="E339" s="136">
        <f>D317</f>
        <v>5.333333333333333</v>
      </c>
      <c r="F339" s="141">
        <f>D289</f>
        <v>0</v>
      </c>
      <c r="G339" s="119">
        <f>D320</f>
        <v>1520</v>
      </c>
      <c r="H339" s="119" t="str">
        <f>E320</f>
        <v>Cost for ute hire</v>
      </c>
      <c r="I339" s="79">
        <f>$D$275</f>
        <v>10</v>
      </c>
      <c r="Q339" s="2333"/>
      <c r="R339" s="2333"/>
      <c r="S339" s="2333"/>
    </row>
    <row r="340" spans="3:19" s="79" customFormat="1">
      <c r="D340" s="135" t="s">
        <v>169</v>
      </c>
      <c r="E340" s="136">
        <f>D331</f>
        <v>10</v>
      </c>
      <c r="F340" s="141"/>
      <c r="G340" s="119">
        <f>D333</f>
        <v>2100</v>
      </c>
      <c r="H340" s="119" t="str">
        <f>E333</f>
        <v>Accomodation + Food Cost</v>
      </c>
      <c r="I340" s="79">
        <f>$D$275</f>
        <v>10</v>
      </c>
      <c r="Q340" s="2333"/>
      <c r="R340" s="2333"/>
      <c r="S340" s="2333"/>
    </row>
    <row r="341" spans="3:19" s="79" customFormat="1">
      <c r="D341" s="135" t="s">
        <v>252</v>
      </c>
      <c r="E341" s="136"/>
      <c r="F341" s="122"/>
      <c r="G341" s="119">
        <f>D274</f>
        <v>20000</v>
      </c>
      <c r="H341" s="119" t="str">
        <f>E274</f>
        <v>Consumables cost</v>
      </c>
      <c r="I341" s="79">
        <f>$D$275</f>
        <v>10</v>
      </c>
      <c r="Q341" s="2333"/>
      <c r="R341" s="2333"/>
      <c r="S341" s="2333"/>
    </row>
    <row r="342" spans="3:19" s="79" customFormat="1">
      <c r="D342" s="135"/>
      <c r="E342" s="136"/>
      <c r="F342" s="122"/>
      <c r="G342" s="119"/>
      <c r="H342" s="119"/>
      <c r="Q342" s="2333"/>
      <c r="R342" s="2333"/>
      <c r="S342" s="2333"/>
    </row>
    <row r="343" spans="3:19" s="79" customFormat="1">
      <c r="D343" s="137"/>
      <c r="E343" s="138"/>
      <c r="F343" s="142"/>
      <c r="G343" s="139">
        <f>SUM(G338:G342)</f>
        <v>26020</v>
      </c>
      <c r="H343" s="140" t="s">
        <v>165</v>
      </c>
      <c r="Q343" s="2333"/>
      <c r="R343" s="2333"/>
      <c r="S343" s="2333"/>
    </row>
    <row r="344" spans="3:19" s="79" customFormat="1">
      <c r="D344" s="122"/>
      <c r="E344" s="147"/>
      <c r="F344" s="122"/>
      <c r="G344" s="119"/>
      <c r="H344" s="119"/>
      <c r="Q344" s="2333"/>
      <c r="R344" s="2333"/>
      <c r="S344" s="2333"/>
    </row>
    <row r="345" spans="3:19" s="3568" customFormat="1">
      <c r="E345" s="3569"/>
      <c r="G345" s="3570"/>
      <c r="H345" s="3570"/>
      <c r="Q345" s="3571"/>
      <c r="R345" s="3571"/>
      <c r="S345" s="3571"/>
    </row>
    <row r="346" spans="3:19" s="79" customFormat="1">
      <c r="D346" s="278"/>
      <c r="E346" s="76"/>
      <c r="F346" s="10"/>
      <c r="G346" s="397"/>
      <c r="Q346" s="2333"/>
      <c r="R346" s="2333"/>
      <c r="S346" s="2333"/>
    </row>
    <row r="347" spans="3:19" s="9" customFormat="1">
      <c r="C347" s="120" t="s">
        <v>2351</v>
      </c>
      <c r="E347" s="34"/>
      <c r="G347" s="572"/>
      <c r="Q347" s="2797"/>
      <c r="R347" s="2797"/>
      <c r="S347" s="2797"/>
    </row>
    <row r="348" spans="3:19" s="9" customFormat="1">
      <c r="C348" s="120"/>
      <c r="D348" s="34" t="s">
        <v>2352</v>
      </c>
      <c r="E348" s="34"/>
      <c r="G348" s="572"/>
      <c r="Q348" s="2797"/>
      <c r="R348" s="2797"/>
      <c r="S348" s="2797"/>
    </row>
    <row r="349" spans="3:19" s="9" customFormat="1">
      <c r="D349" s="592" t="s">
        <v>1259</v>
      </c>
      <c r="E349" s="970"/>
      <c r="G349" s="572"/>
      <c r="Q349" s="2797"/>
      <c r="R349" s="2797"/>
      <c r="S349" s="2797"/>
    </row>
    <row r="350" spans="3:19" s="9" customFormat="1">
      <c r="D350" s="332" t="s">
        <v>91</v>
      </c>
      <c r="E350" s="43"/>
      <c r="F350" s="24"/>
      <c r="G350" s="359"/>
      <c r="Q350" s="2797"/>
      <c r="R350" s="2797"/>
      <c r="S350" s="2797"/>
    </row>
    <row r="351" spans="3:19" s="9" customFormat="1">
      <c r="D351" s="135">
        <f>'Overall Assumptions'!$C$8</f>
        <v>100</v>
      </c>
      <c r="E351" s="246" t="s">
        <v>1261</v>
      </c>
      <c r="F351"/>
      <c r="G351" s="359"/>
      <c r="Q351" s="2797"/>
      <c r="R351" s="2797"/>
      <c r="S351" s="2797"/>
    </row>
    <row r="352" spans="3:19" s="9" customFormat="1">
      <c r="D352" s="332">
        <v>48</v>
      </c>
      <c r="E352" s="131" t="str">
        <f>'Overall Assumptions'!$D$115</f>
        <v>weeks</v>
      </c>
      <c r="F352"/>
      <c r="G352" s="359"/>
      <c r="Q352" s="2797"/>
      <c r="R352" s="2797"/>
      <c r="S352" s="2797"/>
    </row>
    <row r="353" spans="3:19" s="9" customFormat="1">
      <c r="C353" s="105"/>
      <c r="D353" s="398">
        <f>D352*5</f>
        <v>240</v>
      </c>
      <c r="E353" s="131" t="str">
        <f>'Overall Assumptions'!$D$116</f>
        <v>days</v>
      </c>
      <c r="F353"/>
      <c r="G353" s="359"/>
      <c r="Q353" s="2797"/>
      <c r="R353" s="2797"/>
      <c r="S353" s="2797"/>
    </row>
    <row r="354" spans="3:19" s="9" customFormat="1">
      <c r="C354" s="105"/>
      <c r="D354" s="398">
        <v>2</v>
      </c>
      <c r="E354" s="43" t="s">
        <v>301</v>
      </c>
      <c r="F354"/>
      <c r="G354" s="359"/>
      <c r="Q354" s="2797"/>
      <c r="R354" s="2797"/>
      <c r="S354" s="2797"/>
    </row>
    <row r="355" spans="3:19" s="9" customFormat="1">
      <c r="C355" s="105"/>
      <c r="D355" s="268">
        <v>1</v>
      </c>
      <c r="E355" s="43" t="s">
        <v>1262</v>
      </c>
      <c r="F355"/>
      <c r="G355" s="359"/>
      <c r="Q355" s="2797"/>
      <c r="R355" s="2797"/>
      <c r="S355" s="2797"/>
    </row>
    <row r="356" spans="3:19" s="9" customFormat="1">
      <c r="C356" s="105"/>
      <c r="D356" s="332"/>
      <c r="E356" s="43"/>
      <c r="F356"/>
      <c r="G356" s="359"/>
      <c r="Q356" s="2797"/>
      <c r="R356" s="2797"/>
      <c r="S356" s="2797"/>
    </row>
    <row r="357" spans="3:19" s="9" customFormat="1">
      <c r="C357" s="105"/>
      <c r="D357" s="332">
        <f>'Overall Assumptions'!C81</f>
        <v>210</v>
      </c>
      <c r="E357" s="43" t="s">
        <v>1266</v>
      </c>
      <c r="F357"/>
      <c r="G357" s="359"/>
      <c r="Q357" s="2797"/>
      <c r="R357" s="2797"/>
      <c r="S357" s="2797"/>
    </row>
    <row r="358" spans="3:19" s="9" customFormat="1">
      <c r="C358" s="105"/>
      <c r="D358" s="332" t="str">
        <f>'Overall Assumptions'!$D$76</f>
        <v>Daily rate (AUD) for labour assuming 7.5 hours/day</v>
      </c>
      <c r="E358" s="246"/>
      <c r="F358"/>
      <c r="G358" s="359"/>
      <c r="Q358" s="2797"/>
      <c r="R358" s="2797"/>
      <c r="S358" s="2797"/>
    </row>
    <row r="359" spans="3:19" s="9" customFormat="1">
      <c r="D359" s="399">
        <f>'Overall Assumptions'!$C$68</f>
        <v>225</v>
      </c>
      <c r="E359" s="452" t="str">
        <f>'Overall Assumptions'!$B$67</f>
        <v>Labour 1- APS Low (Entry lvl)</v>
      </c>
      <c r="F359"/>
      <c r="G359" s="359"/>
      <c r="Q359" s="2797"/>
      <c r="R359" s="2797"/>
      <c r="S359" s="2797"/>
    </row>
    <row r="360" spans="3:19" s="9" customFormat="1">
      <c r="D360" s="110">
        <f>'Overall Assumptions'!$C$72</f>
        <v>337.5</v>
      </c>
      <c r="E360" s="96" t="str">
        <f>'Overall Assumptions'!$B$71</f>
        <v>Labour 2 - APS High (Experienced)</v>
      </c>
      <c r="F360"/>
      <c r="G360" s="359"/>
      <c r="Q360" s="2797"/>
      <c r="R360" s="2797"/>
      <c r="S360" s="2797"/>
    </row>
    <row r="361" spans="3:19" s="9" customFormat="1">
      <c r="D361" s="112">
        <f>'Overall Assumptions'!$C$76</f>
        <v>487.5</v>
      </c>
      <c r="E361" s="45" t="str">
        <f>'Overall Assumptions'!$B$75</f>
        <v>Labour 3 - EL (Management)</v>
      </c>
      <c r="F361"/>
      <c r="G361" s="359"/>
      <c r="Q361" s="2797"/>
      <c r="R361" s="2797"/>
      <c r="S361" s="2797"/>
    </row>
    <row r="362" spans="3:19" s="9" customFormat="1">
      <c r="D362" s="33"/>
      <c r="E362" s="16"/>
      <c r="F362"/>
      <c r="G362" s="359"/>
      <c r="Q362" s="2797"/>
      <c r="R362" s="2797"/>
      <c r="S362" s="2797"/>
    </row>
    <row r="363" spans="3:19" s="9" customFormat="1">
      <c r="D363" s="531">
        <f>D353</f>
        <v>240</v>
      </c>
      <c r="E363" s="33" t="s">
        <v>1264</v>
      </c>
      <c r="F363"/>
      <c r="G363" s="359"/>
      <c r="Q363" s="2797"/>
      <c r="R363" s="2797"/>
      <c r="S363" s="2797"/>
    </row>
    <row r="364" spans="3:19" s="9" customFormat="1">
      <c r="D364" s="1288">
        <f>D363*D359</f>
        <v>54000</v>
      </c>
      <c r="E364" s="912" t="s">
        <v>1263</v>
      </c>
      <c r="F364"/>
      <c r="G364" s="359"/>
      <c r="Q364" s="2797"/>
      <c r="R364" s="2797"/>
      <c r="S364" s="2797"/>
    </row>
    <row r="365" spans="3:19" s="9" customFormat="1">
      <c r="D365" s="33">
        <f>D364*D354</f>
        <v>108000</v>
      </c>
      <c r="E365" s="16" t="s">
        <v>88</v>
      </c>
      <c r="F365"/>
      <c r="G365" s="359"/>
      <c r="Q365" s="2797"/>
      <c r="R365" s="2797"/>
      <c r="S365" s="2797"/>
    </row>
    <row r="366" spans="3:19" s="9" customFormat="1">
      <c r="D366" s="33"/>
      <c r="E366" s="16"/>
      <c r="F366"/>
      <c r="G366" s="359"/>
      <c r="Q366" s="2797"/>
      <c r="R366" s="2797"/>
      <c r="S366" s="2797"/>
    </row>
    <row r="367" spans="3:19" s="9" customFormat="1">
      <c r="D367" s="175"/>
      <c r="E367" s="164" t="s">
        <v>155</v>
      </c>
      <c r="F367" s="255" t="s">
        <v>166</v>
      </c>
      <c r="G367" s="1090" t="s">
        <v>69</v>
      </c>
      <c r="H367" s="108"/>
      <c r="Q367" s="2797"/>
      <c r="R367" s="2797"/>
      <c r="S367" s="2797"/>
    </row>
    <row r="368" spans="3:19" s="9" customFormat="1">
      <c r="D368" s="405" t="s">
        <v>3</v>
      </c>
      <c r="E368" s="509">
        <f>D363*D354</f>
        <v>480</v>
      </c>
      <c r="F368" s="321">
        <f>D365</f>
        <v>108000</v>
      </c>
      <c r="G368" s="1091" t="s">
        <v>1265</v>
      </c>
      <c r="H368" s="323"/>
      <c r="Q368" s="2797"/>
      <c r="R368" s="2797"/>
      <c r="S368" s="2797"/>
    </row>
    <row r="369" spans="3:19" s="9" customFormat="1">
      <c r="D369" s="79"/>
      <c r="E369" s="620"/>
      <c r="F369" s="123"/>
      <c r="G369" s="1084"/>
      <c r="H369" s="122"/>
      <c r="Q369" s="2797"/>
      <c r="R369" s="2797"/>
      <c r="S369" s="2797"/>
    </row>
    <row r="370" spans="3:19" ht="19">
      <c r="C370" t="s">
        <v>64</v>
      </c>
      <c r="D370" s="37" t="s">
        <v>89</v>
      </c>
    </row>
    <row r="371" spans="3:19">
      <c r="C371" t="s">
        <v>54</v>
      </c>
    </row>
    <row r="373" spans="3:19">
      <c r="D373" s="16"/>
    </row>
    <row r="374" spans="3:19">
      <c r="D374" s="67" t="s">
        <v>91</v>
      </c>
      <c r="E374" s="41"/>
    </row>
    <row r="375" spans="3:19">
      <c r="D375" s="52">
        <f>'Overall Assumptions'!$C$93</f>
        <v>285</v>
      </c>
      <c r="E375" s="41" t="s">
        <v>93</v>
      </c>
    </row>
    <row r="376" spans="3:19">
      <c r="D376" s="54">
        <f>'Overall Assumptions'!$C$10</f>
        <v>0</v>
      </c>
      <c r="E376" s="43" t="s">
        <v>85</v>
      </c>
    </row>
    <row r="377" spans="3:19">
      <c r="D377" s="54"/>
      <c r="E377" s="43"/>
    </row>
    <row r="378" spans="3:19">
      <c r="D378" s="616"/>
      <c r="E378" s="43"/>
    </row>
    <row r="379" spans="3:19">
      <c r="D379" s="56"/>
      <c r="E379" s="45"/>
      <c r="J379" s="578"/>
    </row>
    <row r="380" spans="3:19">
      <c r="D380" s="75"/>
    </row>
    <row r="381" spans="3:19">
      <c r="D381" s="46"/>
      <c r="E381" s="693"/>
      <c r="G381"/>
      <c r="H381" s="532"/>
      <c r="I381" s="59"/>
    </row>
    <row r="382" spans="3:19">
      <c r="D382" s="46">
        <f>D363</f>
        <v>240</v>
      </c>
      <c r="E382" s="693" t="s">
        <v>98</v>
      </c>
      <c r="G382"/>
      <c r="I382" s="59"/>
    </row>
    <row r="383" spans="3:19">
      <c r="D383" s="46"/>
      <c r="E383" s="693"/>
      <c r="G383"/>
      <c r="I383" s="59"/>
    </row>
    <row r="384" spans="3:19">
      <c r="D384" s="46"/>
      <c r="E384" s="693"/>
      <c r="G384"/>
      <c r="I384" s="59"/>
    </row>
    <row r="385" spans="3:9">
      <c r="D385" s="46">
        <f>SUM(D381:D383)</f>
        <v>240</v>
      </c>
      <c r="E385" s="693" t="s">
        <v>135</v>
      </c>
      <c r="G385"/>
      <c r="H385" s="90"/>
    </row>
    <row r="386" spans="3:9">
      <c r="D386" s="46"/>
      <c r="E386" s="359"/>
      <c r="G386"/>
      <c r="H386" s="90"/>
    </row>
    <row r="387" spans="3:9">
      <c r="D387" s="63"/>
      <c r="E387" s="99"/>
      <c r="G387"/>
      <c r="H387" s="259"/>
      <c r="I387" s="16"/>
    </row>
    <row r="388" spans="3:9">
      <c r="D388" s="63">
        <f>$D375*D382</f>
        <v>68400</v>
      </c>
      <c r="E388" s="99" t="s">
        <v>52</v>
      </c>
      <c r="G388"/>
      <c r="H388" s="259"/>
      <c r="I388" s="16"/>
    </row>
    <row r="389" spans="3:9">
      <c r="D389" s="63"/>
      <c r="E389" s="99"/>
      <c r="G389"/>
      <c r="H389" s="259"/>
      <c r="I389" s="16"/>
    </row>
    <row r="390" spans="3:9">
      <c r="D390" s="68">
        <f>SUM(D387:D389)</f>
        <v>68400</v>
      </c>
      <c r="E390" s="1101" t="s">
        <v>53</v>
      </c>
      <c r="G390"/>
      <c r="H390" s="65"/>
      <c r="I390" s="24"/>
    </row>
    <row r="391" spans="3:9">
      <c r="D391" s="432"/>
      <c r="E391" s="359"/>
      <c r="G391"/>
      <c r="H391" s="65"/>
      <c r="I391" s="24"/>
    </row>
    <row r="392" spans="3:9">
      <c r="D392" s="46">
        <f>D385</f>
        <v>240</v>
      </c>
      <c r="E392" s="359" t="s">
        <v>795</v>
      </c>
      <c r="G392"/>
      <c r="H392" s="65"/>
      <c r="I392" s="24"/>
    </row>
    <row r="393" spans="3:9">
      <c r="D393" s="75">
        <f>ROUNDUP((D385/21),0)</f>
        <v>12</v>
      </c>
      <c r="E393" s="99" t="s">
        <v>739</v>
      </c>
      <c r="G393"/>
      <c r="H393" s="65"/>
      <c r="I393" s="24"/>
    </row>
    <row r="394" spans="3:9">
      <c r="D394" s="432"/>
      <c r="E394" s="359"/>
      <c r="G394"/>
      <c r="H394" s="65"/>
      <c r="I394" s="24"/>
    </row>
    <row r="395" spans="3:9">
      <c r="D395" s="65"/>
      <c r="E395" s="359"/>
      <c r="G395"/>
      <c r="H395" s="65"/>
      <c r="I395" s="24"/>
    </row>
    <row r="396" spans="3:9">
      <c r="C396" t="s">
        <v>70</v>
      </c>
      <c r="D396" s="58"/>
      <c r="E396" s="359"/>
      <c r="G396"/>
      <c r="H396" s="65"/>
      <c r="I396" s="24"/>
    </row>
    <row r="397" spans="3:9">
      <c r="D397" s="160" t="s">
        <v>238</v>
      </c>
      <c r="E397" s="359"/>
      <c r="G397"/>
      <c r="H397" s="65"/>
      <c r="I397" s="24"/>
    </row>
    <row r="398" spans="3:9">
      <c r="D398" s="58"/>
      <c r="E398" s="359"/>
      <c r="G398"/>
      <c r="H398" s="65"/>
      <c r="I398" s="24"/>
    </row>
    <row r="399" spans="3:9">
      <c r="D399" s="25">
        <f>D363</f>
        <v>240</v>
      </c>
      <c r="E399" s="99" t="s">
        <v>157</v>
      </c>
      <c r="G399"/>
      <c r="H399" s="65"/>
      <c r="I399" s="24"/>
    </row>
    <row r="400" spans="3:9">
      <c r="D400" s="61">
        <f>FLOOR(D399,1)</f>
        <v>240</v>
      </c>
      <c r="E400" s="99" t="s">
        <v>73</v>
      </c>
      <c r="G400"/>
      <c r="H400" s="65"/>
      <c r="I400" s="24"/>
    </row>
    <row r="401" spans="3:19">
      <c r="D401" s="65"/>
      <c r="E401" s="1102"/>
      <c r="G401"/>
      <c r="H401" s="65"/>
      <c r="I401" s="24"/>
    </row>
    <row r="402" spans="3:19">
      <c r="D402" s="65">
        <f>D400*D354</f>
        <v>480</v>
      </c>
      <c r="E402" s="1102" t="s">
        <v>88</v>
      </c>
      <c r="G402"/>
      <c r="H402" s="65"/>
      <c r="I402" s="24"/>
    </row>
    <row r="403" spans="3:19">
      <c r="D403" s="102">
        <f>D402*$D357</f>
        <v>100800</v>
      </c>
      <c r="E403" s="1101" t="s">
        <v>74</v>
      </c>
      <c r="G403"/>
      <c r="H403" s="259"/>
      <c r="I403" s="16"/>
    </row>
    <row r="404" spans="3:19">
      <c r="D404" s="825"/>
      <c r="E404" s="359"/>
      <c r="F404" s="1" t="s">
        <v>788</v>
      </c>
      <c r="G404" s="1"/>
      <c r="H404" s="1"/>
    </row>
    <row r="405" spans="3:19">
      <c r="D405" s="617" t="s">
        <v>172</v>
      </c>
      <c r="E405" s="618" t="s">
        <v>155</v>
      </c>
      <c r="F405" s="618" t="s">
        <v>173</v>
      </c>
      <c r="G405" s="1103" t="s">
        <v>174</v>
      </c>
      <c r="H405" s="618" t="s">
        <v>166</v>
      </c>
      <c r="I405" s="619" t="s">
        <v>69</v>
      </c>
    </row>
    <row r="406" spans="3:19">
      <c r="D406" s="404" t="s">
        <v>3</v>
      </c>
      <c r="E406" s="90">
        <f>E368</f>
        <v>480</v>
      </c>
      <c r="F406" s="531" t="str">
        <f>D223</f>
        <v>Component</v>
      </c>
      <c r="H406" s="432">
        <f>F368</f>
        <v>108000</v>
      </c>
      <c r="I406" s="432" t="str">
        <f>G368</f>
        <v>Cost for all personnel to hunt invasive species</v>
      </c>
      <c r="J406" s="558">
        <f>D355</f>
        <v>1</v>
      </c>
    </row>
    <row r="407" spans="3:19">
      <c r="D407" s="404" t="s">
        <v>490</v>
      </c>
      <c r="E407" s="90">
        <f>D385</f>
        <v>240</v>
      </c>
      <c r="F407" s="531" t="str">
        <f>F408</f>
        <v>Component</v>
      </c>
      <c r="G407" s="1104">
        <f>D376</f>
        <v>0</v>
      </c>
      <c r="H407" s="432">
        <f>D390</f>
        <v>68400</v>
      </c>
      <c r="I407" s="830" t="str">
        <f>E390</f>
        <v>Cost for ute hire for the whole activity</v>
      </c>
      <c r="J407" s="558">
        <f>J406</f>
        <v>1</v>
      </c>
    </row>
    <row r="408" spans="3:19">
      <c r="D408" s="404" t="s">
        <v>169</v>
      </c>
      <c r="E408" s="90">
        <f>D402</f>
        <v>480</v>
      </c>
      <c r="F408" s="531" t="str">
        <f>F406</f>
        <v>Component</v>
      </c>
      <c r="H408" s="432">
        <f>D403</f>
        <v>100800</v>
      </c>
      <c r="I408" s="830" t="str">
        <f>E403</f>
        <v>Accomodation + Food Cost</v>
      </c>
      <c r="J408" s="558">
        <f>J407</f>
        <v>1</v>
      </c>
    </row>
    <row r="409" spans="3:19">
      <c r="D409" s="404"/>
      <c r="E409" s="90"/>
      <c r="F409" s="531"/>
      <c r="H409" s="432"/>
      <c r="I409" s="830"/>
      <c r="J409" s="558"/>
    </row>
    <row r="410" spans="3:19">
      <c r="D410" s="404"/>
      <c r="E410" s="90"/>
      <c r="F410" s="531"/>
      <c r="H410" s="432"/>
      <c r="I410" s="830"/>
    </row>
    <row r="411" spans="3:19">
      <c r="D411" s="405"/>
      <c r="E411" s="439"/>
      <c r="F411" s="439"/>
      <c r="G411" s="1098"/>
      <c r="H411" s="622">
        <f>SUM(H406:H410)</f>
        <v>277200</v>
      </c>
      <c r="I411" s="623" t="s">
        <v>165</v>
      </c>
    </row>
    <row r="412" spans="3:19">
      <c r="D412"/>
      <c r="E412"/>
      <c r="F412" s="432"/>
      <c r="G412" s="1099"/>
    </row>
    <row r="413" spans="3:19" s="7" customFormat="1">
      <c r="D413" s="281"/>
      <c r="E413" s="1584"/>
      <c r="F413" s="1585"/>
      <c r="G413" s="1586"/>
      <c r="H413" s="281"/>
      <c r="Q413" s="2796"/>
      <c r="R413" s="2796"/>
      <c r="S413" s="2796"/>
    </row>
    <row r="414" spans="3:19" s="7" customFormat="1">
      <c r="D414" s="977"/>
      <c r="E414" s="35"/>
      <c r="G414" s="1089"/>
      <c r="Q414" s="2796"/>
      <c r="R414" s="2796"/>
      <c r="S414" s="2796"/>
    </row>
    <row r="415" spans="3:19" s="9" customFormat="1">
      <c r="D415" s="116"/>
      <c r="E415" s="116"/>
      <c r="F415" s="34"/>
      <c r="G415" s="572"/>
      <c r="Q415" s="2797"/>
      <c r="R415" s="2797"/>
      <c r="S415" s="2797"/>
    </row>
    <row r="416" spans="3:19" s="9" customFormat="1">
      <c r="C416" s="121" t="s">
        <v>2353</v>
      </c>
      <c r="D416" s="116"/>
      <c r="E416" s="116"/>
      <c r="G416" s="572"/>
      <c r="Q416" s="2797"/>
      <c r="R416" s="2797"/>
      <c r="S416" s="2797"/>
    </row>
    <row r="417" spans="3:19" s="79" customFormat="1">
      <c r="D417" s="116"/>
      <c r="E417" s="116"/>
      <c r="G417" s="1119"/>
      <c r="Q417" s="2333"/>
      <c r="R417" s="2333"/>
      <c r="S417" s="2333"/>
    </row>
    <row r="418" spans="3:19" s="79" customFormat="1">
      <c r="C418" s="233"/>
      <c r="D418" s="34" t="s">
        <v>1233</v>
      </c>
      <c r="E418" s="34"/>
      <c r="J418" s="65"/>
      <c r="K418" s="66"/>
      <c r="Q418" s="2333"/>
      <c r="R418" s="2333"/>
      <c r="S418" s="2333"/>
    </row>
    <row r="419" spans="3:19" s="79" customFormat="1">
      <c r="C419" s="233"/>
      <c r="D419" s="1416" t="s">
        <v>1234</v>
      </c>
      <c r="E419" s="76"/>
      <c r="J419" s="65"/>
      <c r="K419" s="66"/>
      <c r="Q419" s="2333"/>
      <c r="R419" s="2333"/>
      <c r="S419" s="2333"/>
    </row>
    <row r="420" spans="3:19" s="79" customFormat="1">
      <c r="C420" s="233"/>
      <c r="D420" s="475" t="s">
        <v>1189</v>
      </c>
      <c r="E420" s="76"/>
      <c r="J420" s="65"/>
      <c r="K420" s="66"/>
      <c r="Q420" s="2333"/>
      <c r="R420" s="2333"/>
      <c r="S420" s="2333"/>
    </row>
    <row r="421" spans="3:19" s="79" customFormat="1">
      <c r="C421" s="233"/>
      <c r="D421" s="592" t="s">
        <v>179</v>
      </c>
      <c r="E421" s="274"/>
      <c r="J421" s="65"/>
      <c r="K421" s="66"/>
      <c r="Q421" s="2333"/>
      <c r="R421" s="2333"/>
      <c r="S421" s="2333"/>
    </row>
    <row r="422" spans="3:19" s="79" customFormat="1">
      <c r="C422" s="233"/>
      <c r="D422" s="974"/>
      <c r="E422" s="246"/>
      <c r="J422" s="65"/>
      <c r="K422" s="66"/>
      <c r="Q422" s="2333"/>
      <c r="R422" s="2333"/>
      <c r="S422" s="2333"/>
    </row>
    <row r="423" spans="3:19" s="79" customFormat="1">
      <c r="C423" s="233"/>
      <c r="D423" s="974">
        <f>'Overall Assumptions'!$C$8</f>
        <v>100</v>
      </c>
      <c r="E423" s="246" t="s">
        <v>1193</v>
      </c>
      <c r="J423" s="65"/>
      <c r="K423" s="66"/>
      <c r="Q423" s="2333"/>
      <c r="R423" s="2333"/>
      <c r="S423" s="2333"/>
    </row>
    <row r="424" spans="3:19" s="79" customFormat="1">
      <c r="C424" s="233"/>
      <c r="D424" s="974"/>
      <c r="E424" s="246"/>
      <c r="J424" s="65"/>
      <c r="K424" s="66"/>
      <c r="Q424" s="2333"/>
      <c r="R424" s="2333"/>
      <c r="S424" s="2333"/>
    </row>
    <row r="425" spans="3:19" s="79" customFormat="1">
      <c r="C425" s="233"/>
      <c r="D425" s="44"/>
      <c r="E425" s="43"/>
      <c r="J425" s="65"/>
      <c r="K425" s="66"/>
      <c r="Q425" s="2333"/>
      <c r="R425" s="2333"/>
      <c r="S425" s="2333"/>
    </row>
    <row r="426" spans="3:19" s="79" customFormat="1">
      <c r="C426" s="233"/>
      <c r="D426" s="54">
        <f>D423*2</f>
        <v>200</v>
      </c>
      <c r="E426" s="483" t="s">
        <v>1188</v>
      </c>
      <c r="J426" s="65"/>
      <c r="K426" s="66"/>
      <c r="Q426" s="2333"/>
      <c r="R426" s="2333"/>
      <c r="S426" s="2333"/>
    </row>
    <row r="427" spans="3:19" s="79" customFormat="1">
      <c r="C427" s="233"/>
      <c r="D427" s="42">
        <f>'Overall Assumptions'!$C$53</f>
        <v>4.46</v>
      </c>
      <c r="E427" s="631" t="s">
        <v>780</v>
      </c>
      <c r="J427" s="65"/>
      <c r="K427" s="66"/>
      <c r="Q427" s="2333"/>
      <c r="R427" s="2333"/>
      <c r="S427" s="2333"/>
    </row>
    <row r="428" spans="3:19" s="79" customFormat="1">
      <c r="C428" s="233"/>
      <c r="D428" s="42">
        <f>'Overall Assumptions'!$C$54</f>
        <v>3.3449999999999998</v>
      </c>
      <c r="E428" s="631" t="s">
        <v>781</v>
      </c>
      <c r="J428" s="65"/>
      <c r="K428" s="66"/>
      <c r="Q428" s="2333"/>
      <c r="R428" s="2333"/>
      <c r="S428" s="2333"/>
    </row>
    <row r="429" spans="3:19" s="79" customFormat="1">
      <c r="C429" s="233"/>
      <c r="D429" s="125">
        <f>'Overall Assumptions'!$C$55</f>
        <v>2.23</v>
      </c>
      <c r="E429" s="635" t="s">
        <v>782</v>
      </c>
      <c r="J429" s="65"/>
      <c r="K429" s="66"/>
      <c r="Q429" s="2333"/>
      <c r="R429" s="2333"/>
      <c r="S429" s="2333"/>
    </row>
    <row r="430" spans="3:19" s="79" customFormat="1">
      <c r="C430" s="233"/>
      <c r="D430" s="1479" t="s">
        <v>1218</v>
      </c>
      <c r="E430" s="629"/>
      <c r="J430" s="65"/>
      <c r="K430" s="66"/>
      <c r="Q430" s="2333"/>
      <c r="R430" s="2333"/>
      <c r="S430" s="2333"/>
    </row>
    <row r="431" spans="3:19" s="79" customFormat="1">
      <c r="C431" s="233"/>
      <c r="D431" s="629" t="s">
        <v>1999</v>
      </c>
      <c r="E431" s="629"/>
      <c r="J431" s="65"/>
      <c r="K431" s="66"/>
      <c r="Q431" s="2333"/>
      <c r="R431" s="2333"/>
      <c r="S431" s="2333"/>
    </row>
    <row r="432" spans="3:19" s="79" customFormat="1">
      <c r="C432" s="233"/>
      <c r="D432" s="1419" t="s">
        <v>1199</v>
      </c>
      <c r="E432" s="629"/>
      <c r="J432" s="65"/>
      <c r="K432" s="66"/>
      <c r="Q432" s="2333"/>
      <c r="R432" s="2333"/>
      <c r="S432" s="2333"/>
    </row>
    <row r="433" spans="3:19" s="79" customFormat="1">
      <c r="C433" s="233"/>
      <c r="D433" s="249" t="s">
        <v>1219</v>
      </c>
      <c r="E433" s="629"/>
      <c r="J433" s="65"/>
      <c r="K433" s="66"/>
      <c r="Q433" s="2333"/>
      <c r="R433" s="2333"/>
      <c r="S433" s="2333"/>
    </row>
    <row r="434" spans="3:19" s="79" customFormat="1">
      <c r="D434" s="237" t="s">
        <v>1186</v>
      </c>
      <c r="J434" s="324"/>
      <c r="K434" s="66"/>
      <c r="Q434" s="2333"/>
      <c r="R434" s="2333"/>
      <c r="S434" s="2333"/>
    </row>
    <row r="435" spans="3:19" s="79" customFormat="1">
      <c r="D435" s="629"/>
      <c r="E435" s="629"/>
      <c r="J435" s="324"/>
      <c r="K435" s="66"/>
      <c r="Q435" s="2333"/>
      <c r="R435" s="2333"/>
      <c r="S435" s="2333"/>
    </row>
    <row r="436" spans="3:19" s="79" customFormat="1">
      <c r="D436" s="629" t="s">
        <v>1218</v>
      </c>
      <c r="E436" s="629"/>
      <c r="F436" s="79" t="s">
        <v>1219</v>
      </c>
      <c r="Q436" s="2333"/>
      <c r="R436" s="2333"/>
      <c r="S436" s="2333"/>
    </row>
    <row r="437" spans="3:19" s="79" customFormat="1">
      <c r="D437" s="1420" t="s">
        <v>1191</v>
      </c>
      <c r="E437" s="1420" t="s">
        <v>1192</v>
      </c>
      <c r="F437" s="1420" t="s">
        <v>1191</v>
      </c>
      <c r="G437" s="3572" t="s">
        <v>1192</v>
      </c>
      <c r="H437" s="161"/>
      <c r="Q437" s="2333"/>
      <c r="R437" s="2333"/>
      <c r="S437" s="2333"/>
    </row>
    <row r="438" spans="3:19" s="79" customFormat="1">
      <c r="D438" s="1428">
        <f>$D423</f>
        <v>100</v>
      </c>
      <c r="E438" s="1429">
        <f>$D423</f>
        <v>100</v>
      </c>
      <c r="F438" s="1428">
        <f>$D423</f>
        <v>100</v>
      </c>
      <c r="G438" s="3573">
        <f>$D423</f>
        <v>100</v>
      </c>
      <c r="H438" s="41" t="s">
        <v>1190</v>
      </c>
      <c r="Q438" s="2333"/>
      <c r="R438" s="2333"/>
      <c r="S438" s="2333"/>
    </row>
    <row r="439" spans="3:19" s="79" customFormat="1">
      <c r="D439" s="1421">
        <v>2</v>
      </c>
      <c r="E439" s="291">
        <v>2</v>
      </c>
      <c r="F439" s="1421">
        <v>0.1</v>
      </c>
      <c r="G439" s="3574">
        <v>0.1</v>
      </c>
      <c r="H439" s="43" t="s">
        <v>1183</v>
      </c>
      <c r="Q439" s="2333"/>
      <c r="R439" s="2333"/>
      <c r="S439" s="2333"/>
    </row>
    <row r="440" spans="3:19" s="79" customFormat="1">
      <c r="D440" s="1422">
        <v>60</v>
      </c>
      <c r="E440" s="1417">
        <v>1</v>
      </c>
      <c r="F440" s="1422">
        <v>60</v>
      </c>
      <c r="G440" s="3575">
        <v>1</v>
      </c>
      <c r="H440" s="246" t="s">
        <v>1198</v>
      </c>
      <c r="Q440" s="2333"/>
      <c r="R440" s="2333"/>
      <c r="S440" s="2333"/>
    </row>
    <row r="441" spans="3:19" s="79" customFormat="1">
      <c r="D441" s="1430">
        <v>1000000</v>
      </c>
      <c r="E441" s="1418">
        <v>30000</v>
      </c>
      <c r="F441" s="1430">
        <v>1400000</v>
      </c>
      <c r="G441" s="3576">
        <v>30000</v>
      </c>
      <c r="H441" s="1423" t="s">
        <v>1182</v>
      </c>
      <c r="Q441" s="2333"/>
      <c r="R441" s="2333"/>
      <c r="S441" s="2333"/>
    </row>
    <row r="442" spans="3:19" s="79" customFormat="1">
      <c r="D442" s="1431">
        <v>20</v>
      </c>
      <c r="E442" s="1432">
        <v>1</v>
      </c>
      <c r="F442" s="1431">
        <v>20</v>
      </c>
      <c r="G442" s="3577">
        <v>1</v>
      </c>
      <c r="H442" s="153" t="s">
        <v>1194</v>
      </c>
      <c r="Q442" s="2333"/>
      <c r="R442" s="2333"/>
      <c r="S442" s="2333"/>
    </row>
    <row r="443" spans="3:19" s="79" customFormat="1">
      <c r="D443" s="2760"/>
      <c r="E443" s="2749"/>
      <c r="F443" s="2760"/>
      <c r="G443" s="3577"/>
      <c r="H443" s="253"/>
      <c r="Q443" s="2333"/>
      <c r="R443" s="2333"/>
      <c r="S443" s="2333"/>
    </row>
    <row r="444" spans="3:19" s="79" customFormat="1">
      <c r="D444" s="1433">
        <f>D438/10*D439</f>
        <v>20</v>
      </c>
      <c r="E444" s="1434">
        <f>E438/10*E439</f>
        <v>20</v>
      </c>
      <c r="F444" s="1433">
        <f>F438/10*F439</f>
        <v>1</v>
      </c>
      <c r="G444" s="3578">
        <f>G438/10*G439</f>
        <v>1</v>
      </c>
      <c r="H444" s="41" t="s">
        <v>1184</v>
      </c>
      <c r="I444" s="325"/>
      <c r="Q444" s="2333"/>
      <c r="R444" s="2333"/>
      <c r="S444" s="2333"/>
    </row>
    <row r="445" spans="3:19" s="79" customFormat="1">
      <c r="D445" s="1425">
        <f>D440*D444</f>
        <v>1200</v>
      </c>
      <c r="E445" s="1426">
        <f>E440*E444</f>
        <v>20</v>
      </c>
      <c r="F445" s="1425">
        <f>F440*F444</f>
        <v>60</v>
      </c>
      <c r="G445" s="3579">
        <f>G440*G444</f>
        <v>1</v>
      </c>
      <c r="H445" s="1427" t="s">
        <v>1200</v>
      </c>
      <c r="I445" s="325"/>
      <c r="Q445" s="2333"/>
      <c r="R445" s="2333"/>
      <c r="S445" s="2333"/>
    </row>
    <row r="446" spans="3:19" s="79" customFormat="1">
      <c r="D446" s="2763">
        <v>5</v>
      </c>
      <c r="E446" s="796"/>
      <c r="F446" s="2763">
        <v>5</v>
      </c>
      <c r="G446" s="3580"/>
      <c r="H446" s="200" t="s">
        <v>1196</v>
      </c>
      <c r="Q446" s="2333"/>
      <c r="R446" s="2333"/>
      <c r="S446" s="2333"/>
    </row>
    <row r="447" spans="3:19" s="79" customFormat="1">
      <c r="D447" s="1424">
        <v>100000</v>
      </c>
      <c r="E447" s="65"/>
      <c r="F447" s="1424">
        <v>100000</v>
      </c>
      <c r="G447" s="3581"/>
      <c r="H447" s="43" t="s">
        <v>459</v>
      </c>
      <c r="Q447" s="2333"/>
      <c r="R447" s="2333"/>
      <c r="S447" s="2333"/>
    </row>
    <row r="448" spans="3:19" s="79" customFormat="1">
      <c r="D448" s="527">
        <v>5</v>
      </c>
      <c r="E448" s="439"/>
      <c r="F448" s="527">
        <f>5</f>
        <v>5</v>
      </c>
      <c r="G448" s="3582"/>
      <c r="H448" s="162" t="s">
        <v>2058</v>
      </c>
      <c r="I448" s="325"/>
      <c r="Q448" s="2333"/>
      <c r="R448" s="2333"/>
      <c r="S448" s="2333"/>
    </row>
    <row r="449" spans="3:21" s="79" customFormat="1">
      <c r="G449" s="3583"/>
      <c r="I449" s="325"/>
      <c r="Q449" s="2333"/>
      <c r="R449" s="2333"/>
      <c r="S449" s="2333"/>
    </row>
    <row r="450" spans="3:21" s="79" customFormat="1">
      <c r="G450" s="3583"/>
      <c r="I450" s="325"/>
      <c r="Q450" s="2333"/>
      <c r="R450" s="2333"/>
      <c r="S450" s="2333"/>
    </row>
    <row r="451" spans="3:21" s="79" customFormat="1">
      <c r="C451" s="402" t="s">
        <v>1201</v>
      </c>
      <c r="D451" s="255" t="s">
        <v>1191</v>
      </c>
      <c r="E451" s="161" t="s">
        <v>1192</v>
      </c>
      <c r="F451" s="255" t="s">
        <v>1191</v>
      </c>
      <c r="G451" s="3584" t="s">
        <v>1192</v>
      </c>
      <c r="I451" s="325"/>
      <c r="Q451" s="2333"/>
      <c r="R451" s="2333"/>
      <c r="S451" s="2333"/>
    </row>
    <row r="452" spans="3:21" s="79" customFormat="1">
      <c r="C452" s="404"/>
      <c r="E452" s="246"/>
      <c r="G452" s="3585"/>
      <c r="I452" s="325"/>
      <c r="Q452" s="2333"/>
      <c r="R452" s="2333"/>
      <c r="S452" s="2333"/>
    </row>
    <row r="453" spans="3:21" s="79" customFormat="1">
      <c r="C453" s="405"/>
      <c r="D453" s="338">
        <f>D441*D444</f>
        <v>20000000</v>
      </c>
      <c r="E453" s="1264">
        <f>E441*E444</f>
        <v>600000</v>
      </c>
      <c r="F453" s="338">
        <f>F441*F444</f>
        <v>1400000</v>
      </c>
      <c r="G453" s="3586">
        <f>G441*G444</f>
        <v>30000</v>
      </c>
      <c r="I453" s="325"/>
      <c r="Q453" s="2333"/>
      <c r="R453" s="2333"/>
      <c r="S453" s="2333"/>
    </row>
    <row r="454" spans="3:21" s="79" customFormat="1">
      <c r="G454" s="3587"/>
      <c r="I454" s="325"/>
      <c r="Q454" s="2333"/>
      <c r="R454" s="2333"/>
      <c r="S454" s="2333"/>
    </row>
    <row r="455" spans="3:21" s="79" customFormat="1">
      <c r="G455" s="3583"/>
      <c r="I455" s="325"/>
      <c r="Q455" s="2333"/>
      <c r="R455" s="2333"/>
      <c r="S455" s="2333"/>
    </row>
    <row r="456" spans="3:21" s="79" customFormat="1">
      <c r="G456" s="1119"/>
      <c r="I456" s="325"/>
      <c r="Q456" s="2333"/>
      <c r="R456" s="2333"/>
      <c r="S456" s="2333"/>
    </row>
    <row r="457" spans="3:21" s="79" customFormat="1">
      <c r="E457" s="66"/>
      <c r="G457" s="1120"/>
      <c r="H457" s="324"/>
      <c r="I457" s="325"/>
      <c r="Q457" s="2333"/>
      <c r="R457" s="2333"/>
      <c r="S457" s="2333"/>
    </row>
    <row r="458" spans="3:21" s="79" customFormat="1" ht="19">
      <c r="C458" s="2" t="s">
        <v>132</v>
      </c>
      <c r="D458" s="37" t="s">
        <v>89</v>
      </c>
      <c r="E458" s="16"/>
      <c r="F458"/>
      <c r="G458" s="359"/>
      <c r="H458"/>
      <c r="I458"/>
      <c r="L458"/>
      <c r="Q458" s="2333"/>
      <c r="R458" s="2333"/>
      <c r="S458" s="2333"/>
      <c r="U458" s="3"/>
    </row>
    <row r="459" spans="3:21" s="79" customFormat="1">
      <c r="C459" t="s">
        <v>54</v>
      </c>
      <c r="D459" s="160" t="s">
        <v>296</v>
      </c>
      <c r="E459" s="16"/>
      <c r="F459"/>
      <c r="G459" s="359"/>
      <c r="H459"/>
      <c r="I459"/>
      <c r="L459"/>
      <c r="Q459" s="2333"/>
      <c r="R459" s="2333"/>
      <c r="S459" s="2333"/>
      <c r="U459" s="3"/>
    </row>
    <row r="460" spans="3:21" s="79" customFormat="1">
      <c r="C460"/>
      <c r="D460" s="50"/>
      <c r="E460" s="16"/>
      <c r="F460"/>
      <c r="G460" s="359"/>
      <c r="J460" s="286"/>
      <c r="K460" s="286"/>
      <c r="L460" s="122"/>
      <c r="Q460" s="2333"/>
      <c r="R460" s="2333"/>
      <c r="S460" s="2333"/>
    </row>
    <row r="461" spans="3:21" s="79" customFormat="1">
      <c r="C461"/>
      <c r="D461" s="484" t="s">
        <v>82</v>
      </c>
      <c r="E461" s="41"/>
      <c r="F461"/>
      <c r="G461" s="359"/>
      <c r="H461" s="286"/>
      <c r="I461" s="286"/>
      <c r="J461" s="289"/>
      <c r="K461" s="289"/>
      <c r="L461" s="122"/>
      <c r="M461" s="122"/>
      <c r="N461" s="122"/>
      <c r="Q461" s="2333"/>
      <c r="R461" s="2333"/>
      <c r="S461" s="2333"/>
    </row>
    <row r="462" spans="3:21" s="79" customFormat="1">
      <c r="C462"/>
      <c r="D462" s="354">
        <v>2</v>
      </c>
      <c r="E462" s="43" t="s">
        <v>84</v>
      </c>
      <c r="F462"/>
      <c r="G462" s="359"/>
      <c r="H462" s="122"/>
      <c r="I462" s="978"/>
      <c r="J462" s="122"/>
      <c r="K462" s="122"/>
      <c r="L462" s="122"/>
      <c r="M462" s="122"/>
      <c r="N462" s="122"/>
      <c r="Q462" s="2333"/>
      <c r="R462" s="2333"/>
      <c r="S462" s="2333"/>
      <c r="U462" s="9"/>
    </row>
    <row r="463" spans="3:21" s="79" customFormat="1">
      <c r="C463"/>
      <c r="D463" s="404"/>
      <c r="E463" s="246"/>
      <c r="G463" s="1119"/>
      <c r="H463" s="122"/>
      <c r="I463" s="122"/>
      <c r="J463" s="122"/>
      <c r="K463" s="122"/>
      <c r="L463" s="122"/>
      <c r="M463" s="122"/>
      <c r="N463" s="122"/>
      <c r="Q463" s="2333"/>
      <c r="R463" s="2333"/>
      <c r="S463" s="2333"/>
      <c r="U463"/>
    </row>
    <row r="464" spans="3:21" s="79" customFormat="1">
      <c r="C464"/>
      <c r="D464" s="54">
        <f>'Overall Assumptions'!$C$10</f>
        <v>0</v>
      </c>
      <c r="E464" s="43" t="s">
        <v>85</v>
      </c>
      <c r="F464"/>
      <c r="G464" s="359"/>
      <c r="H464" s="122"/>
      <c r="I464" s="122"/>
      <c r="J464" s="122"/>
      <c r="K464" s="122"/>
      <c r="L464" s="122"/>
      <c r="M464" s="122"/>
      <c r="N464" s="122"/>
      <c r="Q464" s="2333"/>
      <c r="R464" s="2333"/>
      <c r="S464" s="2333"/>
      <c r="U464"/>
    </row>
    <row r="465" spans="3:21" s="79" customFormat="1">
      <c r="C465"/>
      <c r="D465" s="54">
        <f>'Overall Assumptions'!$C$90</f>
        <v>80</v>
      </c>
      <c r="E465" s="43" t="s">
        <v>86</v>
      </c>
      <c r="F465"/>
      <c r="G465" s="359"/>
      <c r="H465" s="122"/>
      <c r="I465" s="122"/>
      <c r="J465" s="122"/>
      <c r="K465" s="122"/>
      <c r="L465" s="122"/>
      <c r="M465" s="122"/>
      <c r="N465" s="122"/>
      <c r="Q465" s="2333"/>
      <c r="R465" s="2333"/>
      <c r="S465" s="2333"/>
      <c r="U465"/>
    </row>
    <row r="466" spans="3:21" s="79" customFormat="1">
      <c r="C466"/>
      <c r="D466" s="56">
        <f>'Overall Assumptions'!$C$81</f>
        <v>210</v>
      </c>
      <c r="E466" s="45" t="s">
        <v>87</v>
      </c>
      <c r="F466"/>
      <c r="G466" s="359"/>
      <c r="H466" s="122"/>
      <c r="I466" s="122"/>
      <c r="J466" s="122"/>
      <c r="K466" s="122"/>
      <c r="L466" s="122"/>
      <c r="M466" s="122"/>
      <c r="N466" s="122"/>
      <c r="Q466" s="2333"/>
      <c r="R466" s="2333"/>
      <c r="S466" s="2333"/>
      <c r="U466"/>
    </row>
    <row r="467" spans="3:21" s="79" customFormat="1">
      <c r="C467"/>
      <c r="D467" s="52">
        <f>'Overall Assumptions'!$C$93</f>
        <v>285</v>
      </c>
      <c r="E467" s="41" t="s">
        <v>93</v>
      </c>
      <c r="F467"/>
      <c r="G467" s="359"/>
      <c r="H467" s="122"/>
      <c r="I467" s="122"/>
      <c r="J467" s="122"/>
      <c r="K467" s="122"/>
      <c r="L467" s="122"/>
      <c r="M467" s="122"/>
      <c r="N467" s="122"/>
      <c r="Q467" s="2333"/>
      <c r="R467" s="2333"/>
      <c r="S467" s="2333"/>
      <c r="U467"/>
    </row>
    <row r="468" spans="3:21" s="79" customFormat="1">
      <c r="C468"/>
      <c r="D468" s="54">
        <v>1</v>
      </c>
      <c r="E468" s="43" t="s">
        <v>995</v>
      </c>
      <c r="F468"/>
      <c r="G468" s="359"/>
      <c r="H468" s="122"/>
      <c r="I468" s="122"/>
      <c r="J468" s="122"/>
      <c r="K468" s="122"/>
      <c r="L468" s="122"/>
      <c r="M468" s="122"/>
      <c r="N468" s="122"/>
      <c r="Q468" s="2333"/>
      <c r="R468" s="2333"/>
      <c r="S468" s="2333"/>
      <c r="U468"/>
    </row>
    <row r="469" spans="3:21" s="79" customFormat="1">
      <c r="C469"/>
      <c r="D469" s="56"/>
      <c r="E469" s="45"/>
      <c r="F469"/>
      <c r="G469" s="359"/>
      <c r="Q469" s="2333"/>
      <c r="R469" s="2333"/>
      <c r="S469" s="2333"/>
      <c r="U469"/>
    </row>
    <row r="470" spans="3:21" s="79" customFormat="1">
      <c r="C470"/>
      <c r="D470" s="629" t="s">
        <v>1218</v>
      </c>
      <c r="E470" s="629"/>
      <c r="F470" s="79" t="s">
        <v>1219</v>
      </c>
      <c r="G470" s="359"/>
      <c r="Q470" s="2333"/>
      <c r="R470" s="2333"/>
      <c r="S470" s="2333"/>
      <c r="U470"/>
    </row>
    <row r="471" spans="3:21" s="79" customFormat="1">
      <c r="C471"/>
      <c r="D471" s="79" t="str">
        <f>D437</f>
        <v>Major river (concrete barrier)</v>
      </c>
      <c r="E471" s="79" t="str">
        <f>E437</f>
        <v>Minor River (Mesh barrier)</v>
      </c>
      <c r="F471" s="79" t="str">
        <f>F437</f>
        <v>Major river (concrete barrier)</v>
      </c>
      <c r="G471" s="79" t="str">
        <f>G437</f>
        <v>Minor River (Mesh barrier)</v>
      </c>
      <c r="Q471" s="2333"/>
      <c r="R471" s="2333"/>
      <c r="S471" s="2333"/>
      <c r="U471"/>
    </row>
    <row r="472" spans="3:21" s="79" customFormat="1">
      <c r="C472"/>
      <c r="D472" s="296">
        <f>2*D464/D465/7.5</f>
        <v>0</v>
      </c>
      <c r="E472" s="979">
        <f>D472</f>
        <v>0</v>
      </c>
      <c r="F472" s="979">
        <f>E472</f>
        <v>0</v>
      </c>
      <c r="G472" s="979">
        <f>F472</f>
        <v>0</v>
      </c>
      <c r="H472" s="693" t="s">
        <v>97</v>
      </c>
      <c r="I472"/>
      <c r="Q472" s="2333"/>
      <c r="R472" s="2333"/>
      <c r="S472" s="2333"/>
    </row>
    <row r="473" spans="3:21" s="79" customFormat="1">
      <c r="C473"/>
      <c r="D473" s="296">
        <f>D445</f>
        <v>1200</v>
      </c>
      <c r="E473" s="296">
        <f>E445</f>
        <v>20</v>
      </c>
      <c r="F473" s="296">
        <f>F445</f>
        <v>60</v>
      </c>
      <c r="G473" s="296">
        <f>G445</f>
        <v>1</v>
      </c>
      <c r="H473" s="693" t="s">
        <v>98</v>
      </c>
      <c r="I473"/>
      <c r="Q473" s="2333"/>
      <c r="R473" s="2333"/>
      <c r="S473" s="2333"/>
    </row>
    <row r="474" spans="3:21" s="79" customFormat="1">
      <c r="C474"/>
      <c r="D474" s="46"/>
      <c r="H474" s="693"/>
      <c r="I474"/>
      <c r="Q474" s="2333"/>
      <c r="R474" s="2333"/>
      <c r="S474" s="2333"/>
    </row>
    <row r="475" spans="3:21" s="79" customFormat="1">
      <c r="C475"/>
      <c r="D475" s="46">
        <f>SUM(D472:D474)</f>
        <v>1200</v>
      </c>
      <c r="E475" s="46">
        <f>SUM(E472:E474)</f>
        <v>20</v>
      </c>
      <c r="F475" s="46">
        <f>SUM(F472:F474)</f>
        <v>60</v>
      </c>
      <c r="G475" s="46">
        <f>SUM(G472:G474)</f>
        <v>1</v>
      </c>
      <c r="H475" s="693" t="s">
        <v>135</v>
      </c>
      <c r="I475"/>
      <c r="Q475" s="2333"/>
      <c r="R475" s="2333"/>
      <c r="S475" s="2333"/>
    </row>
    <row r="476" spans="3:21" s="79" customFormat="1">
      <c r="C476"/>
      <c r="D476" s="63"/>
      <c r="E476" s="16"/>
      <c r="F476" s="16"/>
      <c r="G476" s="16"/>
      <c r="H476" s="359"/>
      <c r="I476"/>
      <c r="Q476" s="2333"/>
      <c r="R476" s="2333"/>
      <c r="S476" s="2333"/>
    </row>
    <row r="477" spans="3:21" s="79" customFormat="1">
      <c r="C477"/>
      <c r="D477" s="63"/>
      <c r="E477" s="16"/>
      <c r="F477" s="16"/>
      <c r="G477" s="16"/>
      <c r="H477" s="359"/>
      <c r="I477"/>
      <c r="Q477" s="2333"/>
      <c r="R477" s="2333"/>
      <c r="S477" s="2333"/>
    </row>
    <row r="478" spans="3:21" s="79" customFormat="1">
      <c r="C478" s="1" t="s">
        <v>998</v>
      </c>
      <c r="D478" s="68">
        <f>D475*$D467*$D468</f>
        <v>342000</v>
      </c>
      <c r="E478" s="68">
        <f>E475*$D467*$D468</f>
        <v>5700</v>
      </c>
      <c r="F478" s="68">
        <f>F475*$D467*$D468</f>
        <v>17100</v>
      </c>
      <c r="G478" s="68">
        <f>G475*$D467*$D468</f>
        <v>285</v>
      </c>
      <c r="H478" s="1126" t="s">
        <v>53</v>
      </c>
      <c r="I478"/>
      <c r="Q478" s="2333"/>
      <c r="R478" s="2333"/>
      <c r="S478" s="2333"/>
    </row>
    <row r="479" spans="3:21" s="79" customFormat="1">
      <c r="D479" s="46">
        <f>D475</f>
        <v>1200</v>
      </c>
      <c r="E479" s="46">
        <f>E475</f>
        <v>20</v>
      </c>
      <c r="F479" s="46">
        <f>F475</f>
        <v>60</v>
      </c>
      <c r="G479" s="46">
        <f>G475</f>
        <v>1</v>
      </c>
      <c r="H479" s="359" t="s">
        <v>795</v>
      </c>
      <c r="Q479" s="2333"/>
      <c r="R479" s="2333"/>
      <c r="S479" s="2333"/>
    </row>
    <row r="480" spans="3:21" s="79" customFormat="1">
      <c r="D480" s="75">
        <f>ROUNDUP((D479/21),0)</f>
        <v>58</v>
      </c>
      <c r="E480" s="75">
        <f>ROUNDUP((E479/21),0)</f>
        <v>1</v>
      </c>
      <c r="F480" s="75">
        <f>ROUNDUP((F479/21),0)</f>
        <v>3</v>
      </c>
      <c r="G480" s="75">
        <f>ROUNDUP((G479/21),0)</f>
        <v>1</v>
      </c>
      <c r="H480" s="99" t="s">
        <v>739</v>
      </c>
      <c r="Q480" s="2333"/>
      <c r="R480" s="2333"/>
      <c r="S480" s="2333"/>
    </row>
    <row r="481" spans="3:19" s="79" customFormat="1">
      <c r="D481" s="75"/>
      <c r="E481" s="75"/>
      <c r="F481" s="75"/>
      <c r="G481" s="75"/>
      <c r="H481" s="99"/>
      <c r="Q481" s="2333"/>
      <c r="R481" s="2333"/>
      <c r="S481" s="2333"/>
    </row>
    <row r="482" spans="3:19" s="79" customFormat="1">
      <c r="D482" s="75"/>
      <c r="E482" s="75"/>
      <c r="F482" s="75"/>
      <c r="G482" s="75"/>
      <c r="H482" s="99"/>
      <c r="Q482" s="2333"/>
      <c r="R482" s="2333"/>
      <c r="S482" s="2333"/>
    </row>
    <row r="483" spans="3:19" s="79" customFormat="1">
      <c r="D483" s="75"/>
      <c r="E483" s="75"/>
      <c r="F483" s="75"/>
      <c r="G483" s="75"/>
      <c r="H483" s="99"/>
      <c r="Q483" s="2333"/>
      <c r="R483" s="2333"/>
      <c r="S483" s="2333"/>
    </row>
    <row r="484" spans="3:19" s="79" customFormat="1">
      <c r="C484" s="225" t="s">
        <v>70</v>
      </c>
      <c r="D484" s="230"/>
      <c r="E484" s="224" t="s">
        <v>156</v>
      </c>
      <c r="F484" s="224" t="s">
        <v>156</v>
      </c>
      <c r="G484" s="224" t="s">
        <v>156</v>
      </c>
      <c r="H484" s="1108"/>
      <c r="I484" s="119"/>
      <c r="Q484" s="2333"/>
      <c r="R484" s="2333"/>
      <c r="S484" s="2333"/>
    </row>
    <row r="485" spans="3:19" s="79" customFormat="1">
      <c r="C485" s="212"/>
      <c r="D485" s="230"/>
      <c r="E485" s="224"/>
      <c r="F485" s="224"/>
      <c r="G485" s="224"/>
      <c r="H485" s="1108"/>
      <c r="I485" s="119"/>
      <c r="Q485" s="2333"/>
      <c r="R485" s="2333"/>
      <c r="S485" s="2333"/>
    </row>
    <row r="486" spans="3:19" s="79" customFormat="1">
      <c r="C486" s="212"/>
      <c r="D486" s="230"/>
      <c r="E486" s="224"/>
      <c r="F486" s="224"/>
      <c r="G486" s="224"/>
      <c r="H486" s="1108"/>
      <c r="I486" s="119"/>
      <c r="Q486" s="2333"/>
      <c r="R486" s="2333"/>
      <c r="S486" s="2333"/>
    </row>
    <row r="487" spans="3:19" s="79" customFormat="1">
      <c r="C487" s="212"/>
      <c r="D487" s="222">
        <f>D475</f>
        <v>1200</v>
      </c>
      <c r="E487" s="222">
        <f>E475</f>
        <v>20</v>
      </c>
      <c r="F487" s="222">
        <f>F475</f>
        <v>60</v>
      </c>
      <c r="G487" s="222">
        <f>G475</f>
        <v>1</v>
      </c>
      <c r="H487" s="1127" t="s">
        <v>157</v>
      </c>
      <c r="I487" s="119"/>
      <c r="Q487" s="2333"/>
      <c r="R487" s="2333"/>
      <c r="S487" s="2333"/>
    </row>
    <row r="488" spans="3:19" s="79" customFormat="1">
      <c r="C488" s="212"/>
      <c r="D488" s="229">
        <f>FLOOR(D487,1)</f>
        <v>1200</v>
      </c>
      <c r="E488" s="229">
        <f>FLOOR(E487,1)</f>
        <v>20</v>
      </c>
      <c r="F488" s="229">
        <f>FLOOR(F487,1)</f>
        <v>60</v>
      </c>
      <c r="G488" s="229">
        <f>FLOOR(G487,1)</f>
        <v>1</v>
      </c>
      <c r="H488" s="1127" t="s">
        <v>73</v>
      </c>
      <c r="I488" s="119"/>
      <c r="Q488" s="2333"/>
      <c r="R488" s="2333"/>
      <c r="S488" s="2333"/>
    </row>
    <row r="489" spans="3:19" s="79" customFormat="1">
      <c r="C489" s="212"/>
      <c r="D489" s="228">
        <f>D488*$D462</f>
        <v>2400</v>
      </c>
      <c r="E489" s="228">
        <f>E488*$D462</f>
        <v>40</v>
      </c>
      <c r="F489" s="228">
        <f>F488*$D462</f>
        <v>120</v>
      </c>
      <c r="G489" s="228">
        <f>G488*$D462</f>
        <v>2</v>
      </c>
      <c r="H489" s="1128" t="s">
        <v>175</v>
      </c>
      <c r="I489" s="119"/>
      <c r="Q489" s="2333"/>
      <c r="R489" s="2333"/>
      <c r="S489" s="2333"/>
    </row>
    <row r="490" spans="3:19" s="79" customFormat="1">
      <c r="C490" s="212"/>
      <c r="D490" s="227"/>
      <c r="E490" s="227"/>
      <c r="F490" s="227"/>
      <c r="G490" s="227"/>
      <c r="H490" s="1128" t="s">
        <v>88</v>
      </c>
      <c r="Q490" s="2333"/>
      <c r="R490" s="2333"/>
      <c r="S490" s="2333"/>
    </row>
    <row r="491" spans="3:19" s="79" customFormat="1">
      <c r="C491" s="212"/>
      <c r="D491" s="226">
        <f>D489*$D$466</f>
        <v>504000</v>
      </c>
      <c r="E491" s="226">
        <f>E489*$D$466</f>
        <v>8400</v>
      </c>
      <c r="F491" s="226">
        <f>F489*$D$466</f>
        <v>25200</v>
      </c>
      <c r="G491" s="226">
        <f>G489*$D$466</f>
        <v>420</v>
      </c>
      <c r="H491" s="1129" t="s">
        <v>74</v>
      </c>
      <c r="J491" s="276"/>
      <c r="K491" s="276"/>
      <c r="L491" s="276"/>
      <c r="M491" s="276"/>
      <c r="Q491" s="2333"/>
      <c r="R491" s="2333"/>
      <c r="S491" s="2333"/>
    </row>
    <row r="492" spans="3:19" s="79" customFormat="1">
      <c r="C492" s="212"/>
      <c r="D492" s="2728"/>
      <c r="E492" s="2728"/>
      <c r="F492" s="2728"/>
      <c r="G492" s="2728"/>
      <c r="H492" s="2729"/>
      <c r="J492" s="276"/>
      <c r="K492" s="276"/>
      <c r="L492" s="276"/>
      <c r="M492" s="276"/>
      <c r="Q492" s="2333"/>
      <c r="R492" s="2333"/>
      <c r="S492" s="2333"/>
    </row>
    <row r="493" spans="3:19" s="79" customFormat="1">
      <c r="C493" s="212"/>
      <c r="D493" s="2728"/>
      <c r="E493" s="2728"/>
      <c r="F493" s="2728"/>
      <c r="G493" s="2728"/>
      <c r="H493" s="2729"/>
      <c r="J493" s="276"/>
      <c r="K493" s="276"/>
      <c r="L493" s="276"/>
      <c r="M493" s="276"/>
      <c r="Q493" s="2333"/>
      <c r="R493" s="2333"/>
      <c r="S493" s="2333"/>
    </row>
    <row r="494" spans="3:19" s="79" customFormat="1">
      <c r="D494" s="2728"/>
      <c r="E494" s="2728"/>
      <c r="F494" s="2728"/>
      <c r="G494" s="2728"/>
      <c r="H494" s="2729"/>
      <c r="J494" s="276"/>
      <c r="K494" s="276"/>
      <c r="L494" s="276"/>
      <c r="M494" s="276"/>
      <c r="Q494" s="2333"/>
      <c r="R494" s="2333"/>
      <c r="S494" s="2333"/>
    </row>
    <row r="495" spans="3:19" s="79" customFormat="1">
      <c r="C495" s="212"/>
      <c r="D495" s="2728"/>
      <c r="E495" s="2728"/>
      <c r="F495" s="2728"/>
      <c r="G495" s="2728"/>
      <c r="H495" s="2729"/>
      <c r="J495" s="276"/>
      <c r="K495" s="276"/>
      <c r="L495" s="276"/>
      <c r="M495" s="276"/>
      <c r="Q495" s="2333"/>
      <c r="R495" s="2333"/>
      <c r="S495" s="2333"/>
    </row>
    <row r="496" spans="3:19" s="79" customFormat="1">
      <c r="C496" s="212"/>
      <c r="D496" s="2728"/>
      <c r="E496" s="2728"/>
      <c r="F496" s="2728"/>
      <c r="G496" s="2728"/>
      <c r="H496" s="2729"/>
      <c r="J496" s="276"/>
      <c r="K496" s="276"/>
      <c r="L496" s="276"/>
      <c r="M496" s="276"/>
      <c r="Q496" s="2333"/>
      <c r="R496" s="2333"/>
      <c r="S496" s="2333"/>
    </row>
    <row r="497" spans="3:19" s="79" customFormat="1">
      <c r="C497" s="2730" t="s">
        <v>2061</v>
      </c>
      <c r="D497" s="2728"/>
      <c r="E497" s="2728"/>
      <c r="F497" s="2728"/>
      <c r="G497" s="2728"/>
      <c r="H497" s="2729"/>
      <c r="J497" s="276"/>
      <c r="K497" s="276"/>
      <c r="L497" s="276"/>
      <c r="M497" s="276"/>
      <c r="Q497" s="2333"/>
      <c r="R497" s="2333"/>
      <c r="S497" s="2333"/>
    </row>
    <row r="498" spans="3:19" s="79" customFormat="1">
      <c r="C498" s="79" t="s">
        <v>2063</v>
      </c>
      <c r="D498" s="75">
        <f>D446</f>
        <v>5</v>
      </c>
      <c r="E498" s="75"/>
      <c r="F498" s="75">
        <f>F446</f>
        <v>5</v>
      </c>
      <c r="G498" s="2728"/>
      <c r="H498" s="2728" t="str">
        <f>H446</f>
        <v>Maintenance every "X" years</v>
      </c>
      <c r="J498" s="276"/>
      <c r="K498" s="276"/>
      <c r="L498" s="276"/>
      <c r="M498" s="276"/>
      <c r="Q498" s="2333"/>
      <c r="R498" s="2333"/>
      <c r="S498" s="2333"/>
    </row>
    <row r="499" spans="3:19" s="79" customFormat="1">
      <c r="C499" s="2730"/>
      <c r="D499" s="275">
        <f>D447</f>
        <v>100000</v>
      </c>
      <c r="E499" s="275"/>
      <c r="F499" s="275">
        <f>F447</f>
        <v>100000</v>
      </c>
      <c r="G499" s="2728"/>
      <c r="H499" s="2728" t="str">
        <f>H447</f>
        <v>maintenance costs</v>
      </c>
      <c r="J499" s="276"/>
      <c r="K499" s="276"/>
      <c r="L499" s="276"/>
      <c r="M499" s="276"/>
      <c r="Q499" s="2333"/>
      <c r="R499" s="2333"/>
      <c r="S499" s="2333"/>
    </row>
    <row r="500" spans="3:19" s="79" customFormat="1">
      <c r="D500" s="75">
        <f>D448</f>
        <v>5</v>
      </c>
      <c r="E500" s="75"/>
      <c r="F500" s="75">
        <f>F448</f>
        <v>5</v>
      </c>
      <c r="G500" s="2728"/>
      <c r="H500" s="2728" t="str">
        <f>H448</f>
        <v>maintenance days</v>
      </c>
      <c r="J500" s="122"/>
      <c r="K500" s="136"/>
      <c r="L500" s="119"/>
      <c r="M500" s="119"/>
      <c r="Q500" s="2333"/>
      <c r="R500" s="2333"/>
      <c r="S500" s="2333"/>
    </row>
    <row r="501" spans="3:19" s="79" customFormat="1">
      <c r="D501" s="75">
        <f>D444</f>
        <v>20</v>
      </c>
      <c r="E501" s="75"/>
      <c r="F501" s="75">
        <f>F444</f>
        <v>1</v>
      </c>
      <c r="G501" s="2728"/>
      <c r="H501" s="2728" t="str">
        <f>H444</f>
        <v>Total barriers needed</v>
      </c>
      <c r="J501" s="122"/>
      <c r="K501" s="136"/>
      <c r="L501" s="119"/>
      <c r="M501" s="119"/>
      <c r="Q501" s="2333"/>
      <c r="R501" s="2333"/>
      <c r="S501" s="2333"/>
    </row>
    <row r="502" spans="3:19" s="79" customFormat="1">
      <c r="D502" s="336">
        <f>D500*D501*$D$462</f>
        <v>200</v>
      </c>
      <c r="E502" s="336"/>
      <c r="F502" s="336">
        <f t="shared" ref="F502" si="98">F500*F501*$D$462</f>
        <v>10</v>
      </c>
      <c r="H502" s="79" t="s">
        <v>2355</v>
      </c>
      <c r="J502" s="122"/>
      <c r="K502" s="136"/>
      <c r="L502" s="119"/>
      <c r="M502" s="119"/>
      <c r="Q502" s="2333"/>
      <c r="R502" s="2333"/>
      <c r="S502" s="2333"/>
    </row>
    <row r="503" spans="3:19" s="79" customFormat="1">
      <c r="D503" s="75"/>
      <c r="E503" s="75"/>
      <c r="F503" s="75"/>
      <c r="G503" s="2728"/>
      <c r="H503" s="2728"/>
      <c r="J503" s="122"/>
      <c r="K503" s="136"/>
      <c r="L503" s="119"/>
      <c r="M503" s="119"/>
      <c r="Q503" s="2333"/>
      <c r="R503" s="2333"/>
      <c r="S503" s="2333"/>
    </row>
    <row r="504" spans="3:19" s="79" customFormat="1">
      <c r="D504" s="1435">
        <f>D499*D501</f>
        <v>2000000</v>
      </c>
      <c r="E504" s="274"/>
      <c r="F504" s="1435">
        <f>F499*F501</f>
        <v>100000</v>
      </c>
      <c r="G504" s="274"/>
      <c r="H504" s="1126" t="s">
        <v>2062</v>
      </c>
      <c r="I504" s="325"/>
      <c r="Q504" s="2333"/>
      <c r="R504" s="2333"/>
      <c r="S504" s="2333"/>
    </row>
    <row r="505" spans="3:19" s="79" customFormat="1">
      <c r="G505" s="1119"/>
      <c r="I505" s="325"/>
      <c r="Q505" s="2333"/>
      <c r="R505" s="2333"/>
      <c r="S505" s="2333"/>
    </row>
    <row r="506" spans="3:19" s="79" customFormat="1">
      <c r="C506" s="79" t="s">
        <v>2067</v>
      </c>
      <c r="D506" s="75">
        <f>D500*D501</f>
        <v>100</v>
      </c>
      <c r="E506" s="75"/>
      <c r="F506" s="75">
        <f>F500*F501</f>
        <v>5</v>
      </c>
      <c r="G506" s="75"/>
      <c r="H506" s="99" t="s">
        <v>2065</v>
      </c>
      <c r="Q506" s="2333"/>
      <c r="R506" s="2333"/>
      <c r="S506" s="2333"/>
    </row>
    <row r="507" spans="3:19" s="79" customFormat="1">
      <c r="D507" s="68">
        <f>D506*$D467*$D468</f>
        <v>28500</v>
      </c>
      <c r="E507" s="2727"/>
      <c r="F507" s="68">
        <f>F506*$D467*$D468</f>
        <v>1425</v>
      </c>
      <c r="G507" s="2727"/>
      <c r="H507" s="1126" t="s">
        <v>2059</v>
      </c>
      <c r="Q507" s="2333"/>
      <c r="R507" s="2333"/>
      <c r="S507" s="2333"/>
    </row>
    <row r="508" spans="3:19" s="79" customFormat="1">
      <c r="D508" s="46">
        <f>D506</f>
        <v>100</v>
      </c>
      <c r="E508" s="46"/>
      <c r="F508" s="46">
        <f>F506</f>
        <v>5</v>
      </c>
      <c r="G508" s="46"/>
      <c r="H508" s="359" t="s">
        <v>795</v>
      </c>
      <c r="Q508" s="2333"/>
      <c r="R508" s="2333"/>
      <c r="S508" s="2333"/>
    </row>
    <row r="509" spans="3:19" s="79" customFormat="1">
      <c r="D509" s="75">
        <f>ROUNDUP((D508/21),0)</f>
        <v>5</v>
      </c>
      <c r="E509" s="75"/>
      <c r="F509" s="75">
        <f>ROUNDUP((F508/21),0)</f>
        <v>1</v>
      </c>
      <c r="G509" s="75"/>
      <c r="H509" s="99" t="s">
        <v>739</v>
      </c>
      <c r="Q509" s="2333"/>
      <c r="R509" s="2333"/>
      <c r="S509" s="2333"/>
    </row>
    <row r="510" spans="3:19" s="79" customFormat="1">
      <c r="G510" s="1119"/>
      <c r="I510" s="325"/>
      <c r="Q510" s="2333"/>
      <c r="R510" s="2333"/>
      <c r="S510" s="2333"/>
    </row>
    <row r="511" spans="3:19" s="79" customFormat="1">
      <c r="C511" s="79" t="s">
        <v>2060</v>
      </c>
      <c r="D511" s="222">
        <f>D506</f>
        <v>100</v>
      </c>
      <c r="E511" s="222"/>
      <c r="F511" s="222">
        <f t="shared" ref="F511" si="99">F506</f>
        <v>5</v>
      </c>
      <c r="G511" s="222"/>
      <c r="H511" s="1127" t="s">
        <v>157</v>
      </c>
      <c r="J511" s="122"/>
      <c r="K511" s="136"/>
      <c r="L511" s="119"/>
      <c r="M511" s="119"/>
      <c r="Q511" s="2333"/>
      <c r="R511" s="2333"/>
      <c r="S511" s="2333"/>
    </row>
    <row r="512" spans="3:19" s="79" customFormat="1">
      <c r="D512" s="229">
        <f>FLOOR(D511,1)</f>
        <v>100</v>
      </c>
      <c r="E512" s="229"/>
      <c r="F512" s="229">
        <f>FLOOR(F511,1)</f>
        <v>5</v>
      </c>
      <c r="G512" s="229"/>
      <c r="H512" s="1127" t="s">
        <v>73</v>
      </c>
      <c r="J512" s="122"/>
      <c r="K512" s="136"/>
      <c r="L512" s="119"/>
      <c r="M512" s="119"/>
      <c r="Q512" s="2333"/>
      <c r="R512" s="2333"/>
      <c r="S512" s="2333"/>
    </row>
    <row r="513" spans="3:19" s="79" customFormat="1">
      <c r="D513" s="228">
        <f>D512*$D462</f>
        <v>200</v>
      </c>
      <c r="E513" s="228"/>
      <c r="F513" s="228">
        <f>F512*$D462</f>
        <v>10</v>
      </c>
      <c r="G513" s="228"/>
      <c r="H513" s="1128" t="s">
        <v>175</v>
      </c>
      <c r="J513" s="122"/>
      <c r="K513" s="136"/>
      <c r="L513" s="119"/>
      <c r="M513" s="119"/>
      <c r="Q513" s="2333"/>
      <c r="R513" s="2333"/>
      <c r="S513" s="2333"/>
    </row>
    <row r="514" spans="3:19" s="79" customFormat="1">
      <c r="D514" s="226">
        <f>D513*$D$466</f>
        <v>42000</v>
      </c>
      <c r="E514" s="226"/>
      <c r="F514" s="226">
        <f>F513*$D$466</f>
        <v>2100</v>
      </c>
      <c r="G514" s="226"/>
      <c r="H514" s="1129" t="s">
        <v>74</v>
      </c>
      <c r="J514" s="122"/>
      <c r="K514" s="136"/>
      <c r="L514" s="119"/>
      <c r="M514" s="119"/>
      <c r="Q514" s="2333"/>
      <c r="R514" s="2333"/>
      <c r="S514" s="2333"/>
    </row>
    <row r="515" spans="3:19" s="79" customFormat="1">
      <c r="J515" s="122"/>
      <c r="K515" s="136"/>
      <c r="L515" s="119"/>
      <c r="M515" s="119"/>
      <c r="Q515" s="2333"/>
      <c r="R515" s="2333"/>
      <c r="S515" s="2333"/>
    </row>
    <row r="516" spans="3:19" s="79" customFormat="1">
      <c r="D516" s="2728"/>
      <c r="E516" s="2728"/>
      <c r="F516" s="2728"/>
      <c r="G516" s="2728"/>
      <c r="H516" s="2729"/>
      <c r="J516" s="122"/>
      <c r="K516" s="136"/>
      <c r="L516" s="119"/>
      <c r="M516" s="119"/>
      <c r="Q516" s="2333"/>
      <c r="R516" s="2333"/>
      <c r="S516" s="2333"/>
    </row>
    <row r="517" spans="3:19" s="79" customFormat="1">
      <c r="C517" s="79" t="s">
        <v>2064</v>
      </c>
      <c r="D517" s="2732">
        <f>SUM(D504,D507,D514)</f>
        <v>2070500</v>
      </c>
      <c r="E517" s="2733"/>
      <c r="F517" s="2733">
        <f>SUM(F504,F507,F514)</f>
        <v>103525</v>
      </c>
      <c r="G517" s="2733"/>
      <c r="H517" s="2734" t="s">
        <v>2066</v>
      </c>
      <c r="J517" s="122"/>
      <c r="K517" s="136"/>
      <c r="L517" s="119"/>
      <c r="M517" s="119"/>
      <c r="Q517" s="2333"/>
      <c r="R517" s="2333"/>
      <c r="S517" s="2333"/>
    </row>
    <row r="518" spans="3:19" s="79" customFormat="1">
      <c r="D518" s="2728"/>
      <c r="E518" s="2728"/>
      <c r="F518" s="2728"/>
      <c r="G518" s="2728"/>
      <c r="H518" s="2729"/>
      <c r="J518" s="122"/>
      <c r="K518" s="136"/>
      <c r="L518" s="119"/>
      <c r="M518" s="119"/>
      <c r="Q518" s="2333"/>
      <c r="R518" s="2333"/>
      <c r="S518" s="2333"/>
    </row>
    <row r="519" spans="3:19" s="79" customFormat="1">
      <c r="D519" s="2728"/>
      <c r="E519" s="2728"/>
      <c r="F519" s="2728"/>
      <c r="G519" s="2728"/>
      <c r="H519" s="2729"/>
      <c r="J519" s="122"/>
      <c r="K519" s="136"/>
      <c r="L519" s="119"/>
      <c r="M519" s="119"/>
      <c r="Q519" s="2333"/>
      <c r="R519" s="2333"/>
      <c r="S519" s="2333"/>
    </row>
    <row r="520" spans="3:19" s="79" customFormat="1">
      <c r="D520" s="228"/>
      <c r="E520" s="228"/>
      <c r="F520" s="228"/>
      <c r="G520" s="228"/>
      <c r="H520" s="1128"/>
      <c r="J520" s="122"/>
      <c r="K520" s="136"/>
      <c r="L520" s="119"/>
      <c r="M520" s="119"/>
      <c r="Q520" s="2333"/>
      <c r="R520" s="2333"/>
      <c r="S520" s="2333"/>
    </row>
    <row r="521" spans="3:19" s="79" customFormat="1">
      <c r="D521" s="1481" t="s">
        <v>1220</v>
      </c>
      <c r="E521" s="76"/>
      <c r="G521" s="1093" t="s">
        <v>1218</v>
      </c>
      <c r="K521" s="122"/>
      <c r="M521" s="119" t="s">
        <v>1219</v>
      </c>
      <c r="O521" s="119"/>
      <c r="R521" s="2333"/>
      <c r="S521" s="2333"/>
    </row>
    <row r="522" spans="3:19" s="79" customFormat="1">
      <c r="D522" s="143" t="s">
        <v>172</v>
      </c>
      <c r="E522" s="144"/>
      <c r="F522" s="144" t="s">
        <v>155</v>
      </c>
      <c r="G522" s="1103" t="s">
        <v>1191</v>
      </c>
      <c r="H522" s="255" t="s">
        <v>391</v>
      </c>
      <c r="I522" s="276" t="s">
        <v>155</v>
      </c>
      <c r="J522" s="618" t="s">
        <v>1192</v>
      </c>
      <c r="K522" s="255" t="s">
        <v>391</v>
      </c>
      <c r="M522" s="1103" t="s">
        <v>1191</v>
      </c>
      <c r="N522" s="255" t="s">
        <v>391</v>
      </c>
      <c r="O522" s="618" t="s">
        <v>1192</v>
      </c>
      <c r="P522" s="255" t="s">
        <v>391</v>
      </c>
      <c r="Q522" s="145" t="s">
        <v>69</v>
      </c>
      <c r="R522" s="2333"/>
      <c r="S522" s="2333"/>
    </row>
    <row r="523" spans="3:19" s="79" customFormat="1">
      <c r="D523" s="135" t="s">
        <v>1205</v>
      </c>
      <c r="F523" s="136">
        <f>D489</f>
        <v>2400</v>
      </c>
      <c r="G523" s="1092">
        <f>D453</f>
        <v>20000000</v>
      </c>
      <c r="H523" s="79">
        <f>D442</f>
        <v>20</v>
      </c>
      <c r="I523" s="336">
        <f>E489</f>
        <v>40</v>
      </c>
      <c r="J523" s="1092">
        <f>E453</f>
        <v>600000</v>
      </c>
      <c r="K523" s="1216">
        <f>E442</f>
        <v>1</v>
      </c>
      <c r="L523" s="336">
        <f>F489</f>
        <v>120</v>
      </c>
      <c r="M523" s="1092">
        <f>F453</f>
        <v>1400000</v>
      </c>
      <c r="N523" s="79">
        <f>F442</f>
        <v>20</v>
      </c>
      <c r="O523" s="1092">
        <f>G453</f>
        <v>30000</v>
      </c>
      <c r="P523" s="1216">
        <f>G442</f>
        <v>1</v>
      </c>
      <c r="Q523" s="358" t="s">
        <v>1203</v>
      </c>
      <c r="R523" s="2333"/>
      <c r="S523" s="2333"/>
    </row>
    <row r="524" spans="3:19" s="79" customFormat="1">
      <c r="D524" s="135" t="s">
        <v>132</v>
      </c>
      <c r="F524" s="136">
        <f>D475</f>
        <v>1200</v>
      </c>
      <c r="G524" s="1092">
        <f>D478</f>
        <v>342000</v>
      </c>
      <c r="H524" s="79">
        <f>H523</f>
        <v>20</v>
      </c>
      <c r="I524" s="132">
        <f>E475</f>
        <v>20</v>
      </c>
      <c r="J524" s="119">
        <f>E478</f>
        <v>5700</v>
      </c>
      <c r="K524" s="621">
        <f>K523</f>
        <v>1</v>
      </c>
      <c r="L524" s="132">
        <f>F475</f>
        <v>60</v>
      </c>
      <c r="M524" s="1092">
        <f>F478</f>
        <v>17100</v>
      </c>
      <c r="N524" s="79">
        <f>N523</f>
        <v>20</v>
      </c>
      <c r="O524" s="119">
        <f>G478</f>
        <v>285</v>
      </c>
      <c r="P524" s="621">
        <f>P523</f>
        <v>1</v>
      </c>
      <c r="Q524" s="358" t="s">
        <v>999</v>
      </c>
      <c r="R524" s="2333"/>
      <c r="S524" s="2333"/>
    </row>
    <row r="525" spans="3:19" s="79" customFormat="1">
      <c r="D525" s="135" t="s">
        <v>169</v>
      </c>
      <c r="E525" s="136"/>
      <c r="F525" s="141">
        <f>D489</f>
        <v>2400</v>
      </c>
      <c r="G525" s="1092">
        <f>D491</f>
        <v>504000</v>
      </c>
      <c r="H525" s="79">
        <f>H524</f>
        <v>20</v>
      </c>
      <c r="I525" s="336">
        <f>E489</f>
        <v>40</v>
      </c>
      <c r="J525" s="119">
        <f>E491</f>
        <v>8400</v>
      </c>
      <c r="K525" s="621">
        <f>K524</f>
        <v>1</v>
      </c>
      <c r="L525" s="336">
        <f>F489</f>
        <v>120</v>
      </c>
      <c r="M525" s="1092">
        <f>F491</f>
        <v>25200</v>
      </c>
      <c r="N525" s="79">
        <f>N524</f>
        <v>20</v>
      </c>
      <c r="O525" s="119">
        <f>G491</f>
        <v>420</v>
      </c>
      <c r="P525" s="621">
        <f>P524</f>
        <v>1</v>
      </c>
      <c r="Q525" s="358" t="s">
        <v>70</v>
      </c>
      <c r="R525" s="2333"/>
      <c r="S525" s="2333"/>
    </row>
    <row r="526" spans="3:19" s="79" customFormat="1">
      <c r="D526" s="135"/>
      <c r="E526" s="136"/>
      <c r="F526" s="141"/>
      <c r="G526" s="1092"/>
      <c r="J526" s="119"/>
      <c r="K526" s="621"/>
      <c r="M526" s="1092"/>
      <c r="O526" s="119"/>
      <c r="P526" s="621"/>
      <c r="Q526" s="358"/>
      <c r="R526" s="2333"/>
      <c r="S526" s="2333"/>
    </row>
    <row r="527" spans="3:19" s="79" customFormat="1">
      <c r="D527" s="135"/>
      <c r="E527" s="136"/>
      <c r="F527" s="141"/>
      <c r="G527" s="1092"/>
      <c r="J527" s="119"/>
      <c r="M527" s="1092"/>
      <c r="O527" s="119"/>
      <c r="Q527" s="358"/>
      <c r="R527" s="2333"/>
      <c r="S527" s="2333"/>
    </row>
    <row r="528" spans="3:19" s="79" customFormat="1">
      <c r="D528" s="135"/>
      <c r="E528" s="136"/>
      <c r="F528" s="141"/>
      <c r="G528" s="1092"/>
      <c r="J528" s="119"/>
      <c r="M528" s="1092"/>
      <c r="O528" s="119"/>
      <c r="Q528" s="358"/>
      <c r="R528" s="2333"/>
      <c r="S528" s="2333"/>
    </row>
    <row r="529" spans="3:19" s="79" customFormat="1">
      <c r="D529" s="135" t="s">
        <v>1195</v>
      </c>
      <c r="E529" s="136"/>
      <c r="F529" s="79" t="s">
        <v>155</v>
      </c>
      <c r="G529" s="1092" t="s">
        <v>2357</v>
      </c>
      <c r="H529" s="79" t="s">
        <v>391</v>
      </c>
      <c r="J529" s="119"/>
      <c r="L529" s="79" t="s">
        <v>155</v>
      </c>
      <c r="M529" s="1092" t="s">
        <v>2356</v>
      </c>
      <c r="N529" s="79" t="s">
        <v>391</v>
      </c>
      <c r="O529" s="119"/>
      <c r="Q529" s="358"/>
      <c r="R529" s="2333"/>
      <c r="S529" s="2333"/>
    </row>
    <row r="530" spans="3:19" s="79" customFormat="1">
      <c r="D530" s="135" t="s">
        <v>3</v>
      </c>
      <c r="E530" s="136"/>
      <c r="F530" s="141">
        <f>D502</f>
        <v>200</v>
      </c>
      <c r="G530" s="1092">
        <f>D504</f>
        <v>2000000</v>
      </c>
      <c r="H530" s="79">
        <f>$D$446</f>
        <v>5</v>
      </c>
      <c r="I530" s="358" t="s">
        <v>1203</v>
      </c>
      <c r="J530" s="119"/>
      <c r="L530" s="141">
        <f>F502</f>
        <v>10</v>
      </c>
      <c r="M530" s="1092">
        <f>F504</f>
        <v>100000</v>
      </c>
      <c r="N530" s="79">
        <f>$D$446</f>
        <v>5</v>
      </c>
      <c r="O530" s="358" t="s">
        <v>1203</v>
      </c>
      <c r="Q530" s="358"/>
      <c r="R530" s="2333"/>
      <c r="S530" s="2333"/>
    </row>
    <row r="531" spans="3:19" s="79" customFormat="1">
      <c r="D531" s="135" t="s">
        <v>132</v>
      </c>
      <c r="E531" s="136"/>
      <c r="F531" s="141">
        <f>D506</f>
        <v>100</v>
      </c>
      <c r="G531" s="1092">
        <f>D507</f>
        <v>28500</v>
      </c>
      <c r="H531" s="79">
        <f t="shared" ref="H531:H532" si="100">$D$446</f>
        <v>5</v>
      </c>
      <c r="I531" s="358" t="s">
        <v>999</v>
      </c>
      <c r="J531" s="119"/>
      <c r="L531" s="141">
        <f>F506</f>
        <v>5</v>
      </c>
      <c r="M531" s="1092">
        <f>F507</f>
        <v>1425</v>
      </c>
      <c r="N531" s="79">
        <f t="shared" ref="N531:N532" si="101">$D$446</f>
        <v>5</v>
      </c>
      <c r="O531" s="358" t="s">
        <v>999</v>
      </c>
      <c r="Q531" s="358"/>
      <c r="R531" s="2333"/>
      <c r="S531" s="2333"/>
    </row>
    <row r="532" spans="3:19" s="79" customFormat="1">
      <c r="D532" s="135" t="s">
        <v>2354</v>
      </c>
      <c r="E532" s="136"/>
      <c r="F532" s="141">
        <f>D513</f>
        <v>200</v>
      </c>
      <c r="G532" s="1092">
        <f>D514</f>
        <v>42000</v>
      </c>
      <c r="H532" s="79">
        <f t="shared" si="100"/>
        <v>5</v>
      </c>
      <c r="I532" s="358" t="s">
        <v>70</v>
      </c>
      <c r="J532" s="119"/>
      <c r="L532" s="141">
        <f>F513</f>
        <v>10</v>
      </c>
      <c r="M532" s="1092">
        <f>F514</f>
        <v>2100</v>
      </c>
      <c r="N532" s="79">
        <f t="shared" si="101"/>
        <v>5</v>
      </c>
      <c r="O532" s="358" t="s">
        <v>70</v>
      </c>
      <c r="Q532" s="358"/>
      <c r="R532" s="2333"/>
      <c r="S532" s="2333"/>
    </row>
    <row r="533" spans="3:19" s="79" customFormat="1">
      <c r="D533" s="135"/>
      <c r="E533" s="136"/>
      <c r="F533" s="141"/>
      <c r="G533" s="1092"/>
      <c r="J533" s="119"/>
      <c r="M533" s="1092"/>
      <c r="O533" s="119"/>
      <c r="Q533" s="358"/>
      <c r="R533" s="2333"/>
      <c r="S533" s="2333"/>
    </row>
    <row r="534" spans="3:19" s="79" customFormat="1">
      <c r="D534" s="135"/>
      <c r="E534" s="136"/>
      <c r="F534" s="141"/>
      <c r="G534" s="1092"/>
      <c r="J534" s="119"/>
      <c r="M534" s="1092"/>
      <c r="O534" s="119"/>
      <c r="Q534" s="358"/>
      <c r="R534" s="2333"/>
      <c r="S534" s="2333"/>
    </row>
    <row r="535" spans="3:19" s="79" customFormat="1">
      <c r="D535" s="137"/>
      <c r="E535" s="138"/>
      <c r="F535" s="142"/>
      <c r="G535" s="1116"/>
      <c r="H535" s="439"/>
      <c r="J535" s="139"/>
      <c r="K535" s="439"/>
      <c r="M535" s="1116"/>
      <c r="N535" s="439"/>
      <c r="O535" s="139"/>
      <c r="P535" s="439"/>
      <c r="Q535" s="140"/>
      <c r="R535" s="2333"/>
      <c r="S535" s="2333"/>
    </row>
    <row r="536" spans="3:19" s="79" customFormat="1">
      <c r="D536" s="122"/>
      <c r="E536" s="147"/>
      <c r="F536" s="122"/>
      <c r="G536" s="1092"/>
      <c r="I536" s="119"/>
      <c r="K536" s="119"/>
      <c r="Q536" s="2333"/>
      <c r="R536" s="2333"/>
      <c r="S536" s="2333"/>
    </row>
    <row r="537" spans="3:19" s="7" customFormat="1">
      <c r="D537" s="69"/>
      <c r="E537" s="36"/>
      <c r="G537" s="1089"/>
      <c r="Q537" s="2796"/>
      <c r="R537" s="2796"/>
      <c r="S537" s="2796"/>
    </row>
    <row r="538" spans="3:19" s="1532" customFormat="1">
      <c r="D538" s="1533"/>
      <c r="E538" s="1534"/>
      <c r="Q538" s="2799"/>
      <c r="R538" s="2799"/>
      <c r="S538" s="2799"/>
    </row>
    <row r="539" spans="3:19" s="7" customFormat="1">
      <c r="D539" s="69"/>
      <c r="E539" s="36"/>
      <c r="Q539" s="2796"/>
      <c r="R539" s="2796"/>
      <c r="S539" s="2796"/>
    </row>
    <row r="540" spans="3:19" s="9" customFormat="1">
      <c r="C540" s="120" t="s">
        <v>1240</v>
      </c>
      <c r="E540" s="34"/>
      <c r="F540" s="9" t="s">
        <v>1237</v>
      </c>
      <c r="Q540" s="2797"/>
      <c r="R540" s="2797"/>
      <c r="S540" s="2797"/>
    </row>
    <row r="541" spans="3:19" s="9" customFormat="1">
      <c r="E541" s="34"/>
      <c r="F541" s="9" t="s">
        <v>627</v>
      </c>
      <c r="Q541" s="2797"/>
      <c r="R541" s="2797"/>
      <c r="S541" s="2797"/>
    </row>
    <row r="542" spans="3:19" s="9" customFormat="1">
      <c r="F542" s="34" t="s">
        <v>614</v>
      </c>
      <c r="Q542" s="2797"/>
      <c r="R542" s="2797"/>
      <c r="S542" s="2797"/>
    </row>
    <row r="543" spans="3:19" s="9" customFormat="1">
      <c r="F543" s="9" t="s">
        <v>615</v>
      </c>
      <c r="Q543" s="2797"/>
      <c r="R543" s="2797"/>
      <c r="S543" s="2797"/>
    </row>
    <row r="544" spans="3:19" s="9" customFormat="1">
      <c r="F544" s="9" t="s">
        <v>616</v>
      </c>
      <c r="Q544" s="2797"/>
      <c r="R544" s="2797"/>
      <c r="S544" s="2797"/>
    </row>
    <row r="545" spans="4:19" s="9" customFormat="1">
      <c r="F545" s="9" t="s">
        <v>617</v>
      </c>
      <c r="Q545" s="2797"/>
      <c r="R545" s="2797"/>
      <c r="S545" s="2797"/>
    </row>
    <row r="546" spans="4:19" s="9" customFormat="1">
      <c r="Q546" s="2797"/>
      <c r="R546" s="2797"/>
      <c r="S546" s="2797"/>
    </row>
    <row r="547" spans="4:19" s="9" customFormat="1">
      <c r="D547" s="1309" t="s">
        <v>91</v>
      </c>
      <c r="E547" s="970"/>
      <c r="Q547" s="2797"/>
      <c r="R547" s="2797"/>
      <c r="S547" s="2797"/>
    </row>
    <row r="548" spans="4:19" s="9" customFormat="1">
      <c r="D548" s="98"/>
      <c r="E548" s="96"/>
      <c r="Q548" s="2797"/>
      <c r="R548" s="2797"/>
      <c r="S548" s="2797"/>
    </row>
    <row r="549" spans="4:19" s="9" customFormat="1">
      <c r="D549" s="98">
        <f>'Overall Assumptions'!$C$8</f>
        <v>100</v>
      </c>
      <c r="E549" s="96" t="s">
        <v>1241</v>
      </c>
      <c r="Q549" s="2797"/>
      <c r="R549" s="2797"/>
      <c r="S549" s="2797"/>
    </row>
    <row r="550" spans="4:19" s="9" customFormat="1">
      <c r="D550" s="1536">
        <v>0.1</v>
      </c>
      <c r="E550" s="109" t="s">
        <v>1242</v>
      </c>
      <c r="Q550" s="2797"/>
      <c r="R550" s="2797"/>
      <c r="S550" s="2797"/>
    </row>
    <row r="551" spans="4:19" s="9" customFormat="1">
      <c r="D551" s="1538">
        <f>D549*D550*2</f>
        <v>20</v>
      </c>
      <c r="E551" s="485" t="s">
        <v>1243</v>
      </c>
      <c r="Q551" s="2797"/>
      <c r="R551" s="2797"/>
      <c r="S551" s="2797"/>
    </row>
    <row r="552" spans="4:19" s="9" customFormat="1">
      <c r="D552" s="535">
        <v>10</v>
      </c>
      <c r="E552" s="96" t="s">
        <v>611</v>
      </c>
      <c r="Q552" s="2797"/>
      <c r="R552" s="2797"/>
      <c r="S552" s="2797"/>
    </row>
    <row r="553" spans="4:19" s="9" customFormat="1">
      <c r="D553" s="1537">
        <f>1000000/D552</f>
        <v>100000</v>
      </c>
      <c r="E553" s="96" t="s">
        <v>610</v>
      </c>
      <c r="Q553" s="2797"/>
      <c r="R553" s="2797"/>
      <c r="S553" s="2797"/>
    </row>
    <row r="554" spans="4:19" s="9" customFormat="1">
      <c r="D554" s="1310">
        <f>SQRT(D552/1000000)</f>
        <v>3.1622776601683794E-3</v>
      </c>
      <c r="E554" s="96" t="s">
        <v>1123</v>
      </c>
      <c r="Q554" s="2797"/>
      <c r="R554" s="2797"/>
      <c r="S554" s="2797"/>
    </row>
    <row r="555" spans="4:19" s="9" customFormat="1">
      <c r="D555" s="1308">
        <f>D549*2</f>
        <v>200</v>
      </c>
      <c r="E555" s="109" t="s">
        <v>1244</v>
      </c>
      <c r="Q555" s="2797"/>
      <c r="R555" s="2797"/>
      <c r="S555" s="2797"/>
    </row>
    <row r="556" spans="4:19" s="9" customFormat="1">
      <c r="D556" s="1308"/>
      <c r="E556" s="109"/>
      <c r="F556" s="9" t="s">
        <v>1155</v>
      </c>
      <c r="Q556" s="2797"/>
      <c r="R556" s="2797"/>
      <c r="S556" s="2797"/>
    </row>
    <row r="557" spans="4:19" s="9" customFormat="1">
      <c r="D557" s="877">
        <v>1</v>
      </c>
      <c r="E557" s="97" t="s">
        <v>1125</v>
      </c>
      <c r="F557" s="1348">
        <v>0.3</v>
      </c>
      <c r="G557" s="108" t="s">
        <v>1156</v>
      </c>
      <c r="I557"/>
      <c r="Q557" s="2797"/>
      <c r="R557" s="2797"/>
      <c r="S557" s="2797"/>
    </row>
    <row r="558" spans="4:19" s="9" customFormat="1">
      <c r="D558" s="1341">
        <f>F558</f>
        <v>4.9999999999999996E-2</v>
      </c>
      <c r="E558" s="95" t="s">
        <v>1150</v>
      </c>
      <c r="F558" s="1345">
        <f>G558/SUM($G$558:$G$560)*$F$557</f>
        <v>4.9999999999999996E-2</v>
      </c>
      <c r="G558" s="1341">
        <f>'Overall Assumptions'!$C$153</f>
        <v>0.05</v>
      </c>
      <c r="I558"/>
      <c r="Q558" s="2797"/>
      <c r="R558" s="2797"/>
      <c r="S558" s="2797"/>
    </row>
    <row r="559" spans="4:19" s="9" customFormat="1">
      <c r="D559" s="1342">
        <f>F559</f>
        <v>9.9999999999999992E-2</v>
      </c>
      <c r="E559" s="96" t="s">
        <v>1151</v>
      </c>
      <c r="F559" s="1346">
        <f>G559/SUM($G$558:$G$560)*$F$557</f>
        <v>9.9999999999999992E-2</v>
      </c>
      <c r="G559" s="1342">
        <f>'Overall Assumptions'!$C$154</f>
        <v>0.1</v>
      </c>
      <c r="I559"/>
      <c r="Q559" s="2797"/>
      <c r="R559" s="2797"/>
      <c r="S559" s="2797"/>
    </row>
    <row r="560" spans="4:19" s="9" customFormat="1">
      <c r="D560" s="1343">
        <f>F560</f>
        <v>0.14999999999999997</v>
      </c>
      <c r="E560" s="97" t="s">
        <v>1149</v>
      </c>
      <c r="F560" s="1347">
        <f>G560/SUM($G$558:$G$560)*$F$557</f>
        <v>0.14999999999999997</v>
      </c>
      <c r="G560" s="1343">
        <f>'Overall Assumptions'!$C$155</f>
        <v>0.15</v>
      </c>
      <c r="I560"/>
      <c r="Q560" s="2797"/>
      <c r="R560" s="2797"/>
      <c r="S560" s="2797"/>
    </row>
    <row r="561" spans="3:19" s="9" customFormat="1">
      <c r="C561" s="1344"/>
      <c r="D561" s="124"/>
      <c r="I561"/>
      <c r="Q561" s="2797"/>
      <c r="R561" s="2797"/>
      <c r="S561" s="2797"/>
    </row>
    <row r="562" spans="3:19" s="9" customFormat="1">
      <c r="C562" s="367"/>
      <c r="D562" s="124"/>
      <c r="I562"/>
      <c r="Q562" s="2797"/>
      <c r="R562" s="2797"/>
      <c r="S562" s="2797"/>
    </row>
    <row r="563" spans="3:19" s="9" customFormat="1">
      <c r="C563" s="256" t="s">
        <v>1122</v>
      </c>
      <c r="I563"/>
      <c r="Q563" s="2797"/>
      <c r="R563" s="2797"/>
      <c r="S563" s="2797"/>
    </row>
    <row r="564" spans="3:19" s="9" customFormat="1">
      <c r="C564" s="256"/>
      <c r="I564"/>
      <c r="Q564" s="2797"/>
      <c r="R564" s="2797"/>
      <c r="S564" s="2797"/>
    </row>
    <row r="565" spans="3:19" s="9" customFormat="1">
      <c r="D565" t="s">
        <v>692</v>
      </c>
      <c r="E565" s="9" t="s">
        <v>675</v>
      </c>
      <c r="F565" s="838" t="s">
        <v>676</v>
      </c>
      <c r="Q565" s="2797"/>
      <c r="R565" s="2797"/>
      <c r="S565" s="2797"/>
    </row>
    <row r="566" spans="3:19" s="9" customFormat="1">
      <c r="D566" s="567">
        <v>199</v>
      </c>
      <c r="E566" s="567">
        <v>699</v>
      </c>
      <c r="F566" s="1290">
        <v>385</v>
      </c>
      <c r="G566" t="s">
        <v>664</v>
      </c>
      <c r="H566"/>
      <c r="Q566" s="2797"/>
      <c r="R566" s="2797"/>
      <c r="S566" s="2797"/>
    </row>
    <row r="567" spans="3:19" s="9" customFormat="1">
      <c r="D567" s="204">
        <f>D566/20</f>
        <v>9.9499999999999993</v>
      </c>
      <c r="E567" s="204">
        <f>E566/20</f>
        <v>34.950000000000003</v>
      </c>
      <c r="F567" s="1290">
        <f>F566/20</f>
        <v>19.25</v>
      </c>
      <c r="G567" t="s">
        <v>435</v>
      </c>
      <c r="H567"/>
      <c r="Q567" s="2797"/>
      <c r="R567" s="2797"/>
      <c r="S567" s="2797"/>
    </row>
    <row r="568" spans="3:19" s="9" customFormat="1">
      <c r="D568" s="266">
        <v>1000</v>
      </c>
      <c r="E568" s="266">
        <v>500</v>
      </c>
      <c r="F568" s="838">
        <v>500</v>
      </c>
      <c r="G568" t="s">
        <v>669</v>
      </c>
      <c r="H568"/>
      <c r="Q568" s="2797"/>
      <c r="R568" s="2797"/>
      <c r="S568" s="2797"/>
    </row>
    <row r="569" spans="3:19" s="9" customFormat="1">
      <c r="D569">
        <f>D568/100/1000</f>
        <v>0.01</v>
      </c>
      <c r="E569">
        <f>E568/100/1000</f>
        <v>5.0000000000000001E-3</v>
      </c>
      <c r="F569" s="838">
        <f>F568/100/1000</f>
        <v>5.0000000000000001E-3</v>
      </c>
      <c r="G569" t="s">
        <v>668</v>
      </c>
      <c r="H569"/>
      <c r="Q569" s="2797"/>
      <c r="R569" s="2797"/>
      <c r="S569" s="2797"/>
    </row>
    <row r="570" spans="3:19" s="9" customFormat="1">
      <c r="D570" s="531">
        <f>$D553</f>
        <v>100000</v>
      </c>
      <c r="E570" s="531">
        <f>$D553</f>
        <v>100000</v>
      </c>
      <c r="F570" s="531">
        <f>$D553</f>
        <v>100000</v>
      </c>
      <c r="G570" t="s">
        <v>673</v>
      </c>
      <c r="H570"/>
      <c r="Q570" s="2797"/>
      <c r="R570" s="2797"/>
      <c r="S570" s="2797"/>
    </row>
    <row r="571" spans="3:19" s="9" customFormat="1">
      <c r="D571"/>
      <c r="E571"/>
      <c r="F571" s="838"/>
      <c r="G571"/>
      <c r="H571"/>
      <c r="Q571" s="2797"/>
      <c r="R571" s="2797"/>
      <c r="S571" s="2797"/>
    </row>
    <row r="572" spans="3:19" s="9" customFormat="1">
      <c r="D572" s="1" t="s">
        <v>599</v>
      </c>
      <c r="E572" s="1" t="s">
        <v>599</v>
      </c>
      <c r="F572" s="1292" t="s">
        <v>599</v>
      </c>
      <c r="G572"/>
      <c r="H572"/>
      <c r="Q572" s="2797"/>
      <c r="R572" s="2797"/>
      <c r="S572" s="2797"/>
    </row>
    <row r="573" spans="3:19" s="9" customFormat="1">
      <c r="D573" s="566">
        <v>4000</v>
      </c>
      <c r="E573" s="566">
        <v>4000</v>
      </c>
      <c r="F573" s="1293">
        <v>4000</v>
      </c>
      <c r="G573" t="s">
        <v>666</v>
      </c>
      <c r="H573"/>
      <c r="Q573" s="2797"/>
      <c r="R573" s="2797"/>
      <c r="S573" s="2797"/>
    </row>
    <row r="574" spans="3:19" s="9" customFormat="1">
      <c r="D574" s="540">
        <f>D573*100</f>
        <v>400000</v>
      </c>
      <c r="E574" s="540">
        <f>E573*100</f>
        <v>400000</v>
      </c>
      <c r="F574" s="1293">
        <f>F573*100</f>
        <v>400000</v>
      </c>
      <c r="G574" t="s">
        <v>670</v>
      </c>
      <c r="H574"/>
      <c r="Q574" s="2797"/>
      <c r="R574" s="2797"/>
      <c r="S574" s="2797"/>
    </row>
    <row r="575" spans="3:19" s="9" customFormat="1">
      <c r="D575" s="531">
        <f>D569*D574</f>
        <v>4000</v>
      </c>
      <c r="E575" s="531">
        <f>E569*E574</f>
        <v>2000</v>
      </c>
      <c r="F575" s="1291">
        <f>F569*F574</f>
        <v>2000</v>
      </c>
      <c r="G575" t="s">
        <v>667</v>
      </c>
      <c r="H575"/>
      <c r="Q575" s="2797"/>
      <c r="R575" s="2797"/>
      <c r="S575" s="2797"/>
    </row>
    <row r="576" spans="3:19" s="9" customFormat="1">
      <c r="D576" s="204">
        <f>D575*D567</f>
        <v>39800</v>
      </c>
      <c r="E576" s="204">
        <f>E575*E567</f>
        <v>69900</v>
      </c>
      <c r="F576" s="1290">
        <f>F575*F567</f>
        <v>38500</v>
      </c>
      <c r="G576" t="s">
        <v>671</v>
      </c>
      <c r="Q576" s="2797"/>
      <c r="R576" s="2797"/>
      <c r="S576" s="2797"/>
    </row>
    <row r="577" spans="4:19" s="9" customFormat="1">
      <c r="D577" s="568">
        <f>D576/D570</f>
        <v>0.39800000000000002</v>
      </c>
      <c r="E577" s="568">
        <f>E576/E570</f>
        <v>0.69899999999999995</v>
      </c>
      <c r="F577" s="1294">
        <f>F576/F570</f>
        <v>0.38500000000000001</v>
      </c>
      <c r="G577" t="s">
        <v>674</v>
      </c>
      <c r="Q577" s="2797"/>
      <c r="R577" s="2797"/>
      <c r="S577" s="2797"/>
    </row>
    <row r="578" spans="4:19" s="9" customFormat="1">
      <c r="D578"/>
      <c r="E578"/>
      <c r="F578" s="838"/>
      <c r="G578"/>
      <c r="Q578" s="2797"/>
      <c r="R578" s="2797"/>
      <c r="S578" s="2797"/>
    </row>
    <row r="579" spans="4:19" s="9" customFormat="1">
      <c r="D579" s="1" t="s">
        <v>672</v>
      </c>
      <c r="E579" s="1" t="s">
        <v>672</v>
      </c>
      <c r="F579" s="1292" t="s">
        <v>672</v>
      </c>
      <c r="G579"/>
      <c r="H579"/>
      <c r="Q579" s="2797"/>
      <c r="R579" s="2797"/>
      <c r="S579" s="2797"/>
    </row>
    <row r="580" spans="4:19" s="9" customFormat="1">
      <c r="D580" s="266">
        <v>1000</v>
      </c>
      <c r="E580" s="266">
        <v>1000</v>
      </c>
      <c r="F580" s="838">
        <v>1000</v>
      </c>
      <c r="G580" t="s">
        <v>665</v>
      </c>
      <c r="H580"/>
      <c r="Q580" s="2797"/>
      <c r="R580" s="2797"/>
      <c r="S580" s="2797"/>
    </row>
    <row r="581" spans="4:19" s="9" customFormat="1">
      <c r="D581" s="540">
        <f>D580*100</f>
        <v>100000</v>
      </c>
      <c r="E581" s="540">
        <f>E580*100</f>
        <v>100000</v>
      </c>
      <c r="F581" s="1293">
        <f>F580*100</f>
        <v>100000</v>
      </c>
      <c r="G581" t="s">
        <v>670</v>
      </c>
      <c r="H581"/>
      <c r="Q581" s="2797"/>
      <c r="R581" s="2797"/>
      <c r="S581" s="2797"/>
    </row>
    <row r="582" spans="4:19" s="9" customFormat="1">
      <c r="D582" s="531">
        <f>D569*D581</f>
        <v>1000</v>
      </c>
      <c r="E582" s="531">
        <f>E569*E581</f>
        <v>500</v>
      </c>
      <c r="F582" s="1291">
        <f>F569*F581</f>
        <v>500</v>
      </c>
      <c r="G582" t="s">
        <v>667</v>
      </c>
      <c r="H582"/>
      <c r="Q582" s="2797"/>
      <c r="R582" s="2797"/>
      <c r="S582" s="2797"/>
    </row>
    <row r="583" spans="4:19" s="9" customFormat="1">
      <c r="D583" s="204">
        <f>D582*D567</f>
        <v>9950</v>
      </c>
      <c r="E583" s="204">
        <f>E582*E567</f>
        <v>17475</v>
      </c>
      <c r="F583" s="1290">
        <f>F582*F567</f>
        <v>9625</v>
      </c>
      <c r="G583" t="s">
        <v>671</v>
      </c>
      <c r="Q583" s="2797"/>
      <c r="R583" s="2797"/>
      <c r="S583" s="2797"/>
    </row>
    <row r="584" spans="4:19" s="9" customFormat="1">
      <c r="D584" s="568">
        <f>D583/D570</f>
        <v>9.9500000000000005E-2</v>
      </c>
      <c r="E584" s="568">
        <f>E583/E570</f>
        <v>0.17474999999999999</v>
      </c>
      <c r="F584" s="1294">
        <f>F583/F570</f>
        <v>9.6250000000000002E-2</v>
      </c>
      <c r="G584" t="s">
        <v>674</v>
      </c>
      <c r="M584" s="572"/>
      <c r="Q584" s="2797"/>
      <c r="R584" s="2797"/>
      <c r="S584" s="2797"/>
    </row>
    <row r="585" spans="4:19" s="9" customFormat="1">
      <c r="H585"/>
      <c r="I585"/>
      <c r="J585"/>
      <c r="K585"/>
      <c r="M585" s="572"/>
      <c r="Q585" s="2797"/>
      <c r="R585" s="2797"/>
      <c r="S585" s="2797"/>
    </row>
    <row r="586" spans="4:19" s="9" customFormat="1">
      <c r="L586" s="1296" t="s">
        <v>657</v>
      </c>
      <c r="M586" s="572"/>
      <c r="Q586" s="2797"/>
      <c r="R586" s="2797"/>
      <c r="S586" s="2797"/>
    </row>
    <row r="587" spans="4:19" s="9" customFormat="1">
      <c r="D587" s="259">
        <f>AVERAGE(D577,E577)</f>
        <v>0.54849999999999999</v>
      </c>
      <c r="E587" t="s">
        <v>677</v>
      </c>
      <c r="L587" s="1296" t="s">
        <v>658</v>
      </c>
      <c r="M587" s="572"/>
      <c r="Q587" s="2797"/>
      <c r="R587" s="2797"/>
      <c r="S587" s="2797"/>
    </row>
    <row r="588" spans="4:19" s="9" customFormat="1">
      <c r="D588" s="259">
        <f>AVERAGE(D584,E584)</f>
        <v>0.137125</v>
      </c>
      <c r="E588" t="s">
        <v>678</v>
      </c>
      <c r="I588"/>
      <c r="L588" s="1296" t="s">
        <v>659</v>
      </c>
      <c r="M588" s="359"/>
      <c r="N588"/>
      <c r="O588"/>
      <c r="Q588" s="2797"/>
      <c r="R588" s="2797"/>
      <c r="S588" s="2797"/>
    </row>
    <row r="589" spans="4:19" s="9" customFormat="1">
      <c r="I589"/>
      <c r="L589" s="1296" t="s">
        <v>660</v>
      </c>
      <c r="M589" s="359"/>
      <c r="N589"/>
      <c r="O589"/>
      <c r="Q589" s="2797"/>
      <c r="R589" s="2797"/>
      <c r="S589" s="2797"/>
    </row>
    <row r="590" spans="4:19" s="9" customFormat="1">
      <c r="I590"/>
      <c r="L590" s="1297" t="s">
        <v>661</v>
      </c>
      <c r="M590" s="359"/>
      <c r="N590"/>
      <c r="O590"/>
      <c r="Q590" s="2797"/>
      <c r="R590" s="2797"/>
      <c r="S590" s="2797"/>
    </row>
    <row r="591" spans="4:19" s="9" customFormat="1">
      <c r="D591" s="592" t="s">
        <v>681</v>
      </c>
      <c r="E591" s="401" t="s">
        <v>682</v>
      </c>
      <c r="F591" s="401" t="s">
        <v>683</v>
      </c>
      <c r="G591" s="118" t="s">
        <v>304</v>
      </c>
      <c r="L591" s="1297" t="s">
        <v>662</v>
      </c>
      <c r="Q591" s="2797"/>
      <c r="R591" s="2797"/>
      <c r="S591" s="2797"/>
    </row>
    <row r="592" spans="4:19" s="9" customFormat="1">
      <c r="D592" s="1320">
        <f>D587</f>
        <v>0.54849999999999999</v>
      </c>
      <c r="E592" s="1321">
        <f>AVERAGE(D587,D588)</f>
        <v>0.34281249999999996</v>
      </c>
      <c r="F592" s="1321">
        <f>D588</f>
        <v>0.137125</v>
      </c>
      <c r="G592" s="1303" t="s">
        <v>1118</v>
      </c>
      <c r="L592" s="1295" t="s">
        <v>663</v>
      </c>
      <c r="Q592" s="2797"/>
      <c r="R592" s="2797"/>
      <c r="S592" s="2797"/>
    </row>
    <row r="593" spans="3:19" s="9" customFormat="1">
      <c r="C593" s="256" t="s">
        <v>1117</v>
      </c>
      <c r="L593" s="572"/>
      <c r="Q593" s="2797"/>
      <c r="R593" s="2797"/>
      <c r="S593" s="2797"/>
    </row>
    <row r="594" spans="3:19" s="9" customFormat="1">
      <c r="C594" s="9" t="s">
        <v>1119</v>
      </c>
      <c r="Q594" s="2797"/>
      <c r="R594" s="2797"/>
      <c r="S594" s="2797"/>
    </row>
    <row r="595" spans="3:19" s="9" customFormat="1">
      <c r="C595" s="9" t="s">
        <v>618</v>
      </c>
      <c r="Q595" s="2797"/>
      <c r="R595" s="2797"/>
      <c r="S595" s="2797"/>
    </row>
    <row r="596" spans="3:19" s="9" customFormat="1">
      <c r="Q596" s="2797"/>
      <c r="R596" s="2797"/>
      <c r="S596" s="2797"/>
    </row>
    <row r="597" spans="3:19" s="9" customFormat="1">
      <c r="Q597" s="2797"/>
      <c r="R597" s="2797"/>
      <c r="S597" s="2797"/>
    </row>
    <row r="598" spans="3:19" s="9" customFormat="1">
      <c r="D598" s="107" t="s">
        <v>1116</v>
      </c>
      <c r="E598" s="320" t="s">
        <v>25</v>
      </c>
      <c r="F598" s="320" t="s">
        <v>735</v>
      </c>
      <c r="G598" s="108"/>
      <c r="H598" s="1" t="s">
        <v>604</v>
      </c>
      <c r="Q598" s="2797"/>
      <c r="R598" s="2797"/>
      <c r="S598" s="2797"/>
    </row>
    <row r="599" spans="3:19" s="9" customFormat="1">
      <c r="D599" s="1298">
        <v>1800</v>
      </c>
      <c r="E599" s="538">
        <v>1300</v>
      </c>
      <c r="F599" s="538">
        <v>450</v>
      </c>
      <c r="G599" s="246" t="s">
        <v>601</v>
      </c>
      <c r="H599" s="9" t="s">
        <v>1111</v>
      </c>
      <c r="Q599" s="2797"/>
      <c r="R599" s="2797"/>
      <c r="S599" s="2797"/>
    </row>
    <row r="600" spans="3:19" s="9" customFormat="1">
      <c r="D600" s="1299">
        <f>D599*100</f>
        <v>180000</v>
      </c>
      <c r="E600" s="1300">
        <f>E599*100</f>
        <v>130000</v>
      </c>
      <c r="F600" s="1300">
        <f>F599*100</f>
        <v>45000</v>
      </c>
      <c r="G600" s="109" t="s">
        <v>332</v>
      </c>
      <c r="H600" s="9" t="s">
        <v>1112</v>
      </c>
      <c r="I600"/>
      <c r="Q600" s="2797"/>
      <c r="R600" s="2797"/>
      <c r="S600" s="2797"/>
    </row>
    <row r="601" spans="3:19" s="9" customFormat="1">
      <c r="D601" s="1298">
        <v>40</v>
      </c>
      <c r="E601" s="538">
        <v>40</v>
      </c>
      <c r="F601" s="538">
        <v>40</v>
      </c>
      <c r="G601" s="246" t="s">
        <v>603</v>
      </c>
      <c r="H601" s="9" t="s">
        <v>1113</v>
      </c>
      <c r="I601"/>
      <c r="Q601" s="2797"/>
      <c r="R601" s="2797"/>
      <c r="S601" s="2797"/>
    </row>
    <row r="602" spans="3:19" s="9" customFormat="1">
      <c r="D602" s="404">
        <f>D600/D601</f>
        <v>4500</v>
      </c>
      <c r="E602" s="79">
        <f>E600/E601</f>
        <v>3250</v>
      </c>
      <c r="F602" s="79">
        <f>F600/F601</f>
        <v>1125</v>
      </c>
      <c r="G602" s="246" t="s">
        <v>1114</v>
      </c>
      <c r="I602"/>
      <c r="Q602" s="2797"/>
      <c r="R602" s="2797"/>
      <c r="S602" s="2797"/>
    </row>
    <row r="603" spans="3:19" s="9" customFormat="1">
      <c r="D603" s="404">
        <f>D602*60</f>
        <v>270000</v>
      </c>
      <c r="E603" s="79">
        <f>E602*60</f>
        <v>195000</v>
      </c>
      <c r="F603" s="79">
        <f>F602*60</f>
        <v>67500</v>
      </c>
      <c r="G603" s="246" t="s">
        <v>1115</v>
      </c>
      <c r="H603" s="360" t="s">
        <v>606</v>
      </c>
      <c r="I603"/>
      <c r="J603"/>
      <c r="Q603" s="2797"/>
      <c r="R603" s="2797"/>
      <c r="S603" s="2797"/>
    </row>
    <row r="604" spans="3:19" s="9" customFormat="1">
      <c r="D604" s="1281">
        <f>$D553</f>
        <v>100000</v>
      </c>
      <c r="E604" s="621">
        <f>$D553</f>
        <v>100000</v>
      </c>
      <c r="F604" s="621">
        <f>$D553</f>
        <v>100000</v>
      </c>
      <c r="G604" s="246" t="s">
        <v>1120</v>
      </c>
      <c r="H604" s="360" t="s">
        <v>605</v>
      </c>
      <c r="Q604" s="2797"/>
      <c r="R604" s="2797"/>
      <c r="S604" s="2797"/>
    </row>
    <row r="605" spans="3:19" s="9" customFormat="1">
      <c r="D605" s="1281"/>
      <c r="E605" s="621"/>
      <c r="F605" s="621"/>
      <c r="G605" s="246"/>
      <c r="H605" s="360" t="s">
        <v>607</v>
      </c>
      <c r="Q605" s="2797"/>
      <c r="R605" s="2797"/>
      <c r="S605" s="2797"/>
    </row>
    <row r="606" spans="3:19" s="9" customFormat="1">
      <c r="D606" s="1304">
        <f>D603/D604</f>
        <v>2.7</v>
      </c>
      <c r="E606" s="1305">
        <f>E603/E604</f>
        <v>1.95</v>
      </c>
      <c r="F606" s="1305">
        <f>F603/F604</f>
        <v>0.67500000000000004</v>
      </c>
      <c r="G606" s="1306" t="s">
        <v>602</v>
      </c>
      <c r="Q606" s="2797"/>
      <c r="R606" s="2797"/>
      <c r="S606" s="2797"/>
    </row>
    <row r="607" spans="3:19" s="9" customFormat="1">
      <c r="Q607" s="2797"/>
      <c r="R607" s="2797"/>
      <c r="S607" s="2797"/>
    </row>
    <row r="608" spans="3:19" s="9" customFormat="1">
      <c r="Q608" s="2797"/>
      <c r="R608" s="2797"/>
      <c r="S608" s="2797"/>
    </row>
    <row r="609" spans="3:19" s="9" customFormat="1">
      <c r="C609" s="9" t="s">
        <v>1128</v>
      </c>
      <c r="Q609" s="2797"/>
      <c r="R609" s="2797"/>
      <c r="S609" s="2797"/>
    </row>
    <row r="610" spans="3:19" s="9" customFormat="1">
      <c r="Q610" s="2797"/>
      <c r="R610" s="2797"/>
      <c r="S610" s="2797"/>
    </row>
    <row r="611" spans="3:19" s="9" customFormat="1">
      <c r="D611" s="1313">
        <f>D558</f>
        <v>4.9999999999999996E-2</v>
      </c>
      <c r="E611" s="1314">
        <f>D559</f>
        <v>9.9999999999999992E-2</v>
      </c>
      <c r="F611" s="1314">
        <f>D560</f>
        <v>0.14999999999999997</v>
      </c>
      <c r="G611" s="108" t="s">
        <v>619</v>
      </c>
      <c r="Q611" s="2797"/>
      <c r="R611" s="2797"/>
      <c r="S611" s="2797"/>
    </row>
    <row r="612" spans="3:19" s="9" customFormat="1">
      <c r="D612" s="1539">
        <f>D611*$D551</f>
        <v>0.99999999999999989</v>
      </c>
      <c r="E612" s="1539">
        <f>E611*$D551</f>
        <v>1.9999999999999998</v>
      </c>
      <c r="F612" s="1539">
        <f>F611*$D551</f>
        <v>2.9999999999999991</v>
      </c>
      <c r="G612" s="109" t="s">
        <v>612</v>
      </c>
      <c r="Q612" s="2797"/>
      <c r="R612" s="2797"/>
      <c r="S612" s="2797"/>
    </row>
    <row r="613" spans="3:19" s="9" customFormat="1">
      <c r="D613" s="1301">
        <f>D612*D604</f>
        <v>99999.999999999985</v>
      </c>
      <c r="E613" s="551">
        <f>E612*E604</f>
        <v>199999.99999999997</v>
      </c>
      <c r="F613" s="551">
        <f>F612*F604</f>
        <v>299999.99999999988</v>
      </c>
      <c r="G613" s="109" t="s">
        <v>1121</v>
      </c>
      <c r="Q613" s="2797"/>
      <c r="R613" s="2797"/>
      <c r="S613" s="2797"/>
    </row>
    <row r="614" spans="3:19" s="9" customFormat="1">
      <c r="D614" s="1315"/>
      <c r="E614" s="1312"/>
      <c r="F614" s="1312"/>
      <c r="G614" s="111"/>
      <c r="Q614" s="2797"/>
      <c r="R614" s="2797"/>
      <c r="S614" s="2797"/>
    </row>
    <row r="615" spans="3:19" s="9" customFormat="1">
      <c r="D615" s="1316">
        <f>D606*D613/60/7.5</f>
        <v>600</v>
      </c>
      <c r="E615" s="1317">
        <f>E606*E613/60/7.5</f>
        <v>866.66666666666652</v>
      </c>
      <c r="F615" s="1317">
        <f>F606*F613/60/7.5</f>
        <v>449.99999999999989</v>
      </c>
      <c r="G615" s="1307" t="s">
        <v>613</v>
      </c>
      <c r="Q615" s="2797"/>
      <c r="R615" s="2797"/>
      <c r="S615" s="2797"/>
    </row>
    <row r="616" spans="3:19" s="9" customFormat="1">
      <c r="D616" s="1318">
        <f>D613*D592</f>
        <v>54849.999999999993</v>
      </c>
      <c r="E616" s="1319">
        <f>E613*E592</f>
        <v>68562.499999999985</v>
      </c>
      <c r="F616" s="1319">
        <f>F613*F592</f>
        <v>41137.499999999985</v>
      </c>
      <c r="G616" s="1303" t="s">
        <v>625</v>
      </c>
      <c r="Q616" s="2797"/>
      <c r="R616" s="2797"/>
      <c r="S616" s="2797"/>
    </row>
    <row r="617" spans="3:19" s="9" customFormat="1">
      <c r="Q617" s="2797"/>
      <c r="R617" s="2797"/>
      <c r="S617" s="2797"/>
    </row>
    <row r="618" spans="3:19" s="9" customFormat="1">
      <c r="C618" s="122"/>
      <c r="Q618" s="2797"/>
      <c r="R618" s="2797"/>
      <c r="S618" s="2797"/>
    </row>
    <row r="619" spans="3:19" s="9" customFormat="1">
      <c r="Q619" s="2797"/>
      <c r="R619" s="2797"/>
      <c r="S619" s="2797"/>
    </row>
    <row r="620" spans="3:19">
      <c r="G620"/>
    </row>
    <row r="621" spans="3:19">
      <c r="D621" s="367"/>
      <c r="E621" s="124"/>
      <c r="G621"/>
      <c r="H621" s="9"/>
      <c r="I621" s="9"/>
    </row>
    <row r="622" spans="3:19">
      <c r="C622" s="1" t="s">
        <v>42</v>
      </c>
      <c r="D622" s="367"/>
      <c r="E622" s="124"/>
      <c r="G622"/>
    </row>
    <row r="623" spans="3:19">
      <c r="D623" s="441">
        <v>10000</v>
      </c>
      <c r="E623" s="124" t="s">
        <v>626</v>
      </c>
      <c r="G623"/>
    </row>
    <row r="624" spans="3:19">
      <c r="D624" s="367"/>
      <c r="E624" s="124"/>
      <c r="G624"/>
    </row>
    <row r="625" spans="3:13">
      <c r="D625" s="25"/>
      <c r="G625"/>
    </row>
    <row r="626" spans="3:13">
      <c r="D626" s="74">
        <f>SUM(D622:D623)</f>
        <v>10000</v>
      </c>
      <c r="E626" s="39" t="s">
        <v>43</v>
      </c>
      <c r="G626"/>
    </row>
    <row r="627" spans="3:13">
      <c r="D627" s="344">
        <v>10</v>
      </c>
      <c r="E627" s="124" t="s">
        <v>263</v>
      </c>
      <c r="G627"/>
    </row>
    <row r="628" spans="3:13">
      <c r="G628"/>
    </row>
    <row r="629" spans="3:13">
      <c r="D629" s="91"/>
      <c r="E629" s="76"/>
      <c r="G629"/>
    </row>
    <row r="630" spans="3:13" ht="19">
      <c r="C630" t="s">
        <v>50</v>
      </c>
      <c r="D630" s="37" t="s">
        <v>325</v>
      </c>
      <c r="E630" s="24"/>
      <c r="F630" s="1"/>
      <c r="G630" s="3"/>
      <c r="H630" s="3"/>
      <c r="I630" s="3"/>
      <c r="J630" s="3"/>
    </row>
    <row r="631" spans="3:13">
      <c r="F631" s="1"/>
      <c r="G631" s="3"/>
      <c r="H631" s="3"/>
      <c r="I631" s="364"/>
      <c r="J631" s="3"/>
    </row>
    <row r="632" spans="3:13" ht="17">
      <c r="D632" s="49"/>
      <c r="G632"/>
      <c r="I632" s="365"/>
      <c r="L632" s="562"/>
      <c r="M632" s="562" t="s">
        <v>689</v>
      </c>
    </row>
    <row r="633" spans="3:13">
      <c r="D633" s="160" t="s">
        <v>240</v>
      </c>
      <c r="G633"/>
      <c r="L633" s="563" t="s">
        <v>684</v>
      </c>
      <c r="M633" s="563" t="s">
        <v>684</v>
      </c>
    </row>
    <row r="634" spans="3:13">
      <c r="D634" s="50"/>
      <c r="G634"/>
      <c r="L634" s="563" t="s">
        <v>685</v>
      </c>
      <c r="M634" s="563" t="s">
        <v>685</v>
      </c>
    </row>
    <row r="635" spans="3:13">
      <c r="D635" s="51" t="s">
        <v>82</v>
      </c>
      <c r="E635" s="39"/>
      <c r="G635"/>
      <c r="I635" s="366"/>
      <c r="L635" s="563" t="s">
        <v>686</v>
      </c>
      <c r="M635" s="563" t="s">
        <v>690</v>
      </c>
    </row>
    <row r="636" spans="3:13" ht="19">
      <c r="D636" s="54">
        <f>'Overall Assumptions'!$C$68</f>
        <v>225</v>
      </c>
      <c r="E636" s="1215" t="s">
        <v>99</v>
      </c>
      <c r="G636"/>
      <c r="I636" s="366"/>
      <c r="L636" s="563" t="s">
        <v>687</v>
      </c>
      <c r="M636" s="563" t="s">
        <v>687</v>
      </c>
    </row>
    <row r="637" spans="3:13">
      <c r="D637" s="54">
        <f>'Overall Assumptions'!$C$130</f>
        <v>2</v>
      </c>
      <c r="E637" s="76" t="s">
        <v>84</v>
      </c>
      <c r="G637"/>
      <c r="I637" s="366"/>
      <c r="L637" s="563" t="s">
        <v>688</v>
      </c>
      <c r="M637" s="563" t="s">
        <v>688</v>
      </c>
    </row>
    <row r="638" spans="3:13">
      <c r="D638" s="537"/>
      <c r="E638" s="461"/>
      <c r="G638"/>
      <c r="I638" s="366"/>
      <c r="M638" s="564" t="s">
        <v>661</v>
      </c>
    </row>
    <row r="639" spans="3:13">
      <c r="D639" s="54"/>
      <c r="E639" s="43"/>
      <c r="G639"/>
      <c r="K639" s="79"/>
      <c r="L639" s="79"/>
      <c r="M639" s="564" t="s">
        <v>662</v>
      </c>
    </row>
    <row r="640" spans="3:13">
      <c r="D640" s="1311"/>
      <c r="E640" s="96"/>
      <c r="G640"/>
      <c r="K640" s="79"/>
      <c r="L640" s="79"/>
      <c r="M640" s="565" t="s">
        <v>691</v>
      </c>
    </row>
    <row r="641" spans="3:14">
      <c r="D641" s="467">
        <f>D555</f>
        <v>200</v>
      </c>
      <c r="E641" s="96" t="s">
        <v>1126</v>
      </c>
      <c r="G641"/>
      <c r="K641" s="79"/>
      <c r="L641" s="79"/>
    </row>
    <row r="642" spans="3:14">
      <c r="D642" s="54">
        <f>'Overall Assumptions'!$C$10</f>
        <v>0</v>
      </c>
      <c r="E642" s="43" t="s">
        <v>85</v>
      </c>
      <c r="G642"/>
      <c r="K642" s="79"/>
      <c r="L642" s="9"/>
      <c r="N642" s="9"/>
    </row>
    <row r="643" spans="3:14">
      <c r="D643" s="54"/>
      <c r="E643" s="528"/>
      <c r="G643"/>
      <c r="K643" s="79"/>
      <c r="L643" s="569"/>
      <c r="N643" t="s">
        <v>664</v>
      </c>
    </row>
    <row r="644" spans="3:14">
      <c r="D644" s="54">
        <f>D615</f>
        <v>600</v>
      </c>
      <c r="E644" s="528" t="s">
        <v>620</v>
      </c>
      <c r="G644"/>
      <c r="K644" s="79"/>
      <c r="L644" s="569"/>
      <c r="N644" t="s">
        <v>435</v>
      </c>
    </row>
    <row r="645" spans="3:14">
      <c r="D645" s="54">
        <f>E615</f>
        <v>866.66666666666652</v>
      </c>
      <c r="E645" s="528" t="s">
        <v>621</v>
      </c>
      <c r="G645"/>
      <c r="K645" s="79"/>
      <c r="L645" s="9"/>
      <c r="N645" t="s">
        <v>669</v>
      </c>
    </row>
    <row r="646" spans="3:14">
      <c r="D646" s="54">
        <f>F615</f>
        <v>449.99999999999989</v>
      </c>
      <c r="E646" s="528" t="s">
        <v>622</v>
      </c>
      <c r="G646"/>
      <c r="K646" s="79"/>
      <c r="L646" s="9"/>
      <c r="N646" t="s">
        <v>668</v>
      </c>
    </row>
    <row r="647" spans="3:14">
      <c r="D647" s="54"/>
      <c r="E647" s="528"/>
      <c r="G647"/>
      <c r="K647" s="79"/>
      <c r="L647" s="247"/>
      <c r="N647" t="s">
        <v>673</v>
      </c>
    </row>
    <row r="648" spans="3:14">
      <c r="D648" s="54">
        <f>'Overall Assumptions'!$C$90</f>
        <v>80</v>
      </c>
      <c r="E648" s="43" t="s">
        <v>86</v>
      </c>
      <c r="G648"/>
      <c r="K648" s="79"/>
      <c r="L648" s="9"/>
    </row>
    <row r="649" spans="3:14">
      <c r="D649" s="56">
        <f>'Overall Assumptions'!$C$81</f>
        <v>210</v>
      </c>
      <c r="E649" s="45" t="s">
        <v>87</v>
      </c>
      <c r="G649"/>
      <c r="J649" s="127"/>
      <c r="K649" s="79"/>
      <c r="L649" s="256"/>
    </row>
    <row r="650" spans="3:14">
      <c r="D650" s="57"/>
      <c r="G650"/>
      <c r="J650" s="79"/>
      <c r="K650" s="79"/>
      <c r="L650" s="533"/>
      <c r="N650" t="s">
        <v>666</v>
      </c>
    </row>
    <row r="651" spans="3:14">
      <c r="D651" s="57"/>
      <c r="G651"/>
      <c r="J651" s="79"/>
      <c r="K651" s="79"/>
      <c r="L651" s="533"/>
    </row>
    <row r="652" spans="3:14">
      <c r="D652" s="57" t="s">
        <v>1127</v>
      </c>
      <c r="E652" s="16" t="s">
        <v>25</v>
      </c>
      <c r="F652" t="s">
        <v>680</v>
      </c>
      <c r="G652"/>
      <c r="J652" s="79"/>
      <c r="K652" s="79"/>
      <c r="L652" s="533"/>
    </row>
    <row r="653" spans="3:14">
      <c r="D653" s="57"/>
      <c r="G653"/>
      <c r="J653" s="79"/>
      <c r="K653" s="79"/>
      <c r="L653" s="533"/>
    </row>
    <row r="654" spans="3:14">
      <c r="D654" s="57"/>
      <c r="G654"/>
      <c r="J654" s="79"/>
      <c r="K654" s="79"/>
      <c r="L654" s="533"/>
    </row>
    <row r="655" spans="3:14">
      <c r="C655" s="21"/>
      <c r="D655" s="58">
        <f>2*D642/D648/7.5</f>
        <v>0</v>
      </c>
      <c r="E655" s="59" t="s">
        <v>95</v>
      </c>
      <c r="G655"/>
      <c r="J655" s="128"/>
      <c r="K655" s="79"/>
      <c r="L655" s="533"/>
      <c r="N655" t="s">
        <v>670</v>
      </c>
    </row>
    <row r="656" spans="3:14">
      <c r="C656" s="21"/>
      <c r="D656" s="58"/>
      <c r="E656" s="60" t="s">
        <v>100</v>
      </c>
      <c r="G656"/>
      <c r="J656" s="79"/>
      <c r="K656" s="79"/>
      <c r="L656" s="247"/>
      <c r="N656" t="s">
        <v>667</v>
      </c>
    </row>
    <row r="657" spans="3:14">
      <c r="C657" s="21"/>
      <c r="D657" s="58">
        <f>D641/D648/7.5</f>
        <v>0.33333333333333331</v>
      </c>
      <c r="E657" s="59" t="s">
        <v>1129</v>
      </c>
      <c r="G657"/>
      <c r="J657" s="128"/>
      <c r="K657" s="79"/>
      <c r="L657" s="569"/>
      <c r="N657" t="s">
        <v>671</v>
      </c>
    </row>
    <row r="658" spans="3:14" ht="18" customHeight="1">
      <c r="C658" s="21"/>
      <c r="D658" s="58"/>
      <c r="E658" s="59"/>
      <c r="F658" s="19"/>
      <c r="G658"/>
      <c r="J658" s="79"/>
      <c r="K658" s="79"/>
      <c r="L658" s="570"/>
      <c r="N658" t="s">
        <v>674</v>
      </c>
    </row>
    <row r="659" spans="3:14" ht="18" customHeight="1">
      <c r="C659" s="21"/>
      <c r="D659" s="155">
        <f>(D644+D645+D646)</f>
        <v>1916.6666666666665</v>
      </c>
      <c r="E659" s="59" t="s">
        <v>588</v>
      </c>
      <c r="F659" s="19"/>
      <c r="G659"/>
      <c r="J659" s="79"/>
      <c r="K659" s="79"/>
      <c r="L659" s="79"/>
    </row>
    <row r="660" spans="3:14" ht="18" customHeight="1">
      <c r="C660" s="21"/>
      <c r="D660" s="58"/>
      <c r="E660" s="59"/>
      <c r="F660" s="19"/>
      <c r="G660"/>
      <c r="J660" s="79"/>
      <c r="K660" s="79"/>
      <c r="L660" s="79"/>
    </row>
    <row r="661" spans="3:14" ht="18" customHeight="1">
      <c r="C661" s="21"/>
      <c r="D661" s="77">
        <f>SUM(D655:D659)</f>
        <v>1916.9999999999998</v>
      </c>
      <c r="E661" s="16" t="s">
        <v>157</v>
      </c>
      <c r="F661" s="19"/>
      <c r="G661"/>
      <c r="J661" s="79"/>
      <c r="K661" s="79"/>
      <c r="L661" s="79"/>
      <c r="N661" t="s">
        <v>665</v>
      </c>
    </row>
    <row r="662" spans="3:14">
      <c r="C662" s="21"/>
      <c r="E662" s="16" t="s">
        <v>88</v>
      </c>
      <c r="G662"/>
      <c r="J662" s="79"/>
      <c r="K662" s="79"/>
      <c r="L662" s="79"/>
      <c r="N662" t="s">
        <v>670</v>
      </c>
    </row>
    <row r="663" spans="3:14">
      <c r="C663" s="21"/>
      <c r="D663" s="77">
        <f>D661*D637</f>
        <v>3833.9999999999995</v>
      </c>
      <c r="E663" s="16" t="s">
        <v>787</v>
      </c>
      <c r="G663"/>
      <c r="J663" s="128"/>
      <c r="K663" s="79"/>
      <c r="L663" s="79"/>
      <c r="N663" t="s">
        <v>667</v>
      </c>
    </row>
    <row r="664" spans="3:14">
      <c r="C664" s="21"/>
      <c r="D664" s="77"/>
      <c r="G664"/>
      <c r="J664" s="128"/>
      <c r="K664" s="79"/>
      <c r="L664" s="79"/>
      <c r="N664" t="s">
        <v>671</v>
      </c>
    </row>
    <row r="665" spans="3:14">
      <c r="C665" s="21"/>
      <c r="D665" s="64">
        <f>D663*D636</f>
        <v>862649.99999999988</v>
      </c>
      <c r="E665" s="47" t="s">
        <v>329</v>
      </c>
      <c r="G665"/>
      <c r="J665" s="129"/>
      <c r="K665" s="76"/>
      <c r="L665" s="79"/>
      <c r="N665" t="s">
        <v>674</v>
      </c>
    </row>
    <row r="666" spans="3:14">
      <c r="C666" s="21"/>
      <c r="D666" s="63"/>
      <c r="G666"/>
      <c r="J666" s="129"/>
      <c r="K666" s="76"/>
      <c r="L666" s="79"/>
    </row>
    <row r="667" spans="3:14">
      <c r="D667" s="258"/>
      <c r="G667"/>
      <c r="J667" s="79"/>
      <c r="K667" s="79"/>
      <c r="L667" s="79"/>
    </row>
    <row r="668" spans="3:14">
      <c r="G668"/>
      <c r="H668" s="259"/>
      <c r="J668" s="65"/>
      <c r="K668" s="66"/>
      <c r="L668" s="79"/>
    </row>
    <row r="669" spans="3:14">
      <c r="D669" s="65"/>
      <c r="E669" s="66"/>
      <c r="G669"/>
      <c r="J669" s="65"/>
      <c r="K669" s="66"/>
      <c r="L669" s="79"/>
    </row>
    <row r="670" spans="3:14">
      <c r="E670" s="66"/>
      <c r="G670"/>
      <c r="J670" s="79"/>
      <c r="K670" s="259">
        <f>D577</f>
        <v>0.39800000000000002</v>
      </c>
      <c r="L670" t="s">
        <v>681</v>
      </c>
    </row>
    <row r="671" spans="3:14" ht="19">
      <c r="C671" s="2" t="s">
        <v>132</v>
      </c>
      <c r="D671" s="37" t="s">
        <v>89</v>
      </c>
      <c r="G671"/>
      <c r="J671" s="79"/>
      <c r="K671" s="259">
        <f>AVERAGE(D577,D584)</f>
        <v>0.24875000000000003</v>
      </c>
      <c r="L671" t="s">
        <v>682</v>
      </c>
    </row>
    <row r="672" spans="3:14">
      <c r="C672" t="s">
        <v>54</v>
      </c>
      <c r="G672"/>
      <c r="J672" s="79"/>
      <c r="K672" s="259">
        <f>D584</f>
        <v>9.9500000000000005E-2</v>
      </c>
      <c r="L672" t="s">
        <v>683</v>
      </c>
    </row>
    <row r="673" spans="4:12">
      <c r="D673" s="160" t="s">
        <v>243</v>
      </c>
      <c r="G673"/>
      <c r="J673" s="79"/>
      <c r="K673" s="79"/>
      <c r="L673" s="79"/>
    </row>
    <row r="674" spans="4:12">
      <c r="D674" s="16"/>
      <c r="G674"/>
      <c r="J674" s="79"/>
      <c r="K674" s="79"/>
      <c r="L674" s="79"/>
    </row>
    <row r="675" spans="4:12">
      <c r="D675" s="67" t="s">
        <v>91</v>
      </c>
      <c r="E675" s="41"/>
      <c r="G675"/>
      <c r="J675" s="79"/>
      <c r="K675" s="79"/>
      <c r="L675" s="79"/>
    </row>
    <row r="676" spans="4:12">
      <c r="D676" s="52">
        <f>'Overall Assumptions'!$C$93</f>
        <v>285</v>
      </c>
      <c r="E676" s="41" t="s">
        <v>93</v>
      </c>
      <c r="G676"/>
      <c r="J676" s="79"/>
      <c r="K676" s="79"/>
      <c r="L676" s="79"/>
    </row>
    <row r="677" spans="4:12">
      <c r="D677" s="54">
        <f>'Overall Assumptions'!$C$10</f>
        <v>0</v>
      </c>
      <c r="E677" s="43" t="s">
        <v>85</v>
      </c>
      <c r="G677"/>
      <c r="J677" s="79"/>
      <c r="K677" s="79"/>
      <c r="L677" s="79"/>
    </row>
    <row r="678" spans="4:12">
      <c r="D678" s="54">
        <f>'Overall Assumptions'!$C$90</f>
        <v>80</v>
      </c>
      <c r="E678" s="43" t="s">
        <v>86</v>
      </c>
      <c r="G678"/>
      <c r="J678" s="79"/>
      <c r="K678" s="79"/>
      <c r="L678" s="79"/>
    </row>
    <row r="679" spans="4:12">
      <c r="D679" s="55"/>
      <c r="E679" s="43"/>
      <c r="G679"/>
      <c r="J679" s="79"/>
      <c r="K679" s="79"/>
      <c r="L679" s="79"/>
    </row>
    <row r="680" spans="4:12">
      <c r="D680" s="56"/>
      <c r="E680" s="45"/>
      <c r="G680"/>
      <c r="J680" s="127"/>
      <c r="K680" s="79"/>
      <c r="L680" s="79"/>
    </row>
    <row r="681" spans="4:12">
      <c r="D681" s="75"/>
      <c r="E681" s="76"/>
      <c r="G681"/>
      <c r="J681" s="79"/>
      <c r="K681" s="79"/>
      <c r="L681" s="79"/>
    </row>
    <row r="682" spans="4:12">
      <c r="D682" s="46">
        <f>2*D677/D678/7.5</f>
        <v>0</v>
      </c>
      <c r="E682" s="59" t="s">
        <v>97</v>
      </c>
      <c r="G682"/>
      <c r="J682" s="132"/>
      <c r="K682" s="133"/>
      <c r="L682" s="79"/>
    </row>
    <row r="683" spans="4:12">
      <c r="D683" s="46">
        <f>D657</f>
        <v>0.33333333333333331</v>
      </c>
      <c r="E683" s="59" t="s">
        <v>589</v>
      </c>
      <c r="G683"/>
      <c r="J683" s="79"/>
      <c r="K683" s="133"/>
      <c r="L683" s="79"/>
    </row>
    <row r="684" spans="4:12">
      <c r="D684" s="46">
        <f>D659</f>
        <v>1916.6666666666665</v>
      </c>
      <c r="E684" s="59" t="s">
        <v>623</v>
      </c>
      <c r="G684"/>
      <c r="J684" s="79"/>
      <c r="K684" s="133"/>
      <c r="L684" s="79"/>
    </row>
    <row r="685" spans="4:12">
      <c r="D685" s="46">
        <f>SUM(D682:D684)</f>
        <v>1916.9999999999998</v>
      </c>
      <c r="E685" s="59" t="s">
        <v>135</v>
      </c>
      <c r="G685"/>
      <c r="J685" s="128"/>
      <c r="K685" s="79"/>
      <c r="L685" s="79"/>
    </row>
    <row r="686" spans="4:12">
      <c r="D686" s="63"/>
      <c r="G686"/>
      <c r="J686" s="129"/>
      <c r="K686" s="76"/>
      <c r="L686" s="79"/>
    </row>
    <row r="687" spans="4:12">
      <c r="D687" s="63"/>
      <c r="G687"/>
      <c r="J687" s="129"/>
      <c r="K687" s="76"/>
      <c r="L687" s="79"/>
    </row>
    <row r="688" spans="4:12">
      <c r="D688" s="68">
        <f>D685*D676</f>
        <v>546344.99999999988</v>
      </c>
      <c r="E688" s="47" t="s">
        <v>53</v>
      </c>
      <c r="G688"/>
      <c r="J688" s="65"/>
      <c r="K688" s="66"/>
      <c r="L688" s="79"/>
    </row>
    <row r="689" spans="3:15">
      <c r="D689" s="92"/>
      <c r="E689" s="66"/>
      <c r="G689"/>
      <c r="J689" s="65"/>
      <c r="K689" s="66"/>
      <c r="L689" s="79"/>
    </row>
    <row r="690" spans="3:15">
      <c r="D690" s="46">
        <f>D685</f>
        <v>1916.9999999999998</v>
      </c>
      <c r="E690" s="359" t="s">
        <v>795</v>
      </c>
      <c r="G690"/>
      <c r="J690" s="65"/>
      <c r="K690" s="66"/>
      <c r="L690" s="79"/>
    </row>
    <row r="691" spans="3:15">
      <c r="D691" s="75">
        <f>ROUNDUP((D690/21),0)</f>
        <v>92</v>
      </c>
      <c r="E691" s="99" t="s">
        <v>739</v>
      </c>
      <c r="G691"/>
      <c r="J691" s="65"/>
      <c r="K691" s="66"/>
      <c r="L691" s="79"/>
    </row>
    <row r="692" spans="3:15">
      <c r="D692" s="92"/>
      <c r="E692" s="66"/>
      <c r="G692"/>
      <c r="J692" s="65"/>
      <c r="K692" s="66"/>
      <c r="L692" s="79"/>
    </row>
    <row r="693" spans="3:15">
      <c r="C693" t="s">
        <v>70</v>
      </c>
      <c r="D693" s="58"/>
      <c r="E693" s="59" t="s">
        <v>156</v>
      </c>
      <c r="G693"/>
      <c r="J693" s="65"/>
      <c r="K693" s="66"/>
      <c r="L693" s="79"/>
    </row>
    <row r="694" spans="3:15">
      <c r="D694" s="58"/>
      <c r="E694" s="59"/>
      <c r="G694"/>
      <c r="J694" s="65"/>
      <c r="K694" s="66"/>
      <c r="L694" s="79"/>
    </row>
    <row r="695" spans="3:15">
      <c r="D695" s="58"/>
      <c r="E695" s="59"/>
      <c r="G695"/>
      <c r="J695" s="65"/>
      <c r="K695" s="66"/>
      <c r="L695" s="79"/>
    </row>
    <row r="696" spans="3:15">
      <c r="D696" s="25">
        <f>D661</f>
        <v>1916.9999999999998</v>
      </c>
      <c r="E696" s="16" t="s">
        <v>157</v>
      </c>
      <c r="G696"/>
      <c r="J696" s="65"/>
      <c r="K696" s="66"/>
      <c r="L696" s="79"/>
    </row>
    <row r="697" spans="3:15">
      <c r="D697" s="61">
        <f>FLOOR(D696,1)</f>
        <v>1917</v>
      </c>
      <c r="E697" s="16" t="s">
        <v>73</v>
      </c>
      <c r="G697"/>
      <c r="J697" s="65"/>
      <c r="K697" s="66"/>
      <c r="L697" s="79"/>
    </row>
    <row r="698" spans="3:15">
      <c r="D698" s="146">
        <f>D697*D637</f>
        <v>3834</v>
      </c>
      <c r="E698" s="66" t="s">
        <v>175</v>
      </c>
      <c r="G698"/>
      <c r="J698" s="65"/>
      <c r="K698" s="66"/>
      <c r="L698" s="79"/>
    </row>
    <row r="699" spans="3:15">
      <c r="D699" s="65"/>
      <c r="E699" s="66" t="s">
        <v>88</v>
      </c>
      <c r="G699"/>
      <c r="J699" s="65"/>
      <c r="K699" s="66"/>
      <c r="L699" s="79"/>
    </row>
    <row r="700" spans="3:15">
      <c r="D700" s="102">
        <f>D698*D649</f>
        <v>805140</v>
      </c>
      <c r="E700" s="39" t="s">
        <v>74</v>
      </c>
      <c r="G700"/>
      <c r="J700" s="129"/>
      <c r="K700" s="276"/>
      <c r="L700" s="276"/>
      <c r="M700" s="276"/>
      <c r="N700" s="276"/>
      <c r="O700" s="79"/>
    </row>
    <row r="701" spans="3:15">
      <c r="D701" s="275"/>
      <c r="E701" s="76"/>
      <c r="G701"/>
      <c r="J701" s="129"/>
      <c r="K701" s="276"/>
      <c r="L701" s="276"/>
      <c r="M701" s="276"/>
      <c r="N701" s="276"/>
      <c r="O701" s="79"/>
    </row>
    <row r="702" spans="3:15">
      <c r="C702" t="s">
        <v>4</v>
      </c>
      <c r="D702" s="1322">
        <f>SUM(D616:F616)</f>
        <v>164549.99999999994</v>
      </c>
      <c r="E702" s="124" t="s">
        <v>1130</v>
      </c>
      <c r="G702"/>
      <c r="J702" s="129"/>
      <c r="K702" s="276"/>
      <c r="L702" s="276"/>
      <c r="M702" s="276"/>
      <c r="N702" s="276"/>
      <c r="O702" s="79"/>
    </row>
    <row r="703" spans="3:15">
      <c r="D703" s="275"/>
      <c r="E703" s="76"/>
      <c r="G703"/>
      <c r="J703" s="129"/>
      <c r="K703" s="276"/>
      <c r="L703" s="276"/>
      <c r="M703" s="276"/>
      <c r="N703" s="276"/>
      <c r="O703" s="79"/>
    </row>
    <row r="704" spans="3:15">
      <c r="D704" s="275"/>
      <c r="E704" s="76"/>
      <c r="G704"/>
      <c r="J704" s="129"/>
      <c r="K704" s="276"/>
      <c r="L704" s="276"/>
      <c r="M704" s="276"/>
      <c r="N704" s="276"/>
      <c r="O704" s="79"/>
    </row>
    <row r="705" spans="3:19">
      <c r="D705" s="65"/>
      <c r="E705" s="66"/>
      <c r="G705"/>
      <c r="J705" s="65"/>
      <c r="K705" s="122"/>
      <c r="L705" s="406"/>
      <c r="M705" s="119"/>
      <c r="N705" s="119"/>
      <c r="O705" s="79"/>
    </row>
    <row r="706" spans="3:19" s="9" customFormat="1">
      <c r="C706" s="121"/>
      <c r="D706" s="143" t="s">
        <v>172</v>
      </c>
      <c r="E706" s="144" t="s">
        <v>155</v>
      </c>
      <c r="F706" s="144" t="s">
        <v>166</v>
      </c>
      <c r="G706" s="145" t="s">
        <v>69</v>
      </c>
      <c r="I706" s="122"/>
      <c r="J706" s="406"/>
      <c r="K706" s="119"/>
      <c r="L706" s="119"/>
      <c r="M706" s="122"/>
      <c r="Q706" s="2797"/>
      <c r="R706" s="2797"/>
      <c r="S706" s="2797"/>
    </row>
    <row r="707" spans="3:19" s="9" customFormat="1">
      <c r="C707" s="121"/>
      <c r="D707" s="135" t="s">
        <v>3</v>
      </c>
      <c r="E707" s="136">
        <f>D663</f>
        <v>3833.9999999999995</v>
      </c>
      <c r="F707" s="119">
        <f>D665</f>
        <v>862649.99999999988</v>
      </c>
      <c r="G707" s="119" t="str">
        <f>E665</f>
        <v>Cost for person hours</v>
      </c>
      <c r="H707" s="557">
        <f>D557</f>
        <v>1</v>
      </c>
      <c r="I707" s="122"/>
      <c r="J707" s="406"/>
      <c r="K707" s="119"/>
      <c r="L707" s="119"/>
      <c r="M707" s="122"/>
      <c r="Q707" s="2797"/>
      <c r="R707" s="2797"/>
      <c r="S707" s="2797"/>
    </row>
    <row r="708" spans="3:19" s="9" customFormat="1">
      <c r="C708" s="121"/>
      <c r="D708" s="135" t="s">
        <v>132</v>
      </c>
      <c r="E708" s="136">
        <f>D685</f>
        <v>1916.9999999999998</v>
      </c>
      <c r="F708" s="119">
        <f>D688</f>
        <v>546344.99999999988</v>
      </c>
      <c r="G708" s="119" t="str">
        <f>E688</f>
        <v>Cost for ute hire for the whole activity</v>
      </c>
      <c r="H708" s="557">
        <f>H707</f>
        <v>1</v>
      </c>
      <c r="I708" s="122"/>
      <c r="J708" s="136"/>
      <c r="K708" s="119"/>
      <c r="L708" s="119"/>
      <c r="M708" s="122"/>
      <c r="Q708" s="2797"/>
      <c r="R708" s="2797"/>
      <c r="S708" s="2797"/>
    </row>
    <row r="709" spans="3:19" s="9" customFormat="1">
      <c r="C709" s="121"/>
      <c r="D709" s="135" t="s">
        <v>169</v>
      </c>
      <c r="E709" s="136">
        <f>D698</f>
        <v>3834</v>
      </c>
      <c r="F709" s="119">
        <f>SUM(D700,D702)</f>
        <v>969690</v>
      </c>
      <c r="G709" s="119" t="str">
        <f>E700</f>
        <v>Accomodation + Food Cost</v>
      </c>
      <c r="H709" s="557">
        <f>H708</f>
        <v>1</v>
      </c>
      <c r="I709" s="122"/>
      <c r="J709" s="136"/>
      <c r="K709" s="119"/>
      <c r="L709" s="119"/>
      <c r="M709" s="122"/>
      <c r="Q709" s="2797"/>
      <c r="R709" s="2797"/>
      <c r="S709" s="2797"/>
    </row>
    <row r="710" spans="3:19" s="9" customFormat="1">
      <c r="D710" s="135" t="s">
        <v>21</v>
      </c>
      <c r="E710" s="136"/>
      <c r="F710" s="119">
        <f>D626</f>
        <v>10000</v>
      </c>
      <c r="G710" s="119" t="str">
        <f>E626</f>
        <v>Total equipment cost</v>
      </c>
      <c r="H710" s="557">
        <f>D627</f>
        <v>10</v>
      </c>
      <c r="I710" s="122"/>
      <c r="J710" s="147"/>
      <c r="K710" s="119"/>
      <c r="L710" s="119"/>
      <c r="M710" s="122"/>
      <c r="Q710" s="2797"/>
      <c r="R710" s="2797"/>
      <c r="S710" s="2797"/>
    </row>
    <row r="711" spans="3:19" s="9" customFormat="1">
      <c r="D711" s="137"/>
      <c r="E711" s="138"/>
      <c r="F711" s="139">
        <f>SUM(F707:F710)</f>
        <v>2388685</v>
      </c>
      <c r="G711" s="140" t="s">
        <v>165</v>
      </c>
      <c r="I711" s="122"/>
      <c r="J711" s="122"/>
      <c r="K711" s="122"/>
      <c r="L711" s="122"/>
      <c r="M711" s="122"/>
      <c r="Q711" s="2797"/>
      <c r="R711" s="2797"/>
      <c r="S711" s="2797"/>
    </row>
    <row r="712" spans="3:19" s="9" customFormat="1">
      <c r="C712" s="121"/>
      <c r="Q712" s="2797"/>
      <c r="R712" s="2797"/>
      <c r="S712" s="2797"/>
    </row>
    <row r="713" spans="3:19" s="9" customFormat="1" ht="17" customHeight="1">
      <c r="D713" s="105"/>
      <c r="E713" s="34"/>
      <c r="Q713" s="2797"/>
      <c r="R713" s="2797"/>
      <c r="S713" s="2797"/>
    </row>
    <row r="714" spans="3:19" s="656" customFormat="1">
      <c r="D714" s="1547"/>
      <c r="E714" s="1548"/>
      <c r="J714" s="1549"/>
      <c r="K714" s="1549"/>
      <c r="L714" s="1549"/>
      <c r="Q714" s="2800"/>
      <c r="R714" s="2800"/>
      <c r="S714" s="2800"/>
    </row>
    <row r="715" spans="3:19" s="9" customFormat="1">
      <c r="C715" s="120" t="s">
        <v>1255</v>
      </c>
      <c r="E715" s="34"/>
      <c r="Q715" s="2797"/>
      <c r="R715" s="2797"/>
      <c r="S715" s="2797"/>
    </row>
    <row r="716" spans="3:19" s="9" customFormat="1">
      <c r="C716" s="9" t="s">
        <v>1239</v>
      </c>
      <c r="E716" s="34"/>
      <c r="Q716" s="2797"/>
      <c r="R716" s="2797"/>
      <c r="S716" s="2797"/>
    </row>
    <row r="717" spans="3:19" s="9" customFormat="1">
      <c r="C717" s="541" t="s">
        <v>644</v>
      </c>
      <c r="F717" s="34"/>
      <c r="Q717" s="2797"/>
      <c r="R717" s="2797"/>
      <c r="S717" s="2797"/>
    </row>
    <row r="718" spans="3:19" s="9" customFormat="1">
      <c r="C718" s="9" t="s">
        <v>643</v>
      </c>
      <c r="Q718" s="2797"/>
      <c r="R718" s="2797"/>
      <c r="S718" s="2797"/>
    </row>
    <row r="719" spans="3:19" s="9" customFormat="1">
      <c r="C719" s="9" t="s">
        <v>1257</v>
      </c>
      <c r="Q719" s="2797"/>
      <c r="R719" s="2797"/>
      <c r="S719" s="2797"/>
    </row>
    <row r="720" spans="3:19" s="9" customFormat="1">
      <c r="Q720" s="2797"/>
      <c r="R720" s="2797"/>
      <c r="S720" s="2797"/>
    </row>
    <row r="721" spans="3:19" s="9" customFormat="1">
      <c r="F721" s="98"/>
      <c r="G721" s="124"/>
      <c r="H721" s="122"/>
      <c r="Q721" s="2797"/>
      <c r="R721" s="2797"/>
      <c r="S721" s="2797"/>
    </row>
    <row r="722" spans="3:19" s="9" customFormat="1">
      <c r="C722"/>
      <c r="D722" s="94" t="s">
        <v>91</v>
      </c>
      <c r="E722" s="95"/>
      <c r="G722" s="122"/>
      <c r="H722" s="122"/>
      <c r="I722"/>
      <c r="Q722" s="2797"/>
      <c r="R722" s="2797"/>
      <c r="S722" s="2797"/>
    </row>
    <row r="723" spans="3:19" s="9" customFormat="1">
      <c r="C723"/>
      <c r="D723" s="98"/>
      <c r="E723" s="96"/>
      <c r="F723" s="1540"/>
      <c r="G723" s="124"/>
      <c r="H723" s="122"/>
      <c r="I723"/>
      <c r="Q723" s="2797"/>
      <c r="R723" s="2797"/>
      <c r="S723" s="2797"/>
    </row>
    <row r="724" spans="3:19" s="9" customFormat="1">
      <c r="C724"/>
      <c r="D724" s="98">
        <f>'Overall Assumptions'!$C$8</f>
        <v>100</v>
      </c>
      <c r="E724" s="96" t="s">
        <v>1241</v>
      </c>
      <c r="F724" s="1540"/>
      <c r="G724" s="124"/>
      <c r="H724" s="122"/>
      <c r="I724"/>
      <c r="Q724" s="2797"/>
      <c r="R724" s="2797"/>
      <c r="S724" s="2797"/>
    </row>
    <row r="725" spans="3:19" s="9" customFormat="1">
      <c r="C725"/>
      <c r="D725" s="1536">
        <v>0.1</v>
      </c>
      <c r="E725" s="109" t="s">
        <v>1242</v>
      </c>
      <c r="H725"/>
      <c r="I725"/>
      <c r="Q725" s="2797"/>
      <c r="R725" s="2797"/>
      <c r="S725" s="2797"/>
    </row>
    <row r="726" spans="3:19" s="9" customFormat="1">
      <c r="C726"/>
      <c r="D726" s="1538">
        <f>D724*D725*2</f>
        <v>20</v>
      </c>
      <c r="E726" s="485" t="s">
        <v>1243</v>
      </c>
      <c r="G726"/>
      <c r="H726"/>
      <c r="I726"/>
      <c r="Q726" s="2797"/>
      <c r="R726" s="2797"/>
      <c r="S726" s="2797"/>
    </row>
    <row r="727" spans="3:19" s="9" customFormat="1">
      <c r="C727"/>
      <c r="D727" s="535">
        <v>10</v>
      </c>
      <c r="E727" s="96" t="s">
        <v>611</v>
      </c>
      <c r="F727" s="1537"/>
      <c r="G727" s="124"/>
      <c r="H727" s="122"/>
      <c r="I727"/>
      <c r="Q727" s="2797"/>
      <c r="R727" s="2797"/>
      <c r="S727" s="2797"/>
    </row>
    <row r="728" spans="3:19" s="9" customFormat="1">
      <c r="C728"/>
      <c r="D728" s="1302">
        <f>1000000/D727</f>
        <v>100000</v>
      </c>
      <c r="E728" s="253" t="s">
        <v>610</v>
      </c>
      <c r="G728" s="122"/>
      <c r="H728" s="79"/>
      <c r="I728"/>
      <c r="Q728" s="2797"/>
      <c r="R728" s="2797"/>
      <c r="S728" s="2797"/>
    </row>
    <row r="729" spans="3:19" s="9" customFormat="1">
      <c r="C729"/>
      <c r="D729" s="1310">
        <f>SQRT(D727/1000000)</f>
        <v>3.1622776601683794E-3</v>
      </c>
      <c r="E729" s="96" t="s">
        <v>1123</v>
      </c>
      <c r="H729"/>
      <c r="I729"/>
      <c r="Q729" s="2797"/>
      <c r="R729" s="2797"/>
      <c r="S729" s="2797"/>
    </row>
    <row r="730" spans="3:19" s="9" customFormat="1">
      <c r="C730"/>
      <c r="D730" s="1308">
        <f>D724*2</f>
        <v>200</v>
      </c>
      <c r="E730" s="109" t="s">
        <v>1244</v>
      </c>
      <c r="H730"/>
      <c r="I730"/>
      <c r="Q730" s="2797"/>
      <c r="R730" s="2797"/>
      <c r="S730" s="2797"/>
    </row>
    <row r="731" spans="3:19" s="9" customFormat="1">
      <c r="C731"/>
      <c r="D731" s="1302"/>
      <c r="E731" s="253"/>
      <c r="G731"/>
      <c r="H731"/>
      <c r="I731"/>
      <c r="Q731" s="2797"/>
      <c r="R731" s="2797"/>
      <c r="S731" s="2797"/>
    </row>
    <row r="732" spans="3:19" s="9" customFormat="1">
      <c r="C732"/>
      <c r="D732" s="527">
        <v>5</v>
      </c>
      <c r="E732" s="97" t="s">
        <v>263</v>
      </c>
      <c r="F732" s="9" t="s">
        <v>1155</v>
      </c>
      <c r="H732"/>
      <c r="I732"/>
      <c r="Q732" s="2797"/>
      <c r="R732" s="2797"/>
      <c r="S732" s="2797"/>
    </row>
    <row r="733" spans="3:19" s="9" customFormat="1">
      <c r="C733"/>
      <c r="D733" s="135"/>
      <c r="E733" s="96" t="s">
        <v>1152</v>
      </c>
      <c r="F733" s="1348">
        <v>0.3</v>
      </c>
      <c r="G733" s="108" t="s">
        <v>1156</v>
      </c>
      <c r="H733"/>
      <c r="I733"/>
      <c r="Q733" s="2797"/>
      <c r="R733" s="2797"/>
      <c r="S733" s="2797"/>
    </row>
    <row r="734" spans="3:19" s="9" customFormat="1">
      <c r="C734"/>
      <c r="D734" s="403">
        <f>F734</f>
        <v>4.9999999999999996E-2</v>
      </c>
      <c r="E734" s="96" t="s">
        <v>1131</v>
      </c>
      <c r="F734" s="1345">
        <f>G734/SUM($G$734:$G$736)*F$733</f>
        <v>4.9999999999999996E-2</v>
      </c>
      <c r="G734" s="1341">
        <f>'Overall Assumptions'!$C$153</f>
        <v>0.05</v>
      </c>
      <c r="H734"/>
      <c r="I734"/>
      <c r="Q734" s="2797"/>
      <c r="R734" s="2797"/>
      <c r="S734" s="2797"/>
    </row>
    <row r="735" spans="3:19" s="9" customFormat="1">
      <c r="C735"/>
      <c r="D735" s="403">
        <f>F735</f>
        <v>9.9999999999999992E-2</v>
      </c>
      <c r="E735" s="96" t="s">
        <v>1153</v>
      </c>
      <c r="F735" s="1346">
        <f>G735/SUM($G$734:$G$736)*F$733</f>
        <v>9.9999999999999992E-2</v>
      </c>
      <c r="G735" s="1342">
        <f>'Overall Assumptions'!$C$154</f>
        <v>0.1</v>
      </c>
      <c r="H735"/>
      <c r="I735"/>
      <c r="Q735" s="2797"/>
      <c r="R735" s="2797"/>
      <c r="S735" s="2797"/>
    </row>
    <row r="736" spans="3:19" s="9" customFormat="1">
      <c r="C736"/>
      <c r="D736" s="1340">
        <f>F736</f>
        <v>0.14999999999999997</v>
      </c>
      <c r="E736" s="97" t="s">
        <v>1154</v>
      </c>
      <c r="F736" s="1347">
        <f>G736/SUM($G$734:$G$736)*F$733</f>
        <v>0.14999999999999997</v>
      </c>
      <c r="G736" s="1343">
        <f>'Overall Assumptions'!$C$155</f>
        <v>0.15</v>
      </c>
      <c r="H736"/>
      <c r="I736"/>
      <c r="Q736" s="2797"/>
      <c r="R736" s="2797"/>
      <c r="S736" s="2797"/>
    </row>
    <row r="737" spans="3:19" s="9" customFormat="1">
      <c r="C737"/>
      <c r="H737"/>
      <c r="I737"/>
      <c r="Q737" s="2797"/>
      <c r="R737" s="2797"/>
      <c r="S737" s="2797"/>
    </row>
    <row r="738" spans="3:19" s="9" customFormat="1">
      <c r="C738"/>
      <c r="Q738" s="2797"/>
      <c r="R738" s="2797"/>
      <c r="S738" s="2797"/>
    </row>
    <row r="739" spans="3:19" s="9" customFormat="1">
      <c r="C739" t="s">
        <v>1246</v>
      </c>
      <c r="Q739" s="2797"/>
      <c r="R739" s="2797"/>
      <c r="S739" s="2797"/>
    </row>
    <row r="740" spans="3:19" s="9" customFormat="1">
      <c r="H740" s="9" t="s">
        <v>641</v>
      </c>
      <c r="I740"/>
      <c r="J740"/>
      <c r="Q740" s="2797"/>
      <c r="R740" s="2797"/>
      <c r="S740" s="2797"/>
    </row>
    <row r="741" spans="3:19" s="9" customFormat="1">
      <c r="D741" s="107" t="s">
        <v>650</v>
      </c>
      <c r="E741" s="108"/>
      <c r="H741" s="6" t="s">
        <v>640</v>
      </c>
      <c r="I741"/>
      <c r="J741"/>
      <c r="Q741" s="2797"/>
      <c r="R741" s="2797"/>
      <c r="S741" s="2797"/>
    </row>
    <row r="742" spans="3:19" s="9" customFormat="1">
      <c r="D742" s="545">
        <f>'Overall Assumptions'!$C$158</f>
        <v>3</v>
      </c>
      <c r="E742" s="109" t="s">
        <v>693</v>
      </c>
      <c r="H742" s="9" t="s">
        <v>628</v>
      </c>
      <c r="Q742" s="2797"/>
      <c r="R742" s="2797"/>
      <c r="S742" s="2797"/>
    </row>
    <row r="743" spans="3:19" s="9" customFormat="1">
      <c r="D743" s="546">
        <f>'Overall Assumptions'!$C$159</f>
        <v>1</v>
      </c>
      <c r="E743" s="109" t="s">
        <v>648</v>
      </c>
      <c r="H743" s="9" t="s">
        <v>638</v>
      </c>
      <c r="Q743" s="2797"/>
      <c r="R743" s="2797"/>
      <c r="S743" s="2797"/>
    </row>
    <row r="744" spans="3:19" s="9" customFormat="1">
      <c r="D744" s="545">
        <f>'Overall Assumptions'!$C$160</f>
        <v>0.6</v>
      </c>
      <c r="E744" s="109" t="s">
        <v>647</v>
      </c>
      <c r="I744" s="9" t="s">
        <v>629</v>
      </c>
      <c r="Q744" s="2797"/>
      <c r="R744" s="2797"/>
      <c r="S744" s="2797"/>
    </row>
    <row r="745" spans="3:19" s="9" customFormat="1">
      <c r="D745" s="547">
        <f>'Overall Assumptions'!$C$161</f>
        <v>1</v>
      </c>
      <c r="E745" s="323" t="s">
        <v>649</v>
      </c>
      <c r="I745" s="9" t="s">
        <v>630</v>
      </c>
      <c r="Q745" s="2797"/>
      <c r="R745" s="2797"/>
      <c r="S745" s="2797"/>
    </row>
    <row r="746" spans="3:19" s="9" customFormat="1">
      <c r="J746" s="9" t="s">
        <v>631</v>
      </c>
      <c r="Q746" s="2797"/>
      <c r="R746" s="2797"/>
      <c r="S746" s="2797"/>
    </row>
    <row r="747" spans="3:19" s="9" customFormat="1">
      <c r="D747" s="9" t="s">
        <v>698</v>
      </c>
      <c r="J747" s="9" t="s">
        <v>632</v>
      </c>
      <c r="Q747" s="2797"/>
      <c r="R747" s="2797"/>
      <c r="S747" s="2797"/>
    </row>
    <row r="748" spans="3:19" s="9" customFormat="1">
      <c r="D748" s="107" t="s">
        <v>679</v>
      </c>
      <c r="E748" s="320" t="s">
        <v>25</v>
      </c>
      <c r="F748" s="320" t="s">
        <v>680</v>
      </c>
      <c r="G748" s="108"/>
      <c r="J748" s="9" t="s">
        <v>633</v>
      </c>
      <c r="Q748" s="2797"/>
      <c r="R748" s="2797"/>
      <c r="S748" s="2797"/>
    </row>
    <row r="749" spans="3:19" s="9" customFormat="1">
      <c r="D749" s="548">
        <f>'Overall Assumptions'!$C$163</f>
        <v>4</v>
      </c>
      <c r="E749" s="549">
        <f>'Overall Assumptions'!$D$163</f>
        <v>2</v>
      </c>
      <c r="F749" s="549">
        <f>'Overall Assumptions'!$E$163</f>
        <v>1</v>
      </c>
      <c r="G749" s="109" t="s">
        <v>694</v>
      </c>
      <c r="J749" s="9" t="s">
        <v>634</v>
      </c>
      <c r="Q749" s="2797"/>
      <c r="R749" s="2797"/>
      <c r="S749" s="2797"/>
    </row>
    <row r="750" spans="3:19" s="9" customFormat="1">
      <c r="D750" s="548">
        <f>'Overall Assumptions'!$C$164</f>
        <v>4</v>
      </c>
      <c r="E750" s="549">
        <f>'Overall Assumptions'!$D$164</f>
        <v>2</v>
      </c>
      <c r="F750" s="549">
        <f>'Overall Assumptions'!$E$164</f>
        <v>1</v>
      </c>
      <c r="G750" s="109" t="s">
        <v>312</v>
      </c>
      <c r="J750" t="s">
        <v>635</v>
      </c>
      <c r="Q750" s="2797"/>
      <c r="R750" s="2797"/>
      <c r="S750" s="2797"/>
    </row>
    <row r="751" spans="3:19" s="9" customFormat="1">
      <c r="D751" s="135"/>
      <c r="E751" s="571"/>
      <c r="F751" s="571"/>
      <c r="G751" s="109"/>
      <c r="H751" s="9" t="s">
        <v>639</v>
      </c>
      <c r="Q751" s="2797"/>
      <c r="R751" s="2797"/>
      <c r="S751" s="2797"/>
    </row>
    <row r="752" spans="3:19" s="9" customFormat="1">
      <c r="D752" s="548">
        <f>'Overall Assumptions'!$C$166</f>
        <v>2</v>
      </c>
      <c r="E752" s="549">
        <f>'Overall Assumptions'!$D$166</f>
        <v>1</v>
      </c>
      <c r="F752" s="549">
        <f>'Overall Assumptions'!$E$166</f>
        <v>0.5</v>
      </c>
      <c r="G752" s="109" t="s">
        <v>651</v>
      </c>
      <c r="I752" s="9" t="s">
        <v>636</v>
      </c>
      <c r="Q752" s="2797"/>
      <c r="R752" s="2797"/>
      <c r="S752" s="2797"/>
    </row>
    <row r="753" spans="3:19" s="9" customFormat="1">
      <c r="D753" s="550">
        <f>SUMPRODUCT(D742:D745,D749:D752)</f>
        <v>18</v>
      </c>
      <c r="E753" s="176">
        <f>SUMPRODUCT(D742:D745,E749:E752)</f>
        <v>9</v>
      </c>
      <c r="F753" s="176">
        <f>SUMPRODUCT(D742:D745,F749:F752)</f>
        <v>4.5</v>
      </c>
      <c r="G753" s="323" t="s">
        <v>166</v>
      </c>
      <c r="I753" s="9" t="s">
        <v>637</v>
      </c>
      <c r="Q753" s="2797"/>
      <c r="R753" s="2797"/>
      <c r="S753" s="2797"/>
    </row>
    <row r="754" spans="3:19" s="9" customFormat="1">
      <c r="C754"/>
      <c r="G754" s="531"/>
      <c r="H754"/>
      <c r="I754"/>
      <c r="Q754" s="2797"/>
      <c r="R754" s="2797"/>
      <c r="S754" s="2797"/>
    </row>
    <row r="755" spans="3:19" s="9" customFormat="1">
      <c r="C755"/>
      <c r="G755" s="531"/>
      <c r="H755"/>
      <c r="I755"/>
      <c r="Q755" s="2797"/>
      <c r="R755" s="2797"/>
      <c r="S755" s="2797"/>
    </row>
    <row r="756" spans="3:19" s="9" customFormat="1">
      <c r="C756" s="402" t="s">
        <v>697</v>
      </c>
      <c r="D756" s="255" t="s">
        <v>652</v>
      </c>
      <c r="E756" s="255" t="s">
        <v>619</v>
      </c>
      <c r="F756" s="320" t="s">
        <v>612</v>
      </c>
      <c r="G756" s="320" t="s">
        <v>613</v>
      </c>
      <c r="H756" s="320" t="s">
        <v>624</v>
      </c>
      <c r="I756" s="108" t="s">
        <v>625</v>
      </c>
      <c r="Q756" s="2797"/>
      <c r="R756" s="2797"/>
      <c r="S756" s="2797"/>
    </row>
    <row r="757" spans="3:19" s="9" customFormat="1">
      <c r="C757" s="404" t="s">
        <v>1131</v>
      </c>
      <c r="D757" s="1289">
        <f>$D$606</f>
        <v>2.7</v>
      </c>
      <c r="E757" s="542">
        <f>D734</f>
        <v>4.9999999999999996E-2</v>
      </c>
      <c r="F757" s="551">
        <f>E757*$D$726</f>
        <v>0.99999999999999989</v>
      </c>
      <c r="G757" s="336">
        <f>D757*F757*D$728/60/7.5</f>
        <v>600</v>
      </c>
      <c r="H757" s="543">
        <f>D753</f>
        <v>18</v>
      </c>
      <c r="I757" s="552">
        <f>$D$728*F757*H757</f>
        <v>1799999.9999999998</v>
      </c>
      <c r="Q757" s="2797"/>
      <c r="R757" s="2797"/>
      <c r="S757" s="2797"/>
    </row>
    <row r="758" spans="3:19" s="9" customFormat="1">
      <c r="C758" s="404" t="s">
        <v>323</v>
      </c>
      <c r="D758" s="1289">
        <f>$E$606</f>
        <v>1.95</v>
      </c>
      <c r="E758" s="542">
        <f>D735</f>
        <v>9.9999999999999992E-2</v>
      </c>
      <c r="F758" s="551">
        <f>E758*$D$726</f>
        <v>1.9999999999999998</v>
      </c>
      <c r="G758" s="336">
        <f>D758*F758*D$728/60/7.5</f>
        <v>866.66666666666652</v>
      </c>
      <c r="H758" s="543">
        <f>E753</f>
        <v>9</v>
      </c>
      <c r="I758" s="552">
        <f>$D$728*F758*H758</f>
        <v>1799999.9999999998</v>
      </c>
      <c r="Q758" s="2797"/>
      <c r="R758" s="2797"/>
      <c r="S758" s="2797"/>
    </row>
    <row r="759" spans="3:19" s="9" customFormat="1">
      <c r="C759" s="404" t="s">
        <v>324</v>
      </c>
      <c r="D759" s="1289">
        <f>$F$606</f>
        <v>0.67500000000000004</v>
      </c>
      <c r="E759" s="542">
        <f>D736</f>
        <v>0.14999999999999997</v>
      </c>
      <c r="F759" s="551">
        <f>E759*$D$726</f>
        <v>2.9999999999999991</v>
      </c>
      <c r="G759" s="336">
        <f>D759*F759*D$728/60/7.5</f>
        <v>449.99999999999989</v>
      </c>
      <c r="H759" s="543">
        <f>F753</f>
        <v>4.5</v>
      </c>
      <c r="I759" s="552">
        <f>$D$728*F759*H759</f>
        <v>1349999.9999999995</v>
      </c>
      <c r="Q759" s="2797"/>
      <c r="R759" s="2797"/>
      <c r="S759" s="2797"/>
    </row>
    <row r="760" spans="3:19" s="9" customFormat="1">
      <c r="C760" s="404"/>
      <c r="D760" s="79"/>
      <c r="E760" s="79"/>
      <c r="F760" s="79"/>
      <c r="G760" s="79"/>
      <c r="H760" s="122"/>
      <c r="I760" s="109"/>
      <c r="Q760" s="2797"/>
      <c r="R760" s="2797"/>
      <c r="S760" s="2797"/>
    </row>
    <row r="761" spans="3:19" s="9" customFormat="1">
      <c r="C761" s="137" t="s">
        <v>463</v>
      </c>
      <c r="D761" s="439"/>
      <c r="E761" s="553">
        <f>SUM(E757:E759)</f>
        <v>0.29999999999999993</v>
      </c>
      <c r="F761" s="554">
        <f>SUM(F757:F759)</f>
        <v>5.9999999999999982</v>
      </c>
      <c r="G761" s="555">
        <f>SUM(G757:G759)</f>
        <v>1916.6666666666665</v>
      </c>
      <c r="H761" s="142"/>
      <c r="I761" s="556">
        <f>SUM(I757:I759)</f>
        <v>4949999.9999999991</v>
      </c>
      <c r="Q761" s="2797"/>
      <c r="R761" s="2797"/>
      <c r="S761" s="2797"/>
    </row>
    <row r="762" spans="3:19" s="9" customFormat="1">
      <c r="C762" s="79"/>
      <c r="D762" s="79"/>
      <c r="E762" s="534"/>
      <c r="F762" s="336"/>
      <c r="Q762" s="2797"/>
      <c r="R762" s="2797"/>
      <c r="S762" s="2797"/>
    </row>
    <row r="763" spans="3:19" s="9" customFormat="1">
      <c r="Q763" s="2797"/>
      <c r="R763" s="2797"/>
      <c r="S763" s="2797"/>
    </row>
    <row r="764" spans="3:19" s="9" customFormat="1">
      <c r="C764" s="1" t="s">
        <v>4</v>
      </c>
      <c r="D764" s="23" t="s">
        <v>609</v>
      </c>
      <c r="O764" s="9">
        <v>1</v>
      </c>
      <c r="P764" s="9" t="s">
        <v>195</v>
      </c>
      <c r="Q764" s="2797"/>
      <c r="R764" s="2797"/>
      <c r="S764" s="2797"/>
    </row>
    <row r="765" spans="3:19" s="9" customFormat="1">
      <c r="D765" s="93"/>
      <c r="O765" s="9">
        <v>1000000</v>
      </c>
      <c r="P765" s="9" t="s">
        <v>598</v>
      </c>
      <c r="Q765" s="2797"/>
      <c r="R765" s="2797"/>
      <c r="S765" s="2797"/>
    </row>
    <row r="766" spans="3:19" s="9" customFormat="1">
      <c r="O766" s="533">
        <f>O765/10</f>
        <v>100000</v>
      </c>
      <c r="P766" s="9" t="s">
        <v>608</v>
      </c>
      <c r="Q766" s="2797"/>
      <c r="R766" s="2797"/>
      <c r="S766" s="2797"/>
    </row>
    <row r="767" spans="3:19" s="9" customFormat="1">
      <c r="D767" s="74">
        <f>I761</f>
        <v>4949999.9999999991</v>
      </c>
      <c r="E767" s="39" t="s">
        <v>609</v>
      </c>
      <c r="F767"/>
      <c r="Q767" s="2797"/>
      <c r="R767" s="2797"/>
      <c r="S767" s="2797"/>
    </row>
    <row r="768" spans="3:19" s="9" customFormat="1">
      <c r="D768" s="344">
        <f>D732</f>
        <v>5</v>
      </c>
      <c r="E768" s="124" t="s">
        <v>263</v>
      </c>
      <c r="F768"/>
      <c r="O768" s="9">
        <v>20</v>
      </c>
      <c r="P768" s="9" t="s">
        <v>303</v>
      </c>
      <c r="Q768" s="2797"/>
      <c r="R768" s="2797"/>
      <c r="S768" s="2797"/>
    </row>
    <row r="769" spans="3:19" s="9" customFormat="1">
      <c r="D769" s="93"/>
      <c r="E769" s="34"/>
      <c r="O769" s="9">
        <v>0.2</v>
      </c>
      <c r="P769" s="9" t="s">
        <v>195</v>
      </c>
      <c r="Q769" s="2797"/>
      <c r="R769" s="2797"/>
      <c r="S769" s="2797"/>
    </row>
    <row r="770" spans="3:19">
      <c r="D770" s="71"/>
      <c r="G770"/>
      <c r="O770" s="531">
        <f>O769*O766</f>
        <v>20000</v>
      </c>
    </row>
    <row r="771" spans="3:19">
      <c r="C771" s="1" t="s">
        <v>42</v>
      </c>
      <c r="D771" s="367"/>
      <c r="E771" s="124"/>
      <c r="G771"/>
    </row>
    <row r="772" spans="3:19">
      <c r="D772" s="544">
        <v>10000</v>
      </c>
      <c r="E772" s="124" t="s">
        <v>1254</v>
      </c>
      <c r="G772"/>
    </row>
    <row r="773" spans="3:19">
      <c r="D773" s="367"/>
      <c r="E773" s="124"/>
      <c r="G773"/>
      <c r="H773" s="9"/>
      <c r="I773" s="9"/>
    </row>
    <row r="774" spans="3:19">
      <c r="D774" s="25"/>
      <c r="G774"/>
      <c r="I774" s="539"/>
    </row>
    <row r="775" spans="3:19">
      <c r="D775" s="74">
        <f>SUM(D771:D772)</f>
        <v>10000</v>
      </c>
      <c r="E775" s="39" t="s">
        <v>43</v>
      </c>
      <c r="G775"/>
    </row>
    <row r="776" spans="3:19" s="9" customFormat="1">
      <c r="D776" s="344">
        <v>10</v>
      </c>
      <c r="E776" s="124" t="s">
        <v>263</v>
      </c>
      <c r="Q776" s="2797"/>
      <c r="R776" s="2797"/>
      <c r="S776" s="2797"/>
    </row>
    <row r="777" spans="3:19">
      <c r="C777" s="256" t="s">
        <v>3</v>
      </c>
      <c r="G777"/>
    </row>
    <row r="778" spans="3:19">
      <c r="D778" s="46"/>
      <c r="G778" s="3"/>
      <c r="H778" s="3"/>
      <c r="I778" s="3"/>
    </row>
    <row r="779" spans="3:19" ht="19">
      <c r="C779" t="s">
        <v>50</v>
      </c>
      <c r="D779" s="37" t="s">
        <v>325</v>
      </c>
      <c r="E779" s="24"/>
      <c r="F779" s="1"/>
      <c r="G779" s="3"/>
      <c r="H779" s="3"/>
      <c r="I779" s="3"/>
      <c r="J779" s="3"/>
    </row>
    <row r="780" spans="3:19">
      <c r="F780" s="1"/>
      <c r="G780" s="3"/>
      <c r="H780" s="3"/>
      <c r="I780" s="364"/>
      <c r="J780" s="3"/>
    </row>
    <row r="781" spans="3:19">
      <c r="D781" s="49"/>
      <c r="G781"/>
      <c r="I781" s="365"/>
    </row>
    <row r="782" spans="3:19">
      <c r="D782" s="160" t="s">
        <v>240</v>
      </c>
      <c r="G782"/>
    </row>
    <row r="783" spans="3:19">
      <c r="D783" s="50"/>
      <c r="G783"/>
    </row>
    <row r="784" spans="3:19">
      <c r="D784" s="51" t="s">
        <v>82</v>
      </c>
      <c r="E784" s="39"/>
      <c r="G784"/>
      <c r="I784" s="366"/>
    </row>
    <row r="785" spans="3:12" ht="19">
      <c r="D785" s="54">
        <f>'Overall Assumptions'!$C$68</f>
        <v>225</v>
      </c>
      <c r="E785" s="1215" t="s">
        <v>99</v>
      </c>
      <c r="G785"/>
      <c r="I785" s="366"/>
    </row>
    <row r="786" spans="3:12">
      <c r="D786" s="54">
        <f>'Overall Assumptions'!$C$130</f>
        <v>2</v>
      </c>
      <c r="E786" s="76" t="s">
        <v>84</v>
      </c>
      <c r="G786"/>
      <c r="I786" s="366"/>
    </row>
    <row r="787" spans="3:12">
      <c r="D787" s="537"/>
      <c r="E787" s="461"/>
      <c r="G787"/>
      <c r="I787" s="366"/>
    </row>
    <row r="788" spans="3:12">
      <c r="D788" s="54"/>
      <c r="E788" s="43"/>
      <c r="G788"/>
      <c r="K788" s="79"/>
      <c r="L788" s="79"/>
    </row>
    <row r="789" spans="3:12">
      <c r="D789" s="1311"/>
      <c r="E789" s="96"/>
      <c r="G789"/>
      <c r="K789" s="79"/>
      <c r="L789" s="79"/>
    </row>
    <row r="790" spans="3:12">
      <c r="D790" s="467">
        <f>D730</f>
        <v>200</v>
      </c>
      <c r="E790" s="96" t="s">
        <v>1126</v>
      </c>
      <c r="G790"/>
      <c r="K790" s="79"/>
      <c r="L790" s="79"/>
    </row>
    <row r="791" spans="3:12">
      <c r="D791" s="54">
        <f>'Overall Assumptions'!$C$10</f>
        <v>0</v>
      </c>
      <c r="E791" s="43" t="s">
        <v>85</v>
      </c>
      <c r="G791"/>
      <c r="K791" s="79"/>
      <c r="L791" s="79"/>
    </row>
    <row r="792" spans="3:12">
      <c r="D792" s="54"/>
      <c r="E792" s="528"/>
      <c r="G792"/>
      <c r="K792" s="79"/>
      <c r="L792" s="79"/>
    </row>
    <row r="793" spans="3:12">
      <c r="D793" s="54">
        <f>G757</f>
        <v>600</v>
      </c>
      <c r="E793" s="528" t="s">
        <v>1213</v>
      </c>
      <c r="G793"/>
      <c r="K793" s="79"/>
      <c r="L793" s="79"/>
    </row>
    <row r="794" spans="3:12">
      <c r="D794" s="54">
        <f>G758</f>
        <v>866.66666666666652</v>
      </c>
      <c r="E794" s="528" t="s">
        <v>1214</v>
      </c>
      <c r="G794"/>
      <c r="K794" s="79"/>
      <c r="L794" s="79"/>
    </row>
    <row r="795" spans="3:12">
      <c r="D795" s="54">
        <f>G759</f>
        <v>449.99999999999989</v>
      </c>
      <c r="E795" s="528" t="s">
        <v>1215</v>
      </c>
      <c r="G795"/>
      <c r="K795" s="79"/>
      <c r="L795" s="79"/>
    </row>
    <row r="796" spans="3:12">
      <c r="D796" s="54"/>
      <c r="E796" s="528"/>
      <c r="G796"/>
      <c r="K796" s="79"/>
      <c r="L796" s="79"/>
    </row>
    <row r="797" spans="3:12">
      <c r="D797" s="54">
        <f>'Overall Assumptions'!$C$90</f>
        <v>80</v>
      </c>
      <c r="E797" s="43" t="s">
        <v>86</v>
      </c>
      <c r="G797"/>
      <c r="K797" s="79"/>
      <c r="L797" s="79"/>
    </row>
    <row r="798" spans="3:12">
      <c r="D798" s="56">
        <f>'Overall Assumptions'!$C$81</f>
        <v>210</v>
      </c>
      <c r="E798" s="45" t="s">
        <v>87</v>
      </c>
      <c r="G798"/>
      <c r="J798" s="127"/>
      <c r="K798" s="79"/>
      <c r="L798" s="79"/>
    </row>
    <row r="799" spans="3:12">
      <c r="D799" s="57"/>
      <c r="G799"/>
      <c r="J799" s="79"/>
      <c r="K799" s="79"/>
      <c r="L799" s="79"/>
    </row>
    <row r="800" spans="3:12">
      <c r="C800" s="21"/>
      <c r="D800" s="58">
        <f>2*D791/D797/7.5</f>
        <v>0</v>
      </c>
      <c r="E800" s="59" t="s">
        <v>95</v>
      </c>
      <c r="G800"/>
      <c r="J800" s="128"/>
      <c r="K800" s="79"/>
      <c r="L800" s="79"/>
    </row>
    <row r="801" spans="3:12">
      <c r="C801" s="21"/>
      <c r="D801" s="58"/>
      <c r="E801" s="60" t="s">
        <v>100</v>
      </c>
      <c r="G801"/>
      <c r="J801" s="79"/>
      <c r="K801" s="79"/>
      <c r="L801" s="79"/>
    </row>
    <row r="802" spans="3:12">
      <c r="C802" s="21"/>
      <c r="D802" s="58">
        <f>D790/D797/7.5</f>
        <v>0.33333333333333331</v>
      </c>
      <c r="E802" s="59" t="s">
        <v>656</v>
      </c>
      <c r="G802"/>
      <c r="J802" s="128"/>
      <c r="K802" s="79"/>
      <c r="L802" s="79"/>
    </row>
    <row r="803" spans="3:12" ht="18" customHeight="1">
      <c r="C803" s="21"/>
      <c r="D803" s="58"/>
      <c r="E803" s="59"/>
      <c r="F803" s="19"/>
      <c r="G803"/>
      <c r="J803" s="79"/>
      <c r="K803" s="79"/>
      <c r="L803" s="79"/>
    </row>
    <row r="804" spans="3:12" ht="18" customHeight="1">
      <c r="C804" s="21"/>
      <c r="D804" s="58">
        <f>(D793+D794+D795)</f>
        <v>1916.6666666666665</v>
      </c>
      <c r="E804" s="59" t="s">
        <v>588</v>
      </c>
      <c r="F804" s="19"/>
      <c r="G804"/>
      <c r="J804" s="79"/>
      <c r="K804" s="79"/>
      <c r="L804" s="79"/>
    </row>
    <row r="805" spans="3:12" ht="18" customHeight="1">
      <c r="C805" s="21"/>
      <c r="D805" s="58"/>
      <c r="E805" s="59"/>
      <c r="F805" s="19"/>
      <c r="G805"/>
      <c r="J805" s="79"/>
      <c r="K805" s="79"/>
      <c r="L805" s="79"/>
    </row>
    <row r="806" spans="3:12" ht="18" customHeight="1">
      <c r="C806" s="21"/>
      <c r="D806" s="77">
        <f>SUM(D800:D804)</f>
        <v>1916.9999999999998</v>
      </c>
      <c r="E806" s="16" t="s">
        <v>157</v>
      </c>
      <c r="F806" s="19"/>
      <c r="G806"/>
      <c r="J806" s="79"/>
      <c r="K806" s="79"/>
      <c r="L806" s="79"/>
    </row>
    <row r="807" spans="3:12">
      <c r="C807" s="21"/>
      <c r="G807"/>
      <c r="J807" s="79"/>
      <c r="K807" s="79"/>
      <c r="L807" s="79"/>
    </row>
    <row r="808" spans="3:12">
      <c r="C808" s="21"/>
      <c r="D808" s="77">
        <f>D806*D786</f>
        <v>3833.9999999999995</v>
      </c>
      <c r="E808" s="16" t="s">
        <v>566</v>
      </c>
      <c r="G808"/>
      <c r="J808" s="128"/>
      <c r="K808" s="79"/>
      <c r="L808" s="79"/>
    </row>
    <row r="809" spans="3:12">
      <c r="C809" s="21"/>
      <c r="D809" s="77"/>
      <c r="G809"/>
      <c r="J809" s="128"/>
      <c r="K809" s="79"/>
      <c r="L809" s="79"/>
    </row>
    <row r="810" spans="3:12">
      <c r="C810" s="21"/>
      <c r="D810" s="64">
        <f>D808*D785</f>
        <v>862649.99999999988</v>
      </c>
      <c r="E810" s="47" t="s">
        <v>329</v>
      </c>
      <c r="G810"/>
      <c r="J810" s="129"/>
      <c r="K810" s="76"/>
      <c r="L810" s="79"/>
    </row>
    <row r="811" spans="3:12">
      <c r="C811" s="21"/>
      <c r="G811"/>
      <c r="J811" s="129"/>
      <c r="K811" s="76"/>
      <c r="L811" s="79"/>
    </row>
    <row r="812" spans="3:12">
      <c r="G812"/>
      <c r="J812" s="79"/>
      <c r="K812" s="79"/>
      <c r="L812" s="79"/>
    </row>
    <row r="813" spans="3:12">
      <c r="G813"/>
      <c r="H813" s="259"/>
      <c r="J813" s="65"/>
      <c r="K813" s="66"/>
      <c r="L813" s="79"/>
    </row>
    <row r="814" spans="3:12">
      <c r="D814" s="65"/>
      <c r="E814" s="66"/>
      <c r="G814"/>
      <c r="J814" s="65"/>
      <c r="K814" s="66"/>
      <c r="L814" s="79"/>
    </row>
    <row r="815" spans="3:12">
      <c r="E815" s="66"/>
      <c r="G815"/>
      <c r="J815" s="79"/>
      <c r="K815" s="79"/>
      <c r="L815" s="79"/>
    </row>
    <row r="816" spans="3:12" ht="19">
      <c r="C816" s="2" t="s">
        <v>132</v>
      </c>
      <c r="D816" s="37" t="s">
        <v>89</v>
      </c>
      <c r="G816"/>
      <c r="J816" s="79"/>
      <c r="K816" s="79"/>
      <c r="L816" s="79"/>
    </row>
    <row r="817" spans="3:12">
      <c r="C817" t="s">
        <v>54</v>
      </c>
      <c r="G817"/>
      <c r="J817" s="79"/>
      <c r="K817" s="79"/>
      <c r="L817" s="79"/>
    </row>
    <row r="818" spans="3:12">
      <c r="D818" s="160" t="s">
        <v>243</v>
      </c>
      <c r="G818"/>
      <c r="J818" s="79"/>
      <c r="K818" s="79"/>
      <c r="L818" s="79"/>
    </row>
    <row r="819" spans="3:12">
      <c r="D819" s="16"/>
      <c r="G819"/>
      <c r="J819" s="79"/>
      <c r="K819" s="79"/>
      <c r="L819" s="79"/>
    </row>
    <row r="820" spans="3:12">
      <c r="D820" s="67" t="s">
        <v>91</v>
      </c>
      <c r="E820" s="41"/>
      <c r="G820"/>
      <c r="J820" s="79"/>
      <c r="K820" s="79"/>
      <c r="L820" s="79"/>
    </row>
    <row r="821" spans="3:12">
      <c r="D821" s="52">
        <f>'Overall Assumptions'!$C$93</f>
        <v>285</v>
      </c>
      <c r="E821" s="41" t="s">
        <v>93</v>
      </c>
      <c r="G821"/>
      <c r="J821" s="79"/>
      <c r="K821" s="79"/>
      <c r="L821" s="79"/>
    </row>
    <row r="822" spans="3:12">
      <c r="D822" s="54">
        <f>'Overall Assumptions'!$C$10</f>
        <v>0</v>
      </c>
      <c r="E822" s="43" t="s">
        <v>85</v>
      </c>
      <c r="G822"/>
      <c r="J822" s="79"/>
      <c r="K822" s="79"/>
      <c r="L822" s="79"/>
    </row>
    <row r="823" spans="3:12">
      <c r="D823" s="54">
        <f>'Overall Assumptions'!$C$90</f>
        <v>80</v>
      </c>
      <c r="E823" s="43" t="s">
        <v>86</v>
      </c>
      <c r="G823"/>
      <c r="J823" s="79"/>
      <c r="K823" s="79"/>
      <c r="L823" s="79"/>
    </row>
    <row r="824" spans="3:12">
      <c r="D824" s="55"/>
      <c r="E824" s="43"/>
      <c r="G824"/>
      <c r="J824" s="79"/>
      <c r="K824" s="79"/>
      <c r="L824" s="79"/>
    </row>
    <row r="825" spans="3:12">
      <c r="D825" s="56"/>
      <c r="E825" s="45"/>
      <c r="G825"/>
      <c r="J825" s="127"/>
      <c r="K825" s="79"/>
      <c r="L825" s="79"/>
    </row>
    <row r="826" spans="3:12">
      <c r="D826" s="75"/>
      <c r="E826" s="76"/>
      <c r="G826"/>
      <c r="J826" s="79"/>
      <c r="K826" s="79"/>
      <c r="L826" s="79"/>
    </row>
    <row r="827" spans="3:12">
      <c r="D827" s="46">
        <f>2*D822/D823/7.5</f>
        <v>0</v>
      </c>
      <c r="E827" s="59" t="s">
        <v>97</v>
      </c>
      <c r="G827"/>
      <c r="J827" s="132"/>
      <c r="K827" s="133"/>
      <c r="L827" s="79"/>
    </row>
    <row r="828" spans="3:12">
      <c r="D828" s="46">
        <f>D802</f>
        <v>0.33333333333333331</v>
      </c>
      <c r="E828" s="59" t="s">
        <v>589</v>
      </c>
      <c r="G828"/>
      <c r="J828" s="79"/>
      <c r="K828" s="133"/>
      <c r="L828" s="79"/>
    </row>
    <row r="829" spans="3:12">
      <c r="D829" s="46">
        <f>D804</f>
        <v>1916.6666666666665</v>
      </c>
      <c r="E829" s="59" t="s">
        <v>623</v>
      </c>
      <c r="G829"/>
      <c r="J829" s="79"/>
      <c r="K829" s="133"/>
      <c r="L829" s="79"/>
    </row>
    <row r="830" spans="3:12">
      <c r="D830" s="46">
        <f>SUM(D827:D829)</f>
        <v>1916.9999999999998</v>
      </c>
      <c r="E830" s="59" t="s">
        <v>135</v>
      </c>
      <c r="G830"/>
      <c r="J830" s="128"/>
      <c r="K830" s="79"/>
      <c r="L830" s="79"/>
    </row>
    <row r="831" spans="3:12">
      <c r="D831" s="63"/>
      <c r="G831"/>
      <c r="J831" s="129"/>
      <c r="K831" s="76"/>
      <c r="L831" s="79"/>
    </row>
    <row r="832" spans="3:12">
      <c r="D832" s="63"/>
      <c r="G832"/>
      <c r="J832" s="129"/>
      <c r="K832" s="76"/>
      <c r="L832" s="79"/>
    </row>
    <row r="833" spans="3:15">
      <c r="D833" s="68">
        <f>D830*D821</f>
        <v>546344.99999999988</v>
      </c>
      <c r="E833" s="47" t="s">
        <v>53</v>
      </c>
      <c r="G833"/>
      <c r="J833" s="65"/>
      <c r="K833" s="66"/>
      <c r="L833" s="79"/>
    </row>
    <row r="834" spans="3:15">
      <c r="D834" s="63"/>
      <c r="G834"/>
      <c r="J834" s="65"/>
      <c r="K834" s="66"/>
      <c r="L834" s="79"/>
    </row>
    <row r="835" spans="3:15">
      <c r="D835" s="46">
        <f>D830</f>
        <v>1916.9999999999998</v>
      </c>
      <c r="E835" s="359" t="s">
        <v>795</v>
      </c>
      <c r="G835"/>
      <c r="J835" s="65"/>
      <c r="K835" s="66"/>
      <c r="L835" s="79"/>
    </row>
    <row r="836" spans="3:15">
      <c r="D836" s="75">
        <f>ROUNDUP((D835/21),0)</f>
        <v>92</v>
      </c>
      <c r="E836" s="99" t="s">
        <v>739</v>
      </c>
      <c r="G836"/>
      <c r="J836" s="65"/>
      <c r="K836" s="66"/>
      <c r="L836" s="79"/>
    </row>
    <row r="837" spans="3:15">
      <c r="D837" s="92"/>
      <c r="E837" s="66"/>
      <c r="G837"/>
      <c r="J837" s="65"/>
      <c r="K837" s="66"/>
      <c r="L837" s="79"/>
      <c r="M837" s="79"/>
      <c r="N837" s="79"/>
      <c r="O837" s="79"/>
    </row>
    <row r="838" spans="3:15">
      <c r="D838" s="92"/>
      <c r="E838" s="66"/>
      <c r="G838"/>
      <c r="J838" s="65"/>
      <c r="K838" s="66"/>
      <c r="L838" s="79"/>
      <c r="M838" s="79"/>
      <c r="N838" s="79"/>
      <c r="O838" s="79"/>
    </row>
    <row r="839" spans="3:15">
      <c r="D839" s="92"/>
      <c r="E839" s="66"/>
      <c r="G839"/>
      <c r="J839" s="65"/>
      <c r="K839" s="66"/>
      <c r="L839" s="79"/>
      <c r="M839" s="79"/>
      <c r="N839" s="79"/>
      <c r="O839" s="79"/>
    </row>
    <row r="840" spans="3:15">
      <c r="C840" t="s">
        <v>70</v>
      </c>
      <c r="D840" s="58"/>
      <c r="E840" s="59" t="s">
        <v>156</v>
      </c>
      <c r="G840"/>
      <c r="J840" s="65"/>
      <c r="K840" s="66"/>
      <c r="L840" s="79"/>
      <c r="M840" s="79"/>
      <c r="N840" s="79"/>
      <c r="O840" s="79"/>
    </row>
    <row r="841" spans="3:15">
      <c r="D841" s="58"/>
      <c r="E841" s="59"/>
      <c r="G841"/>
      <c r="J841" s="65"/>
      <c r="K841" s="66"/>
      <c r="L841" s="79"/>
      <c r="M841" s="79"/>
      <c r="N841" s="79"/>
      <c r="O841" s="79"/>
    </row>
    <row r="842" spans="3:15">
      <c r="D842" s="58"/>
      <c r="E842" s="59"/>
      <c r="G842"/>
      <c r="J842" s="65"/>
      <c r="K842" s="66"/>
      <c r="L842" s="79"/>
      <c r="M842" s="79"/>
      <c r="N842" s="79"/>
      <c r="O842" s="79"/>
    </row>
    <row r="843" spans="3:15">
      <c r="D843" s="25">
        <f>D806</f>
        <v>1916.9999999999998</v>
      </c>
      <c r="E843" s="16" t="s">
        <v>157</v>
      </c>
      <c r="G843"/>
      <c r="J843" s="65"/>
      <c r="K843" s="66"/>
      <c r="L843" s="79"/>
      <c r="M843" s="79"/>
      <c r="N843" s="79"/>
      <c r="O843" s="79"/>
    </row>
    <row r="844" spans="3:15">
      <c r="D844" s="61">
        <f>FLOOR(D843,1)</f>
        <v>1917</v>
      </c>
      <c r="E844" s="16" t="s">
        <v>73</v>
      </c>
      <c r="G844"/>
      <c r="J844" s="65"/>
      <c r="K844" s="66"/>
      <c r="L844" s="79"/>
      <c r="M844" s="79"/>
      <c r="N844" s="79"/>
      <c r="O844" s="79"/>
    </row>
    <row r="845" spans="3:15">
      <c r="D845" s="146">
        <f>D844*D786</f>
        <v>3834</v>
      </c>
      <c r="E845" s="66" t="s">
        <v>175</v>
      </c>
      <c r="G845"/>
      <c r="J845" s="65"/>
      <c r="K845" s="66"/>
      <c r="L845" s="79"/>
      <c r="M845" s="79"/>
      <c r="N845" s="79"/>
      <c r="O845" s="79"/>
    </row>
    <row r="846" spans="3:15">
      <c r="D846" s="65"/>
      <c r="E846" s="66" t="s">
        <v>88</v>
      </c>
      <c r="G846"/>
      <c r="J846" s="65"/>
      <c r="K846" s="66"/>
      <c r="L846" s="79"/>
      <c r="M846" s="79"/>
      <c r="N846" s="79"/>
      <c r="O846" s="79"/>
    </row>
    <row r="847" spans="3:15">
      <c r="D847" s="102">
        <f>D845*D798</f>
        <v>805140</v>
      </c>
      <c r="E847" s="39" t="s">
        <v>74</v>
      </c>
      <c r="G847"/>
      <c r="J847" s="129"/>
      <c r="K847" s="276"/>
      <c r="L847" s="276"/>
      <c r="M847" s="276"/>
      <c r="N847" s="276"/>
      <c r="O847" s="79"/>
    </row>
    <row r="848" spans="3:15">
      <c r="D848" s="65"/>
      <c r="E848" s="66"/>
      <c r="G848"/>
      <c r="J848" s="65"/>
      <c r="K848" s="122"/>
      <c r="L848" s="136"/>
      <c r="M848" s="119"/>
      <c r="N848" s="119"/>
      <c r="O848" s="79"/>
    </row>
    <row r="849" spans="3:19">
      <c r="C849" t="s">
        <v>4</v>
      </c>
      <c r="D849" s="74">
        <f>D767</f>
        <v>4949999.9999999991</v>
      </c>
      <c r="E849" s="39" t="str">
        <f>E767</f>
        <v>Consumables needed for bush regeneration</v>
      </c>
      <c r="G849"/>
      <c r="J849" s="65"/>
      <c r="K849" s="122"/>
      <c r="L849" s="136"/>
      <c r="M849" s="119"/>
      <c r="N849" s="119"/>
      <c r="O849" s="79"/>
    </row>
    <row r="850" spans="3:19">
      <c r="D850" s="65"/>
      <c r="E850" s="66"/>
      <c r="G850"/>
      <c r="J850" s="65"/>
      <c r="K850" s="122"/>
      <c r="L850" s="136"/>
      <c r="M850" s="119"/>
      <c r="N850" s="119"/>
      <c r="O850" s="79"/>
    </row>
    <row r="851" spans="3:19">
      <c r="D851" s="65"/>
      <c r="E851" s="66"/>
      <c r="G851"/>
      <c r="J851" s="65"/>
      <c r="K851" s="122"/>
      <c r="L851" s="136"/>
      <c r="M851" s="119"/>
      <c r="N851" s="119"/>
      <c r="O851" s="79"/>
    </row>
    <row r="852" spans="3:19">
      <c r="D852" s="65"/>
      <c r="E852" s="66"/>
      <c r="G852"/>
      <c r="J852" s="65"/>
      <c r="K852" s="122"/>
      <c r="L852" s="136"/>
      <c r="M852" s="119"/>
      <c r="N852" s="119"/>
      <c r="O852" s="79"/>
    </row>
    <row r="853" spans="3:19">
      <c r="D853" s="65"/>
      <c r="E853" s="66"/>
      <c r="G853"/>
      <c r="J853" s="65"/>
      <c r="K853" s="122"/>
      <c r="L853" s="136"/>
      <c r="M853" s="119"/>
      <c r="N853" s="119"/>
      <c r="O853" s="79"/>
    </row>
    <row r="854" spans="3:19" s="9" customFormat="1">
      <c r="C854" s="121"/>
      <c r="D854" s="143" t="s">
        <v>172</v>
      </c>
      <c r="E854" s="144" t="s">
        <v>155</v>
      </c>
      <c r="F854" s="144" t="s">
        <v>173</v>
      </c>
      <c r="G854" s="144" t="s">
        <v>174</v>
      </c>
      <c r="H854" s="144" t="s">
        <v>166</v>
      </c>
      <c r="I854" s="145" t="s">
        <v>69</v>
      </c>
      <c r="J854" s="276" t="s">
        <v>391</v>
      </c>
      <c r="K854" s="122"/>
      <c r="L854" s="136"/>
      <c r="M854" s="119"/>
      <c r="N854" s="119"/>
      <c r="O854" s="122"/>
      <c r="Q854" s="2797"/>
      <c r="R854" s="2797"/>
      <c r="S854" s="2797"/>
    </row>
    <row r="855" spans="3:19" s="9" customFormat="1">
      <c r="C855" s="121"/>
      <c r="D855" s="135" t="s">
        <v>3</v>
      </c>
      <c r="E855" s="136">
        <f>D808</f>
        <v>3833.9999999999995</v>
      </c>
      <c r="F855" s="141">
        <f>D723</f>
        <v>0</v>
      </c>
      <c r="G855" s="122"/>
      <c r="H855" s="119">
        <f>D810</f>
        <v>862649.99999999988</v>
      </c>
      <c r="I855" s="119" t="str">
        <f>E810</f>
        <v>Cost for person hours</v>
      </c>
      <c r="J855" s="9">
        <f>$D$732</f>
        <v>5</v>
      </c>
      <c r="K855" s="122"/>
      <c r="L855" s="136"/>
      <c r="M855" s="119"/>
      <c r="N855" s="119"/>
      <c r="O855" s="122"/>
      <c r="Q855" s="2797"/>
      <c r="R855" s="2797"/>
      <c r="S855" s="2797"/>
    </row>
    <row r="856" spans="3:19" s="9" customFormat="1">
      <c r="C856" s="121"/>
      <c r="D856" s="135" t="s">
        <v>132</v>
      </c>
      <c r="E856" s="136">
        <f>D830</f>
        <v>1916.9999999999998</v>
      </c>
      <c r="F856" s="141">
        <f>F857</f>
        <v>0</v>
      </c>
      <c r="G856" s="141"/>
      <c r="H856" s="119">
        <f>D833</f>
        <v>546344.99999999988</v>
      </c>
      <c r="I856" s="119" t="str">
        <f>E833</f>
        <v>Cost for ute hire for the whole activity</v>
      </c>
      <c r="J856" s="9">
        <f>$D$732</f>
        <v>5</v>
      </c>
      <c r="K856" s="122"/>
      <c r="L856" s="136"/>
      <c r="M856" s="119"/>
      <c r="N856" s="119"/>
      <c r="O856" s="122"/>
      <c r="Q856" s="2797"/>
      <c r="R856" s="2797"/>
      <c r="S856" s="2797"/>
    </row>
    <row r="857" spans="3:19" s="9" customFormat="1">
      <c r="C857" s="121"/>
      <c r="D857" s="135" t="s">
        <v>169</v>
      </c>
      <c r="E857" s="136">
        <f>D845</f>
        <v>3834</v>
      </c>
      <c r="F857" s="141">
        <f>F855</f>
        <v>0</v>
      </c>
      <c r="G857" s="141">
        <f>D822</f>
        <v>0</v>
      </c>
      <c r="H857" s="119">
        <f>SUM(D847,D849)</f>
        <v>5755139.9999999991</v>
      </c>
      <c r="I857" s="119" t="s">
        <v>1132</v>
      </c>
      <c r="J857" s="9">
        <f>$D$732</f>
        <v>5</v>
      </c>
      <c r="K857" s="122"/>
      <c r="L857" s="136"/>
      <c r="M857" s="119"/>
      <c r="N857" s="119"/>
      <c r="O857" s="122"/>
      <c r="Q857" s="2797"/>
      <c r="R857" s="2797"/>
      <c r="S857" s="2797"/>
    </row>
    <row r="858" spans="3:19" s="9" customFormat="1">
      <c r="D858" s="135" t="s">
        <v>21</v>
      </c>
      <c r="E858" s="136"/>
      <c r="F858" s="141"/>
      <c r="G858" s="122"/>
      <c r="H858" s="119">
        <f>D775</f>
        <v>10000</v>
      </c>
      <c r="I858" s="119" t="str">
        <f>E775</f>
        <v>Total equipment cost</v>
      </c>
      <c r="J858" s="557">
        <f>$D$776</f>
        <v>10</v>
      </c>
      <c r="K858" s="122"/>
      <c r="L858" s="147"/>
      <c r="M858" s="119"/>
      <c r="N858" s="119"/>
      <c r="O858" s="122"/>
      <c r="Q858" s="2797"/>
      <c r="R858" s="2797"/>
      <c r="S858" s="2797"/>
    </row>
    <row r="859" spans="3:19" s="9" customFormat="1">
      <c r="D859" s="137"/>
      <c r="E859" s="138"/>
      <c r="F859" s="142"/>
      <c r="G859" s="142"/>
      <c r="H859" s="139">
        <f>SUM(H855:H858)</f>
        <v>7174134.9999999991</v>
      </c>
      <c r="I859" s="140" t="s">
        <v>165</v>
      </c>
      <c r="K859" s="122"/>
      <c r="L859" s="122"/>
      <c r="M859" s="122"/>
      <c r="N859" s="122"/>
      <c r="O859" s="122"/>
      <c r="Q859" s="2797"/>
      <c r="R859" s="2797"/>
      <c r="S859" s="2797"/>
    </row>
    <row r="860" spans="3:19" s="9" customFormat="1">
      <c r="C860" s="121"/>
      <c r="Q860" s="2797"/>
      <c r="R860" s="2797"/>
      <c r="S860" s="2797"/>
    </row>
    <row r="861" spans="3:19" s="9" customFormat="1">
      <c r="D861" s="105"/>
      <c r="E861" s="34"/>
      <c r="Q861" s="2797"/>
      <c r="R861" s="2797"/>
      <c r="S861" s="2797"/>
    </row>
    <row r="862" spans="3:19">
      <c r="D862" s="25"/>
      <c r="G862"/>
      <c r="H862" s="259"/>
    </row>
    <row r="863" spans="3:19">
      <c r="D863" s="25"/>
      <c r="G863"/>
    </row>
    <row r="864" spans="3:19" s="7" customFormat="1">
      <c r="D864" s="134"/>
      <c r="E864" s="134"/>
      <c r="Q864" s="2796"/>
      <c r="R864" s="2796"/>
      <c r="S864" s="2796"/>
    </row>
    <row r="865" spans="3:19" s="7" customFormat="1">
      <c r="D865" s="35"/>
      <c r="E865" s="36"/>
      <c r="G865" s="1089"/>
      <c r="Q865" s="2796"/>
      <c r="R865" s="2796"/>
      <c r="S865" s="2796"/>
    </row>
    <row r="866" spans="3:19">
      <c r="C866" t="s">
        <v>1002</v>
      </c>
    </row>
    <row r="868" spans="3:19">
      <c r="D868" s="66" t="s">
        <v>1004</v>
      </c>
      <c r="E868" s="76"/>
      <c r="F868" s="79"/>
      <c r="G868" s="1119"/>
    </row>
    <row r="869" spans="3:19">
      <c r="D869" s="329"/>
      <c r="E869" s="76"/>
      <c r="F869" s="79"/>
      <c r="G869" s="1119"/>
    </row>
    <row r="870" spans="3:19">
      <c r="D870" s="117" t="s">
        <v>91</v>
      </c>
      <c r="E870" s="118"/>
      <c r="F870" s="9"/>
      <c r="G870" s="1119"/>
    </row>
    <row r="871" spans="3:19">
      <c r="D871" s="114">
        <v>0.3</v>
      </c>
      <c r="E871" s="115" t="s">
        <v>262</v>
      </c>
      <c r="F871" s="9"/>
      <c r="G871" s="1119"/>
    </row>
    <row r="872" spans="3:19">
      <c r="D872" s="472">
        <v>1</v>
      </c>
      <c r="E872" s="97" t="s">
        <v>1466</v>
      </c>
      <c r="F872" s="9"/>
      <c r="G872" s="1119"/>
    </row>
    <row r="873" spans="3:19">
      <c r="D873" s="825"/>
      <c r="E873" s="825"/>
      <c r="H873" s="1" t="s">
        <v>788</v>
      </c>
      <c r="I873" s="1" t="s">
        <v>779</v>
      </c>
      <c r="J873" s="1" t="s">
        <v>789</v>
      </c>
    </row>
    <row r="874" spans="3:19">
      <c r="D874" s="617" t="str">
        <f t="shared" ref="D874:K877" si="102">D223</f>
        <v>Component</v>
      </c>
      <c r="E874" s="618" t="str">
        <f t="shared" si="102"/>
        <v>Days</v>
      </c>
      <c r="F874" s="618" t="str">
        <f t="shared" si="102"/>
        <v>Area covered</v>
      </c>
      <c r="G874" s="1103" t="str">
        <f t="shared" si="102"/>
        <v>distance</v>
      </c>
      <c r="H874" s="618" t="str">
        <f t="shared" si="102"/>
        <v>Cost</v>
      </c>
      <c r="I874" s="618" t="str">
        <f t="shared" si="102"/>
        <v>Cost</v>
      </c>
      <c r="J874" s="618" t="str">
        <f t="shared" si="102"/>
        <v>Cost</v>
      </c>
      <c r="K874" s="619" t="str">
        <f t="shared" si="102"/>
        <v>Description</v>
      </c>
    </row>
    <row r="875" spans="3:19">
      <c r="D875" s="404" t="str">
        <f t="shared" si="102"/>
        <v>Labour</v>
      </c>
      <c r="E875" s="90">
        <f t="shared" si="102"/>
        <v>3.1270553064275037</v>
      </c>
      <c r="F875" s="531">
        <f t="shared" si="102"/>
        <v>30</v>
      </c>
      <c r="G875" s="359">
        <f t="shared" si="102"/>
        <v>0</v>
      </c>
      <c r="H875" s="432">
        <f t="shared" si="102"/>
        <v>703.58744394618839</v>
      </c>
      <c r="I875" s="432">
        <f t="shared" si="102"/>
        <v>838.11659192825118</v>
      </c>
      <c r="J875" s="432">
        <f t="shared" si="102"/>
        <v>1107.1748878923768</v>
      </c>
      <c r="K875" s="830" t="str">
        <f t="shared" si="102"/>
        <v>Cost for labour</v>
      </c>
      <c r="L875">
        <v>1</v>
      </c>
    </row>
    <row r="876" spans="3:19">
      <c r="D876" s="404" t="str">
        <f t="shared" si="102"/>
        <v>transport</v>
      </c>
      <c r="E876" s="90">
        <f t="shared" si="102"/>
        <v>1.5635276532137519</v>
      </c>
      <c r="F876" s="531">
        <f t="shared" si="102"/>
        <v>30</v>
      </c>
      <c r="G876" s="1104">
        <f t="shared" si="102"/>
        <v>0</v>
      </c>
      <c r="H876" s="432">
        <f t="shared" si="102"/>
        <v>445.60538116591931</v>
      </c>
      <c r="I876" s="432">
        <f t="shared" si="102"/>
        <v>530.80717488789242</v>
      </c>
      <c r="J876" s="432">
        <f t="shared" si="102"/>
        <v>701.21076233183862</v>
      </c>
      <c r="K876" s="830" t="str">
        <f t="shared" si="102"/>
        <v>Cost for ute hire for the whole activity</v>
      </c>
      <c r="L876">
        <v>1</v>
      </c>
    </row>
    <row r="877" spans="3:19">
      <c r="D877" s="404" t="str">
        <f t="shared" si="102"/>
        <v>Consumables (Accomodation)</v>
      </c>
      <c r="E877" s="90">
        <f t="shared" si="102"/>
        <v>2</v>
      </c>
      <c r="F877" s="531">
        <f t="shared" si="102"/>
        <v>30</v>
      </c>
      <c r="G877" s="359">
        <f t="shared" si="102"/>
        <v>0</v>
      </c>
      <c r="H877" s="432">
        <f t="shared" si="102"/>
        <v>420</v>
      </c>
      <c r="I877" s="432">
        <f t="shared" si="102"/>
        <v>420</v>
      </c>
      <c r="J877" s="432">
        <f t="shared" si="102"/>
        <v>840</v>
      </c>
      <c r="K877" s="830" t="str">
        <f t="shared" si="102"/>
        <v>Accomodation + Food Cost</v>
      </c>
      <c r="L877">
        <v>1</v>
      </c>
    </row>
    <row r="878" spans="3:19">
      <c r="D878" s="404"/>
      <c r="E878" s="90"/>
      <c r="F878" s="531"/>
      <c r="H878" s="432"/>
      <c r="I878" s="259"/>
      <c r="J878" s="259"/>
      <c r="K878" s="830"/>
      <c r="L878" s="558"/>
    </row>
    <row r="879" spans="3:19">
      <c r="D879" s="404"/>
      <c r="E879" s="90"/>
      <c r="F879" s="531"/>
      <c r="H879" s="432"/>
      <c r="I879" s="259"/>
      <c r="J879" s="259"/>
      <c r="K879" s="830"/>
    </row>
    <row r="880" spans="3:19">
      <c r="D880" s="405"/>
      <c r="E880" s="439"/>
      <c r="F880" s="439"/>
      <c r="G880" s="1098"/>
      <c r="H880" s="622">
        <f>SUM(H875:H879)</f>
        <v>1569.1928251121076</v>
      </c>
      <c r="I880" s="622">
        <f>SUM(I875:I879)</f>
        <v>1788.9237668161436</v>
      </c>
      <c r="J880" s="622">
        <f>SUM(J875:J879)</f>
        <v>2648.3856502242152</v>
      </c>
      <c r="K880" s="623" t="s">
        <v>165</v>
      </c>
    </row>
    <row r="881" spans="3:19">
      <c r="D881"/>
      <c r="E881"/>
      <c r="F881" s="432"/>
      <c r="G881" s="1099"/>
    </row>
    <row r="882" spans="3:19">
      <c r="D882"/>
      <c r="E882"/>
      <c r="F882" s="432"/>
      <c r="G882" s="1099"/>
    </row>
    <row r="884" spans="3:19" s="7" customFormat="1">
      <c r="D884" s="35"/>
      <c r="E884" s="36"/>
      <c r="G884" s="1089"/>
      <c r="Q884" s="2796"/>
      <c r="R884" s="2796"/>
      <c r="S884" s="2796"/>
    </row>
    <row r="885" spans="3:19" s="9" customFormat="1">
      <c r="D885" s="105"/>
      <c r="E885" s="34"/>
      <c r="G885" s="572"/>
      <c r="Q885" s="2797"/>
      <c r="R885" s="2797"/>
      <c r="S885" s="2797"/>
    </row>
    <row r="886" spans="3:19" s="9" customFormat="1">
      <c r="C886" s="120" t="s">
        <v>247</v>
      </c>
      <c r="D886" s="105"/>
      <c r="E886" s="34"/>
      <c r="G886" s="572"/>
      <c r="Q886" s="2797"/>
      <c r="R886" s="2797"/>
      <c r="S886" s="2797"/>
    </row>
    <row r="887" spans="3:19" s="9" customFormat="1">
      <c r="D887" s="34" t="s">
        <v>258</v>
      </c>
      <c r="E887" s="34"/>
      <c r="G887" s="572"/>
      <c r="Q887" s="2797"/>
      <c r="R887" s="2797"/>
      <c r="S887" s="2797"/>
    </row>
    <row r="888" spans="3:19" s="9" customFormat="1">
      <c r="D888" s="38" t="s">
        <v>91</v>
      </c>
      <c r="E888" s="39"/>
      <c r="F888" s="105"/>
      <c r="G888" s="572"/>
      <c r="Q888" s="2797"/>
      <c r="R888" s="2797"/>
      <c r="S888" s="2797"/>
    </row>
    <row r="889" spans="3:19" s="9" customFormat="1">
      <c r="D889" s="402" t="s">
        <v>257</v>
      </c>
      <c r="E889" s="161"/>
      <c r="G889" s="572"/>
      <c r="Q889" s="2797"/>
      <c r="R889" s="2797"/>
      <c r="S889" s="2797"/>
    </row>
    <row r="890" spans="3:19" s="9" customFormat="1">
      <c r="D890" s="332">
        <f>'Overall Assumptions'!$C$125</f>
        <v>3</v>
      </c>
      <c r="E890" s="131" t="str">
        <f>'Overall Assumptions'!$D$115</f>
        <v>weeks</v>
      </c>
      <c r="G890" s="572"/>
      <c r="Q890" s="2797"/>
      <c r="R890" s="2797"/>
      <c r="S890" s="2797"/>
    </row>
    <row r="891" spans="3:19" s="9" customFormat="1">
      <c r="C891" s="105"/>
      <c r="D891" s="332">
        <f>D890*5</f>
        <v>15</v>
      </c>
      <c r="E891" s="43" t="str">
        <f>'Overall Assumptions'!$D$116</f>
        <v>days</v>
      </c>
      <c r="G891" s="572"/>
      <c r="Q891" s="2797"/>
      <c r="R891" s="2797"/>
      <c r="S891" s="2797"/>
    </row>
    <row r="892" spans="3:19" s="9" customFormat="1">
      <c r="C892" s="105"/>
      <c r="D892" s="332"/>
      <c r="E892" s="43"/>
      <c r="G892" s="572"/>
      <c r="Q892" s="2797"/>
      <c r="R892" s="2797"/>
      <c r="S892" s="2797"/>
    </row>
    <row r="893" spans="3:19" s="9" customFormat="1">
      <c r="C893" s="105"/>
      <c r="D893" s="268">
        <v>1</v>
      </c>
      <c r="E893" s="43" t="s">
        <v>259</v>
      </c>
      <c r="G893" s="572"/>
      <c r="Q893" s="2797"/>
      <c r="R893" s="2797"/>
      <c r="S893" s="2797"/>
    </row>
    <row r="894" spans="3:19" s="9" customFormat="1">
      <c r="C894" s="105"/>
      <c r="D894" s="332"/>
      <c r="E894" s="43"/>
      <c r="G894" s="572"/>
      <c r="Q894" s="2797"/>
      <c r="R894" s="2797"/>
      <c r="S894" s="2797"/>
    </row>
    <row r="895" spans="3:19" s="9" customFormat="1">
      <c r="C895" s="105"/>
      <c r="D895" s="332"/>
      <c r="E895" s="246"/>
      <c r="G895" s="572"/>
      <c r="Q895" s="2797"/>
      <c r="R895" s="2797"/>
      <c r="S895" s="2797"/>
    </row>
    <row r="896" spans="3:19" s="9" customFormat="1">
      <c r="D896" s="614">
        <f>'Overall Assumptions'!$C$68</f>
        <v>225</v>
      </c>
      <c r="E896" s="246" t="str">
        <f>'Overall Assumptions'!$B$67</f>
        <v>Labour 1- APS Low (Entry lvl)</v>
      </c>
      <c r="G896" s="572"/>
      <c r="Q896" s="2797"/>
      <c r="R896" s="2797"/>
      <c r="S896" s="2797"/>
    </row>
    <row r="897" spans="3:19" s="9" customFormat="1">
      <c r="D897" s="399">
        <f>'Overall Assumptions'!$C$72</f>
        <v>337.5</v>
      </c>
      <c r="E897" s="530" t="str">
        <f>'Overall Assumptions'!$B$71</f>
        <v>Labour 2 - APS High (Experienced)</v>
      </c>
      <c r="G897" s="572"/>
      <c r="Q897" s="2797"/>
      <c r="R897" s="2797"/>
      <c r="S897" s="2797"/>
    </row>
    <row r="898" spans="3:19" s="9" customFormat="1">
      <c r="D898" s="112">
        <f>'Overall Assumptions'!$C$76</f>
        <v>487.5</v>
      </c>
      <c r="E898" s="45" t="str">
        <f>'Overall Assumptions'!$B$75</f>
        <v>Labour 3 - EL (Management)</v>
      </c>
      <c r="G898" s="572"/>
      <c r="Q898" s="2797"/>
      <c r="R898" s="2797"/>
      <c r="S898" s="2797"/>
    </row>
    <row r="899" spans="3:19" s="9" customFormat="1">
      <c r="D899" s="33"/>
      <c r="E899" s="34"/>
      <c r="G899" s="572"/>
      <c r="Q899" s="2797"/>
      <c r="R899" s="2797"/>
      <c r="S899" s="2797"/>
    </row>
    <row r="900" spans="3:19">
      <c r="C900" s="9"/>
      <c r="D900" s="247"/>
      <c r="E900" s="33"/>
      <c r="F900" s="9"/>
      <c r="G900" s="572"/>
      <c r="H900" s="9"/>
      <c r="I900" s="9"/>
      <c r="J900" s="9"/>
    </row>
    <row r="901" spans="3:19">
      <c r="C901" s="9"/>
      <c r="D901" s="33"/>
      <c r="E901" s="34"/>
      <c r="F901" s="9"/>
      <c r="G901" s="572"/>
      <c r="H901" s="9"/>
      <c r="I901" s="9"/>
      <c r="J901" s="9"/>
    </row>
    <row r="902" spans="3:19">
      <c r="C902" s="9"/>
      <c r="D902" s="33"/>
      <c r="E902" s="34"/>
      <c r="F902" s="9"/>
      <c r="G902" s="572"/>
      <c r="H902" s="9"/>
      <c r="I902" s="9"/>
      <c r="J902" s="9"/>
    </row>
    <row r="903" spans="3:19">
      <c r="C903" s="9"/>
      <c r="D903" s="33"/>
      <c r="E903" s="34"/>
      <c r="F903" s="9"/>
      <c r="G903" s="572"/>
      <c r="H903" s="9"/>
      <c r="I903" s="9"/>
      <c r="J903" s="9"/>
    </row>
    <row r="904" spans="3:19">
      <c r="C904" s="9"/>
      <c r="D904" s="175"/>
      <c r="E904" s="164" t="s">
        <v>155</v>
      </c>
      <c r="F904" s="255" t="s">
        <v>166</v>
      </c>
      <c r="G904" s="1090" t="s">
        <v>69</v>
      </c>
      <c r="H904" s="161"/>
      <c r="I904" s="9"/>
      <c r="J904" s="9"/>
    </row>
    <row r="905" spans="3:19">
      <c r="C905" s="9"/>
      <c r="D905" s="405" t="s">
        <v>3</v>
      </c>
      <c r="E905" s="615">
        <f>D891</f>
        <v>15</v>
      </c>
      <c r="F905" s="321">
        <f>D891*D897</f>
        <v>5062.5</v>
      </c>
      <c r="G905" s="1091" t="s">
        <v>182</v>
      </c>
      <c r="H905" s="162"/>
      <c r="I905" s="9"/>
      <c r="J905" s="9"/>
    </row>
    <row r="906" spans="3:19">
      <c r="H906" s="9"/>
    </row>
    <row r="909" spans="3:19" s="182" customFormat="1">
      <c r="D909" s="183"/>
      <c r="E909" s="184"/>
      <c r="G909" s="1131"/>
      <c r="Q909" s="2801"/>
      <c r="R909" s="2801"/>
      <c r="S909" s="2801"/>
    </row>
    <row r="910" spans="3:19">
      <c r="C910" s="1"/>
    </row>
    <row r="911" spans="3:19">
      <c r="C911" s="199"/>
      <c r="D911" s="200"/>
    </row>
    <row r="912" spans="3:19">
      <c r="C912" s="201"/>
      <c r="D912" s="202"/>
    </row>
    <row r="914" spans="1:42">
      <c r="C914" s="198"/>
    </row>
    <row r="916" spans="1:42">
      <c r="C916" s="160"/>
    </row>
    <row r="919" spans="1:42" s="359" customFormat="1">
      <c r="A919"/>
      <c r="B919"/>
      <c r="C919"/>
      <c r="D919" s="1081"/>
      <c r="E919" s="16"/>
      <c r="F919"/>
      <c r="H919"/>
      <c r="I919"/>
      <c r="J919"/>
      <c r="K919"/>
      <c r="L919"/>
      <c r="M919"/>
      <c r="N919"/>
      <c r="O919"/>
      <c r="P919"/>
      <c r="Q919" s="2794"/>
      <c r="R919" s="2794"/>
      <c r="S919" s="2794"/>
      <c r="T919"/>
      <c r="U919"/>
      <c r="V919"/>
      <c r="W919"/>
      <c r="X919"/>
      <c r="Y919"/>
      <c r="Z919"/>
      <c r="AA919"/>
      <c r="AB919"/>
      <c r="AC919"/>
      <c r="AD919"/>
      <c r="AE919"/>
      <c r="AF919"/>
      <c r="AG919"/>
      <c r="AH919"/>
      <c r="AI919"/>
      <c r="AJ919"/>
      <c r="AK919"/>
      <c r="AL919"/>
      <c r="AM919"/>
      <c r="AN919"/>
      <c r="AO919"/>
      <c r="AP919"/>
    </row>
    <row r="920" spans="1:42" s="359" customFormat="1">
      <c r="A920"/>
      <c r="B920"/>
      <c r="C920"/>
      <c r="D920" s="58"/>
      <c r="E920" s="16"/>
      <c r="F920"/>
      <c r="H920"/>
      <c r="I920"/>
      <c r="J920"/>
      <c r="K920"/>
      <c r="L920"/>
      <c r="M920"/>
      <c r="N920"/>
      <c r="O920"/>
      <c r="P920"/>
      <c r="Q920" s="2794"/>
      <c r="R920" s="2794"/>
      <c r="S920" s="2794"/>
      <c r="T920"/>
      <c r="U920"/>
      <c r="V920"/>
      <c r="W920"/>
      <c r="X920"/>
      <c r="Y920"/>
      <c r="Z920"/>
      <c r="AA920"/>
      <c r="AB920"/>
      <c r="AC920"/>
      <c r="AD920"/>
      <c r="AE920"/>
      <c r="AF920"/>
      <c r="AG920"/>
      <c r="AH920"/>
      <c r="AI920"/>
      <c r="AJ920"/>
      <c r="AK920"/>
      <c r="AL920"/>
      <c r="AM920"/>
      <c r="AN920"/>
      <c r="AO920"/>
      <c r="AP920"/>
    </row>
    <row r="922" spans="1:42" s="359" customFormat="1">
      <c r="A922"/>
      <c r="B922"/>
      <c r="C922" s="90"/>
      <c r="D922"/>
      <c r="E922" s="16"/>
      <c r="F922"/>
      <c r="H922"/>
      <c r="I922"/>
      <c r="J922"/>
      <c r="K922"/>
      <c r="L922"/>
      <c r="M922"/>
      <c r="N922"/>
      <c r="O922"/>
      <c r="P922"/>
      <c r="Q922" s="2794"/>
      <c r="R922" s="2794"/>
      <c r="S922" s="2794"/>
      <c r="T922"/>
      <c r="U922"/>
      <c r="V922"/>
      <c r="W922"/>
      <c r="X922"/>
      <c r="Y922"/>
      <c r="Z922"/>
      <c r="AA922"/>
      <c r="AB922"/>
      <c r="AC922"/>
      <c r="AD922"/>
      <c r="AE922"/>
      <c r="AF922"/>
      <c r="AG922"/>
      <c r="AH922"/>
      <c r="AI922"/>
      <c r="AJ922"/>
      <c r="AK922"/>
      <c r="AL922"/>
      <c r="AM922"/>
      <c r="AN922"/>
      <c r="AO922"/>
      <c r="AP922"/>
    </row>
    <row r="923" spans="1:42" s="359" customFormat="1" ht="24" customHeight="1">
      <c r="A923"/>
      <c r="B923"/>
      <c r="C923" s="436"/>
      <c r="D923" s="24"/>
      <c r="E923" s="16"/>
      <c r="F923"/>
      <c r="H923"/>
      <c r="I923"/>
      <c r="J923"/>
      <c r="K923"/>
      <c r="L923"/>
      <c r="M923"/>
      <c r="N923"/>
      <c r="O923"/>
      <c r="P923"/>
      <c r="Q923" s="2794"/>
      <c r="R923" s="2794"/>
      <c r="S923" s="2794"/>
      <c r="T923"/>
      <c r="U923"/>
      <c r="V923"/>
      <c r="W923"/>
      <c r="X923"/>
      <c r="Y923"/>
      <c r="Z923"/>
      <c r="AA923"/>
      <c r="AB923"/>
      <c r="AC923"/>
      <c r="AD923"/>
      <c r="AE923"/>
      <c r="AF923"/>
      <c r="AG923"/>
      <c r="AH923"/>
      <c r="AI923"/>
      <c r="AJ923"/>
      <c r="AK923"/>
      <c r="AL923"/>
      <c r="AM923"/>
      <c r="AN923"/>
      <c r="AO923"/>
      <c r="AP923"/>
    </row>
    <row r="924" spans="1:42" s="359" customFormat="1">
      <c r="A924"/>
      <c r="B924"/>
      <c r="C924"/>
      <c r="D924" s="58"/>
      <c r="E924" s="16"/>
      <c r="F924"/>
      <c r="H924"/>
      <c r="I924"/>
      <c r="J924"/>
      <c r="K924"/>
      <c r="L924"/>
      <c r="M924"/>
      <c r="N924"/>
      <c r="O924"/>
      <c r="P924"/>
      <c r="Q924" s="2794"/>
      <c r="R924" s="2794"/>
      <c r="S924" s="2794"/>
      <c r="T924"/>
      <c r="U924"/>
      <c r="V924"/>
      <c r="W924"/>
      <c r="X924"/>
      <c r="Y924"/>
      <c r="Z924"/>
      <c r="AA924"/>
      <c r="AB924"/>
      <c r="AC924"/>
      <c r="AD924"/>
      <c r="AE924"/>
      <c r="AF924"/>
      <c r="AG924"/>
      <c r="AH924"/>
      <c r="AI924"/>
      <c r="AJ924"/>
      <c r="AK924"/>
      <c r="AL924"/>
      <c r="AM924"/>
      <c r="AN924"/>
      <c r="AO924"/>
      <c r="AP924"/>
    </row>
    <row r="925" spans="1:42" s="359" customFormat="1">
      <c r="A925"/>
      <c r="B925"/>
      <c r="C925"/>
      <c r="D925" s="58"/>
      <c r="E925" s="16"/>
      <c r="F925"/>
      <c r="H925"/>
      <c r="I925"/>
      <c r="J925"/>
      <c r="K925"/>
      <c r="L925"/>
      <c r="M925"/>
      <c r="N925"/>
      <c r="O925"/>
      <c r="P925"/>
      <c r="Q925" s="2794"/>
      <c r="R925" s="2794"/>
      <c r="S925" s="2794"/>
      <c r="T925"/>
      <c r="U925"/>
      <c r="V925"/>
      <c r="W925"/>
      <c r="X925"/>
      <c r="Y925"/>
      <c r="Z925"/>
      <c r="AA925"/>
      <c r="AB925"/>
      <c r="AC925"/>
      <c r="AD925"/>
      <c r="AE925"/>
      <c r="AF925"/>
      <c r="AG925"/>
      <c r="AH925"/>
      <c r="AI925"/>
      <c r="AJ925"/>
      <c r="AK925"/>
      <c r="AL925"/>
      <c r="AM925"/>
      <c r="AN925"/>
      <c r="AO925"/>
      <c r="AP925"/>
    </row>
    <row r="926" spans="1:42" s="359" customFormat="1">
      <c r="A926"/>
      <c r="B926"/>
      <c r="C926" s="204"/>
      <c r="D926" s="24"/>
      <c r="E926" s="16"/>
      <c r="F926"/>
      <c r="H926"/>
      <c r="I926"/>
      <c r="J926"/>
      <c r="K926"/>
      <c r="L926"/>
      <c r="M926"/>
      <c r="N926"/>
      <c r="O926"/>
      <c r="P926"/>
      <c r="Q926" s="2794"/>
      <c r="R926" s="2794"/>
      <c r="S926" s="2794"/>
      <c r="T926"/>
      <c r="U926"/>
      <c r="V926"/>
      <c r="W926"/>
      <c r="X926"/>
      <c r="Y926"/>
      <c r="Z926"/>
      <c r="AA926"/>
      <c r="AB926"/>
      <c r="AC926"/>
      <c r="AD926"/>
      <c r="AE926"/>
      <c r="AF926"/>
      <c r="AG926"/>
      <c r="AH926"/>
      <c r="AI926"/>
      <c r="AJ926"/>
      <c r="AK926"/>
      <c r="AL926"/>
      <c r="AM926"/>
      <c r="AN926"/>
      <c r="AO926"/>
      <c r="AP926"/>
    </row>
    <row r="928" spans="1:42" s="359" customFormat="1">
      <c r="A928"/>
      <c r="B928"/>
      <c r="C928" s="206"/>
      <c r="D928" s="24"/>
      <c r="E928" s="16"/>
      <c r="F928" s="2"/>
      <c r="H928"/>
      <c r="I928"/>
      <c r="J928"/>
      <c r="K928"/>
      <c r="L928"/>
      <c r="M928"/>
      <c r="N928"/>
      <c r="O928"/>
      <c r="P928"/>
      <c r="Q928" s="2794"/>
      <c r="R928" s="2794"/>
      <c r="S928" s="2794"/>
      <c r="T928"/>
      <c r="U928"/>
      <c r="V928"/>
      <c r="W928"/>
      <c r="X928"/>
      <c r="Y928"/>
      <c r="Z928"/>
      <c r="AA928"/>
      <c r="AB928"/>
      <c r="AC928"/>
      <c r="AD928"/>
      <c r="AE928"/>
      <c r="AF928"/>
      <c r="AG928"/>
      <c r="AH928"/>
      <c r="AI928"/>
      <c r="AJ928"/>
      <c r="AK928"/>
      <c r="AL928"/>
      <c r="AM928"/>
      <c r="AN928"/>
      <c r="AO928"/>
      <c r="AP928"/>
    </row>
    <row r="929" spans="1:42" s="359" customFormat="1" ht="15" customHeight="1">
      <c r="A929"/>
      <c r="B929"/>
      <c r="C929" s="2"/>
      <c r="D929" s="207"/>
      <c r="E929" s="16"/>
      <c r="F929" s="2"/>
      <c r="H929"/>
      <c r="I929"/>
      <c r="J929"/>
      <c r="K929"/>
      <c r="L929"/>
      <c r="M929"/>
      <c r="N929"/>
      <c r="O929"/>
      <c r="P929"/>
      <c r="Q929" s="2794"/>
      <c r="R929" s="2794"/>
      <c r="S929" s="2794"/>
      <c r="T929"/>
      <c r="U929"/>
      <c r="V929"/>
      <c r="W929"/>
      <c r="X929"/>
      <c r="Y929"/>
      <c r="Z929"/>
      <c r="AA929"/>
      <c r="AB929"/>
      <c r="AC929"/>
      <c r="AD929"/>
      <c r="AE929"/>
      <c r="AF929"/>
      <c r="AG929"/>
      <c r="AH929"/>
      <c r="AI929"/>
      <c r="AJ929"/>
      <c r="AK929"/>
      <c r="AL929"/>
      <c r="AM929"/>
      <c r="AN929"/>
      <c r="AO929"/>
      <c r="AP929"/>
    </row>
    <row r="930" spans="1:42" s="359" customFormat="1" ht="15" customHeight="1">
      <c r="A930"/>
      <c r="B930"/>
      <c r="C930" s="2"/>
      <c r="D930" s="207"/>
      <c r="E930" s="16"/>
      <c r="F930" s="2"/>
      <c r="H930"/>
      <c r="I930"/>
      <c r="J930"/>
      <c r="K930"/>
      <c r="L930"/>
      <c r="M930"/>
      <c r="N930"/>
      <c r="O930"/>
      <c r="P930"/>
      <c r="Q930" s="2794"/>
      <c r="R930" s="2794"/>
      <c r="S930" s="2794"/>
      <c r="T930"/>
      <c r="U930"/>
      <c r="V930"/>
      <c r="W930"/>
      <c r="X930"/>
      <c r="Y930"/>
      <c r="Z930"/>
      <c r="AA930"/>
      <c r="AB930"/>
      <c r="AC930"/>
      <c r="AD930"/>
      <c r="AE930"/>
      <c r="AF930"/>
      <c r="AG930"/>
      <c r="AH930"/>
      <c r="AI930"/>
      <c r="AJ930"/>
      <c r="AK930"/>
      <c r="AL930"/>
      <c r="AM930"/>
      <c r="AN930"/>
      <c r="AO930"/>
      <c r="AP930"/>
    </row>
    <row r="931" spans="1:42" s="359" customFormat="1" ht="15" customHeight="1">
      <c r="A931"/>
      <c r="B931"/>
      <c r="C931" s="2"/>
      <c r="D931" s="207"/>
      <c r="E931" s="16"/>
      <c r="F931" s="2"/>
      <c r="H931"/>
      <c r="I931"/>
      <c r="J931"/>
      <c r="K931"/>
      <c r="L931"/>
      <c r="M931"/>
      <c r="N931"/>
      <c r="O931"/>
      <c r="P931"/>
      <c r="Q931" s="2794"/>
      <c r="R931" s="2794"/>
      <c r="S931" s="2794"/>
      <c r="T931"/>
      <c r="U931"/>
      <c r="V931"/>
      <c r="W931"/>
      <c r="X931"/>
      <c r="Y931"/>
      <c r="Z931"/>
      <c r="AA931"/>
      <c r="AB931"/>
      <c r="AC931"/>
      <c r="AD931"/>
      <c r="AE931"/>
      <c r="AF931"/>
      <c r="AG931"/>
      <c r="AH931"/>
      <c r="AI931"/>
      <c r="AJ931"/>
      <c r="AK931"/>
      <c r="AL931"/>
      <c r="AM931"/>
      <c r="AN931"/>
      <c r="AO931"/>
      <c r="AP931"/>
    </row>
    <row r="932" spans="1:42" s="359" customFormat="1" ht="15" customHeight="1">
      <c r="A932"/>
      <c r="B932"/>
      <c r="C932" s="2"/>
      <c r="D932" s="207"/>
      <c r="E932" s="16"/>
      <c r="F932" s="2"/>
      <c r="H932"/>
      <c r="I932"/>
      <c r="J932"/>
      <c r="K932"/>
      <c r="L932"/>
      <c r="M932"/>
      <c r="N932"/>
      <c r="O932"/>
      <c r="P932"/>
      <c r="Q932" s="2794"/>
      <c r="R932" s="2794"/>
      <c r="S932" s="2794"/>
      <c r="T932"/>
      <c r="U932"/>
      <c r="V932"/>
      <c r="W932"/>
      <c r="X932"/>
      <c r="Y932"/>
      <c r="Z932"/>
      <c r="AA932"/>
      <c r="AB932"/>
      <c r="AC932"/>
      <c r="AD932"/>
      <c r="AE932"/>
      <c r="AF932"/>
      <c r="AG932"/>
      <c r="AH932"/>
      <c r="AI932"/>
      <c r="AJ932"/>
      <c r="AK932"/>
      <c r="AL932"/>
      <c r="AM932"/>
      <c r="AN932"/>
      <c r="AO932"/>
      <c r="AP932"/>
    </row>
    <row r="933" spans="1:42" s="359" customFormat="1" ht="15" customHeight="1">
      <c r="A933"/>
      <c r="B933"/>
      <c r="C933" s="206"/>
      <c r="D933" s="207"/>
      <c r="E933" s="16"/>
      <c r="F933" s="2"/>
      <c r="H933"/>
      <c r="I933"/>
      <c r="J933"/>
      <c r="K933"/>
      <c r="L933"/>
      <c r="M933"/>
      <c r="N933"/>
      <c r="O933"/>
      <c r="P933"/>
      <c r="Q933" s="2794"/>
      <c r="R933" s="2794"/>
      <c r="S933" s="2794"/>
      <c r="T933"/>
      <c r="U933"/>
      <c r="V933"/>
      <c r="W933"/>
      <c r="X933"/>
      <c r="Y933"/>
      <c r="Z933"/>
      <c r="AA933"/>
      <c r="AB933"/>
      <c r="AC933"/>
      <c r="AD933"/>
      <c r="AE933"/>
      <c r="AF933"/>
      <c r="AG933"/>
      <c r="AH933"/>
      <c r="AI933"/>
      <c r="AJ933"/>
      <c r="AK933"/>
      <c r="AL933"/>
      <c r="AM933"/>
      <c r="AN933"/>
      <c r="AO933"/>
      <c r="AP933"/>
    </row>
    <row r="934" spans="1:42" s="359" customFormat="1" ht="15" customHeight="1">
      <c r="A934"/>
      <c r="B934"/>
      <c r="C934"/>
      <c r="D934" s="207"/>
      <c r="E934" s="16"/>
      <c r="F934"/>
      <c r="H934"/>
      <c r="I934"/>
      <c r="J934"/>
      <c r="K934"/>
      <c r="L934"/>
      <c r="M934"/>
      <c r="N934"/>
      <c r="O934"/>
      <c r="P934"/>
      <c r="Q934" s="2794"/>
      <c r="R934" s="2794"/>
      <c r="S934" s="2794"/>
      <c r="T934"/>
      <c r="U934"/>
      <c r="V934"/>
      <c r="W934"/>
      <c r="X934"/>
      <c r="Y934"/>
      <c r="Z934"/>
      <c r="AA934"/>
      <c r="AB934"/>
      <c r="AC934"/>
      <c r="AD934"/>
      <c r="AE934"/>
      <c r="AF934"/>
      <c r="AG934"/>
      <c r="AH934"/>
      <c r="AI934"/>
      <c r="AJ934"/>
      <c r="AK934"/>
      <c r="AL934"/>
      <c r="AM934"/>
      <c r="AN934"/>
      <c r="AO934"/>
      <c r="AP934"/>
    </row>
    <row r="935" spans="1:42" ht="15" customHeight="1">
      <c r="D935" s="207"/>
      <c r="E935" s="2"/>
      <c r="F935" s="2"/>
    </row>
    <row r="936" spans="1:42" ht="15" customHeight="1">
      <c r="D936" s="207"/>
      <c r="F936" s="2"/>
    </row>
    <row r="937" spans="1:42" ht="15" customHeight="1">
      <c r="D937" s="207"/>
      <c r="F937" s="2"/>
    </row>
    <row r="938" spans="1:42" ht="15" customHeight="1">
      <c r="D938" s="207"/>
    </row>
    <row r="939" spans="1:42" ht="15" customHeight="1">
      <c r="D939" s="207"/>
    </row>
    <row r="940" spans="1:42" ht="15" customHeight="1">
      <c r="D940" s="57"/>
    </row>
    <row r="941" spans="1:42">
      <c r="D941" s="16"/>
    </row>
    <row r="942" spans="1:42">
      <c r="C942" s="206"/>
      <c r="D942" s="208"/>
      <c r="E942" s="6"/>
    </row>
    <row r="943" spans="1:42">
      <c r="D943" s="207"/>
    </row>
    <row r="944" spans="1:42">
      <c r="D944" s="207"/>
      <c r="F944" s="2"/>
    </row>
    <row r="945" spans="3:10">
      <c r="D945" s="207"/>
      <c r="F945" s="2"/>
    </row>
    <row r="946" spans="3:10">
      <c r="D946" s="156"/>
      <c r="F946" s="2"/>
    </row>
    <row r="947" spans="3:10">
      <c r="C947" s="206"/>
      <c r="F947" s="2"/>
    </row>
    <row r="948" spans="3:10">
      <c r="C948" s="206"/>
      <c r="D948" s="207"/>
      <c r="F948" s="2"/>
    </row>
    <row r="949" spans="3:10">
      <c r="D949" s="207"/>
      <c r="G949" s="99"/>
    </row>
    <row r="950" spans="3:10">
      <c r="D950" s="16"/>
      <c r="G950" s="99"/>
      <c r="H950" s="16"/>
    </row>
    <row r="951" spans="3:10">
      <c r="D951" s="207"/>
      <c r="G951" s="1132"/>
    </row>
    <row r="952" spans="3:10">
      <c r="D952" s="207"/>
      <c r="G952" s="1133"/>
    </row>
    <row r="953" spans="3:10">
      <c r="G953" s="99"/>
    </row>
    <row r="954" spans="3:10">
      <c r="D954" s="57"/>
      <c r="G954" s="1102"/>
      <c r="H954" s="16"/>
    </row>
    <row r="955" spans="3:10">
      <c r="G955" s="1102"/>
      <c r="H955" s="16"/>
    </row>
    <row r="956" spans="3:10">
      <c r="D956" s="156"/>
      <c r="J956" s="16"/>
    </row>
    <row r="957" spans="3:10">
      <c r="D957" s="156"/>
      <c r="J957" s="16"/>
    </row>
    <row r="959" spans="3:10">
      <c r="D959" s="16"/>
    </row>
    <row r="960" spans="3:10">
      <c r="D960" s="16"/>
    </row>
    <row r="961" spans="2:42">
      <c r="D961" s="16"/>
    </row>
    <row r="962" spans="2:42">
      <c r="D962" s="16"/>
    </row>
    <row r="965" spans="2:42" s="24" customFormat="1">
      <c r="B965"/>
      <c r="C965" s="206"/>
      <c r="E965" s="16"/>
      <c r="F965"/>
      <c r="G965" s="359"/>
      <c r="H965"/>
      <c r="I965"/>
      <c r="J965"/>
      <c r="K965"/>
      <c r="L965"/>
      <c r="M965"/>
      <c r="N965"/>
      <c r="O965"/>
      <c r="P965"/>
      <c r="Q965" s="2794"/>
      <c r="R965" s="2794"/>
      <c r="S965" s="2794"/>
      <c r="T965"/>
      <c r="U965"/>
      <c r="V965"/>
      <c r="W965"/>
      <c r="X965"/>
      <c r="Y965"/>
      <c r="Z965"/>
      <c r="AA965"/>
      <c r="AB965"/>
      <c r="AC965"/>
      <c r="AD965"/>
      <c r="AE965"/>
      <c r="AF965"/>
      <c r="AG965"/>
      <c r="AH965"/>
      <c r="AI965"/>
      <c r="AJ965"/>
      <c r="AK965"/>
      <c r="AL965"/>
      <c r="AM965"/>
      <c r="AN965"/>
      <c r="AO965"/>
      <c r="AP965"/>
    </row>
    <row r="966" spans="2:42" s="24" customFormat="1">
      <c r="B966"/>
      <c r="C966" s="206"/>
      <c r="E966" s="16"/>
      <c r="F966"/>
      <c r="G966" s="359"/>
      <c r="H966"/>
      <c r="I966"/>
      <c r="J966"/>
      <c r="K966"/>
      <c r="L966"/>
      <c r="M966"/>
      <c r="N966"/>
      <c r="O966"/>
      <c r="P966"/>
      <c r="Q966" s="2794"/>
      <c r="R966" s="2794"/>
      <c r="S966" s="2794"/>
      <c r="T966"/>
      <c r="U966"/>
      <c r="V966"/>
      <c r="W966"/>
      <c r="X966"/>
      <c r="Y966"/>
      <c r="Z966"/>
      <c r="AA966"/>
      <c r="AB966"/>
      <c r="AC966"/>
      <c r="AD966"/>
      <c r="AE966"/>
      <c r="AF966"/>
      <c r="AG966"/>
      <c r="AH966"/>
      <c r="AI966"/>
      <c r="AJ966"/>
      <c r="AK966"/>
      <c r="AL966"/>
      <c r="AM966"/>
      <c r="AN966"/>
      <c r="AO966"/>
      <c r="AP966"/>
    </row>
    <row r="967" spans="2:42" s="24" customFormat="1">
      <c r="B967"/>
      <c r="C967" s="206"/>
      <c r="E967" s="16"/>
      <c r="F967"/>
      <c r="G967" s="359"/>
      <c r="H967"/>
      <c r="I967"/>
      <c r="J967"/>
      <c r="K967"/>
      <c r="L967"/>
      <c r="M967"/>
      <c r="N967"/>
      <c r="O967"/>
      <c r="P967"/>
      <c r="Q967" s="2794"/>
      <c r="R967" s="2794"/>
      <c r="S967" s="2794"/>
      <c r="T967"/>
      <c r="U967"/>
      <c r="V967"/>
      <c r="W967"/>
      <c r="X967"/>
      <c r="Y967"/>
      <c r="Z967"/>
      <c r="AA967"/>
      <c r="AB967"/>
      <c r="AC967"/>
      <c r="AD967"/>
      <c r="AE967"/>
      <c r="AF967"/>
      <c r="AG967"/>
      <c r="AH967"/>
      <c r="AI967"/>
      <c r="AJ967"/>
      <c r="AK967"/>
      <c r="AL967"/>
      <c r="AM967"/>
      <c r="AN967"/>
      <c r="AO967"/>
      <c r="AP967"/>
    </row>
    <row r="968" spans="2:42" s="24" customFormat="1">
      <c r="B968"/>
      <c r="C968" s="206"/>
      <c r="E968" s="16"/>
      <c r="F968"/>
      <c r="G968" s="359"/>
      <c r="H968"/>
      <c r="I968"/>
      <c r="J968"/>
      <c r="K968"/>
      <c r="L968"/>
      <c r="M968"/>
      <c r="N968"/>
      <c r="O968"/>
      <c r="P968"/>
      <c r="Q968" s="2794"/>
      <c r="R968" s="2794"/>
      <c r="S968" s="2794"/>
      <c r="T968"/>
      <c r="U968"/>
      <c r="V968"/>
      <c r="W968"/>
      <c r="X968"/>
      <c r="Y968"/>
      <c r="Z968"/>
      <c r="AA968"/>
      <c r="AB968"/>
      <c r="AC968"/>
      <c r="AD968"/>
      <c r="AE968"/>
      <c r="AF968"/>
      <c r="AG968"/>
      <c r="AH968"/>
      <c r="AI968"/>
      <c r="AJ968"/>
      <c r="AK968"/>
      <c r="AL968"/>
      <c r="AM968"/>
      <c r="AN968"/>
      <c r="AO968"/>
      <c r="AP968"/>
    </row>
    <row r="969" spans="2:42" s="24" customFormat="1">
      <c r="B969"/>
      <c r="C969" s="206"/>
      <c r="E969" s="16"/>
      <c r="F969"/>
      <c r="G969" s="359"/>
      <c r="H969"/>
      <c r="I969"/>
      <c r="J969"/>
      <c r="K969"/>
      <c r="L969"/>
      <c r="M969"/>
      <c r="N969"/>
      <c r="O969"/>
      <c r="P969"/>
      <c r="Q969" s="2794"/>
      <c r="R969" s="2794"/>
      <c r="S969" s="2794"/>
      <c r="T969"/>
      <c r="U969"/>
      <c r="V969"/>
      <c r="W969"/>
      <c r="X969"/>
      <c r="Y969"/>
      <c r="Z969"/>
      <c r="AA969"/>
      <c r="AB969"/>
      <c r="AC969"/>
      <c r="AD969"/>
      <c r="AE969"/>
      <c r="AF969"/>
      <c r="AG969"/>
      <c r="AH969"/>
      <c r="AI969"/>
      <c r="AJ969"/>
      <c r="AK969"/>
      <c r="AL969"/>
      <c r="AM969"/>
      <c r="AN969"/>
      <c r="AO969"/>
      <c r="AP969"/>
    </row>
    <row r="970" spans="2:42" s="24" customFormat="1">
      <c r="B970"/>
      <c r="C970" s="206"/>
      <c r="E970" s="16"/>
      <c r="F970"/>
      <c r="G970" s="359"/>
      <c r="H970"/>
      <c r="I970"/>
      <c r="J970"/>
      <c r="K970"/>
      <c r="L970"/>
      <c r="M970"/>
      <c r="N970"/>
      <c r="O970"/>
      <c r="P970"/>
      <c r="Q970" s="2794"/>
      <c r="R970" s="2794"/>
      <c r="S970" s="2794"/>
      <c r="T970"/>
      <c r="U970"/>
      <c r="V970"/>
      <c r="W970"/>
      <c r="X970"/>
      <c r="Y970"/>
      <c r="Z970"/>
      <c r="AA970"/>
      <c r="AB970"/>
      <c r="AC970"/>
      <c r="AD970"/>
      <c r="AE970"/>
      <c r="AF970"/>
      <c r="AG970"/>
      <c r="AH970"/>
      <c r="AI970"/>
      <c r="AJ970"/>
      <c r="AK970"/>
      <c r="AL970"/>
      <c r="AM970"/>
      <c r="AN970"/>
      <c r="AO970"/>
      <c r="AP970"/>
    </row>
    <row r="971" spans="2:42" s="24" customFormat="1">
      <c r="B971"/>
      <c r="C971" s="206"/>
      <c r="E971" s="16"/>
      <c r="F971"/>
      <c r="G971" s="359"/>
      <c r="H971"/>
      <c r="I971"/>
      <c r="J971"/>
      <c r="K971"/>
      <c r="L971"/>
      <c r="M971"/>
      <c r="N971"/>
      <c r="O971"/>
      <c r="P971"/>
      <c r="Q971" s="2794"/>
      <c r="R971" s="2794"/>
      <c r="S971" s="2794"/>
      <c r="T971"/>
      <c r="U971"/>
      <c r="V971"/>
      <c r="W971"/>
      <c r="X971"/>
      <c r="Y971"/>
      <c r="Z971"/>
      <c r="AA971"/>
      <c r="AB971"/>
      <c r="AC971"/>
      <c r="AD971"/>
      <c r="AE971"/>
      <c r="AF971"/>
      <c r="AG971"/>
      <c r="AH971"/>
      <c r="AI971"/>
      <c r="AJ971"/>
      <c r="AK971"/>
      <c r="AL971"/>
      <c r="AM971"/>
      <c r="AN971"/>
      <c r="AO971"/>
      <c r="AP971"/>
    </row>
  </sheetData>
  <mergeCells count="57">
    <mergeCell ref="C43:C46"/>
    <mergeCell ref="D27:D30"/>
    <mergeCell ref="C31:C34"/>
    <mergeCell ref="D31:D34"/>
    <mergeCell ref="D75:D78"/>
    <mergeCell ref="C35:C38"/>
    <mergeCell ref="D35:D38"/>
    <mergeCell ref="C67:C70"/>
    <mergeCell ref="D67:D70"/>
    <mergeCell ref="D71:D74"/>
    <mergeCell ref="C63:C66"/>
    <mergeCell ref="D63:D66"/>
    <mergeCell ref="C71:C74"/>
    <mergeCell ref="D43:D46"/>
    <mergeCell ref="C39:C42"/>
    <mergeCell ref="D39:D42"/>
    <mergeCell ref="C51:C54"/>
    <mergeCell ref="C55:C58"/>
    <mergeCell ref="D55:D58"/>
    <mergeCell ref="D51:D54"/>
    <mergeCell ref="AE21:AE22"/>
    <mergeCell ref="AJ21:AJ22"/>
    <mergeCell ref="AK21:AK22"/>
    <mergeCell ref="V21:V22"/>
    <mergeCell ref="W21:W22"/>
    <mergeCell ref="X21:X22"/>
    <mergeCell ref="AB21:AB22"/>
    <mergeCell ref="AD21:AD22"/>
    <mergeCell ref="AH19:AK20"/>
    <mergeCell ref="C21:C22"/>
    <mergeCell ref="D21:D22"/>
    <mergeCell ref="E21:E22"/>
    <mergeCell ref="F21:G21"/>
    <mergeCell ref="H21:I21"/>
    <mergeCell ref="L21:M21"/>
    <mergeCell ref="N21:N22"/>
    <mergeCell ref="O21:O22"/>
    <mergeCell ref="P21:P22"/>
    <mergeCell ref="B17:K20"/>
    <mergeCell ref="L17:P18"/>
    <mergeCell ref="U17:AE18"/>
    <mergeCell ref="AD19:AE20"/>
    <mergeCell ref="U21:U22"/>
    <mergeCell ref="AC19:AC22"/>
    <mergeCell ref="L19:P20"/>
    <mergeCell ref="C23:C26"/>
    <mergeCell ref="D23:D26"/>
    <mergeCell ref="Q21:Q22"/>
    <mergeCell ref="R21:R22"/>
    <mergeCell ref="Q17:S20"/>
    <mergeCell ref="S21:S22"/>
    <mergeCell ref="U19:U20"/>
    <mergeCell ref="V19:Z20"/>
    <mergeCell ref="AA19:AB20"/>
    <mergeCell ref="Y21:Y22"/>
    <mergeCell ref="Z21:Z22"/>
    <mergeCell ref="AA21:AA22"/>
  </mergeCells>
  <hyperlinks>
    <hyperlink ref="L592" r:id="rId1" display="https://specialistsales.com.au/shop/woody-weeds/woody-weed-herbicides/liquid-chemicals/raizon-herbicide-triclopyr-picloram/?attribute_pa_size=5-litre&amp;gclid=CjwKCAjwtNf6BRAwEiwAkt6UQu9U1DcwPzEFvydMQllNbvCYHBEvL6z40f0X1GUym-s8iP-7KXdpoxoC9UgQAvD_BwE" xr:uid="{00000000-0004-0000-1B00-000000000000}"/>
    <hyperlink ref="M640" r:id="rId2" display="https://specialistsales.com.au/shop/woody-weeds/woody-weed-herbicides/liquid-chemicals/roundup-biactive-herbicide-glyphosate/?attribute_pa_size=20-litre&amp;gclid=EAIaIQobChMInuG-nofZ6wIVYZ_CCh2u5AaIEAkYASABEgJor_D_BwE" xr:uid="{00000000-0004-0000-1B00-000001000000}"/>
  </hyperlinks>
  <pageMargins left="0.7" right="0.7" top="0.75" bottom="0.75" header="0.3" footer="0.3"/>
  <pageSetup paperSize="9" orientation="portrait" horizontalDpi="0" verticalDpi="0"/>
  <drawing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B1:BE114"/>
  <sheetViews>
    <sheetView showGridLines="0" zoomScaleNormal="100" workbookViewId="0">
      <selection activeCell="H36" sqref="H36"/>
    </sheetView>
  </sheetViews>
  <sheetFormatPr baseColWidth="10" defaultColWidth="11" defaultRowHeight="16"/>
  <cols>
    <col min="1" max="1" width="4.6640625" customWidth="1"/>
    <col min="2" max="2" width="17.5" customWidth="1"/>
    <col min="3" max="3" width="49" customWidth="1"/>
    <col min="4" max="4" width="15.33203125" customWidth="1"/>
    <col min="5" max="5" width="13.33203125" customWidth="1"/>
    <col min="6" max="6" width="16.6640625" customWidth="1"/>
    <col min="7" max="11" width="14.33203125" customWidth="1"/>
    <col min="12" max="12" width="14.83203125" customWidth="1"/>
    <col min="13" max="20" width="14.33203125" customWidth="1"/>
    <col min="21" max="29" width="11.83203125" customWidth="1"/>
    <col min="30" max="30" width="11.83203125" style="2791" customWidth="1"/>
    <col min="31" max="31" width="54" bestFit="1" customWidth="1"/>
    <col min="32" max="32" width="8.1640625" customWidth="1"/>
    <col min="33" max="47" width="11.83203125" customWidth="1"/>
    <col min="48" max="48" width="12.1640625" customWidth="1"/>
    <col min="49" max="51" width="13.5" customWidth="1"/>
    <col min="52" max="52" width="48.83203125" customWidth="1"/>
    <col min="53" max="53" width="13.5" customWidth="1"/>
  </cols>
  <sheetData>
    <row r="1" spans="2:20">
      <c r="B1" s="8" t="s">
        <v>1035</v>
      </c>
    </row>
    <row r="3" spans="2:20">
      <c r="B3" s="8" t="s">
        <v>844</v>
      </c>
      <c r="G3" s="692"/>
      <c r="H3" s="692"/>
      <c r="I3" s="692"/>
      <c r="J3" s="692"/>
      <c r="K3" s="692"/>
      <c r="L3" s="692"/>
      <c r="M3" s="692"/>
      <c r="N3" s="692"/>
      <c r="O3" s="692"/>
      <c r="P3" s="692"/>
      <c r="Q3" s="692"/>
      <c r="R3" s="692"/>
      <c r="S3" s="692"/>
      <c r="T3" s="692"/>
    </row>
    <row r="4" spans="2:20" ht="17" thickBot="1">
      <c r="B4" t="s">
        <v>839</v>
      </c>
      <c r="C4" t="s">
        <v>845</v>
      </c>
      <c r="D4" s="1"/>
      <c r="E4" s="1"/>
      <c r="F4" s="1"/>
      <c r="G4" s="1"/>
      <c r="H4" s="1"/>
      <c r="I4" s="1"/>
      <c r="J4" s="1"/>
      <c r="K4" s="1"/>
      <c r="L4" s="1"/>
      <c r="M4" s="1"/>
      <c r="N4" s="1"/>
      <c r="O4" s="1"/>
      <c r="P4" s="1"/>
      <c r="Q4" s="1"/>
      <c r="R4" s="1"/>
      <c r="S4" s="1"/>
      <c r="T4" s="1"/>
    </row>
    <row r="5" spans="2:20">
      <c r="C5" s="804" t="s">
        <v>838</v>
      </c>
      <c r="D5" s="805" t="s">
        <v>860</v>
      </c>
      <c r="E5" s="805"/>
      <c r="F5" s="805"/>
      <c r="G5" s="79"/>
      <c r="H5" s="79"/>
      <c r="I5" s="79"/>
      <c r="J5" s="79"/>
      <c r="K5" s="79"/>
      <c r="L5" s="79"/>
      <c r="M5" s="79"/>
      <c r="N5" s="79"/>
      <c r="O5" s="79"/>
      <c r="P5" s="79"/>
      <c r="Q5" s="79"/>
      <c r="R5" s="79"/>
      <c r="S5" s="79"/>
      <c r="T5" s="79"/>
    </row>
    <row r="6" spans="2:20">
      <c r="C6" s="807" t="s">
        <v>827</v>
      </c>
      <c r="D6" t="s">
        <v>828</v>
      </c>
    </row>
    <row r="7" spans="2:20">
      <c r="C7" s="807" t="s">
        <v>827</v>
      </c>
      <c r="D7" t="s">
        <v>1708</v>
      </c>
    </row>
    <row r="8" spans="2:20">
      <c r="C8" s="807" t="s">
        <v>827</v>
      </c>
      <c r="D8" t="s">
        <v>1709</v>
      </c>
    </row>
    <row r="9" spans="2:20" s="2791" customFormat="1">
      <c r="C9" s="807" t="s">
        <v>827</v>
      </c>
      <c r="D9" s="2791" t="s">
        <v>2205</v>
      </c>
    </row>
    <row r="10" spans="2:20" s="2791" customFormat="1">
      <c r="C10" s="807" t="s">
        <v>827</v>
      </c>
      <c r="D10" s="2791" t="s">
        <v>2206</v>
      </c>
    </row>
    <row r="11" spans="2:20" s="2791" customFormat="1">
      <c r="C11" s="807"/>
    </row>
    <row r="12" spans="2:20" s="2791" customFormat="1">
      <c r="C12" s="807" t="s">
        <v>827</v>
      </c>
      <c r="D12" s="2791" t="s">
        <v>2381</v>
      </c>
    </row>
    <row r="13" spans="2:20" s="2791" customFormat="1">
      <c r="C13" s="807" t="s">
        <v>827</v>
      </c>
      <c r="D13" s="2791" t="s">
        <v>2382</v>
      </c>
    </row>
    <row r="14" spans="2:20" s="2791" customFormat="1">
      <c r="C14" s="807" t="s">
        <v>827</v>
      </c>
      <c r="D14" s="2791" t="s">
        <v>2383</v>
      </c>
    </row>
    <row r="15" spans="2:20" s="2791" customFormat="1">
      <c r="C15" s="807" t="s">
        <v>827</v>
      </c>
      <c r="D15" s="2791" t="s">
        <v>2384</v>
      </c>
    </row>
    <row r="16" spans="2:20" s="2791" customFormat="1">
      <c r="C16" s="807" t="s">
        <v>827</v>
      </c>
      <c r="D16" s="2791" t="s">
        <v>2385</v>
      </c>
    </row>
    <row r="17" spans="2:57" ht="17" thickBot="1">
      <c r="C17" s="808"/>
      <c r="D17" s="574"/>
      <c r="E17" s="574"/>
      <c r="F17" s="574"/>
      <c r="G17" s="79"/>
      <c r="H17" s="79"/>
      <c r="I17" s="79"/>
      <c r="J17" s="79"/>
      <c r="K17" s="79"/>
      <c r="L17" s="79"/>
      <c r="M17" s="79"/>
      <c r="N17" s="79"/>
      <c r="O17" s="79"/>
      <c r="P17" s="79"/>
      <c r="Q17" s="79"/>
      <c r="R17" s="79"/>
      <c r="S17" s="79"/>
      <c r="T17" s="79"/>
      <c r="BE17" s="587">
        <v>0</v>
      </c>
    </row>
    <row r="18" spans="2:57">
      <c r="C18" s="360" t="s">
        <v>851</v>
      </c>
      <c r="BE18" s="587"/>
    </row>
    <row r="19" spans="2:57">
      <c r="BE19" s="587"/>
    </row>
    <row r="20" spans="2:57">
      <c r="B20" s="1394" t="s">
        <v>942</v>
      </c>
      <c r="C20" s="1395" t="s">
        <v>1170</v>
      </c>
      <c r="BE20" s="587"/>
    </row>
    <row r="21" spans="2:57">
      <c r="C21" s="1396" t="s">
        <v>1169</v>
      </c>
    </row>
    <row r="22" spans="2:57">
      <c r="B22" s="8" t="s">
        <v>730</v>
      </c>
      <c r="C22" s="1394"/>
    </row>
    <row r="23" spans="2:57" ht="17">
      <c r="B23" s="3" t="s">
        <v>847</v>
      </c>
      <c r="G23" s="562"/>
      <c r="H23" s="562"/>
      <c r="I23" s="562"/>
      <c r="J23" s="562"/>
      <c r="K23" s="562"/>
      <c r="L23" s="562"/>
      <c r="M23" s="562"/>
      <c r="N23" s="562"/>
      <c r="O23" s="562"/>
      <c r="P23" s="562"/>
      <c r="Q23" s="562"/>
      <c r="R23" s="562"/>
      <c r="S23" s="562"/>
      <c r="T23" s="562"/>
    </row>
    <row r="24" spans="2:57" ht="17">
      <c r="B24" s="3"/>
      <c r="C24" t="s">
        <v>1359</v>
      </c>
      <c r="G24" s="562"/>
      <c r="H24" s="562"/>
      <c r="I24" s="562"/>
      <c r="J24" s="562"/>
      <c r="K24" s="562"/>
      <c r="L24" s="562"/>
      <c r="M24" s="562"/>
      <c r="N24" s="562"/>
      <c r="O24" s="562"/>
      <c r="P24" s="562"/>
      <c r="Q24" s="562"/>
      <c r="R24" s="562"/>
      <c r="S24" s="562"/>
      <c r="T24" s="562"/>
    </row>
    <row r="25" spans="2:57" ht="17">
      <c r="C25" t="s">
        <v>1360</v>
      </c>
      <c r="G25" s="562"/>
      <c r="H25" s="562"/>
      <c r="I25" s="562"/>
      <c r="J25" s="562"/>
      <c r="K25" s="562"/>
      <c r="L25" s="562"/>
      <c r="M25" s="562"/>
      <c r="N25" s="562"/>
      <c r="O25" s="562"/>
      <c r="P25" s="562"/>
      <c r="Q25" s="562"/>
      <c r="R25" s="562"/>
      <c r="S25" s="562"/>
      <c r="T25" s="562"/>
    </row>
    <row r="26" spans="2:57" ht="17">
      <c r="C26" t="s">
        <v>2000</v>
      </c>
      <c r="G26" s="562"/>
      <c r="H26" s="562"/>
      <c r="I26" s="562"/>
      <c r="J26" s="562"/>
      <c r="K26" s="562"/>
      <c r="L26" s="562"/>
      <c r="M26" s="562"/>
      <c r="N26" s="562"/>
      <c r="O26" s="562"/>
      <c r="P26" s="562"/>
      <c r="Q26" s="562"/>
      <c r="R26" s="562"/>
      <c r="S26" s="562"/>
      <c r="T26" s="562"/>
    </row>
    <row r="27" spans="2:57" ht="17">
      <c r="C27" t="s">
        <v>2001</v>
      </c>
      <c r="G27" s="562"/>
      <c r="H27" s="562"/>
      <c r="I27" s="562"/>
      <c r="J27" s="562"/>
      <c r="K27" s="562"/>
      <c r="L27" s="562"/>
      <c r="M27" s="562"/>
      <c r="N27" s="562"/>
      <c r="O27" s="562"/>
      <c r="P27" s="562"/>
      <c r="Q27" s="562"/>
      <c r="R27" s="562"/>
      <c r="S27" s="562"/>
      <c r="T27" s="562"/>
    </row>
    <row r="28" spans="2:57" ht="17">
      <c r="C28" t="s">
        <v>2003</v>
      </c>
      <c r="G28" s="562"/>
      <c r="H28" s="562"/>
      <c r="I28" s="562"/>
      <c r="J28" s="562"/>
      <c r="K28" s="562"/>
      <c r="L28" s="562"/>
      <c r="M28" s="562"/>
      <c r="N28" s="562"/>
      <c r="O28" s="562"/>
      <c r="P28" s="562"/>
      <c r="Q28" s="562"/>
      <c r="R28" s="562"/>
      <c r="S28" s="562"/>
      <c r="T28" s="562"/>
    </row>
    <row r="29" spans="2:57" ht="17">
      <c r="C29" t="s">
        <v>2002</v>
      </c>
      <c r="G29" s="562"/>
      <c r="H29" s="562"/>
      <c r="I29" s="562"/>
      <c r="J29" s="562"/>
      <c r="K29" s="562"/>
      <c r="L29" s="562"/>
      <c r="M29" s="562"/>
      <c r="N29" s="562"/>
      <c r="O29" s="562"/>
      <c r="P29" s="562"/>
      <c r="Q29" s="562"/>
      <c r="R29" s="562"/>
      <c r="S29" s="562"/>
      <c r="T29" s="562"/>
    </row>
    <row r="30" spans="2:57">
      <c r="C30" t="s">
        <v>1163</v>
      </c>
      <c r="G30" s="692"/>
      <c r="H30" s="692"/>
      <c r="I30" s="692"/>
      <c r="J30" s="692"/>
      <c r="K30" s="692"/>
      <c r="L30" s="692"/>
      <c r="M30" s="692"/>
      <c r="N30" s="692"/>
      <c r="O30" s="692"/>
      <c r="P30" s="692"/>
      <c r="Q30" s="692"/>
      <c r="R30" s="692"/>
      <c r="S30" s="692"/>
      <c r="T30" s="692"/>
    </row>
    <row r="31" spans="2:57">
      <c r="C31" t="s">
        <v>843</v>
      </c>
      <c r="G31" s="692"/>
      <c r="H31" s="692"/>
      <c r="I31" s="692"/>
      <c r="J31" s="692"/>
      <c r="K31" s="692"/>
      <c r="L31" s="692"/>
      <c r="M31" s="692"/>
      <c r="N31" s="692"/>
      <c r="O31" s="692"/>
      <c r="P31" s="692"/>
      <c r="Q31" s="692"/>
      <c r="R31" s="692"/>
      <c r="S31" s="692"/>
      <c r="T31" s="692"/>
    </row>
    <row r="32" spans="2:57" ht="17">
      <c r="C32" t="s">
        <v>867</v>
      </c>
      <c r="G32" s="562"/>
      <c r="H32" s="562"/>
      <c r="I32" s="562"/>
      <c r="J32" s="562"/>
      <c r="K32" s="562"/>
      <c r="L32" s="562"/>
      <c r="M32" s="562"/>
      <c r="N32" s="562"/>
      <c r="O32" s="562"/>
      <c r="P32" s="562"/>
      <c r="Q32" s="562"/>
      <c r="R32" s="562"/>
      <c r="S32" s="562"/>
      <c r="T32" s="562"/>
    </row>
    <row r="33" spans="2:49" ht="17">
      <c r="C33" t="s">
        <v>805</v>
      </c>
      <c r="D33" s="31"/>
      <c r="G33" s="562"/>
      <c r="H33" s="562"/>
      <c r="I33" s="562"/>
      <c r="J33" s="562"/>
      <c r="K33" s="562"/>
      <c r="L33" s="562"/>
      <c r="M33" s="562"/>
      <c r="N33" s="562"/>
      <c r="O33" s="562"/>
      <c r="P33" s="562"/>
      <c r="Q33" s="562"/>
      <c r="R33" s="562"/>
      <c r="S33" s="562"/>
      <c r="T33" s="562"/>
    </row>
    <row r="34" spans="2:49" ht="17">
      <c r="D34" s="31"/>
      <c r="G34" s="562"/>
      <c r="H34" s="562"/>
      <c r="I34" s="562"/>
      <c r="J34" s="562"/>
      <c r="K34" s="562"/>
      <c r="L34" s="562"/>
      <c r="M34" s="562"/>
      <c r="N34" s="562"/>
      <c r="O34" s="562"/>
      <c r="P34" s="562"/>
      <c r="Q34" s="562"/>
      <c r="R34" s="562"/>
      <c r="S34" s="562"/>
      <c r="T34" s="562"/>
    </row>
    <row r="35" spans="2:49" ht="17">
      <c r="D35" s="31"/>
      <c r="G35" s="562"/>
      <c r="H35" s="562"/>
      <c r="I35" s="562"/>
      <c r="J35" s="562"/>
      <c r="K35" s="562"/>
      <c r="L35" s="562"/>
      <c r="M35" s="562"/>
      <c r="N35" s="562"/>
      <c r="O35" s="562"/>
      <c r="P35" s="562"/>
      <c r="Q35" s="562"/>
      <c r="R35" s="562"/>
      <c r="S35" s="562"/>
      <c r="T35" s="562"/>
    </row>
    <row r="36" spans="2:49" ht="17">
      <c r="D36" s="31"/>
      <c r="G36" s="562"/>
      <c r="H36" s="562"/>
      <c r="I36" s="562"/>
      <c r="J36" s="562"/>
      <c r="K36" s="562"/>
      <c r="L36" s="562"/>
      <c r="M36" s="562"/>
      <c r="N36" s="562"/>
      <c r="O36" s="562"/>
      <c r="P36" s="562"/>
      <c r="Q36" s="562"/>
      <c r="R36" s="562"/>
      <c r="S36" s="562"/>
      <c r="T36" s="562"/>
    </row>
    <row r="37" spans="2:49" ht="17">
      <c r="B37" s="3" t="s">
        <v>846</v>
      </c>
      <c r="G37" s="562"/>
      <c r="H37" s="562"/>
      <c r="I37" s="562"/>
      <c r="J37" s="562"/>
      <c r="K37" s="562"/>
      <c r="L37" s="562"/>
      <c r="M37" s="562"/>
      <c r="N37" s="562"/>
      <c r="O37" s="562"/>
      <c r="P37" s="562"/>
      <c r="Q37" s="562"/>
      <c r="R37" s="562"/>
      <c r="S37" s="562"/>
      <c r="T37" s="562"/>
    </row>
    <row r="38" spans="2:49" ht="17">
      <c r="C38" t="s">
        <v>2012</v>
      </c>
      <c r="G38" s="562"/>
      <c r="H38" s="562"/>
      <c r="I38" s="562"/>
      <c r="J38" s="562"/>
      <c r="K38" s="562"/>
      <c r="L38" s="562"/>
      <c r="M38" s="562"/>
      <c r="N38" s="562"/>
      <c r="O38" s="562"/>
      <c r="P38" s="562"/>
      <c r="Q38" s="562"/>
      <c r="R38" s="562"/>
      <c r="S38" s="562"/>
      <c r="T38" s="562"/>
    </row>
    <row r="39" spans="2:49" ht="17">
      <c r="C39" s="693"/>
      <c r="D39" s="31"/>
      <c r="G39" s="562"/>
      <c r="H39" s="562"/>
      <c r="I39" s="562"/>
      <c r="J39" s="562"/>
      <c r="K39" s="562"/>
      <c r="L39" s="562"/>
      <c r="M39" s="562"/>
      <c r="N39" s="562"/>
      <c r="O39" s="562"/>
      <c r="P39" s="562"/>
      <c r="Q39" s="562"/>
      <c r="R39" s="562"/>
      <c r="S39" s="562"/>
    </row>
    <row r="40" spans="2:49">
      <c r="C40" s="693" t="s">
        <v>2254</v>
      </c>
      <c r="G40" s="692"/>
      <c r="H40" s="692"/>
      <c r="I40" s="692"/>
      <c r="J40" s="692"/>
      <c r="K40" s="692"/>
      <c r="L40" s="692"/>
      <c r="M40" s="692"/>
      <c r="N40" s="692"/>
      <c r="O40" s="692"/>
      <c r="P40" s="692"/>
      <c r="Q40" s="692"/>
      <c r="R40" s="692"/>
      <c r="S40" s="692"/>
    </row>
    <row r="41" spans="2:49" ht="17">
      <c r="C41" s="693" t="s">
        <v>2255</v>
      </c>
      <c r="G41" s="562"/>
      <c r="H41" s="562"/>
      <c r="I41" s="562"/>
      <c r="J41" s="562"/>
      <c r="K41" s="562"/>
      <c r="L41" s="562"/>
      <c r="M41" s="562"/>
      <c r="N41" s="562"/>
      <c r="O41" s="562"/>
      <c r="P41" s="562"/>
      <c r="Q41" s="562"/>
      <c r="R41" s="562"/>
      <c r="S41" s="562"/>
    </row>
    <row r="42" spans="2:49">
      <c r="C42" s="693" t="s">
        <v>2006</v>
      </c>
      <c r="G42" s="692"/>
      <c r="H42" s="692"/>
      <c r="I42" s="692"/>
      <c r="J42" s="692"/>
      <c r="K42" s="692"/>
      <c r="L42" s="692"/>
      <c r="M42" s="692"/>
      <c r="N42" s="692"/>
      <c r="O42" s="692"/>
      <c r="P42" s="692"/>
      <c r="Q42" s="692"/>
      <c r="R42" s="692"/>
      <c r="S42" s="692"/>
    </row>
    <row r="43" spans="2:49">
      <c r="C43" t="s">
        <v>836</v>
      </c>
      <c r="G43" s="692"/>
      <c r="H43" s="692"/>
      <c r="I43" s="692"/>
      <c r="J43" s="692"/>
      <c r="K43" s="692"/>
      <c r="L43" s="692"/>
      <c r="M43" s="692"/>
      <c r="N43" s="692"/>
      <c r="O43" s="692"/>
      <c r="P43" s="692"/>
      <c r="Q43" s="692"/>
      <c r="R43" s="692"/>
      <c r="S43" s="692"/>
    </row>
    <row r="44" spans="2:49">
      <c r="D44" t="s">
        <v>2370</v>
      </c>
      <c r="G44" s="692"/>
      <c r="H44" s="692"/>
      <c r="I44" s="692"/>
      <c r="J44" s="692"/>
      <c r="K44" s="692"/>
      <c r="L44" s="692"/>
      <c r="M44" s="692"/>
      <c r="N44" s="692"/>
      <c r="O44" s="692"/>
      <c r="P44" s="692"/>
      <c r="Q44" s="692"/>
      <c r="R44" s="692"/>
      <c r="S44" s="692"/>
    </row>
    <row r="45" spans="2:49">
      <c r="G45" s="692"/>
      <c r="H45" s="692"/>
      <c r="I45" s="692"/>
      <c r="J45" s="692"/>
      <c r="K45" s="692"/>
      <c r="L45" s="692"/>
      <c r="M45" s="692"/>
      <c r="N45" s="692"/>
      <c r="O45" s="692"/>
      <c r="P45" s="692"/>
      <c r="Q45" s="692"/>
      <c r="R45" s="692"/>
      <c r="S45" s="692"/>
    </row>
    <row r="46" spans="2:49">
      <c r="G46" s="692"/>
      <c r="H46" s="692"/>
      <c r="I46" s="692"/>
      <c r="J46" s="692"/>
      <c r="K46" s="692"/>
      <c r="L46" s="692"/>
      <c r="M46" s="692"/>
      <c r="N46" s="692"/>
      <c r="O46" s="692"/>
      <c r="P46" s="692"/>
      <c r="Q46" s="692"/>
      <c r="R46" s="692"/>
      <c r="S46" s="692"/>
    </row>
    <row r="47" spans="2:49">
      <c r="G47" s="692"/>
      <c r="H47" s="692"/>
      <c r="J47" s="207"/>
      <c r="K47" s="16"/>
      <c r="L47" s="2"/>
      <c r="Q47" s="692"/>
      <c r="R47" s="692"/>
      <c r="S47" s="692"/>
    </row>
    <row r="48" spans="2:49">
      <c r="B48" s="1"/>
      <c r="C48" s="360"/>
      <c r="I48" s="206"/>
      <c r="J48" s="207"/>
      <c r="K48" s="16"/>
      <c r="L48" s="2"/>
      <c r="AW48" s="587"/>
    </row>
    <row r="49" spans="2:50">
      <c r="B49" s="8" t="s">
        <v>1036</v>
      </c>
      <c r="C49" s="100"/>
      <c r="F49" s="1"/>
      <c r="G49" s="1"/>
      <c r="H49" s="1"/>
      <c r="J49" s="1258" t="s">
        <v>1362</v>
      </c>
      <c r="K49" s="16"/>
      <c r="R49" s="1" t="s">
        <v>2112</v>
      </c>
      <c r="T49" s="1"/>
      <c r="U49" s="1"/>
      <c r="V49" s="1"/>
      <c r="W49" s="1"/>
      <c r="X49" s="1"/>
      <c r="Y49" s="1"/>
      <c r="Z49" s="1"/>
      <c r="AA49" s="1"/>
      <c r="AB49" s="1"/>
      <c r="AC49" s="1"/>
      <c r="AD49" s="1"/>
      <c r="AW49" s="587"/>
    </row>
    <row r="50" spans="2:50">
      <c r="B50" t="s">
        <v>1363</v>
      </c>
      <c r="AN50" t="s">
        <v>1053</v>
      </c>
      <c r="AW50" s="587"/>
    </row>
    <row r="51" spans="2:50">
      <c r="C51" t="s">
        <v>1364</v>
      </c>
      <c r="R51" s="259">
        <f>'Overall Assumptions'!$C$179</f>
        <v>208.4</v>
      </c>
      <c r="S51" s="259">
        <f>'Overall Assumptions'!$C$179</f>
        <v>208.4</v>
      </c>
      <c r="T51" s="259">
        <f>'Overall Assumptions'!$C$179</f>
        <v>208.4</v>
      </c>
      <c r="V51" s="259">
        <f>'Overall Assumptions'!$C$179</f>
        <v>208.4</v>
      </c>
      <c r="AC51" s="259"/>
      <c r="AD51" s="259"/>
      <c r="AW51" s="587"/>
    </row>
    <row r="52" spans="2:50">
      <c r="C52" s="360" t="s">
        <v>1052</v>
      </c>
      <c r="D52" s="1"/>
      <c r="E52" s="1"/>
      <c r="AC52" s="79"/>
      <c r="AD52" s="79"/>
      <c r="AW52" s="587"/>
    </row>
    <row r="53" spans="2:50" ht="16" customHeight="1">
      <c r="C53" s="4" t="s">
        <v>730</v>
      </c>
      <c r="D53" s="593" t="s">
        <v>832</v>
      </c>
      <c r="F53" s="2659" t="s">
        <v>799</v>
      </c>
      <c r="G53" s="2629" t="s">
        <v>1164</v>
      </c>
      <c r="H53" s="2625" t="s">
        <v>2004</v>
      </c>
      <c r="J53" s="3889" t="s">
        <v>2005</v>
      </c>
      <c r="K53" s="3890"/>
      <c r="L53" s="3890"/>
      <c r="M53" s="3890"/>
      <c r="N53" s="3890"/>
      <c r="O53" s="3890"/>
      <c r="P53" s="3891"/>
      <c r="Q53" s="1270"/>
      <c r="R53" s="2659" t="s">
        <v>799</v>
      </c>
      <c r="S53" s="2629" t="s">
        <v>1164</v>
      </c>
      <c r="T53" s="2625" t="s">
        <v>2004</v>
      </c>
      <c r="U53" s="79"/>
      <c r="V53" s="3889" t="s">
        <v>2005</v>
      </c>
      <c r="W53" s="3890"/>
      <c r="X53" s="3890"/>
      <c r="Y53" s="3890"/>
      <c r="Z53" s="3890"/>
      <c r="AA53" s="3890"/>
      <c r="AB53" s="3891"/>
      <c r="AC53" s="79"/>
      <c r="AD53" s="79"/>
      <c r="AF53" s="79"/>
      <c r="AG53" s="3889" t="s">
        <v>2005</v>
      </c>
      <c r="AH53" s="3890"/>
      <c r="AI53" s="3890"/>
      <c r="AJ53" s="3890"/>
      <c r="AK53" s="3890"/>
      <c r="AL53" s="3890"/>
      <c r="AM53" s="3891"/>
      <c r="AN53" s="9">
        <v>0</v>
      </c>
      <c r="AO53" s="9">
        <v>1</v>
      </c>
      <c r="AP53" s="9">
        <v>2</v>
      </c>
      <c r="AQ53" s="9">
        <v>3</v>
      </c>
      <c r="AR53" s="9"/>
      <c r="AS53" s="9"/>
      <c r="AX53" s="587"/>
    </row>
    <row r="54" spans="2:50" ht="16" customHeight="1">
      <c r="C54" s="402" t="s">
        <v>819</v>
      </c>
      <c r="D54" s="3828" t="s">
        <v>801</v>
      </c>
      <c r="F54" s="3883" t="s">
        <v>1361</v>
      </c>
      <c r="G54" s="3884"/>
      <c r="H54" s="3885"/>
      <c r="I54" s="79"/>
      <c r="J54" s="3895" t="s">
        <v>1166</v>
      </c>
      <c r="K54" s="3896"/>
      <c r="L54" s="3896"/>
      <c r="M54" s="3896"/>
      <c r="N54" s="3896"/>
      <c r="O54" s="3896"/>
      <c r="P54" s="3897"/>
      <c r="Q54" s="1272"/>
      <c r="R54" s="3741" t="s">
        <v>825</v>
      </c>
      <c r="S54" s="3742"/>
      <c r="T54" s="3743"/>
      <c r="U54" s="79"/>
      <c r="V54" s="3895" t="s">
        <v>1166</v>
      </c>
      <c r="W54" s="3896"/>
      <c r="X54" s="3896"/>
      <c r="Y54" s="3896"/>
      <c r="Z54" s="3896"/>
      <c r="AA54" s="3896"/>
      <c r="AB54" s="3897"/>
      <c r="AC54" s="1323"/>
      <c r="AD54" s="1323"/>
      <c r="AF54" s="79"/>
      <c r="AG54" s="3895" t="s">
        <v>1166</v>
      </c>
      <c r="AH54" s="3896"/>
      <c r="AI54" s="3896"/>
      <c r="AJ54" s="3896"/>
      <c r="AK54" s="3896"/>
      <c r="AL54" s="3896"/>
      <c r="AM54" s="3897"/>
      <c r="AN54" s="107" t="s">
        <v>821</v>
      </c>
      <c r="AO54" s="320"/>
      <c r="AP54" s="320"/>
      <c r="AQ54" s="108"/>
      <c r="AR54" s="122"/>
      <c r="AS54" s="9"/>
      <c r="AX54" s="587"/>
    </row>
    <row r="55" spans="2:50" ht="16" customHeight="1">
      <c r="C55" s="404"/>
      <c r="D55" s="3829"/>
      <c r="F55" s="2779"/>
      <c r="G55" s="2626"/>
      <c r="H55" s="2628"/>
      <c r="I55" s="79"/>
      <c r="J55" s="878">
        <f t="shared" ref="J55:P55" ca="1" si="0">OFFSET($K$108,J94,0)</f>
        <v>0.4</v>
      </c>
      <c r="K55" s="1397">
        <f t="shared" ca="1" si="0"/>
        <v>0.6</v>
      </c>
      <c r="L55" s="1397">
        <f t="shared" ca="1" si="0"/>
        <v>0.6</v>
      </c>
      <c r="M55" s="1398">
        <f t="shared" ca="1" si="0"/>
        <v>1</v>
      </c>
      <c r="N55" s="1398">
        <f t="shared" ca="1" si="0"/>
        <v>1</v>
      </c>
      <c r="O55" s="1398">
        <f t="shared" ca="1" si="0"/>
        <v>2</v>
      </c>
      <c r="P55" s="1399">
        <f t="shared" ca="1" si="0"/>
        <v>2</v>
      </c>
      <c r="Q55" s="1591"/>
      <c r="R55" s="3889"/>
      <c r="S55" s="3890"/>
      <c r="T55" s="3891"/>
      <c r="U55" s="79"/>
      <c r="V55" s="878">
        <f t="shared" ref="V55:AB55" ca="1" si="1">J55</f>
        <v>0.4</v>
      </c>
      <c r="W55" s="1397">
        <f t="shared" ca="1" si="1"/>
        <v>0.6</v>
      </c>
      <c r="X55" s="1397">
        <f t="shared" ca="1" si="1"/>
        <v>0.6</v>
      </c>
      <c r="Y55" s="1398">
        <f t="shared" ca="1" si="1"/>
        <v>1</v>
      </c>
      <c r="Z55" s="1398">
        <f t="shared" ca="1" si="1"/>
        <v>1</v>
      </c>
      <c r="AA55" s="1398">
        <f t="shared" ca="1" si="1"/>
        <v>2</v>
      </c>
      <c r="AB55" s="1399">
        <f t="shared" ca="1" si="1"/>
        <v>2</v>
      </c>
      <c r="AC55" s="1323"/>
      <c r="AD55" s="1323"/>
      <c r="AF55" s="79"/>
      <c r="AG55" s="878">
        <f t="shared" ref="AG55:AM55" ca="1" si="2">J55</f>
        <v>0.4</v>
      </c>
      <c r="AH55" s="1397">
        <f t="shared" ca="1" si="2"/>
        <v>0.6</v>
      </c>
      <c r="AI55" s="1397">
        <f t="shared" ca="1" si="2"/>
        <v>0.6</v>
      </c>
      <c r="AJ55" s="1398">
        <f t="shared" ca="1" si="2"/>
        <v>1</v>
      </c>
      <c r="AK55" s="1398">
        <f t="shared" ca="1" si="2"/>
        <v>1</v>
      </c>
      <c r="AL55" s="1398">
        <f t="shared" ca="1" si="2"/>
        <v>2</v>
      </c>
      <c r="AM55" s="1399">
        <f t="shared" ca="1" si="2"/>
        <v>2</v>
      </c>
      <c r="AN55" s="1163" t="s">
        <v>3</v>
      </c>
      <c r="AO55" s="108" t="s">
        <v>132</v>
      </c>
      <c r="AP55" s="108" t="s">
        <v>4</v>
      </c>
      <c r="AQ55" s="108" t="s">
        <v>21</v>
      </c>
      <c r="AR55" s="122"/>
      <c r="AS55" s="9"/>
      <c r="AX55" s="587"/>
    </row>
    <row r="56" spans="2:50" ht="16" customHeight="1">
      <c r="C56" s="404"/>
      <c r="D56" s="3829"/>
      <c r="F56" s="2779"/>
      <c r="G56" s="2780"/>
      <c r="H56" s="2781"/>
      <c r="I56" s="79"/>
      <c r="J56" s="3946" t="s">
        <v>734</v>
      </c>
      <c r="K56" s="3947"/>
      <c r="L56" s="3947"/>
      <c r="M56" s="3947"/>
      <c r="N56" s="3947"/>
      <c r="O56" s="3947"/>
      <c r="P56" s="3948"/>
      <c r="Q56" s="1591"/>
      <c r="R56" s="3895"/>
      <c r="S56" s="3896"/>
      <c r="T56" s="3897"/>
      <c r="U56" s="79"/>
      <c r="V56" s="3946" t="s">
        <v>734</v>
      </c>
      <c r="W56" s="3947"/>
      <c r="X56" s="3947"/>
      <c r="Y56" s="3947"/>
      <c r="Z56" s="3947"/>
      <c r="AA56" s="3947"/>
      <c r="AB56" s="3948"/>
      <c r="AC56" s="1323"/>
      <c r="AD56" s="1323"/>
      <c r="AF56" s="79"/>
      <c r="AG56" s="4043" t="s">
        <v>734</v>
      </c>
      <c r="AH56" s="4044"/>
      <c r="AI56" s="4044"/>
      <c r="AJ56" s="4044"/>
      <c r="AK56" s="4044"/>
      <c r="AL56" s="4044"/>
      <c r="AM56" s="4045"/>
      <c r="AN56" s="3202"/>
      <c r="AO56" s="2790"/>
      <c r="AP56" s="2790"/>
      <c r="AQ56" s="109"/>
      <c r="AR56" s="122"/>
      <c r="AS56" s="9"/>
      <c r="AX56" s="587"/>
    </row>
    <row r="57" spans="2:50" ht="34">
      <c r="B57" s="79"/>
      <c r="C57" s="404"/>
      <c r="D57" s="3829"/>
      <c r="F57" s="2660"/>
      <c r="G57" s="439"/>
      <c r="H57" s="162"/>
      <c r="I57" s="274" t="s">
        <v>1161</v>
      </c>
      <c r="J57" s="1390" t="s">
        <v>745</v>
      </c>
      <c r="K57" s="273" t="s">
        <v>744</v>
      </c>
      <c r="L57" s="334" t="s">
        <v>747</v>
      </c>
      <c r="M57" s="401" t="s">
        <v>743</v>
      </c>
      <c r="N57" s="401" t="s">
        <v>748</v>
      </c>
      <c r="O57" s="401" t="s">
        <v>742</v>
      </c>
      <c r="P57" s="274" t="s">
        <v>746</v>
      </c>
      <c r="Q57" s="246"/>
      <c r="R57" s="405" t="s">
        <v>802</v>
      </c>
      <c r="S57" s="439"/>
      <c r="T57" s="162" t="s">
        <v>733</v>
      </c>
      <c r="U57" s="593" t="s">
        <v>1161</v>
      </c>
      <c r="V57" s="1390" t="s">
        <v>745</v>
      </c>
      <c r="W57" s="273" t="s">
        <v>744</v>
      </c>
      <c r="X57" s="334" t="s">
        <v>747</v>
      </c>
      <c r="Y57" s="401" t="s">
        <v>743</v>
      </c>
      <c r="Z57" s="401" t="s">
        <v>748</v>
      </c>
      <c r="AA57" s="401" t="s">
        <v>742</v>
      </c>
      <c r="AB57" s="274" t="s">
        <v>746</v>
      </c>
      <c r="AC57" s="3012" t="s">
        <v>2159</v>
      </c>
      <c r="AD57" s="3012"/>
      <c r="AF57" s="593" t="s">
        <v>2207</v>
      </c>
      <c r="AG57" s="1390" t="s">
        <v>745</v>
      </c>
      <c r="AH57" s="273" t="s">
        <v>744</v>
      </c>
      <c r="AI57" s="334" t="s">
        <v>747</v>
      </c>
      <c r="AJ57" s="401" t="s">
        <v>743</v>
      </c>
      <c r="AK57" s="401" t="s">
        <v>748</v>
      </c>
      <c r="AL57" s="401" t="s">
        <v>742</v>
      </c>
      <c r="AM57" s="274" t="s">
        <v>746</v>
      </c>
      <c r="AN57" s="987"/>
      <c r="AO57" s="323"/>
      <c r="AP57" s="323"/>
      <c r="AQ57" s="323"/>
      <c r="AR57" s="9"/>
      <c r="AS57" s="9"/>
      <c r="AX57" s="587"/>
    </row>
    <row r="58" spans="2:50">
      <c r="B58" s="480" t="s">
        <v>862</v>
      </c>
      <c r="C58" s="255" t="s">
        <v>57</v>
      </c>
      <c r="D58" s="749"/>
      <c r="F58" s="839">
        <f>'Invasive Fish Mgmt'!$AB$23</f>
        <v>85.55624999999992</v>
      </c>
      <c r="G58" s="690"/>
      <c r="H58" s="691"/>
      <c r="I58" s="1261"/>
      <c r="J58" s="843"/>
      <c r="K58" s="1329"/>
      <c r="L58" s="844"/>
      <c r="M58" s="1329"/>
      <c r="N58" s="844"/>
      <c r="O58" s="1329"/>
      <c r="P58" s="844"/>
      <c r="Q58" s="1259"/>
      <c r="R58" s="1280"/>
      <c r="S58" s="1279"/>
      <c r="T58" s="1207"/>
      <c r="U58" s="480"/>
      <c r="V58" s="843"/>
      <c r="W58" s="1393"/>
      <c r="X58" s="1329"/>
      <c r="Y58" s="1393"/>
      <c r="Z58" s="1329"/>
      <c r="AA58" s="1329"/>
      <c r="AB58" s="1328"/>
      <c r="AC58" s="122"/>
      <c r="AD58" s="122"/>
      <c r="AE58" s="255" t="s">
        <v>57</v>
      </c>
      <c r="AF58" s="480"/>
      <c r="AG58" s="843"/>
      <c r="AH58" s="1329"/>
      <c r="AI58" s="844"/>
      <c r="AJ58" s="1329"/>
      <c r="AK58" s="844"/>
      <c r="AL58" s="1329"/>
      <c r="AM58" s="844"/>
      <c r="AN58" s="3203">
        <f ca="1">OFFSET('Invasive Fish Mgmt'!$AC$23,AN$53+$AR58,0)</f>
        <v>1</v>
      </c>
      <c r="AO58" s="1345" t="str">
        <f ca="1">OFFSET('Invasive Fish Mgmt'!$AC$23,AO$53+$AR58,0)</f>
        <v/>
      </c>
      <c r="AP58" s="1054" t="str">
        <f ca="1">OFFSET('Invasive Fish Mgmt'!$AC$23,AP$53+$AR58,0)</f>
        <v/>
      </c>
      <c r="AQ58" s="1345" t="str">
        <f ca="1">OFFSET('Invasive Fish Mgmt'!$AC$23,AQ$53+$AR58,0)</f>
        <v/>
      </c>
      <c r="AR58" s="587">
        <v>0</v>
      </c>
      <c r="AS58" s="976">
        <f t="shared" ref="AS58:AS71" ca="1" si="3">SUM(AN58:AQ58)</f>
        <v>1</v>
      </c>
      <c r="AX58" s="587"/>
    </row>
    <row r="59" spans="2:50" ht="16" customHeight="1">
      <c r="B59" s="591" t="s">
        <v>863</v>
      </c>
      <c r="C59" s="122" t="s">
        <v>58</v>
      </c>
      <c r="D59" s="606"/>
      <c r="F59" s="841">
        <f>'Invasive Fish Mgmt'!$AB$27</f>
        <v>29.177130044843025</v>
      </c>
      <c r="G59" s="690"/>
      <c r="H59" s="691"/>
      <c r="I59" s="625"/>
      <c r="J59" s="843"/>
      <c r="K59" s="691"/>
      <c r="L59" s="844"/>
      <c r="M59" s="691"/>
      <c r="N59" s="844"/>
      <c r="O59" s="691"/>
      <c r="P59" s="844"/>
      <c r="Q59" s="1259"/>
      <c r="R59" s="2882">
        <f>'Invasive Fish Mgmt'!$S$28</f>
        <v>0.99999999999999911</v>
      </c>
      <c r="S59" s="2883"/>
      <c r="T59" s="2884"/>
      <c r="U59" s="591"/>
      <c r="V59" s="843"/>
      <c r="W59" s="843"/>
      <c r="X59" s="691"/>
      <c r="Y59" s="843"/>
      <c r="Z59" s="691"/>
      <c r="AA59" s="691"/>
      <c r="AB59" s="844"/>
      <c r="AC59" s="122"/>
      <c r="AD59" s="122"/>
      <c r="AE59" s="122" t="s">
        <v>58</v>
      </c>
      <c r="AF59" s="591"/>
      <c r="AG59" s="843"/>
      <c r="AH59" s="691"/>
      <c r="AI59" s="844"/>
      <c r="AJ59" s="691"/>
      <c r="AK59" s="844"/>
      <c r="AL59" s="691"/>
      <c r="AM59" s="844"/>
      <c r="AN59" s="2996">
        <f ca="1">OFFSET('Invasive Fish Mgmt'!$AC$23,AN$53+$AR59,0)</f>
        <v>1</v>
      </c>
      <c r="AO59" s="1346" t="str">
        <f ca="1">OFFSET('Invasive Fish Mgmt'!$AC$23,AO$53+$AR59,0)</f>
        <v/>
      </c>
      <c r="AP59" s="609" t="str">
        <f ca="1">OFFSET('Invasive Fish Mgmt'!$AC$23,AP$53+$AR59,0)</f>
        <v/>
      </c>
      <c r="AQ59" s="1346" t="str">
        <f ca="1">OFFSET('Invasive Fish Mgmt'!$AC$23,AQ$53+$AR59,0)</f>
        <v/>
      </c>
      <c r="AR59" s="587">
        <v>8</v>
      </c>
      <c r="AS59" s="976">
        <f t="shared" ca="1" si="3"/>
        <v>1</v>
      </c>
      <c r="AX59" s="587"/>
    </row>
    <row r="60" spans="2:50" ht="16" customHeight="1">
      <c r="B60" s="591" t="s">
        <v>862</v>
      </c>
      <c r="C60" s="109" t="s">
        <v>1357</v>
      </c>
      <c r="D60" s="689">
        <f>'Invasive Fish Mgmt'!$AB$31</f>
        <v>1566629.9999999986</v>
      </c>
      <c r="F60" s="843"/>
      <c r="G60" s="690"/>
      <c r="H60" s="691"/>
      <c r="I60" s="625"/>
      <c r="J60" s="843"/>
      <c r="K60" s="691"/>
      <c r="L60" s="844"/>
      <c r="M60" s="691"/>
      <c r="N60" s="844"/>
      <c r="O60" s="691"/>
      <c r="P60" s="844"/>
      <c r="Q60" s="1259"/>
      <c r="R60" s="2885"/>
      <c r="S60" s="2883"/>
      <c r="T60" s="2884"/>
      <c r="U60" s="591"/>
      <c r="V60" s="843"/>
      <c r="W60" s="843"/>
      <c r="X60" s="843"/>
      <c r="Y60" s="843"/>
      <c r="Z60" s="843"/>
      <c r="AA60" s="691"/>
      <c r="AB60" s="844"/>
      <c r="AC60" s="122"/>
      <c r="AD60" s="122"/>
      <c r="AE60" s="109" t="s">
        <v>1357</v>
      </c>
      <c r="AF60" s="591"/>
      <c r="AG60" s="843"/>
      <c r="AH60" s="843"/>
      <c r="AI60" s="690"/>
      <c r="AJ60" s="843"/>
      <c r="AK60" s="690"/>
      <c r="AL60" s="843"/>
      <c r="AM60" s="690"/>
      <c r="AN60" s="2996">
        <f ca="1">OFFSET('Invasive Fish Mgmt'!$AC$23,AN$53+$AR60,0)</f>
        <v>0.45348837209302328</v>
      </c>
      <c r="AO60" s="2996">
        <f ca="1">OFFSET('Invasive Fish Mgmt'!$AC$23,AO$53+$AR60,0)</f>
        <v>0.22093023255813954</v>
      </c>
      <c r="AP60" s="609">
        <f ca="1">OFFSET('Invasive Fish Mgmt'!$AC$23,AP$53+$AR60,0)</f>
        <v>0.32558139534883712</v>
      </c>
      <c r="AQ60" s="1346" t="str">
        <f ca="1">OFFSET('Invasive Fish Mgmt'!$AC$23,AQ$53+$AR60,0)</f>
        <v/>
      </c>
      <c r="AR60" s="587">
        <v>16</v>
      </c>
      <c r="AS60" s="976">
        <f t="shared" ca="1" si="3"/>
        <v>1</v>
      </c>
      <c r="AX60" s="587"/>
    </row>
    <row r="61" spans="2:50" ht="16" customHeight="1">
      <c r="B61" s="591" t="s">
        <v>862</v>
      </c>
      <c r="C61" s="109" t="s">
        <v>1358</v>
      </c>
      <c r="D61" s="606"/>
      <c r="F61" s="841">
        <f>'Invasive Fish Mgmt'!$AB$35</f>
        <v>42.248724348329482</v>
      </c>
      <c r="G61" s="690"/>
      <c r="H61" s="691"/>
      <c r="I61" s="625"/>
      <c r="J61" s="843"/>
      <c r="K61" s="691"/>
      <c r="L61" s="844"/>
      <c r="M61" s="691"/>
      <c r="N61" s="844"/>
      <c r="O61" s="691"/>
      <c r="P61" s="844"/>
      <c r="Q61" s="1259"/>
      <c r="R61" s="2882">
        <f>'Invasive Fish Mgmt'!$S$36</f>
        <v>0.11854898493282347</v>
      </c>
      <c r="S61" s="2883"/>
      <c r="T61" s="2884"/>
      <c r="U61" s="591"/>
      <c r="V61" s="843"/>
      <c r="W61" s="843"/>
      <c r="X61" s="843"/>
      <c r="Y61" s="843"/>
      <c r="Z61" s="843"/>
      <c r="AA61" s="691"/>
      <c r="AB61" s="844"/>
      <c r="AC61" s="122"/>
      <c r="AD61" s="122"/>
      <c r="AE61" s="109" t="s">
        <v>1358</v>
      </c>
      <c r="AF61" s="591"/>
      <c r="AG61" s="843"/>
      <c r="AH61" s="843"/>
      <c r="AI61" s="690"/>
      <c r="AJ61" s="843"/>
      <c r="AK61" s="690"/>
      <c r="AL61" s="843"/>
      <c r="AM61" s="690"/>
      <c r="AN61" s="2996">
        <f ca="1">OFFSET('Invasive Fish Mgmt'!$AC$23,AN$53+$AR61,0)</f>
        <v>0.96848692542650661</v>
      </c>
      <c r="AO61" s="2996">
        <f ca="1">OFFSET('Invasive Fish Mgmt'!$AC$23,AO$53+$AR61,0)</f>
        <v>1.2739328019071744E-2</v>
      </c>
      <c r="AP61" s="609">
        <f ca="1">OFFSET('Invasive Fish Mgmt'!$AC$23,AP$53+$AR61,0)</f>
        <v>1.877374655442151E-2</v>
      </c>
      <c r="AQ61" s="1346">
        <f ca="1">OFFSET('Invasive Fish Mgmt'!$AC$23,AQ$53+$AR61,0)</f>
        <v>0</v>
      </c>
      <c r="AR61" s="587">
        <f>AR60+4</f>
        <v>20</v>
      </c>
      <c r="AS61" s="976">
        <f t="shared" ca="1" si="3"/>
        <v>0.99999999999999989</v>
      </c>
      <c r="AX61" s="587"/>
    </row>
    <row r="62" spans="2:50" ht="16" customHeight="1">
      <c r="B62" s="591" t="s">
        <v>862</v>
      </c>
      <c r="C62" s="109" t="s">
        <v>2256</v>
      </c>
      <c r="D62" s="606"/>
      <c r="F62" s="689">
        <f>'Invasive Fish Mgmt'!$AB$39</f>
        <v>4427.2799999999961</v>
      </c>
      <c r="G62" s="690"/>
      <c r="H62" s="691"/>
      <c r="I62" s="625"/>
      <c r="J62" s="843"/>
      <c r="K62" s="691"/>
      <c r="L62" s="844"/>
      <c r="M62" s="691"/>
      <c r="N62" s="844"/>
      <c r="O62" s="691"/>
      <c r="P62" s="844"/>
      <c r="Q62" s="1259"/>
      <c r="R62" s="2333">
        <f>'Invasive Fish Mgmt'!$S$40</f>
        <v>11.999999999999989</v>
      </c>
      <c r="S62" s="2883"/>
      <c r="T62" s="2884"/>
      <c r="U62" s="591"/>
      <c r="V62" s="843"/>
      <c r="W62" s="843"/>
      <c r="X62" s="843"/>
      <c r="Y62" s="843"/>
      <c r="Z62" s="843"/>
      <c r="AA62" s="691"/>
      <c r="AB62" s="844"/>
      <c r="AC62" s="122"/>
      <c r="AD62" s="122"/>
      <c r="AE62" s="109" t="s">
        <v>2011</v>
      </c>
      <c r="AF62" s="591"/>
      <c r="AG62" s="843"/>
      <c r="AH62" s="843"/>
      <c r="AI62" s="690"/>
      <c r="AJ62" s="843"/>
      <c r="AK62" s="690"/>
      <c r="AL62" s="843"/>
      <c r="AM62" s="690"/>
      <c r="AN62" s="2996">
        <f ca="1">OFFSET('Invasive Fish Mgmt'!$AC$23,AN$53+$AR62,0)</f>
        <v>0.97360044935405365</v>
      </c>
      <c r="AO62" s="2996">
        <f ca="1">OFFSET('Invasive Fish Mgmt'!$AC$23,AO$53+$AR62,0)</f>
        <v>1.0672158771765585E-2</v>
      </c>
      <c r="AP62" s="609">
        <f ca="1">OFFSET('Invasive Fish Mgmt'!$AC$23,AP$53+$AR62,0)</f>
        <v>1.5727391874180863E-2</v>
      </c>
      <c r="AQ62" s="1346" t="str">
        <f ca="1">OFFSET('Invasive Fish Mgmt'!$AC$23,AQ$53+$AR62,0)</f>
        <v/>
      </c>
      <c r="AR62" s="587">
        <f>AR61+4</f>
        <v>24</v>
      </c>
      <c r="AS62" s="976">
        <f t="shared" ca="1" si="3"/>
        <v>1.0000000000000002</v>
      </c>
      <c r="AX62" s="587"/>
    </row>
    <row r="63" spans="2:50" ht="16" customHeight="1">
      <c r="B63" s="591" t="s">
        <v>862</v>
      </c>
      <c r="C63" s="109" t="s">
        <v>2257</v>
      </c>
      <c r="D63" s="606"/>
      <c r="F63" s="843"/>
      <c r="G63" s="337">
        <f>'Invasive Fish Mgmt'!$AB$43</f>
        <v>27161.415453182584</v>
      </c>
      <c r="H63" s="691"/>
      <c r="I63" s="625"/>
      <c r="J63" s="843"/>
      <c r="K63" s="691"/>
      <c r="L63" s="844"/>
      <c r="M63" s="691"/>
      <c r="N63" s="844"/>
      <c r="O63" s="691"/>
      <c r="P63" s="844"/>
      <c r="Q63" s="1259"/>
      <c r="R63" s="2885"/>
      <c r="S63" s="2333">
        <f>'Invasive Fish Mgmt'!$S$44</f>
        <v>4.1035976144812238</v>
      </c>
      <c r="T63" s="2884"/>
      <c r="U63" s="591"/>
      <c r="V63" s="843"/>
      <c r="W63" s="843"/>
      <c r="X63" s="843"/>
      <c r="Y63" s="843"/>
      <c r="Z63" s="843"/>
      <c r="AA63" s="691"/>
      <c r="AB63" s="844"/>
      <c r="AC63" s="122"/>
      <c r="AD63" s="122"/>
      <c r="AE63" s="109" t="s">
        <v>2008</v>
      </c>
      <c r="AF63" s="591"/>
      <c r="AG63" s="843"/>
      <c r="AH63" s="843"/>
      <c r="AI63" s="690"/>
      <c r="AJ63" s="843"/>
      <c r="AK63" s="690"/>
      <c r="AL63" s="843"/>
      <c r="AM63" s="690"/>
      <c r="AN63" s="2996">
        <f ca="1">OFFSET('Invasive Fish Mgmt'!$AC$23,AN$53+$AR63,0)</f>
        <v>0.98224404986777469</v>
      </c>
      <c r="AO63" s="2996">
        <f ca="1">OFFSET('Invasive Fish Mgmt'!$AC$23,AO$53+$AR63,0)</f>
        <v>7.1779372874952755E-3</v>
      </c>
      <c r="AP63" s="609">
        <f ca="1">OFFSET('Invasive Fish Mgmt'!$AC$23,AP$53+$AR63,0)</f>
        <v>1.0578012844729879E-2</v>
      </c>
      <c r="AQ63" s="1346" t="str">
        <f ca="1">OFFSET('Invasive Fish Mgmt'!$AC$23,AQ$53+$AR63,0)</f>
        <v/>
      </c>
      <c r="AR63" s="587">
        <f>AR62+4</f>
        <v>28</v>
      </c>
      <c r="AS63" s="976">
        <f t="shared" ca="1" si="3"/>
        <v>0.99999999999999989</v>
      </c>
      <c r="AX63" s="587"/>
    </row>
    <row r="64" spans="2:50" s="2722" customFormat="1" ht="16" customHeight="1">
      <c r="B64" s="591" t="s">
        <v>862</v>
      </c>
      <c r="C64" s="109" t="s">
        <v>2258</v>
      </c>
      <c r="D64" s="606"/>
      <c r="F64" s="843"/>
      <c r="G64" s="337">
        <f>'Invasive Fish Mgmt'!$AB$47</f>
        <v>8248.1672155182623</v>
      </c>
      <c r="H64" s="691"/>
      <c r="I64" s="625"/>
      <c r="J64" s="843"/>
      <c r="K64" s="691"/>
      <c r="L64" s="844"/>
      <c r="M64" s="691"/>
      <c r="N64" s="844"/>
      <c r="O64" s="691"/>
      <c r="P64" s="844"/>
      <c r="Q64" s="1259"/>
      <c r="R64" s="2885"/>
      <c r="S64" s="2333">
        <f>'Invasive Fish Mgmt'!$S$47</f>
        <v>0</v>
      </c>
      <c r="T64" s="2884"/>
      <c r="U64" s="591"/>
      <c r="V64" s="843"/>
      <c r="W64" s="843"/>
      <c r="X64" s="843"/>
      <c r="Y64" s="843"/>
      <c r="Z64" s="843"/>
      <c r="AA64" s="691"/>
      <c r="AB64" s="844"/>
      <c r="AC64" s="122"/>
      <c r="AD64" s="122"/>
      <c r="AE64" s="109" t="s">
        <v>2068</v>
      </c>
      <c r="AF64" s="591"/>
      <c r="AG64" s="843"/>
      <c r="AH64" s="843"/>
      <c r="AI64" s="690"/>
      <c r="AJ64" s="843"/>
      <c r="AK64" s="690"/>
      <c r="AL64" s="843"/>
      <c r="AM64" s="690"/>
      <c r="AN64" s="2996">
        <f ca="1">OFFSET('Invasive Fish Mgmt'!$AC$23,AN$53+$AR64,0)</f>
        <v>0.97728615153305054</v>
      </c>
      <c r="AO64" s="2996"/>
      <c r="AP64" s="609"/>
      <c r="AQ64" s="1346"/>
      <c r="AR64" s="587">
        <v>32</v>
      </c>
      <c r="AS64" s="976">
        <f t="shared" ca="1" si="3"/>
        <v>0.97728615153305054</v>
      </c>
      <c r="AX64" s="587"/>
    </row>
    <row r="65" spans="2:50" ht="16" customHeight="1">
      <c r="B65" s="591" t="s">
        <v>862</v>
      </c>
      <c r="C65" s="109" t="s">
        <v>2259</v>
      </c>
      <c r="D65" s="606"/>
      <c r="F65" s="843"/>
      <c r="G65" s="337">
        <f>'Invasive Fish Mgmt'!$AB$51</f>
        <v>11355.629999999994</v>
      </c>
      <c r="H65" s="691"/>
      <c r="I65" s="625"/>
      <c r="J65" s="843"/>
      <c r="K65" s="691"/>
      <c r="L65" s="844"/>
      <c r="M65" s="691"/>
      <c r="N65" s="844"/>
      <c r="O65" s="691"/>
      <c r="P65" s="844"/>
      <c r="Q65" s="1259"/>
      <c r="R65" s="2885"/>
      <c r="S65" s="2333">
        <f>'Invasive Fish Mgmt'!$S$52</f>
        <v>0.99999999999999911</v>
      </c>
      <c r="T65" s="2884"/>
      <c r="U65" s="591"/>
      <c r="V65" s="843"/>
      <c r="W65" s="843"/>
      <c r="X65" s="843"/>
      <c r="Y65" s="843"/>
      <c r="Z65" s="843"/>
      <c r="AA65" s="691"/>
      <c r="AB65" s="844"/>
      <c r="AC65" s="122"/>
      <c r="AD65" s="122"/>
      <c r="AE65" s="109" t="s">
        <v>2009</v>
      </c>
      <c r="AF65" s="591"/>
      <c r="AG65" s="843"/>
      <c r="AH65" s="843"/>
      <c r="AI65" s="690"/>
      <c r="AJ65" s="843"/>
      <c r="AK65" s="690"/>
      <c r="AL65" s="843"/>
      <c r="AM65" s="690"/>
      <c r="AN65" s="2996">
        <f ca="1">OFFSET('Invasive Fish Mgmt'!$AC$23,AN$53+$AR65,0)</f>
        <v>0.97360044935405354</v>
      </c>
      <c r="AO65" s="2996">
        <f ca="1">OFFSET('Invasive Fish Mgmt'!$AC$23,AO$53+$AR65,0)</f>
        <v>1.0672158771765586E-2</v>
      </c>
      <c r="AP65" s="609">
        <f ca="1">OFFSET('Invasive Fish Mgmt'!$AC$23,AP$53+$AR65,0)</f>
        <v>1.572739187418086E-2</v>
      </c>
      <c r="AQ65" s="1346" t="str">
        <f ca="1">OFFSET('Invasive Fish Mgmt'!$AC$23,AQ$53+$AR65,0)</f>
        <v/>
      </c>
      <c r="AR65" s="587">
        <f>AR64+4</f>
        <v>36</v>
      </c>
      <c r="AS65" s="976">
        <f t="shared" ca="1" si="3"/>
        <v>1</v>
      </c>
      <c r="AX65" s="587"/>
    </row>
    <row r="66" spans="2:50" ht="16" customHeight="1">
      <c r="B66" s="591" t="s">
        <v>862</v>
      </c>
      <c r="C66" s="109" t="s">
        <v>2260</v>
      </c>
      <c r="D66" s="606"/>
      <c r="F66" s="843"/>
      <c r="G66" s="690"/>
      <c r="H66" s="689">
        <f>'Invasive Fish Mgmt'!$AB$55</f>
        <v>1884.1802875088247</v>
      </c>
      <c r="I66" s="625"/>
      <c r="J66" s="843"/>
      <c r="K66" s="691"/>
      <c r="L66" s="844"/>
      <c r="M66" s="691"/>
      <c r="N66" s="844"/>
      <c r="O66" s="691"/>
      <c r="P66" s="844"/>
      <c r="Q66" s="1259"/>
      <c r="R66" s="2885"/>
      <c r="S66" s="2883"/>
      <c r="T66" s="2333">
        <f>'Invasive Fish Mgmt'!$S$56</f>
        <v>0.21225504902489087</v>
      </c>
      <c r="U66" s="591"/>
      <c r="V66" s="843"/>
      <c r="W66" s="843"/>
      <c r="X66" s="843"/>
      <c r="Y66" s="843"/>
      <c r="Z66" s="843"/>
      <c r="AA66" s="691"/>
      <c r="AB66" s="844"/>
      <c r="AC66" s="122"/>
      <c r="AD66" s="122"/>
      <c r="AE66" s="109" t="s">
        <v>2010</v>
      </c>
      <c r="AF66" s="591"/>
      <c r="AG66" s="843"/>
      <c r="AH66" s="843"/>
      <c r="AI66" s="690"/>
      <c r="AJ66" s="843"/>
      <c r="AK66" s="690"/>
      <c r="AL66" s="843"/>
      <c r="AM66" s="690"/>
      <c r="AN66" s="2996">
        <f ca="1">OFFSET('Invasive Fish Mgmt'!$AC$23,AN$53+$AR66,0)</f>
        <v>0.42502197027207123</v>
      </c>
      <c r="AO66" s="2996">
        <f ca="1">OFFSET('Invasive Fish Mgmt'!$AC$23,AO$53+$AR66,0)</f>
        <v>0.20706198551716293</v>
      </c>
      <c r="AP66" s="609">
        <f ca="1">OFFSET('Invasive Fish Mgmt'!$AC$23,AP$53+$AR66,0)</f>
        <v>0.36750759453484111</v>
      </c>
      <c r="AQ66" s="1346">
        <f ca="1">OFFSET('Invasive Fish Mgmt'!$AC$23,AQ$53+$AR66,0)</f>
        <v>4.0844967592463101E-4</v>
      </c>
      <c r="AR66" s="587">
        <f>AR65+4</f>
        <v>40</v>
      </c>
      <c r="AS66" s="976">
        <f t="shared" ca="1" si="3"/>
        <v>1</v>
      </c>
      <c r="AX66" s="587"/>
    </row>
    <row r="67" spans="2:50" s="2722" customFormat="1" ht="16" customHeight="1">
      <c r="B67" s="591" t="s">
        <v>862</v>
      </c>
      <c r="C67" s="109" t="s">
        <v>2261</v>
      </c>
      <c r="D67" s="606"/>
      <c r="F67" s="843"/>
      <c r="G67" s="690"/>
      <c r="H67" s="689">
        <f>'Invasive Fish Mgmt'!$AB$59</f>
        <v>412.40836077591314</v>
      </c>
      <c r="I67" s="625"/>
      <c r="J67" s="843"/>
      <c r="K67" s="691"/>
      <c r="L67" s="844"/>
      <c r="M67" s="691"/>
      <c r="N67" s="844"/>
      <c r="O67" s="691"/>
      <c r="P67" s="844"/>
      <c r="Q67" s="1259"/>
      <c r="R67" s="2885"/>
      <c r="S67" s="2883"/>
      <c r="T67" s="2333">
        <f>'Invasive Fish Mgmt'!$S$59</f>
        <v>0</v>
      </c>
      <c r="U67" s="591"/>
      <c r="V67" s="843"/>
      <c r="W67" s="843"/>
      <c r="X67" s="843"/>
      <c r="Y67" s="843"/>
      <c r="Z67" s="843"/>
      <c r="AA67" s="691"/>
      <c r="AB67" s="844"/>
      <c r="AC67" s="122"/>
      <c r="AD67" s="122"/>
      <c r="AE67" s="109" t="s">
        <v>2069</v>
      </c>
      <c r="AF67" s="591"/>
      <c r="AG67" s="843"/>
      <c r="AH67" s="843"/>
      <c r="AI67" s="690"/>
      <c r="AJ67" s="843"/>
      <c r="AK67" s="690"/>
      <c r="AL67" s="843"/>
      <c r="AM67" s="690"/>
      <c r="AN67" s="2996">
        <f ca="1">OFFSET('Invasive Fish Mgmt'!$AC$23,AN$53+$AR67,0)</f>
        <v>0.15097699517868116</v>
      </c>
      <c r="AO67" s="2996">
        <f ca="1">OFFSET('Invasive Fish Mgmt'!$AC$23,AO$53+$AR67,0)</f>
        <v>7.3552895087049791E-2</v>
      </c>
      <c r="AP67" s="609">
        <f ca="1">OFFSET('Invasive Fish Mgmt'!$AC$23,AP$53+$AR67,0)</f>
        <v>0.77479835750539283</v>
      </c>
      <c r="AQ67" s="1346">
        <f ca="1">OFFSET('Invasive Fish Mgmt'!$AC$23,AQ$53+$AR67,0)</f>
        <v>6.717522288762365E-4</v>
      </c>
      <c r="AR67" s="587">
        <f t="shared" ref="AR67:AR69" si="4">AR66+4</f>
        <v>44</v>
      </c>
      <c r="AS67" s="976">
        <f t="shared" ca="1" si="3"/>
        <v>1</v>
      </c>
      <c r="AX67" s="587"/>
    </row>
    <row r="68" spans="2:50">
      <c r="B68" s="591" t="s">
        <v>863</v>
      </c>
      <c r="C68" s="122" t="s">
        <v>1373</v>
      </c>
      <c r="D68" s="606"/>
      <c r="F68" s="843"/>
      <c r="G68" s="690"/>
      <c r="H68" s="691"/>
      <c r="I68" s="842">
        <f>'Invasive Fish Mgmt'!$AB$63</f>
        <v>37731.375368041234</v>
      </c>
      <c r="J68" s="190">
        <f t="shared" ref="J68:P69" ca="1" si="5">$I68*J$55</f>
        <v>15092.550147216494</v>
      </c>
      <c r="K68" s="342">
        <f t="shared" ca="1" si="5"/>
        <v>22638.82522082474</v>
      </c>
      <c r="L68" s="340">
        <f t="shared" ca="1" si="5"/>
        <v>22638.82522082474</v>
      </c>
      <c r="M68" s="342">
        <f t="shared" ca="1" si="5"/>
        <v>37731.375368041234</v>
      </c>
      <c r="N68" s="340">
        <f t="shared" ca="1" si="5"/>
        <v>37731.375368041234</v>
      </c>
      <c r="O68" s="342">
        <f t="shared" ca="1" si="5"/>
        <v>75462.750736082467</v>
      </c>
      <c r="P68" s="340">
        <f t="shared" ca="1" si="5"/>
        <v>75462.750736082467</v>
      </c>
      <c r="Q68" s="1259"/>
      <c r="R68" s="2885"/>
      <c r="S68" s="2883"/>
      <c r="T68" s="2884"/>
      <c r="U68" s="3001">
        <f>'Invasive Fish Mgmt'!$S$64</f>
        <v>91.999999999999915</v>
      </c>
      <c r="V68" s="2882">
        <f t="shared" ref="V68:AB69" ca="1" si="6">ROUNDUP((AG68/21),0)*$AC68</f>
        <v>36.999999999999964</v>
      </c>
      <c r="W68" s="2882">
        <f t="shared" ca="1" si="6"/>
        <v>54.99999999999995</v>
      </c>
      <c r="X68" s="2882">
        <f t="shared" ca="1" si="6"/>
        <v>54.99999999999995</v>
      </c>
      <c r="Y68" s="2882">
        <f t="shared" ca="1" si="6"/>
        <v>91.999999999999915</v>
      </c>
      <c r="Z68" s="2882">
        <f t="shared" ca="1" si="6"/>
        <v>91.999999999999915</v>
      </c>
      <c r="AA68" s="2882">
        <f t="shared" ca="1" si="6"/>
        <v>182.99999999999983</v>
      </c>
      <c r="AB68" s="2882">
        <f t="shared" ca="1" si="6"/>
        <v>182.99999999999983</v>
      </c>
      <c r="AC68" s="2322">
        <f>'Invasive Fish Mgmt'!$R$64</f>
        <v>0.99999999999999911</v>
      </c>
      <c r="AD68" s="2322"/>
      <c r="AE68" s="122" t="s">
        <v>1373</v>
      </c>
      <c r="AF68" s="694">
        <f>'Invasive Fish Mgmt'!$G$64</f>
        <v>1916.9999999999998</v>
      </c>
      <c r="AG68" s="1281">
        <f t="shared" ref="AG68:AM69" ca="1" si="7">$AF68*AG$55</f>
        <v>766.8</v>
      </c>
      <c r="AH68" s="1281">
        <f t="shared" ca="1" si="7"/>
        <v>1150.1999999999998</v>
      </c>
      <c r="AI68" s="1281">
        <f t="shared" ca="1" si="7"/>
        <v>1150.1999999999998</v>
      </c>
      <c r="AJ68" s="1281">
        <f t="shared" ca="1" si="7"/>
        <v>1916.9999999999998</v>
      </c>
      <c r="AK68" s="1281">
        <f t="shared" ca="1" si="7"/>
        <v>1916.9999999999998</v>
      </c>
      <c r="AL68" s="1281">
        <f t="shared" ca="1" si="7"/>
        <v>3833.9999999999995</v>
      </c>
      <c r="AM68" s="1281">
        <f t="shared" ca="1" si="7"/>
        <v>3833.9999999999995</v>
      </c>
      <c r="AN68" s="2996">
        <f ca="1">OFFSET('Invasive Fish Mgmt'!$AC$23,AN$53+$AR68,0)</f>
        <v>1</v>
      </c>
      <c r="AO68" s="2996" t="str">
        <f ca="1">OFFSET('Invasive Fish Mgmt'!$AC$23,AO$53+$AR68,0)</f>
        <v/>
      </c>
      <c r="AP68" s="609" t="str">
        <f ca="1">OFFSET('Invasive Fish Mgmt'!$AC$23,AP$53+$AR68,0)</f>
        <v/>
      </c>
      <c r="AQ68" s="1346" t="str">
        <f ca="1">OFFSET('Invasive Fish Mgmt'!$AC$23,AQ$53+$AR68,0)</f>
        <v/>
      </c>
      <c r="AR68" s="587">
        <v>52</v>
      </c>
      <c r="AS68" s="976">
        <f t="shared" ca="1" si="3"/>
        <v>1</v>
      </c>
      <c r="AX68" s="587"/>
    </row>
    <row r="69" spans="2:50">
      <c r="B69" s="591" t="s">
        <v>863</v>
      </c>
      <c r="C69" s="122" t="s">
        <v>1374</v>
      </c>
      <c r="D69" s="606"/>
      <c r="F69" s="843"/>
      <c r="G69" s="690"/>
      <c r="H69" s="691"/>
      <c r="I69" s="842">
        <f>'Invasive Fish Mgmt'!$AB$67</f>
        <v>22942.042287002867</v>
      </c>
      <c r="J69" s="190">
        <f t="shared" ca="1" si="5"/>
        <v>9176.8169148011475</v>
      </c>
      <c r="K69" s="342">
        <f t="shared" ca="1" si="5"/>
        <v>13765.225372201719</v>
      </c>
      <c r="L69" s="340">
        <f t="shared" ca="1" si="5"/>
        <v>13765.225372201719</v>
      </c>
      <c r="M69" s="342">
        <f t="shared" ca="1" si="5"/>
        <v>22942.042287002867</v>
      </c>
      <c r="N69" s="340">
        <f t="shared" ca="1" si="5"/>
        <v>22942.042287002867</v>
      </c>
      <c r="O69" s="342">
        <f t="shared" ca="1" si="5"/>
        <v>45884.084574005734</v>
      </c>
      <c r="P69" s="340">
        <f t="shared" ca="1" si="5"/>
        <v>45884.084574005734</v>
      </c>
      <c r="Q69" s="1259"/>
      <c r="R69" s="2885"/>
      <c r="S69" s="2883"/>
      <c r="T69" s="2884"/>
      <c r="U69" s="3001">
        <f>'Invasive Fish Mgmt'!$S$68</f>
        <v>19.870860039768356</v>
      </c>
      <c r="V69" s="2882">
        <f t="shared" ca="1" si="6"/>
        <v>7.9915415377329255</v>
      </c>
      <c r="W69" s="2882">
        <f t="shared" ca="1" si="6"/>
        <v>11.87931850203543</v>
      </c>
      <c r="X69" s="2882">
        <f t="shared" ca="1" si="6"/>
        <v>11.87931850203543</v>
      </c>
      <c r="Y69" s="2882">
        <f t="shared" ca="1" si="6"/>
        <v>19.870860039768356</v>
      </c>
      <c r="Z69" s="2882">
        <f t="shared" ca="1" si="6"/>
        <v>19.870860039768356</v>
      </c>
      <c r="AA69" s="2882">
        <f t="shared" ca="1" si="6"/>
        <v>39.525732470408791</v>
      </c>
      <c r="AB69" s="2882">
        <f t="shared" ca="1" si="6"/>
        <v>39.525732470408791</v>
      </c>
      <c r="AC69" s="2322">
        <f>'Invasive Fish Mgmt'!$R$68</f>
        <v>0.2159876091279169</v>
      </c>
      <c r="AD69" s="2322"/>
      <c r="AE69" s="122" t="s">
        <v>1374</v>
      </c>
      <c r="AF69" s="694">
        <f>'Invasive Fish Mgmt'!$G$68</f>
        <v>1916.9999999999998</v>
      </c>
      <c r="AG69" s="1281">
        <f t="shared" ca="1" si="7"/>
        <v>766.8</v>
      </c>
      <c r="AH69" s="1281">
        <f t="shared" ca="1" si="7"/>
        <v>1150.1999999999998</v>
      </c>
      <c r="AI69" s="1281">
        <f t="shared" ca="1" si="7"/>
        <v>1150.1999999999998</v>
      </c>
      <c r="AJ69" s="1281">
        <f t="shared" ca="1" si="7"/>
        <v>1916.9999999999998</v>
      </c>
      <c r="AK69" s="1281">
        <f t="shared" ca="1" si="7"/>
        <v>1916.9999999999998</v>
      </c>
      <c r="AL69" s="1281">
        <f t="shared" ca="1" si="7"/>
        <v>3833.9999999999995</v>
      </c>
      <c r="AM69" s="1281">
        <f t="shared" ca="1" si="7"/>
        <v>3833.9999999999995</v>
      </c>
      <c r="AN69" s="2996">
        <f ca="1">OFFSET('Invasive Fish Mgmt'!$AC$23,AN$53+$AR69,0)</f>
        <v>0</v>
      </c>
      <c r="AO69" s="2996">
        <f ca="1">OFFSET('Invasive Fish Mgmt'!$AC$23,AO$53+$AR69,0)</f>
        <v>0</v>
      </c>
      <c r="AP69" s="609">
        <f ca="1">OFFSET('Invasive Fish Mgmt'!$AC$23,AP$53+$AR69,0)</f>
        <v>0</v>
      </c>
      <c r="AQ69" s="1346">
        <f ca="1">OFFSET('Invasive Fish Mgmt'!$AC$23,AQ$53+$AR69,0)</f>
        <v>0</v>
      </c>
      <c r="AR69" s="587">
        <f t="shared" si="4"/>
        <v>56</v>
      </c>
      <c r="AS69" s="976">
        <f t="shared" ca="1" si="3"/>
        <v>0</v>
      </c>
      <c r="AX69" s="587"/>
    </row>
    <row r="70" spans="2:50">
      <c r="B70" s="591" t="s">
        <v>862</v>
      </c>
      <c r="C70" s="122" t="s">
        <v>59</v>
      </c>
      <c r="D70" s="606"/>
      <c r="F70" s="841">
        <f>'Invasive Fish Mgmt'!$AB$71</f>
        <v>29.177130044843025</v>
      </c>
      <c r="G70" s="690"/>
      <c r="H70" s="691"/>
      <c r="I70" s="625"/>
      <c r="J70" s="843"/>
      <c r="K70" s="691"/>
      <c r="L70" s="690"/>
      <c r="M70" s="691"/>
      <c r="N70" s="690"/>
      <c r="O70" s="691"/>
      <c r="P70" s="844"/>
      <c r="Q70" s="1259"/>
      <c r="R70" s="2882">
        <f>'Invasive Fish Mgmt'!$S$72</f>
        <v>0.99999999999999911</v>
      </c>
      <c r="S70" s="2883"/>
      <c r="T70" s="2884"/>
      <c r="U70" s="591"/>
      <c r="V70" s="843"/>
      <c r="W70" s="843"/>
      <c r="X70" s="843"/>
      <c r="Y70" s="843"/>
      <c r="Z70" s="843"/>
      <c r="AA70" s="691"/>
      <c r="AB70" s="844"/>
      <c r="AC70" s="122"/>
      <c r="AD70" s="122"/>
      <c r="AE70" s="122" t="s">
        <v>59</v>
      </c>
      <c r="AF70" s="591"/>
      <c r="AG70" s="843"/>
      <c r="AH70" s="691"/>
      <c r="AI70" s="690"/>
      <c r="AJ70" s="691"/>
      <c r="AK70" s="690"/>
      <c r="AL70" s="691"/>
      <c r="AM70" s="844"/>
      <c r="AN70" s="2996">
        <f ca="1">OFFSET('Invasive Fish Mgmt'!$AC$23,AN$53+$AR70,0)</f>
        <v>0</v>
      </c>
      <c r="AO70" s="2996">
        <f ca="1">OFFSET('Invasive Fish Mgmt'!$AC$23,AO$53+$AR70,0)</f>
        <v>0</v>
      </c>
      <c r="AP70" s="609">
        <f ca="1">OFFSET('Invasive Fish Mgmt'!$AC$23,AP$53+$AR70,0)</f>
        <v>0</v>
      </c>
      <c r="AQ70" s="1346">
        <f ca="1">OFFSET('Invasive Fish Mgmt'!$AC$23,AQ$53+$AR70,0)</f>
        <v>0</v>
      </c>
      <c r="AR70" s="587">
        <v>64</v>
      </c>
      <c r="AS70" s="976">
        <f t="shared" ca="1" si="3"/>
        <v>0</v>
      </c>
      <c r="AX70" s="587"/>
    </row>
    <row r="71" spans="2:50">
      <c r="B71" s="591" t="s">
        <v>862</v>
      </c>
      <c r="C71" s="79" t="s">
        <v>1104</v>
      </c>
      <c r="D71" s="606"/>
      <c r="F71" s="841">
        <f>'Invasive Fish Mgmt'!$AB$75</f>
        <v>85.55624999999992</v>
      </c>
      <c r="G71" s="690"/>
      <c r="H71" s="691"/>
      <c r="I71" s="625"/>
      <c r="J71" s="843"/>
      <c r="K71" s="691"/>
      <c r="L71" s="690"/>
      <c r="M71" s="691"/>
      <c r="N71" s="690"/>
      <c r="O71" s="691"/>
      <c r="P71" s="844"/>
      <c r="Q71" s="1259"/>
      <c r="R71" s="2885"/>
      <c r="S71" s="2883"/>
      <c r="T71" s="2884"/>
      <c r="U71" s="591"/>
      <c r="V71" s="843"/>
      <c r="W71" s="843"/>
      <c r="X71" s="843"/>
      <c r="Y71" s="843"/>
      <c r="Z71" s="843"/>
      <c r="AA71" s="691"/>
      <c r="AB71" s="844"/>
      <c r="AC71" s="122"/>
      <c r="AD71" s="122"/>
      <c r="AE71" s="79" t="s">
        <v>1104</v>
      </c>
      <c r="AF71" s="591"/>
      <c r="AG71" s="843"/>
      <c r="AH71" s="691"/>
      <c r="AI71" s="690"/>
      <c r="AJ71" s="691"/>
      <c r="AK71" s="690"/>
      <c r="AL71" s="691"/>
      <c r="AM71" s="844"/>
      <c r="AN71" s="2996">
        <f ca="1">OFFSET('Invasive Fish Mgmt'!$AC$23,AN$53+$AR71,0)</f>
        <v>0</v>
      </c>
      <c r="AO71" s="2996">
        <f ca="1">OFFSET('Invasive Fish Mgmt'!$AC$23,AO$53+$AR71,0)</f>
        <v>0</v>
      </c>
      <c r="AP71" s="609">
        <f ca="1">OFFSET('Invasive Fish Mgmt'!$AC$23,AP$53+$AR71,0)</f>
        <v>0</v>
      </c>
      <c r="AQ71" s="1346">
        <f ca="1">OFFSET('Invasive Fish Mgmt'!$AC$23,AQ$53+$AR71,0)</f>
        <v>0</v>
      </c>
      <c r="AR71" s="587">
        <v>72</v>
      </c>
      <c r="AS71" s="976">
        <f t="shared" ca="1" si="3"/>
        <v>0</v>
      </c>
    </row>
    <row r="72" spans="2:50">
      <c r="B72" s="481"/>
      <c r="C72" s="439"/>
      <c r="D72" s="607"/>
      <c r="F72" s="1262"/>
      <c r="G72" s="2661"/>
      <c r="H72" s="1392"/>
      <c r="I72" s="626"/>
      <c r="J72" s="843"/>
      <c r="K72" s="691"/>
      <c r="L72" s="844"/>
      <c r="M72" s="691"/>
      <c r="N72" s="844"/>
      <c r="O72" s="691"/>
      <c r="P72" s="844"/>
      <c r="Q72" s="1259"/>
      <c r="R72" s="1283"/>
      <c r="S72" s="1282"/>
      <c r="T72" s="803"/>
      <c r="U72" s="481"/>
      <c r="V72" s="843"/>
      <c r="W72" s="843"/>
      <c r="X72" s="691"/>
      <c r="Y72" s="843"/>
      <c r="Z72" s="691"/>
      <c r="AA72" s="691"/>
      <c r="AB72" s="844"/>
      <c r="AC72" s="122"/>
      <c r="AD72" s="122"/>
      <c r="AE72" s="481"/>
      <c r="AF72" s="481"/>
      <c r="AG72" s="843"/>
      <c r="AH72" s="691"/>
      <c r="AI72" s="844"/>
      <c r="AJ72" s="691"/>
      <c r="AK72" s="844"/>
      <c r="AL72" s="691"/>
      <c r="AM72" s="844"/>
      <c r="AN72" s="2996"/>
      <c r="AO72" s="2996"/>
      <c r="AP72" s="2996"/>
      <c r="AQ72" s="1346"/>
      <c r="AR72" s="587"/>
      <c r="AS72" s="976"/>
      <c r="AT72" s="578"/>
    </row>
    <row r="73" spans="2:50">
      <c r="B73" s="593"/>
      <c r="C73" s="1325" t="s">
        <v>833</v>
      </c>
      <c r="D73" s="1326">
        <f>SUM(D58:D71)</f>
        <v>1566629.9999999986</v>
      </c>
      <c r="E73" s="1327" t="s">
        <v>1365</v>
      </c>
      <c r="F73" s="1326">
        <f>SUM(F58:F71)</f>
        <v>4698.9954844380109</v>
      </c>
      <c r="G73" s="1326">
        <f t="shared" ref="G73:H73" si="8">SUM(G58:G71)</f>
        <v>46765.212668700842</v>
      </c>
      <c r="H73" s="1326">
        <f t="shared" si="8"/>
        <v>2296.5886482847377</v>
      </c>
      <c r="I73" s="79"/>
      <c r="J73" s="778">
        <f t="shared" ref="J73:P73" ca="1" si="9">SUM(J58:J71)</f>
        <v>24269.367062017642</v>
      </c>
      <c r="K73" s="778">
        <f t="shared" ca="1" si="9"/>
        <v>36404.050593026463</v>
      </c>
      <c r="L73" s="778">
        <f t="shared" ca="1" si="9"/>
        <v>36404.050593026463</v>
      </c>
      <c r="M73" s="778">
        <f t="shared" ca="1" si="9"/>
        <v>60673.417655044104</v>
      </c>
      <c r="N73" s="778">
        <f t="shared" ca="1" si="9"/>
        <v>60673.417655044104</v>
      </c>
      <c r="O73" s="778">
        <f t="shared" ca="1" si="9"/>
        <v>121346.83531008821</v>
      </c>
      <c r="P73" s="778">
        <f t="shared" ca="1" si="9"/>
        <v>121346.83531008821</v>
      </c>
      <c r="Q73" s="1271" t="s">
        <v>2226</v>
      </c>
      <c r="R73" s="1336">
        <f>SUM(R58:R71)</f>
        <v>14.118548984932811</v>
      </c>
      <c r="S73" s="1336">
        <f>SUM(S58:S71)</f>
        <v>5.103597614481223</v>
      </c>
      <c r="T73" s="1338">
        <f>SUM(T58:T71)</f>
        <v>0.21225504902489087</v>
      </c>
      <c r="U73" s="621"/>
      <c r="V73" s="3007">
        <f t="shared" ref="V73:AB73" ca="1" si="10">SUM(V58:V71)</f>
        <v>44.991541537732893</v>
      </c>
      <c r="W73" s="3003">
        <f t="shared" ca="1" si="10"/>
        <v>66.879318502035375</v>
      </c>
      <c r="X73" s="3007">
        <f t="shared" ca="1" si="10"/>
        <v>66.879318502035375</v>
      </c>
      <c r="Y73" s="3003">
        <f t="shared" ca="1" si="10"/>
        <v>111.87086003976827</v>
      </c>
      <c r="Z73" s="3007">
        <f t="shared" ca="1" si="10"/>
        <v>111.87086003976827</v>
      </c>
      <c r="AA73" s="3007">
        <f t="shared" ca="1" si="10"/>
        <v>222.52573247040863</v>
      </c>
      <c r="AB73" s="3008">
        <f t="shared" ca="1" si="10"/>
        <v>222.52573247040863</v>
      </c>
      <c r="AC73" s="276"/>
      <c r="AD73" s="276"/>
      <c r="AF73" s="621"/>
      <c r="AG73" s="1391">
        <f t="shared" ref="AG73:AM73" ca="1" si="11">SUM(AG58:AG71)</f>
        <v>1533.6</v>
      </c>
      <c r="AH73" s="1391">
        <f t="shared" ca="1" si="11"/>
        <v>2300.3999999999996</v>
      </c>
      <c r="AI73" s="1391">
        <f t="shared" ca="1" si="11"/>
        <v>2300.3999999999996</v>
      </c>
      <c r="AJ73" s="1391">
        <f t="shared" ca="1" si="11"/>
        <v>3833.9999999999995</v>
      </c>
      <c r="AK73" s="1391">
        <f t="shared" ca="1" si="11"/>
        <v>3833.9999999999995</v>
      </c>
      <c r="AL73" s="1391">
        <f t="shared" ca="1" si="11"/>
        <v>7667.9999999999991</v>
      </c>
      <c r="AM73" s="1391">
        <f t="shared" ca="1" si="11"/>
        <v>7667.9999999999991</v>
      </c>
      <c r="AN73" s="3197"/>
      <c r="AO73" s="3198"/>
      <c r="AP73" s="3198"/>
      <c r="AQ73" s="3199"/>
      <c r="AR73" s="3200"/>
      <c r="AS73" s="3201"/>
    </row>
    <row r="74" spans="2:50">
      <c r="B74" s="811"/>
      <c r="E74" s="16"/>
      <c r="G74" s="1"/>
      <c r="H74" s="1"/>
      <c r="I74" s="1"/>
      <c r="J74" s="1"/>
      <c r="K74" s="1"/>
      <c r="L74" s="1"/>
      <c r="M74" s="1"/>
      <c r="N74" s="1"/>
      <c r="O74" s="1"/>
      <c r="P74" s="1"/>
      <c r="AQ74" s="609"/>
      <c r="AR74" s="609"/>
      <c r="AS74" s="609"/>
      <c r="AT74" s="609"/>
    </row>
    <row r="75" spans="2:50" ht="17">
      <c r="B75" s="811"/>
      <c r="C75" s="16"/>
      <c r="D75" s="16"/>
      <c r="F75" s="2627" t="s">
        <v>796</v>
      </c>
      <c r="G75" s="2626"/>
      <c r="H75" s="2628"/>
      <c r="AN75" s="609"/>
    </row>
    <row r="76" spans="2:50">
      <c r="B76" s="811"/>
      <c r="C76" s="28" t="s">
        <v>822</v>
      </c>
      <c r="D76" s="28"/>
      <c r="E76" s="3"/>
      <c r="F76" s="2660" t="s">
        <v>803</v>
      </c>
      <c r="G76" s="439"/>
      <c r="H76" s="162"/>
      <c r="I76" s="79"/>
      <c r="J76" s="1390" t="s">
        <v>745</v>
      </c>
      <c r="K76" s="273" t="s">
        <v>744</v>
      </c>
      <c r="L76" s="334" t="s">
        <v>747</v>
      </c>
      <c r="M76" s="401" t="s">
        <v>743</v>
      </c>
      <c r="N76" s="401" t="s">
        <v>748</v>
      </c>
      <c r="O76" s="401" t="s">
        <v>742</v>
      </c>
      <c r="P76" s="274" t="s">
        <v>746</v>
      </c>
      <c r="Q76" s="3"/>
      <c r="R76" s="3"/>
      <c r="AN76" s="609"/>
    </row>
    <row r="77" spans="2:50" ht="15" customHeight="1">
      <c r="B77" s="480" t="s">
        <v>862</v>
      </c>
      <c r="C77" s="255" t="s">
        <v>57</v>
      </c>
      <c r="D77" s="749"/>
      <c r="F77" s="1181">
        <f>'Invasive Fish Mgmt'!$Z$23</f>
        <v>34.931249999999963</v>
      </c>
      <c r="G77" s="690"/>
      <c r="H77" s="1329"/>
      <c r="I77" s="1261"/>
      <c r="J77" s="843"/>
      <c r="K77" s="1329"/>
      <c r="L77" s="844"/>
      <c r="M77" s="1329"/>
      <c r="N77" s="844"/>
      <c r="O77" s="1329"/>
      <c r="P77" s="844"/>
      <c r="Q77" s="768"/>
      <c r="R77" s="768"/>
      <c r="Y77" t="s">
        <v>138</v>
      </c>
      <c r="Z77">
        <v>40</v>
      </c>
      <c r="AN77" s="609"/>
    </row>
    <row r="78" spans="2:50">
      <c r="B78" s="591" t="s">
        <v>863</v>
      </c>
      <c r="C78" s="122" t="s">
        <v>58</v>
      </c>
      <c r="D78" s="606"/>
      <c r="F78" s="841">
        <f>'Invasive Fish Mgmt'!$Z$27</f>
        <v>11.287892376681608</v>
      </c>
      <c r="G78" s="690"/>
      <c r="H78" s="691"/>
      <c r="I78" s="625"/>
      <c r="J78" s="843"/>
      <c r="K78" s="691"/>
      <c r="L78" s="844"/>
      <c r="M78" s="691"/>
      <c r="N78" s="844"/>
      <c r="O78" s="691"/>
      <c r="P78" s="844"/>
      <c r="Q78" s="779"/>
      <c r="R78" s="779"/>
      <c r="S78" s="620"/>
      <c r="Y78" t="s">
        <v>2160</v>
      </c>
      <c r="Z78" s="3131">
        <f>ROUNDUP(Z77/21,0)</f>
        <v>2</v>
      </c>
      <c r="AN78" s="609"/>
    </row>
    <row r="79" spans="2:50">
      <c r="B79" s="591" t="s">
        <v>862</v>
      </c>
      <c r="C79" s="109" t="s">
        <v>1357</v>
      </c>
      <c r="D79" s="689">
        <f>'Invasive Fish Mgmt'!$Z$31</f>
        <v>639629.99999999953</v>
      </c>
      <c r="F79" s="843"/>
      <c r="G79" s="690"/>
      <c r="H79" s="691"/>
      <c r="I79" s="625"/>
      <c r="J79" s="843"/>
      <c r="K79" s="691"/>
      <c r="L79" s="844"/>
      <c r="M79" s="691"/>
      <c r="N79" s="844"/>
      <c r="O79" s="691"/>
      <c r="P79" s="844"/>
      <c r="Q79" s="779"/>
      <c r="R79" s="779"/>
      <c r="S79" s="620"/>
      <c r="AN79" s="609"/>
    </row>
    <row r="80" spans="2:50">
      <c r="B80" s="591" t="s">
        <v>862</v>
      </c>
      <c r="C80" s="109" t="s">
        <v>1358</v>
      </c>
      <c r="D80" s="606"/>
      <c r="F80" s="841">
        <f>'Invasive Fish Mgmt'!$Z$35</f>
        <v>11.402278468808824</v>
      </c>
      <c r="G80" s="690"/>
      <c r="H80" s="691"/>
      <c r="I80" s="625"/>
      <c r="J80" s="843"/>
      <c r="K80" s="691"/>
      <c r="L80" s="844"/>
      <c r="M80" s="691"/>
      <c r="N80" s="844"/>
      <c r="O80" s="691"/>
      <c r="P80" s="844"/>
      <c r="Q80" s="779"/>
      <c r="R80" s="779"/>
      <c r="S80" s="620"/>
      <c r="AN80" s="609"/>
    </row>
    <row r="81" spans="2:49">
      <c r="B81" s="591" t="s">
        <v>862</v>
      </c>
      <c r="C81" s="109" t="s">
        <v>2256</v>
      </c>
      <c r="D81" s="606"/>
      <c r="F81" s="689">
        <f>'Invasive Fish Mgmt'!$Z$39</f>
        <v>1655.2799999999986</v>
      </c>
      <c r="G81" s="690"/>
      <c r="H81" s="691"/>
      <c r="I81" s="625"/>
      <c r="J81" s="843"/>
      <c r="K81" s="691"/>
      <c r="L81" s="844"/>
      <c r="M81" s="691"/>
      <c r="N81" s="844"/>
      <c r="O81" s="691"/>
      <c r="P81" s="844"/>
      <c r="Q81" s="779"/>
      <c r="R81" s="779"/>
      <c r="S81" s="620"/>
      <c r="AN81" s="609"/>
    </row>
    <row r="82" spans="2:49">
      <c r="B82" s="591" t="s">
        <v>862</v>
      </c>
      <c r="C82" s="109" t="s">
        <v>2008</v>
      </c>
      <c r="D82" s="606"/>
      <c r="F82" s="843"/>
      <c r="G82" s="337">
        <f>'Invasive Fish Mgmt'!$Z$43</f>
        <v>12412.519613273</v>
      </c>
      <c r="H82" s="691"/>
      <c r="I82" s="625"/>
      <c r="J82" s="843"/>
      <c r="K82" s="691"/>
      <c r="L82" s="844"/>
      <c r="M82" s="691"/>
      <c r="N82" s="844"/>
      <c r="O82" s="691"/>
      <c r="P82" s="844"/>
      <c r="Q82" s="779"/>
      <c r="R82" s="779"/>
      <c r="S82" s="620"/>
      <c r="AN82" s="609"/>
    </row>
    <row r="83" spans="2:49">
      <c r="B83" s="591" t="s">
        <v>862</v>
      </c>
      <c r="C83" s="109" t="s">
        <v>2009</v>
      </c>
      <c r="D83" s="606"/>
      <c r="F83" s="843"/>
      <c r="G83" s="337">
        <f>'Invasive Fish Mgmt'!$Z$51</f>
        <v>5214.6299999999965</v>
      </c>
      <c r="H83" s="691"/>
      <c r="I83" s="625"/>
      <c r="J83" s="843"/>
      <c r="K83" s="691"/>
      <c r="L83" s="844"/>
      <c r="M83" s="691"/>
      <c r="N83" s="844"/>
      <c r="O83" s="691"/>
      <c r="P83" s="844"/>
      <c r="Q83" s="779"/>
      <c r="R83" s="779"/>
      <c r="S83" s="620"/>
      <c r="AN83" s="609"/>
    </row>
    <row r="84" spans="2:49">
      <c r="B84" s="591" t="s">
        <v>862</v>
      </c>
      <c r="C84" s="109" t="s">
        <v>2010</v>
      </c>
      <c r="D84" s="606"/>
      <c r="F84" s="843"/>
      <c r="G84" s="690"/>
      <c r="H84" s="689">
        <f>'Invasive Fish Mgmt'!$Z$55</f>
        <v>863.72876348015814</v>
      </c>
      <c r="I84" s="625"/>
      <c r="J84" s="843"/>
      <c r="K84" s="691"/>
      <c r="L84" s="844"/>
      <c r="M84" s="691"/>
      <c r="N84" s="844"/>
      <c r="O84" s="691"/>
      <c r="P84" s="844"/>
      <c r="Q84" s="779"/>
      <c r="R84" s="779"/>
      <c r="S84" s="620"/>
      <c r="AN84" s="609"/>
    </row>
    <row r="85" spans="2:49">
      <c r="B85" s="591" t="s">
        <v>863</v>
      </c>
      <c r="C85" s="122" t="s">
        <v>1373</v>
      </c>
      <c r="D85" s="606"/>
      <c r="F85" s="843"/>
      <c r="G85" s="690"/>
      <c r="H85" s="691"/>
      <c r="I85" s="689">
        <f>'Invasive Fish Mgmt'!$Z$63</f>
        <v>13932.670469547969</v>
      </c>
      <c r="J85" s="190">
        <f t="shared" ref="J85:P86" ca="1" si="12">$I85*J$55</f>
        <v>5573.0681878191881</v>
      </c>
      <c r="K85" s="342">
        <f t="shared" ca="1" si="12"/>
        <v>8359.6022817287812</v>
      </c>
      <c r="L85" s="340">
        <f t="shared" ca="1" si="12"/>
        <v>8359.6022817287812</v>
      </c>
      <c r="M85" s="342">
        <f t="shared" ca="1" si="12"/>
        <v>13932.670469547969</v>
      </c>
      <c r="N85" s="340">
        <f t="shared" ca="1" si="12"/>
        <v>13932.670469547969</v>
      </c>
      <c r="O85" s="342">
        <f t="shared" ca="1" si="12"/>
        <v>27865.340939095939</v>
      </c>
      <c r="P85" s="340">
        <f t="shared" ca="1" si="12"/>
        <v>27865.340939095939</v>
      </c>
      <c r="Q85" s="779"/>
      <c r="R85" s="779"/>
      <c r="S85" s="620"/>
      <c r="AN85" s="609"/>
    </row>
    <row r="86" spans="2:49">
      <c r="B86" s="591" t="s">
        <v>863</v>
      </c>
      <c r="C86" s="122" t="s">
        <v>1374</v>
      </c>
      <c r="D86" s="606"/>
      <c r="F86" s="843"/>
      <c r="G86" s="690"/>
      <c r="H86" s="691"/>
      <c r="I86" s="689">
        <f>'Invasive Fish Mgmt'!$Z$67</f>
        <v>7456.5434873132963</v>
      </c>
      <c r="J86" s="190">
        <f t="shared" ca="1" si="12"/>
        <v>2982.6173949253189</v>
      </c>
      <c r="K86" s="342">
        <f t="shared" ca="1" si="12"/>
        <v>4473.9260923879774</v>
      </c>
      <c r="L86" s="340">
        <f t="shared" ca="1" si="12"/>
        <v>4473.9260923879774</v>
      </c>
      <c r="M86" s="342">
        <f t="shared" ca="1" si="12"/>
        <v>7456.5434873132963</v>
      </c>
      <c r="N86" s="340">
        <f t="shared" ca="1" si="12"/>
        <v>7456.5434873132963</v>
      </c>
      <c r="O86" s="342">
        <f t="shared" ca="1" si="12"/>
        <v>14913.086974626593</v>
      </c>
      <c r="P86" s="340">
        <f t="shared" ca="1" si="12"/>
        <v>14913.086974626593</v>
      </c>
      <c r="Q86" s="779"/>
      <c r="R86" s="779"/>
      <c r="AN86" s="609"/>
    </row>
    <row r="87" spans="2:49">
      <c r="B87" s="591" t="s">
        <v>862</v>
      </c>
      <c r="C87" s="122" t="s">
        <v>59</v>
      </c>
      <c r="D87" s="606"/>
      <c r="F87" s="841">
        <f>'Invasive Fish Mgmt'!$Z$71</f>
        <v>11.287892376681608</v>
      </c>
      <c r="G87" s="690"/>
      <c r="H87" s="691"/>
      <c r="I87" s="625"/>
      <c r="J87" s="843"/>
      <c r="K87" s="691"/>
      <c r="L87" s="690"/>
      <c r="M87" s="691"/>
      <c r="N87" s="690"/>
      <c r="O87" s="691"/>
      <c r="P87" s="844"/>
      <c r="Q87" s="779"/>
      <c r="R87" s="779"/>
      <c r="AN87" s="609"/>
    </row>
    <row r="88" spans="2:49">
      <c r="B88" s="591" t="s">
        <v>862</v>
      </c>
      <c r="C88" s="79" t="s">
        <v>1104</v>
      </c>
      <c r="D88" s="606"/>
      <c r="F88" s="841">
        <f>'Invasive Fish Mgmt'!$Z$75</f>
        <v>34.931249999999963</v>
      </c>
      <c r="G88" s="690"/>
      <c r="H88" s="691"/>
      <c r="I88" s="626"/>
      <c r="J88" s="843"/>
      <c r="K88" s="691"/>
      <c r="L88" s="844"/>
      <c r="M88" s="691"/>
      <c r="N88" s="844"/>
      <c r="O88" s="691"/>
      <c r="P88" s="844"/>
      <c r="Q88" s="779"/>
      <c r="R88" s="779"/>
      <c r="AN88" s="609"/>
    </row>
    <row r="89" spans="2:49">
      <c r="B89" s="481"/>
      <c r="C89" s="439"/>
      <c r="D89" s="607"/>
      <c r="F89" s="1262"/>
      <c r="G89" s="2661"/>
      <c r="H89" s="1392"/>
      <c r="I89" s="626"/>
      <c r="J89" s="843"/>
      <c r="K89" s="691"/>
      <c r="L89" s="844"/>
      <c r="M89" s="691"/>
      <c r="N89" s="844"/>
      <c r="O89" s="691"/>
      <c r="P89" s="844"/>
      <c r="Q89" s="779"/>
      <c r="R89" s="779"/>
      <c r="AN89" s="609"/>
    </row>
    <row r="90" spans="2:49">
      <c r="B90" s="593"/>
      <c r="C90" s="1325" t="s">
        <v>833</v>
      </c>
      <c r="D90" s="1326">
        <f>SUM(D77:D88)</f>
        <v>639629.99999999953</v>
      </c>
      <c r="E90" s="1327" t="s">
        <v>1365</v>
      </c>
      <c r="F90" s="1326">
        <f>SUM(F77:F88)</f>
        <v>1759.1205632221704</v>
      </c>
      <c r="G90" s="1326">
        <f t="shared" ref="G90:H90" si="13">SUM(G77:G88)</f>
        <v>17627.149613272995</v>
      </c>
      <c r="H90" s="1326">
        <f t="shared" si="13"/>
        <v>863.72876348015814</v>
      </c>
      <c r="I90" s="1388"/>
      <c r="J90" s="1267">
        <f t="shared" ref="J90:P90" ca="1" si="14">SUM(J77:J88)</f>
        <v>8555.685582744507</v>
      </c>
      <c r="K90" s="1267">
        <f t="shared" ca="1" si="14"/>
        <v>12833.528374116759</v>
      </c>
      <c r="L90" s="1267">
        <f t="shared" ca="1" si="14"/>
        <v>12833.528374116759</v>
      </c>
      <c r="M90" s="1267">
        <f t="shared" ca="1" si="14"/>
        <v>21389.213956861266</v>
      </c>
      <c r="N90" s="1267">
        <f t="shared" ca="1" si="14"/>
        <v>21389.213956861266</v>
      </c>
      <c r="O90" s="1267">
        <f t="shared" ca="1" si="14"/>
        <v>42778.427913722531</v>
      </c>
      <c r="P90" s="1286">
        <f t="shared" ca="1" si="14"/>
        <v>42778.427913722531</v>
      </c>
    </row>
    <row r="92" spans="2:49">
      <c r="AW92" s="587"/>
    </row>
    <row r="94" spans="2:49">
      <c r="J94">
        <v>0</v>
      </c>
      <c r="K94">
        <f t="shared" ref="K94:P94" si="15">J94+1</f>
        <v>1</v>
      </c>
      <c r="L94">
        <f t="shared" si="15"/>
        <v>2</v>
      </c>
      <c r="M94">
        <f t="shared" si="15"/>
        <v>3</v>
      </c>
      <c r="N94">
        <f t="shared" si="15"/>
        <v>4</v>
      </c>
      <c r="O94">
        <f t="shared" si="15"/>
        <v>5</v>
      </c>
      <c r="P94">
        <f t="shared" si="15"/>
        <v>6</v>
      </c>
    </row>
    <row r="95" spans="2:49">
      <c r="J95" t="s">
        <v>1172</v>
      </c>
    </row>
    <row r="96" spans="2:49">
      <c r="J96" s="197"/>
      <c r="K96" s="24"/>
      <c r="L96" s="16"/>
      <c r="M96" s="1" t="s">
        <v>1171</v>
      </c>
    </row>
    <row r="97" spans="10:13">
      <c r="J97" s="594" t="s">
        <v>1173</v>
      </c>
      <c r="K97" s="594" t="s">
        <v>740</v>
      </c>
      <c r="L97" s="1" t="s">
        <v>741</v>
      </c>
      <c r="M97" t="s">
        <v>1174</v>
      </c>
    </row>
    <row r="98" spans="10:13">
      <c r="J98" s="160" t="s">
        <v>745</v>
      </c>
      <c r="K98" s="160">
        <v>2</v>
      </c>
      <c r="L98" s="620">
        <f t="shared" ref="L98:L104" si="16">K98*1000*100</f>
        <v>200000</v>
      </c>
    </row>
    <row r="99" spans="10:13">
      <c r="J99" s="160" t="s">
        <v>744</v>
      </c>
      <c r="K99" s="160">
        <v>3</v>
      </c>
      <c r="L99" s="620">
        <f t="shared" si="16"/>
        <v>300000</v>
      </c>
    </row>
    <row r="100" spans="10:13">
      <c r="J100" s="160" t="s">
        <v>747</v>
      </c>
      <c r="K100" s="160">
        <v>3</v>
      </c>
      <c r="L100" s="620">
        <f t="shared" si="16"/>
        <v>300000</v>
      </c>
    </row>
    <row r="101" spans="10:13">
      <c r="J101" s="160" t="s">
        <v>743</v>
      </c>
      <c r="K101" s="160">
        <v>5</v>
      </c>
      <c r="L101" s="620">
        <f t="shared" si="16"/>
        <v>500000</v>
      </c>
    </row>
    <row r="102" spans="10:13">
      <c r="J102" s="160" t="s">
        <v>748</v>
      </c>
      <c r="K102" s="160">
        <v>5</v>
      </c>
      <c r="L102" s="620">
        <f t="shared" si="16"/>
        <v>500000</v>
      </c>
    </row>
    <row r="103" spans="10:13">
      <c r="J103" s="160" t="s">
        <v>742</v>
      </c>
      <c r="K103" s="160">
        <v>10</v>
      </c>
      <c r="L103" s="620">
        <f t="shared" si="16"/>
        <v>1000000</v>
      </c>
    </row>
    <row r="104" spans="10:13">
      <c r="J104" s="160" t="s">
        <v>746</v>
      </c>
      <c r="K104" s="160">
        <v>10</v>
      </c>
      <c r="L104" s="620">
        <f t="shared" si="16"/>
        <v>1000000</v>
      </c>
    </row>
    <row r="107" spans="10:13">
      <c r="K107" s="592" t="s">
        <v>1180</v>
      </c>
      <c r="L107" s="274" t="s">
        <v>1174</v>
      </c>
    </row>
    <row r="108" spans="10:13">
      <c r="K108" s="404">
        <f t="shared" ref="K108:K114" si="17">K98/$K$101</f>
        <v>0.4</v>
      </c>
      <c r="L108" s="1412" t="s">
        <v>745</v>
      </c>
    </row>
    <row r="109" spans="10:13">
      <c r="K109" s="404">
        <f t="shared" si="17"/>
        <v>0.6</v>
      </c>
      <c r="L109" s="1412" t="s">
        <v>744</v>
      </c>
    </row>
    <row r="110" spans="10:13">
      <c r="K110" s="404">
        <f t="shared" si="17"/>
        <v>0.6</v>
      </c>
      <c r="L110" s="1412" t="s">
        <v>747</v>
      </c>
    </row>
    <row r="111" spans="10:13">
      <c r="K111" s="404">
        <f t="shared" si="17"/>
        <v>1</v>
      </c>
      <c r="L111" s="1412" t="s">
        <v>743</v>
      </c>
    </row>
    <row r="112" spans="10:13">
      <c r="K112" s="404">
        <f t="shared" si="17"/>
        <v>1</v>
      </c>
      <c r="L112" s="1412" t="s">
        <v>748</v>
      </c>
    </row>
    <row r="113" spans="11:12">
      <c r="K113" s="404">
        <f t="shared" si="17"/>
        <v>2</v>
      </c>
      <c r="L113" s="1412" t="s">
        <v>742</v>
      </c>
    </row>
    <row r="114" spans="11:12">
      <c r="K114" s="405">
        <f t="shared" si="17"/>
        <v>2</v>
      </c>
      <c r="L114" s="1413" t="s">
        <v>746</v>
      </c>
    </row>
  </sheetData>
  <mergeCells count="14">
    <mergeCell ref="D54:D57"/>
    <mergeCell ref="J54:P54"/>
    <mergeCell ref="R54:T54"/>
    <mergeCell ref="V54:AB54"/>
    <mergeCell ref="F54:H54"/>
    <mergeCell ref="R55:T55"/>
    <mergeCell ref="J56:P56"/>
    <mergeCell ref="R56:T56"/>
    <mergeCell ref="V56:AB56"/>
    <mergeCell ref="AG56:AM56"/>
    <mergeCell ref="AG53:AM53"/>
    <mergeCell ref="J53:P53"/>
    <mergeCell ref="V53:AB53"/>
    <mergeCell ref="AG54:AM54"/>
  </mergeCells>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P856"/>
  <sheetViews>
    <sheetView showGridLines="0" zoomScaleNormal="100" workbookViewId="0">
      <selection activeCell="H36" sqref="H36"/>
    </sheetView>
  </sheetViews>
  <sheetFormatPr baseColWidth="10" defaultColWidth="11" defaultRowHeight="16" outlineLevelRow="1" outlineLevelCol="1"/>
  <cols>
    <col min="1" max="1" width="2.6640625" customWidth="1"/>
    <col min="2" max="2" width="4.83203125" customWidth="1"/>
    <col min="3" max="3" width="28.5" customWidth="1"/>
    <col min="4" max="4" width="25.6640625" style="24" customWidth="1"/>
    <col min="5" max="5" width="12.5" style="16" customWidth="1"/>
    <col min="6" max="6" width="16" customWidth="1" outlineLevel="1"/>
    <col min="7" max="7" width="16.83203125" style="359" customWidth="1" outlineLevel="1"/>
    <col min="8" max="8" width="11.6640625" customWidth="1"/>
    <col min="9" max="9" width="30.1640625" customWidth="1"/>
    <col min="10" max="10" width="7.83203125" customWidth="1"/>
    <col min="11" max="11" width="9.83203125" customWidth="1" outlineLevel="1"/>
    <col min="12" max="12" width="12.1640625" customWidth="1" outlineLevel="1"/>
    <col min="13" max="13" width="2.1640625" customWidth="1" outlineLevel="1"/>
    <col min="14" max="14" width="11.33203125" customWidth="1" outlineLevel="1" collapsed="1"/>
    <col min="15" max="15" width="10.6640625" customWidth="1" outlineLevel="1"/>
    <col min="16" max="16" width="11.33203125" customWidth="1" outlineLevel="1"/>
    <col min="17" max="19" width="11.33203125" style="2791" customWidth="1" outlineLevel="1"/>
    <col min="20" max="20" width="2.6640625" customWidth="1"/>
    <col min="21" max="21" width="11.1640625" customWidth="1"/>
    <col min="22" max="26" width="11.6640625" customWidth="1" outlineLevel="1"/>
    <col min="27" max="27" width="19.33203125" customWidth="1"/>
    <col min="28" max="28" width="16.6640625" customWidth="1"/>
    <col min="29" max="29" width="12.1640625" customWidth="1"/>
    <col min="30" max="30" width="21" customWidth="1"/>
    <col min="31" max="31" width="23.5" customWidth="1"/>
    <col min="32" max="32" width="37.5" customWidth="1"/>
    <col min="33" max="33" width="11" bestFit="1" customWidth="1"/>
    <col min="34" max="34" width="14.33203125" customWidth="1"/>
    <col min="35" max="35" width="12.83203125" bestFit="1" customWidth="1"/>
    <col min="36" max="36" width="12" bestFit="1" customWidth="1"/>
    <col min="37" max="37" width="11" bestFit="1" customWidth="1"/>
    <col min="42" max="42" width="12.5" bestFit="1" customWidth="1"/>
  </cols>
  <sheetData>
    <row r="1" spans="2:35">
      <c r="B1" s="3" t="s">
        <v>19</v>
      </c>
      <c r="C1" s="24"/>
      <c r="D1" s="16" t="s">
        <v>498</v>
      </c>
      <c r="E1"/>
      <c r="F1" s="359"/>
      <c r="G1"/>
      <c r="H1" s="359"/>
    </row>
    <row r="2" spans="2:35">
      <c r="C2" s="24" t="s">
        <v>10</v>
      </c>
      <c r="D2" s="239" t="s">
        <v>335</v>
      </c>
      <c r="E2"/>
      <c r="F2" s="359"/>
      <c r="G2"/>
      <c r="H2" s="359"/>
    </row>
    <row r="3" spans="2:35">
      <c r="C3" s="24" t="s">
        <v>0</v>
      </c>
      <c r="D3" s="239" t="s">
        <v>336</v>
      </c>
      <c r="E3"/>
      <c r="F3" s="359"/>
      <c r="G3"/>
      <c r="H3" s="359"/>
    </row>
    <row r="4" spans="2:35">
      <c r="B4" s="3"/>
      <c r="C4" s="24" t="s">
        <v>1</v>
      </c>
      <c r="D4" s="239" t="s">
        <v>337</v>
      </c>
      <c r="E4"/>
      <c r="F4" s="359"/>
      <c r="G4"/>
      <c r="H4" s="359"/>
    </row>
    <row r="5" spans="2:35">
      <c r="B5" s="3" t="s">
        <v>20</v>
      </c>
      <c r="C5" s="24"/>
      <c r="D5" s="16"/>
      <c r="E5"/>
      <c r="F5" s="359"/>
      <c r="H5" s="1"/>
      <c r="I5" s="359"/>
    </row>
    <row r="6" spans="2:35">
      <c r="C6" s="24" t="s">
        <v>2</v>
      </c>
      <c r="D6" s="239" t="s">
        <v>234</v>
      </c>
      <c r="E6"/>
      <c r="F6" s="359"/>
      <c r="H6" s="6"/>
      <c r="I6" s="359"/>
      <c r="T6" s="15"/>
    </row>
    <row r="7" spans="2:35">
      <c r="C7" s="24" t="s">
        <v>22</v>
      </c>
      <c r="D7" s="239" t="s">
        <v>492</v>
      </c>
      <c r="E7"/>
      <c r="F7" s="359"/>
      <c r="H7" s="6"/>
      <c r="I7" s="359"/>
    </row>
    <row r="8" spans="2:35">
      <c r="C8" s="24" t="s">
        <v>7</v>
      </c>
      <c r="D8" s="238" t="s">
        <v>29</v>
      </c>
      <c r="E8"/>
      <c r="F8" s="359"/>
      <c r="H8" s="6"/>
      <c r="I8" s="359"/>
      <c r="W8" s="15"/>
    </row>
    <row r="9" spans="2:35">
      <c r="C9" s="24" t="s">
        <v>8</v>
      </c>
      <c r="D9" s="238" t="s">
        <v>583</v>
      </c>
      <c r="E9"/>
      <c r="F9" s="359"/>
      <c r="H9" s="6"/>
      <c r="I9" s="359"/>
      <c r="U9" s="5"/>
    </row>
    <row r="10" spans="2:35" ht="19">
      <c r="C10" s="24"/>
      <c r="D10" s="16"/>
      <c r="F10" s="359"/>
      <c r="I10" s="359"/>
      <c r="AC10" s="857"/>
      <c r="AF10" s="858"/>
    </row>
    <row r="11" spans="2:35" ht="19">
      <c r="B11" s="904" t="s">
        <v>140</v>
      </c>
      <c r="C11" s="113"/>
      <c r="D11" s="16"/>
      <c r="F11" s="359"/>
      <c r="I11" s="359"/>
      <c r="AA11" s="2953" t="s">
        <v>2305</v>
      </c>
      <c r="AB11" s="2953"/>
      <c r="AC11" s="857"/>
      <c r="AF11" s="858"/>
    </row>
    <row r="12" spans="2:35" ht="19">
      <c r="C12" s="31" t="s">
        <v>960</v>
      </c>
      <c r="D12" s="16"/>
      <c r="F12" s="359"/>
      <c r="I12" s="359"/>
      <c r="AA12" s="204">
        <f>SUMIF(T23:T104,"L",AA23:AA104)-AA13-AA15</f>
        <v>241.00626431031083</v>
      </c>
      <c r="AB12" s="2953" t="s">
        <v>2303</v>
      </c>
      <c r="AC12" s="857"/>
      <c r="AF12" s="858"/>
    </row>
    <row r="13" spans="2:35" ht="19">
      <c r="C13" s="955" t="s">
        <v>961</v>
      </c>
      <c r="D13" s="16"/>
      <c r="F13" s="359"/>
      <c r="I13" s="359"/>
      <c r="AA13" s="454">
        <v>0</v>
      </c>
      <c r="AB13" s="2953" t="s">
        <v>2304</v>
      </c>
      <c r="AC13" s="857"/>
      <c r="AF13" s="858"/>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SUM(AA35,AA39,AA55,AA59,AA63,AA75,AA79)</f>
        <v>1459.3733542600885</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30"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2399"/>
      <c r="AE17" s="2400"/>
    </row>
    <row r="18" spans="1:37" ht="30"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2401"/>
      <c r="AE18" s="2402"/>
    </row>
    <row r="19" spans="1:37" s="576" customFormat="1" ht="30"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30"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1186"/>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894"/>
      <c r="AG21" s="894"/>
      <c r="AH21" s="909" t="s">
        <v>66</v>
      </c>
      <c r="AI21" s="895"/>
      <c r="AJ21" s="3748" t="s">
        <v>190</v>
      </c>
      <c r="AK21" s="3748" t="s">
        <v>181</v>
      </c>
    </row>
    <row r="22" spans="1:37" s="893" customFormat="1" ht="51" customHeight="1">
      <c r="B22" s="1010"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894"/>
      <c r="AG22" s="893" t="s">
        <v>732</v>
      </c>
      <c r="AH22" s="1187" t="s">
        <v>17</v>
      </c>
      <c r="AI22" s="898" t="s">
        <v>18</v>
      </c>
      <c r="AJ22" s="3749"/>
      <c r="AK22" s="3749"/>
    </row>
    <row r="23" spans="1:37" ht="19" customHeight="1" outlineLevel="1">
      <c r="B23" s="260">
        <v>1</v>
      </c>
      <c r="C23" s="3844" t="s">
        <v>201</v>
      </c>
      <c r="D23" s="3847" t="s">
        <v>131</v>
      </c>
      <c r="E23" s="12" t="s">
        <v>3</v>
      </c>
      <c r="F23" s="1172"/>
      <c r="G23" s="1172">
        <f>$E$121</f>
        <v>15</v>
      </c>
      <c r="H23" s="188">
        <f>F121</f>
        <v>5062.5</v>
      </c>
      <c r="I23" s="921" t="s">
        <v>407</v>
      </c>
      <c r="J23" s="377" t="str">
        <f>IF(K23=1,"Annual","Done every "&amp;K23&amp;" years")</f>
        <v>Annual</v>
      </c>
      <c r="K23" s="11">
        <f>$D$108</f>
        <v>1</v>
      </c>
      <c r="L23" s="1043">
        <f>$L$16/K23</f>
        <v>80</v>
      </c>
      <c r="M23" s="171">
        <f>$L$16/L23</f>
        <v>1</v>
      </c>
      <c r="N23" s="240">
        <f>$H23*(1-(1+$L$15)^-(L23*M23))/((1+$L$15)^M23-1)*(1+((1+$L$15)^M23-1))</f>
        <v>125914.53807358607</v>
      </c>
      <c r="O23" s="191">
        <f>N23/(1+$L$15)*($L$15)/(1-(1+$L$15)^-$L$16)</f>
        <v>5062.4999999999955</v>
      </c>
      <c r="P23" s="195">
        <f>SUM(O23:O26)</f>
        <v>5062.4999999999955</v>
      </c>
      <c r="Q23" s="2859"/>
      <c r="R23" s="2859"/>
      <c r="S23" s="2859"/>
      <c r="T23" s="1031" t="s">
        <v>808</v>
      </c>
      <c r="U23" s="583">
        <f>O23/$U$16</f>
        <v>50.624999999999957</v>
      </c>
      <c r="V23" s="583">
        <f>IF($T23="L",SUM($U23:U23)*V$16,"")</f>
        <v>15.187499999999986</v>
      </c>
      <c r="W23" s="1474"/>
      <c r="X23" s="583">
        <f>IF($U23="","",SUM($U23:W23)*X$16)</f>
        <v>19.743749999999981</v>
      </c>
      <c r="Y23" s="240">
        <f t="shared" ref="Y23:Y29" si="0">IF($U23="","",SUM(V23:X23))</f>
        <v>34.931249999999963</v>
      </c>
      <c r="Z23" s="240">
        <f>SUM(V23:X26)</f>
        <v>34.931249999999963</v>
      </c>
      <c r="AA23" s="191">
        <f t="shared" ref="AA23:AA29" si="1">IF($U23="","",SUM(U23,Y23))</f>
        <v>85.55624999999992</v>
      </c>
      <c r="AB23" s="195">
        <f>SUM(AA23:AA26)</f>
        <v>85.55624999999992</v>
      </c>
      <c r="AC23" s="889">
        <f t="shared" ref="AC23:AC29" ca="1" si="2">IF(AA23="","",AA23/OFFSET($AB$23,AF23,0))</f>
        <v>1</v>
      </c>
      <c r="AD23" s="941"/>
      <c r="AE23" s="1063"/>
      <c r="AF23" s="587">
        <v>0</v>
      </c>
      <c r="AG23" s="816">
        <f ca="1">SUM(AC23:AC26)-1</f>
        <v>0</v>
      </c>
      <c r="AH23" s="13">
        <f>$AH$16/K23</f>
        <v>5</v>
      </c>
      <c r="AI23" s="13">
        <f>$AH$16/AH23</f>
        <v>1</v>
      </c>
      <c r="AJ23" s="14">
        <f>$H23*(1-(1+$L$15)^-(AH23*AI23))/((1+$L$15)^AI23-1)*(1+((1+$L$15)^AI23-1))</f>
        <v>23438.844572800335</v>
      </c>
      <c r="AK23" s="191">
        <f>SUM(AJ23:AJ26)</f>
        <v>23438.844572800335</v>
      </c>
    </row>
    <row r="24" spans="1:37" ht="19" customHeight="1" outlineLevel="1">
      <c r="B24" s="261"/>
      <c r="C24" s="3845"/>
      <c r="D24" s="3848"/>
      <c r="E24" s="12" t="s">
        <v>308</v>
      </c>
      <c r="F24" s="1172"/>
      <c r="G24" s="1172"/>
      <c r="H24" s="188"/>
      <c r="I24" s="921"/>
      <c r="J24" s="377"/>
      <c r="K24" s="11"/>
      <c r="L24" s="1044"/>
      <c r="M24" s="944"/>
      <c r="N24" s="241"/>
      <c r="O24" s="342"/>
      <c r="P24" s="193"/>
      <c r="Q24" s="2860">
        <v>0</v>
      </c>
      <c r="R24" s="2860">
        <v>0</v>
      </c>
      <c r="S24" s="2860">
        <v>0</v>
      </c>
      <c r="T24" s="1032" t="s">
        <v>809</v>
      </c>
      <c r="U24" s="585"/>
      <c r="V24" s="585" t="str">
        <f>IF($T24="L",SUM($U24:U24)*V$16,"")</f>
        <v/>
      </c>
      <c r="W24" s="1475"/>
      <c r="X24" s="585" t="str">
        <f>IF($U24="","",SUM($U24:W24)*X$16)</f>
        <v/>
      </c>
      <c r="Y24" s="242" t="str">
        <f t="shared" si="0"/>
        <v/>
      </c>
      <c r="Z24" s="242"/>
      <c r="AA24" s="342" t="str">
        <f t="shared" si="1"/>
        <v/>
      </c>
      <c r="AB24" s="193"/>
      <c r="AC24" s="890" t="str">
        <f t="shared" ca="1" si="2"/>
        <v/>
      </c>
      <c r="AD24" s="582"/>
      <c r="AE24" s="573"/>
      <c r="AF24" s="587">
        <f>AF23</f>
        <v>0</v>
      </c>
      <c r="AG24" s="587"/>
      <c r="AH24" s="13"/>
      <c r="AI24" s="13"/>
      <c r="AJ24" s="189"/>
      <c r="AK24" s="342"/>
    </row>
    <row r="25" spans="1:37" ht="16" customHeight="1" outlineLevel="1">
      <c r="B25" s="261"/>
      <c r="C25" s="3845"/>
      <c r="D25" s="3848"/>
      <c r="E25" s="12" t="s">
        <v>4</v>
      </c>
      <c r="F25" s="1172"/>
      <c r="G25" s="1172"/>
      <c r="H25" s="188"/>
      <c r="I25" s="921"/>
      <c r="J25" s="377"/>
      <c r="K25" s="11"/>
      <c r="L25" s="1044"/>
      <c r="M25" s="944"/>
      <c r="N25" s="241"/>
      <c r="O25" s="342"/>
      <c r="P25" s="193"/>
      <c r="Q25" s="2860"/>
      <c r="R25" s="2860"/>
      <c r="S25" s="2860"/>
      <c r="T25" s="1032" t="s">
        <v>810</v>
      </c>
      <c r="U25" s="585"/>
      <c r="V25" s="585" t="str">
        <f>IF($T25="L",SUM($U25:U25)*V$16,"")</f>
        <v/>
      </c>
      <c r="W25" s="1475"/>
      <c r="X25" s="585" t="str">
        <f>IF($U25="","",SUM($U25:W25)*X$16)</f>
        <v/>
      </c>
      <c r="Y25" s="242" t="str">
        <f t="shared" si="0"/>
        <v/>
      </c>
      <c r="Z25" s="242"/>
      <c r="AA25" s="342" t="str">
        <f t="shared" si="1"/>
        <v/>
      </c>
      <c r="AB25" s="193"/>
      <c r="AC25" s="890" t="str">
        <f t="shared" ca="1" si="2"/>
        <v/>
      </c>
      <c r="AD25" s="582"/>
      <c r="AE25" s="573"/>
      <c r="AF25" s="587">
        <f>AF24</f>
        <v>0</v>
      </c>
      <c r="AG25" s="587"/>
      <c r="AH25" s="13"/>
      <c r="AI25" s="13"/>
      <c r="AJ25" s="189"/>
      <c r="AK25" s="342"/>
    </row>
    <row r="26" spans="1:37" ht="19" customHeight="1" outlineLevel="1">
      <c r="B26" s="923"/>
      <c r="C26" s="3846"/>
      <c r="D26" s="3849"/>
      <c r="E26" s="12" t="s">
        <v>21</v>
      </c>
      <c r="F26" s="1172"/>
      <c r="G26" s="1172"/>
      <c r="H26" s="188"/>
      <c r="I26" s="921"/>
      <c r="J26" s="377"/>
      <c r="K26" s="11"/>
      <c r="L26" s="1045"/>
      <c r="M26" s="945"/>
      <c r="N26" s="243"/>
      <c r="O26" s="343"/>
      <c r="P26" s="196"/>
      <c r="Q26" s="2861"/>
      <c r="R26" s="2861"/>
      <c r="S26" s="2861"/>
      <c r="T26" s="1033" t="s">
        <v>811</v>
      </c>
      <c r="U26" s="891"/>
      <c r="V26" s="891" t="str">
        <f>IF($T26="L",SUM($U26:U26)*V$16,"")</f>
        <v/>
      </c>
      <c r="W26" s="1478"/>
      <c r="X26" s="891" t="str">
        <f>IF($U26="","",SUM($U26:W26)*X$16)</f>
        <v/>
      </c>
      <c r="Y26" s="244" t="str">
        <f t="shared" si="0"/>
        <v/>
      </c>
      <c r="Z26" s="244"/>
      <c r="AA26" s="343" t="str">
        <f t="shared" si="1"/>
        <v/>
      </c>
      <c r="AB26" s="196"/>
      <c r="AC26" s="892" t="str">
        <f t="shared" ca="1" si="2"/>
        <v/>
      </c>
      <c r="AD26" s="942"/>
      <c r="AE26" s="1065"/>
      <c r="AF26" s="587">
        <f>AF25</f>
        <v>0</v>
      </c>
      <c r="AG26" s="587"/>
      <c r="AH26" s="13"/>
      <c r="AI26" s="13"/>
      <c r="AJ26" s="189"/>
      <c r="AK26" s="342"/>
    </row>
    <row r="27" spans="1:37" s="9" customFormat="1" ht="18" customHeight="1" outlineLevel="1">
      <c r="B27" s="986">
        <v>2</v>
      </c>
      <c r="C27" s="861" t="s">
        <v>1006</v>
      </c>
      <c r="D27" s="3929" t="s">
        <v>493</v>
      </c>
      <c r="E27" s="987" t="s">
        <v>3</v>
      </c>
      <c r="F27" s="1173"/>
      <c r="G27" s="3550">
        <f t="shared" ref="G27:G28" si="3">E211</f>
        <v>0.20512820512820515</v>
      </c>
      <c r="H27" s="988">
        <f>H211</f>
        <v>46.15384615384616</v>
      </c>
      <c r="I27" s="989" t="s">
        <v>475</v>
      </c>
      <c r="J27" s="990" t="str">
        <f>IF(K27=1,"Annual","Done every "&amp;K27&amp;" years")</f>
        <v>Annual</v>
      </c>
      <c r="K27" s="991">
        <f>J211</f>
        <v>1</v>
      </c>
      <c r="L27" s="992">
        <f t="shared" ref="L27:M29" si="4">$L$16/K27</f>
        <v>80</v>
      </c>
      <c r="M27" s="991">
        <f t="shared" si="4"/>
        <v>1</v>
      </c>
      <c r="N27" s="988">
        <f>$H27*(1-(1+$L$15)^-(L27*M27))/((1+$L$15)^M27-1)*(1+((1+$L$15)^M27-1))</f>
        <v>1147.9388086480785</v>
      </c>
      <c r="O27" s="847">
        <f>N27/(1+$L$15)*($L$15)/(1-(1+$L$15)^-$L$16)</f>
        <v>46.153846153846125</v>
      </c>
      <c r="P27" s="382">
        <f>SUM(O27:O30)</f>
        <v>1353.8461538461524</v>
      </c>
      <c r="Q27" s="2854"/>
      <c r="R27" s="2854"/>
      <c r="S27" s="2854"/>
      <c r="T27" s="1076" t="s">
        <v>808</v>
      </c>
      <c r="U27" s="919">
        <f>O27/$U$16</f>
        <v>0.46153846153846123</v>
      </c>
      <c r="V27" s="993">
        <f>IF($T27="L",SUM($U27:U27)*V$16,"")</f>
        <v>0.13846153846153836</v>
      </c>
      <c r="W27" s="993">
        <f>IF($U27="","",IF(OR($T27="L",$T27="T",$T27="C"),SUM($U27:V27)*W$16,""))</f>
        <v>5.999999999999997E-2</v>
      </c>
      <c r="X27" s="993">
        <f>IF($U27="","",SUM($U27:W27)*X$16)</f>
        <v>0.19799999999999987</v>
      </c>
      <c r="Y27" s="384">
        <f t="shared" si="0"/>
        <v>0.3964615384615382</v>
      </c>
      <c r="Z27" s="382">
        <f>SUM(V27:X30)</f>
        <v>6.0195384615384553</v>
      </c>
      <c r="AA27" s="920">
        <f t="shared" si="1"/>
        <v>0.85799999999999943</v>
      </c>
      <c r="AB27" s="382">
        <f>SUM(AA27:AA30)</f>
        <v>19.557999999999982</v>
      </c>
      <c r="AC27" s="994">
        <f t="shared" ca="1" si="2"/>
        <v>4.3869516310461203E-2</v>
      </c>
      <c r="AD27" s="589"/>
      <c r="AE27" s="1075"/>
      <c r="AF27" s="587">
        <f>AF19+4</f>
        <v>4</v>
      </c>
      <c r="AG27" s="995">
        <f ca="1">SUM(AC27:AC30)-1</f>
        <v>0</v>
      </c>
      <c r="AH27" s="380">
        <f>$AH$16/K27</f>
        <v>5</v>
      </c>
      <c r="AI27" s="380">
        <f>$AH$16/AH27</f>
        <v>1</v>
      </c>
      <c r="AJ27" s="150">
        <f>$H27*(1-(1+$L$15)^-(AH27*AI27))/((1+$L$15)^AI27-1)*(1+((1+$L$15)^AI27-1))</f>
        <v>213.68747188877799</v>
      </c>
      <c r="AK27" s="1165">
        <f>SUM(AJ27:AJ30)</f>
        <v>6268.1658420708209</v>
      </c>
    </row>
    <row r="28" spans="1:37" s="9" customFormat="1" ht="19" customHeight="1" outlineLevel="1">
      <c r="B28" s="986"/>
      <c r="C28" s="861"/>
      <c r="D28" s="3930"/>
      <c r="E28" s="148" t="s">
        <v>308</v>
      </c>
      <c r="F28" s="1174">
        <f>$D$198</f>
        <v>1</v>
      </c>
      <c r="G28" s="2109">
        <f t="shared" si="3"/>
        <v>0.20512820512820515</v>
      </c>
      <c r="H28" s="988">
        <f>H212</f>
        <v>1307.6923076923076</v>
      </c>
      <c r="I28" s="996" t="s">
        <v>797</v>
      </c>
      <c r="J28" s="376" t="str">
        <f>IF(K28=1,"Annual","Done every "&amp;K28&amp;" years")</f>
        <v>Annual</v>
      </c>
      <c r="K28" s="272">
        <f>J212</f>
        <v>1</v>
      </c>
      <c r="L28" s="379">
        <f t="shared" si="4"/>
        <v>80</v>
      </c>
      <c r="M28" s="272">
        <f t="shared" si="4"/>
        <v>1</v>
      </c>
      <c r="N28" s="150">
        <f>$H28*(1-(1+$L$15)^-(L28*M28))/((1+$L$15)^M28-1)*(1+((1+$L$15)^M28-1))</f>
        <v>32524.932911695545</v>
      </c>
      <c r="O28" s="915">
        <f>N28/(1+$L$15)*($L$15)/(1-(1+$L$15)^-$L$16)</f>
        <v>1307.6923076923063</v>
      </c>
      <c r="P28" s="382"/>
      <c r="Q28" s="2854">
        <f>1*(1-(1+$L$15)^-(L28*M28))/((1+$L$15)^M28-1)*(1+((1+$L$15)^M28-1))</f>
        <v>24.872007520708362</v>
      </c>
      <c r="R28" s="2854">
        <f>Q28/(1+$L$15)*($L$15)/(1-(1+$L$15)^-$L$16)</f>
        <v>0.99999999999999911</v>
      </c>
      <c r="S28" s="2854">
        <f>F28*R28</f>
        <v>0.99999999999999911</v>
      </c>
      <c r="T28" s="1076" t="s">
        <v>809</v>
      </c>
      <c r="U28" s="588">
        <f>O28/$U$16</f>
        <v>13.076923076923062</v>
      </c>
      <c r="V28" s="993" t="str">
        <f>IF($T28="L",SUM($U28:U28)*V$16,"")</f>
        <v/>
      </c>
      <c r="W28" s="993">
        <f>IF($U28="","",IF(OR($T28="L",$T28="T",$T28="C"),SUM($U28:V28)*W$16,""))</f>
        <v>1.3076923076923064</v>
      </c>
      <c r="X28" s="993">
        <f>IF($U28="","",SUM($U28:W28)*X$16)</f>
        <v>4.3153846153846107</v>
      </c>
      <c r="Y28" s="250">
        <f t="shared" si="0"/>
        <v>5.6230769230769173</v>
      </c>
      <c r="Z28" s="382"/>
      <c r="AA28" s="920">
        <f t="shared" si="1"/>
        <v>18.699999999999982</v>
      </c>
      <c r="AB28" s="382"/>
      <c r="AC28" s="918">
        <f t="shared" ca="1" si="2"/>
        <v>0.95613048368953879</v>
      </c>
      <c r="AD28" s="589"/>
      <c r="AE28" s="1075"/>
      <c r="AF28" s="587">
        <f>AF27</f>
        <v>4</v>
      </c>
      <c r="AG28" s="587"/>
      <c r="AH28" s="380">
        <f>$AH$16/K28</f>
        <v>5</v>
      </c>
      <c r="AI28" s="380">
        <f>$AH$16/AH28</f>
        <v>1</v>
      </c>
      <c r="AJ28" s="150">
        <f>$H28*(1-(1+$L$15)^-(AH28*AI28))/((1+$L$15)^AI28-1)*(1+((1+$L$15)^AI28-1))</f>
        <v>6054.4783701820425</v>
      </c>
      <c r="AK28" s="715"/>
    </row>
    <row r="29" spans="1:37" s="9" customFormat="1" ht="19" customHeight="1" outlineLevel="1">
      <c r="B29" s="986"/>
      <c r="C29" s="861"/>
      <c r="D29" s="3930"/>
      <c r="E29" s="148" t="s">
        <v>4</v>
      </c>
      <c r="F29" s="1174"/>
      <c r="G29" s="1174"/>
      <c r="H29" s="988">
        <f>H213</f>
        <v>0</v>
      </c>
      <c r="I29" s="996" t="s">
        <v>70</v>
      </c>
      <c r="J29" s="376" t="str">
        <f>IF(K29=1,"Annual","Done every "&amp;K29&amp;" years")</f>
        <v>Annual</v>
      </c>
      <c r="K29" s="272">
        <f>J213</f>
        <v>1</v>
      </c>
      <c r="L29" s="379">
        <f t="shared" si="4"/>
        <v>80</v>
      </c>
      <c r="M29" s="272">
        <f t="shared" si="4"/>
        <v>1</v>
      </c>
      <c r="N29" s="150">
        <f>$H29*(1-(1+$L$15)^-(L29*M29))/((1+$L$15)^M29-1)*(1+((1+$L$15)^M29-1))</f>
        <v>0</v>
      </c>
      <c r="O29" s="915">
        <f>N29/(1+$L$15)*($L$15)/(1-(1+$L$15)^-$L$16)</f>
        <v>0</v>
      </c>
      <c r="P29" s="998"/>
      <c r="Q29" s="2854"/>
      <c r="R29" s="2854"/>
      <c r="S29" s="2854"/>
      <c r="T29" s="1076" t="s">
        <v>810</v>
      </c>
      <c r="U29" s="588">
        <f>O29/$U$16</f>
        <v>0</v>
      </c>
      <c r="V29" s="993" t="str">
        <f>IF($T29="L",SUM($U29:U29)*V$16,"")</f>
        <v/>
      </c>
      <c r="W29" s="993">
        <f>IF($U29="","",IF(OR($T29="L",$T29="T",$T29="C"),SUM($U29:V29)*W$16,""))</f>
        <v>0</v>
      </c>
      <c r="X29" s="993">
        <f>IF($U29="","",SUM($U29:W29)*X$16)</f>
        <v>0</v>
      </c>
      <c r="Y29" s="250">
        <f t="shared" si="0"/>
        <v>0</v>
      </c>
      <c r="Z29" s="998"/>
      <c r="AA29" s="999">
        <f t="shared" si="1"/>
        <v>0</v>
      </c>
      <c r="AB29" s="998"/>
      <c r="AC29" s="918">
        <f t="shared" ca="1" si="2"/>
        <v>0</v>
      </c>
      <c r="AD29" s="997"/>
      <c r="AE29" s="1075"/>
      <c r="AF29" s="587">
        <f>AF28</f>
        <v>4</v>
      </c>
      <c r="AG29" s="587"/>
      <c r="AH29" s="380">
        <f>$AH$16/K29</f>
        <v>5</v>
      </c>
      <c r="AI29" s="380">
        <f>$AH$16/AH29</f>
        <v>1</v>
      </c>
      <c r="AJ29" s="150">
        <f>$H29*(1-(1+$L$15)^-(AH29*AI29))/((1+$L$15)^AI29-1)*(1+((1+$L$15)^AI29-1))</f>
        <v>0</v>
      </c>
      <c r="AK29" s="1214"/>
    </row>
    <row r="30" spans="1:37" s="9" customFormat="1" ht="19" customHeight="1" outlineLevel="1">
      <c r="B30" s="986"/>
      <c r="C30" s="861"/>
      <c r="D30" s="3930"/>
      <c r="E30" s="1163"/>
      <c r="F30" s="1175"/>
      <c r="G30" s="1175"/>
      <c r="H30" s="1165"/>
      <c r="I30" s="1164"/>
      <c r="J30" s="1166"/>
      <c r="K30" s="1167"/>
      <c r="L30" s="1168"/>
      <c r="M30" s="1167"/>
      <c r="N30" s="1165"/>
      <c r="O30" s="1169"/>
      <c r="P30" s="998"/>
      <c r="Q30" s="2854"/>
      <c r="R30" s="2854"/>
      <c r="S30" s="2854"/>
      <c r="T30" s="1076" t="s">
        <v>811</v>
      </c>
      <c r="U30" s="588"/>
      <c r="V30" s="993" t="str">
        <f>IF($T30="L",SUM($U30:U30)*V$16,"")</f>
        <v/>
      </c>
      <c r="W30" s="993" t="str">
        <f>IF($U30="","",IF(OR($T30="L",$T30="T",$T30="C"),SUM($U30:V30)*W$16,""))</f>
        <v/>
      </c>
      <c r="X30" s="993" t="str">
        <f>IF($U30="","",SUM($U30:W30)*X$16)</f>
        <v/>
      </c>
      <c r="Y30" s="250"/>
      <c r="Z30" s="998"/>
      <c r="AA30" s="999"/>
      <c r="AB30" s="998"/>
      <c r="AC30" s="918"/>
      <c r="AD30" s="997"/>
      <c r="AE30" s="1075"/>
      <c r="AF30" s="587">
        <f>AF29</f>
        <v>4</v>
      </c>
      <c r="AG30" s="587"/>
      <c r="AH30" s="380"/>
      <c r="AI30" s="380"/>
      <c r="AJ30" s="150"/>
      <c r="AK30" s="1214"/>
    </row>
    <row r="31" spans="1:37" ht="18" customHeight="1" outlineLevel="1">
      <c r="A31" s="390"/>
      <c r="B31" s="710">
        <f>B27+0.1</f>
        <v>2.1</v>
      </c>
      <c r="C31" s="1011" t="s">
        <v>1005</v>
      </c>
      <c r="D31" s="3850" t="s">
        <v>1051</v>
      </c>
      <c r="E31" s="373" t="s">
        <v>3</v>
      </c>
      <c r="F31" s="1176"/>
      <c r="G31" s="1176">
        <f>$D$280</f>
        <v>6.2541106128550075</v>
      </c>
      <c r="H31" s="370">
        <f>H325</f>
        <v>1407.1748878923768</v>
      </c>
      <c r="I31" s="613" t="s">
        <v>475</v>
      </c>
      <c r="J31" s="375" t="str">
        <f>IF(K31=1,"Annual","Done every "&amp;K31&amp;" years")</f>
        <v>Annual</v>
      </c>
      <c r="K31" s="371">
        <f>L325</f>
        <v>1</v>
      </c>
      <c r="L31" s="386">
        <f t="shared" ref="L31:M33" si="5">$L$16/K31</f>
        <v>80</v>
      </c>
      <c r="M31" s="371">
        <f t="shared" si="5"/>
        <v>1</v>
      </c>
      <c r="N31" s="370">
        <f>$H31*(1-(1+$L$15)^-(L31*M31))/((1+$L$15)^M31-1)*(1+((1+$L$15)^M31-1))</f>
        <v>34999.264394611135</v>
      </c>
      <c r="O31" s="640">
        <f>N31/(1+$L$15)*($L$15)/(1-(1+$L$15)^-$L$16)</f>
        <v>1407.1748878923752</v>
      </c>
      <c r="P31" s="980">
        <f>SUM(O31:O34)</f>
        <v>3558.3856502242124</v>
      </c>
      <c r="Q31" s="3049"/>
      <c r="R31" s="3049"/>
      <c r="S31" s="3049"/>
      <c r="T31" s="1034" t="s">
        <v>808</v>
      </c>
      <c r="U31" s="642">
        <f t="shared" ref="U31:U37" si="6">O31/$U$16</f>
        <v>14.071748878923751</v>
      </c>
      <c r="V31" s="644">
        <f>IF($T31="L",SUM($U31:U31)*V$16,"")</f>
        <v>4.2215246636771253</v>
      </c>
      <c r="W31" s="644">
        <f>IF($U31="","",IF(OR($T31="L",$T31="T",$T31="C"),SUM($U31:V31)*W$16,""))</f>
        <v>1.8293273542600876</v>
      </c>
      <c r="X31" s="644">
        <f>IF($U31="","",SUM($U31:W31)*X$16)</f>
        <v>6.0367802690582888</v>
      </c>
      <c r="Y31" s="388">
        <f>IF($U31="","",SUM(V31:X31))</f>
        <v>12.087632286995502</v>
      </c>
      <c r="Z31" s="392">
        <f>SUM(V31:X34)</f>
        <v>21.337838565022402</v>
      </c>
      <c r="AA31" s="734">
        <f>IF($U31="","",SUM(U31,Y31))</f>
        <v>26.159381165919253</v>
      </c>
      <c r="AB31" s="392">
        <f>SUM(AA31:AA34)</f>
        <v>56.921695067264523</v>
      </c>
      <c r="AC31" s="888">
        <f ca="1">IF(AA31="","",AA31/OFFSET($AB$23,AF31,0))</f>
        <v>0.45956785255615878</v>
      </c>
      <c r="AD31" s="641"/>
      <c r="AE31" s="1066"/>
      <c r="AF31" s="587">
        <f>AF27+4</f>
        <v>8</v>
      </c>
      <c r="AG31" s="816">
        <f ca="1">SUM(AC31:AC34)-1</f>
        <v>0</v>
      </c>
      <c r="AH31" s="387">
        <f>$AH$16/K31</f>
        <v>5</v>
      </c>
      <c r="AI31" s="387">
        <f>$AH$16/AH31</f>
        <v>1</v>
      </c>
      <c r="AJ31" s="370">
        <f>$H31*(1-(1+$L$15)^-(AH31*AI31))/((1+$L$15)^AI31-1)*(1+((1+$L$15)^AI31-1))</f>
        <v>6515.0722931470918</v>
      </c>
      <c r="AK31" s="980">
        <f>SUM(AJ31:AJ34)</f>
        <v>16474.95272803722</v>
      </c>
    </row>
    <row r="32" spans="1:37" ht="19" customHeight="1" outlineLevel="1">
      <c r="A32" s="390"/>
      <c r="B32" s="710"/>
      <c r="C32" s="1012" t="s">
        <v>749</v>
      </c>
      <c r="D32" s="3851"/>
      <c r="E32" s="373" t="s">
        <v>308</v>
      </c>
      <c r="F32" s="1176">
        <f>$D$312</f>
        <v>1</v>
      </c>
      <c r="G32" s="1176">
        <f>$D$304</f>
        <v>3.1270553064275037</v>
      </c>
      <c r="H32" s="882">
        <f>H326</f>
        <v>891.21076233183862</v>
      </c>
      <c r="I32" s="613" t="s">
        <v>797</v>
      </c>
      <c r="J32" s="375" t="str">
        <f>IF(K32=1,"Annual","Done every "&amp;K32&amp;" years")</f>
        <v>Annual</v>
      </c>
      <c r="K32" s="371">
        <f>L326</f>
        <v>1</v>
      </c>
      <c r="L32" s="386">
        <f t="shared" si="5"/>
        <v>80</v>
      </c>
      <c r="M32" s="371">
        <f t="shared" si="5"/>
        <v>1</v>
      </c>
      <c r="N32" s="370">
        <f>$H32*(1-(1+$L$15)^-(L32*M32))/((1+$L$15)^M32-1)*(1+((1+$L$15)^M32-1))</f>
        <v>22166.200783253724</v>
      </c>
      <c r="O32" s="640">
        <f>N32/(1+$L$15)*($L$15)/(1-(1+$L$15)^-$L$16)</f>
        <v>891.21076233183794</v>
      </c>
      <c r="P32" s="981"/>
      <c r="Q32" s="2956">
        <f>1*(1-(1+$L$15)^-(L32*M32))/((1+$L$15)^M32-1)*(1+((1+$L$15)^M32-1))</f>
        <v>24.872007520708362</v>
      </c>
      <c r="R32" s="2956">
        <f>Q32/(1+$L$15)*($L$15)/(1-(1+$L$15)^-$L$16)</f>
        <v>0.99999999999999911</v>
      </c>
      <c r="S32" s="2956">
        <f>F32*R32</f>
        <v>0.99999999999999911</v>
      </c>
      <c r="T32" s="1034" t="s">
        <v>809</v>
      </c>
      <c r="U32" s="639">
        <f t="shared" si="6"/>
        <v>8.9121076233183789</v>
      </c>
      <c r="V32" s="644" t="str">
        <f>IF($T32="L",SUM($U32:U32)*V$16,"")</f>
        <v/>
      </c>
      <c r="W32" s="644">
        <f>IF($U32="","",IF(OR($T32="L",$T32="T",$T32="C"),SUM($U32:V32)*W$16,""))</f>
        <v>0.89121076233183794</v>
      </c>
      <c r="X32" s="644">
        <f>IF($U32="","",SUM($U32:W32)*X$16)</f>
        <v>2.9409955156950649</v>
      </c>
      <c r="Y32" s="394">
        <f>IF($U32="","",SUM(V32:X32))</f>
        <v>3.8322062780269031</v>
      </c>
      <c r="Z32" s="392"/>
      <c r="AA32" s="734">
        <f>IF($U32="","",SUM(U32,Y32))</f>
        <v>12.744313901345283</v>
      </c>
      <c r="AB32" s="392"/>
      <c r="AC32" s="729">
        <f ca="1">IF(AA32="","",AA32/OFFSET($AB$23,AF32,0))</f>
        <v>0.2238920307324877</v>
      </c>
      <c r="AD32" s="641"/>
      <c r="AE32" s="1066"/>
      <c r="AF32" s="587">
        <f>AF31</f>
        <v>8</v>
      </c>
      <c r="AG32" s="587"/>
      <c r="AH32" s="387">
        <f>$AH$16/K32</f>
        <v>5</v>
      </c>
      <c r="AI32" s="387">
        <f>$AH$16/AH32</f>
        <v>1</v>
      </c>
      <c r="AJ32" s="370">
        <f>$H32*(1-(1+$L$15)^-(AH32*AI32))/((1+$L$15)^AI32-1)*(1+((1+$L$15)^AI32-1))</f>
        <v>4126.212452326492</v>
      </c>
      <c r="AK32" s="981"/>
    </row>
    <row r="33" spans="1:37" ht="19" customHeight="1" outlineLevel="1">
      <c r="A33" s="390"/>
      <c r="B33" s="710"/>
      <c r="C33" s="1012"/>
      <c r="D33" s="3851"/>
      <c r="E33" s="373" t="s">
        <v>4</v>
      </c>
      <c r="F33" s="1176"/>
      <c r="G33" s="1176">
        <f>$D$321</f>
        <v>6</v>
      </c>
      <c r="H33" s="882">
        <f>H327</f>
        <v>1260</v>
      </c>
      <c r="I33" s="613" t="s">
        <v>70</v>
      </c>
      <c r="J33" s="375" t="str">
        <f>IF(K33=1,"Annual","Done every "&amp;K33&amp;" years")</f>
        <v>Annual</v>
      </c>
      <c r="K33" s="371">
        <f>L327</f>
        <v>1</v>
      </c>
      <c r="L33" s="386">
        <f t="shared" si="5"/>
        <v>80</v>
      </c>
      <c r="M33" s="371">
        <f t="shared" si="5"/>
        <v>1</v>
      </c>
      <c r="N33" s="370">
        <f>$H33*(1-(1+$L$15)^-(L33*M33))/((1+$L$15)^M33-1)*(1+((1+$L$15)^M33-1))</f>
        <v>31338.729476092536</v>
      </c>
      <c r="O33" s="640">
        <f>N33/(1+$L$15)*($L$15)/(1-(1+$L$15)^-$L$16)</f>
        <v>1259.9999999999991</v>
      </c>
      <c r="P33" s="982"/>
      <c r="Q33" s="2956"/>
      <c r="R33" s="2956"/>
      <c r="S33" s="2956"/>
      <c r="T33" s="1034" t="s">
        <v>810</v>
      </c>
      <c r="U33" s="639">
        <f t="shared" si="6"/>
        <v>12.599999999999991</v>
      </c>
      <c r="V33" s="644" t="str">
        <f>IF($T33="L",SUM($U33:U33)*V$16,"")</f>
        <v/>
      </c>
      <c r="W33" s="644">
        <f>IF($U33="","",IF(OR($T33="L",$T33="T",$T33="C"),SUM($U33:V33)*W$16,""))</f>
        <v>1.2599999999999991</v>
      </c>
      <c r="X33" s="644">
        <f>IF($U33="","",SUM($U33:W33)*X$16)</f>
        <v>4.1579999999999968</v>
      </c>
      <c r="Y33" s="394">
        <f>IF($U33="","",SUM(V33:X33))</f>
        <v>5.4179999999999957</v>
      </c>
      <c r="Z33" s="393"/>
      <c r="AA33" s="735">
        <f>IF($U33="","",SUM(U33,Y33))</f>
        <v>18.017999999999986</v>
      </c>
      <c r="AB33" s="393"/>
      <c r="AC33" s="729">
        <f ca="1">IF(AA33="","",AA33/OFFSET($AB$23,AF33,0))</f>
        <v>0.31654011671135351</v>
      </c>
      <c r="AD33" s="643"/>
      <c r="AE33" s="1066"/>
      <c r="AF33" s="587">
        <f>AF32</f>
        <v>8</v>
      </c>
      <c r="AG33" s="587"/>
      <c r="AH33" s="387">
        <f>$AH$16/K33</f>
        <v>5</v>
      </c>
      <c r="AI33" s="387">
        <f>$AH$16/AH33</f>
        <v>1</v>
      </c>
      <c r="AJ33" s="370">
        <f>$H33*(1-(1+$L$15)^-(AH33*AI33))/((1+$L$15)^AI33-1)*(1+((1+$L$15)^AI33-1))</f>
        <v>5833.6679825636384</v>
      </c>
      <c r="AK33" s="982"/>
    </row>
    <row r="34" spans="1:37" ht="19" customHeight="1" outlineLevel="1">
      <c r="A34" s="390"/>
      <c r="B34" s="710"/>
      <c r="C34" s="1012"/>
      <c r="D34" s="3851"/>
      <c r="E34" s="373" t="s">
        <v>21</v>
      </c>
      <c r="F34" s="1176"/>
      <c r="G34" s="1176"/>
      <c r="H34" s="370"/>
      <c r="I34" s="1086"/>
      <c r="J34" s="375"/>
      <c r="K34" s="371"/>
      <c r="L34" s="386"/>
      <c r="M34" s="371"/>
      <c r="N34" s="370"/>
      <c r="O34" s="640"/>
      <c r="P34" s="982"/>
      <c r="Q34" s="2956"/>
      <c r="R34" s="2956"/>
      <c r="S34" s="2956"/>
      <c r="T34" s="1034" t="s">
        <v>811</v>
      </c>
      <c r="U34" s="639">
        <f t="shared" si="6"/>
        <v>0</v>
      </c>
      <c r="V34" s="644" t="str">
        <f>IF($T34="L",SUM($U34:U34)*V$16,"")</f>
        <v/>
      </c>
      <c r="W34" s="644" t="str">
        <f>IF($U34="","",IF(OR($T34="L",$T34="T",$T34="C"),SUM($U34:V34)*W$16,""))</f>
        <v/>
      </c>
      <c r="X34" s="644">
        <f>IF($U34="","",SUM($U34:W34)*X$16)</f>
        <v>0</v>
      </c>
      <c r="Y34" s="394"/>
      <c r="Z34" s="393"/>
      <c r="AA34" s="735"/>
      <c r="AB34" s="393"/>
      <c r="AC34" s="729"/>
      <c r="AD34" s="643"/>
      <c r="AE34" s="1066"/>
      <c r="AF34" s="587">
        <f>AF33</f>
        <v>8</v>
      </c>
      <c r="AG34" s="587"/>
      <c r="AH34" s="387"/>
      <c r="AI34" s="387"/>
      <c r="AJ34" s="370"/>
      <c r="AK34" s="982"/>
    </row>
    <row r="35" spans="1:37" ht="18" customHeight="1" outlineLevel="1">
      <c r="A35" s="676"/>
      <c r="B35" s="711">
        <f>B31+0.1</f>
        <v>2.2000000000000002</v>
      </c>
      <c r="C35" s="1013" t="s">
        <v>202</v>
      </c>
      <c r="D35" s="3852" t="s">
        <v>1051</v>
      </c>
      <c r="E35" s="685" t="s">
        <v>3</v>
      </c>
      <c r="F35" s="1177"/>
      <c r="G35" s="1177">
        <f>$E$280</f>
        <v>7.449925261584454</v>
      </c>
      <c r="H35" s="665">
        <f>I325</f>
        <v>1676.2331838565024</v>
      </c>
      <c r="I35" s="818" t="str">
        <f>I31</f>
        <v xml:space="preserve">Labour to get tracking done, cameras, sandpads and collars. </v>
      </c>
      <c r="J35" s="666" t="str">
        <f>IF(K35=1,"Annual","Done every "&amp;K35&amp;" years")</f>
        <v>Annual</v>
      </c>
      <c r="K35" s="667">
        <f>L325</f>
        <v>1</v>
      </c>
      <c r="L35" s="671">
        <f t="shared" ref="L35:M37" si="7">$L$16/K35</f>
        <v>80</v>
      </c>
      <c r="M35" s="880">
        <f t="shared" si="7"/>
        <v>1</v>
      </c>
      <c r="N35" s="883">
        <f>$H35*(1-(1+$L$15)^-(L35*M35))/((1+$L$15)^M35-1)*(1+((1+$L$15)^M35-1))</f>
        <v>41691.284355339849</v>
      </c>
      <c r="O35" s="673">
        <f>N35/(1+$L$15)*($L$15)/(1-(1+$L$15)^-$L$16)</f>
        <v>1676.233183856501</v>
      </c>
      <c r="P35" s="983">
        <f>SUM(O35:O38)</f>
        <v>3997.847533632284</v>
      </c>
      <c r="Q35" s="3050"/>
      <c r="R35" s="3050"/>
      <c r="S35" s="3050"/>
      <c r="T35" s="1035" t="s">
        <v>808</v>
      </c>
      <c r="U35" s="675">
        <f t="shared" si="6"/>
        <v>16.762331838565011</v>
      </c>
      <c r="V35" s="675">
        <f>IF($T35="L",SUM($U35:U35)*V$16,"")</f>
        <v>5.0286995515695034</v>
      </c>
      <c r="W35" s="675">
        <f>IF($U35="","",IF(OR($T35="L",$T35="T",$T35="C"),SUM($U35:V35)*W$16,""))</f>
        <v>2.1791031390134514</v>
      </c>
      <c r="X35" s="675">
        <f>IF($U35="","",SUM($U35:W35)*X$16)</f>
        <v>7.1910403587443898</v>
      </c>
      <c r="Y35" s="670">
        <f>IF($U35="","",SUM(V35:X35))</f>
        <v>14.398843049327345</v>
      </c>
      <c r="Z35" s="716">
        <f>SUM(V35:X38)</f>
        <v>24.381784753363213</v>
      </c>
      <c r="AA35" s="736">
        <f>IF($U35="","",SUM(U35,Y35))</f>
        <v>31.161174887892358</v>
      </c>
      <c r="AB35" s="716">
        <f>SUM(AA35:AA38)</f>
        <v>64.360260089686051</v>
      </c>
      <c r="AC35" s="730">
        <f ca="1">IF(AA35="","",AA35/OFFSET($AB$23,AF35,0))</f>
        <v>0.48416794532012841</v>
      </c>
      <c r="AD35" s="674"/>
      <c r="AE35" s="1067"/>
      <c r="AF35" s="587">
        <f>AF31+4</f>
        <v>12</v>
      </c>
      <c r="AG35" s="816">
        <f ca="1">SUM(AC35:AC38)-1</f>
        <v>0</v>
      </c>
      <c r="AH35" s="669">
        <f>$AH$16/K35</f>
        <v>5</v>
      </c>
      <c r="AI35" s="669">
        <f>$AH$16/AH35</f>
        <v>1</v>
      </c>
      <c r="AJ35" s="665">
        <f>$H35*(1-(1+$L$15)^-(AH35*AI35))/((1+$L$15)^AI35-1)*(1+((1+$L$15)^AI35-1))</f>
        <v>7760.7840126780848</v>
      </c>
      <c r="AK35" s="983">
        <f>SUM(AJ35:AJ38)</f>
        <v>18509.615203271176</v>
      </c>
    </row>
    <row r="36" spans="1:37" ht="18" customHeight="1" outlineLevel="1">
      <c r="A36" s="676"/>
      <c r="B36" s="712"/>
      <c r="C36" s="1014" t="s">
        <v>779</v>
      </c>
      <c r="D36" s="3853"/>
      <c r="E36" s="685" t="s">
        <v>308</v>
      </c>
      <c r="F36" s="1177">
        <f>$E$312</f>
        <v>1</v>
      </c>
      <c r="G36" s="1177">
        <f>$E$304</f>
        <v>3.724962630792227</v>
      </c>
      <c r="H36" s="665">
        <f>I326</f>
        <v>1061.6143497757848</v>
      </c>
      <c r="I36" s="818" t="str">
        <f>I32</f>
        <v>Transport at site</v>
      </c>
      <c r="J36" s="666" t="str">
        <f>IF(K36=1,"Annual","Done every "&amp;K36&amp;" years")</f>
        <v>Annual</v>
      </c>
      <c r="K36" s="667">
        <f>L326</f>
        <v>1</v>
      </c>
      <c r="L36" s="668">
        <f t="shared" si="7"/>
        <v>80</v>
      </c>
      <c r="M36" s="667">
        <f t="shared" si="7"/>
        <v>1</v>
      </c>
      <c r="N36" s="665">
        <f>$H36*(1-(1+$L$15)^-(L36*M36))/((1+$L$15)^M36-1)*(1+((1+$L$15)^M36-1))</f>
        <v>26404.480091715235</v>
      </c>
      <c r="O36" s="680">
        <f>N36/(1+$L$15)*($L$15)/(1-(1+$L$15)^-$L$16)</f>
        <v>1061.6143497757839</v>
      </c>
      <c r="P36" s="984"/>
      <c r="Q36" s="3051">
        <f>1*(1-(1+$L$15)^-(L36*M36))/((1+$L$15)^M36-1)*(1+((1+$L$15)^M36-1))</f>
        <v>24.872007520708362</v>
      </c>
      <c r="R36" s="3051">
        <f>Q36/(1+$L$15)*($L$15)/(1-(1+$L$15)^-$L$16)</f>
        <v>0.99999999999999911</v>
      </c>
      <c r="S36" s="3051">
        <f>F36*R36</f>
        <v>0.99999999999999911</v>
      </c>
      <c r="T36" s="1036" t="s">
        <v>809</v>
      </c>
      <c r="U36" s="675">
        <f t="shared" si="6"/>
        <v>10.616143497757839</v>
      </c>
      <c r="V36" s="682" t="str">
        <f>IF($T36="L",SUM($U36:U36)*V$16,"")</f>
        <v/>
      </c>
      <c r="W36" s="682">
        <f>IF($U36="","",IF(OR($T36="L",$T36="T",$T36="C"),SUM($U36:V36)*W$16,""))</f>
        <v>1.0616143497757839</v>
      </c>
      <c r="X36" s="682">
        <f>IF($U36="","",SUM($U36:W36)*X$16)</f>
        <v>3.5033273542600871</v>
      </c>
      <c r="Y36" s="679">
        <f>IF($U36="","",SUM(V36:X36))</f>
        <v>4.5649417040358706</v>
      </c>
      <c r="Z36" s="720"/>
      <c r="AA36" s="737">
        <f>IF($U36="","",SUM(U36,Y36))</f>
        <v>15.18108520179371</v>
      </c>
      <c r="AB36" s="720"/>
      <c r="AC36" s="730">
        <f ca="1">IF(AA36="","",AA36/OFFSET($AB$23,AF36,0))</f>
        <v>0.2358766913098061</v>
      </c>
      <c r="AD36" s="681"/>
      <c r="AE36" s="1067"/>
      <c r="AF36" s="587">
        <f>AF35</f>
        <v>12</v>
      </c>
      <c r="AG36" s="587"/>
      <c r="AH36" s="669">
        <f>$AH$16/K36</f>
        <v>5</v>
      </c>
      <c r="AI36" s="669">
        <f>$AH$16/AH36</f>
        <v>1</v>
      </c>
      <c r="AJ36" s="665">
        <f>$H36*(1-(1+$L$15)^-(AH36*AI36))/((1+$L$15)^AI36-1)*(1+((1+$L$15)^AI36-1))</f>
        <v>4915.163208029453</v>
      </c>
      <c r="AK36" s="984"/>
    </row>
    <row r="37" spans="1:37" ht="18" customHeight="1" outlineLevel="1">
      <c r="A37" s="676"/>
      <c r="B37" s="712"/>
      <c r="C37" s="1014"/>
      <c r="D37" s="3853"/>
      <c r="E37" s="685" t="s">
        <v>4</v>
      </c>
      <c r="F37" s="1177"/>
      <c r="G37" s="1177">
        <f>$E$321</f>
        <v>6</v>
      </c>
      <c r="H37" s="665">
        <f>I327</f>
        <v>1260</v>
      </c>
      <c r="I37" s="818" t="str">
        <f>I33</f>
        <v>Accomodation</v>
      </c>
      <c r="J37" s="666" t="str">
        <f>IF(K37=1,"Annual","Done every "&amp;K37&amp;" years")</f>
        <v>Annual</v>
      </c>
      <c r="K37" s="667">
        <f>L327</f>
        <v>1</v>
      </c>
      <c r="L37" s="668">
        <f t="shared" si="7"/>
        <v>80</v>
      </c>
      <c r="M37" s="667">
        <f t="shared" si="7"/>
        <v>1</v>
      </c>
      <c r="N37" s="665">
        <f>$H37*(1-(1+$L$15)^-(L37*M37))/((1+$L$15)^M37-1)*(1+((1+$L$15)^M37-1))</f>
        <v>31338.729476092536</v>
      </c>
      <c r="O37" s="680">
        <f>N37/(1+$L$15)*($L$15)/(1-(1+$L$15)^-$L$16)</f>
        <v>1259.9999999999991</v>
      </c>
      <c r="P37" s="985"/>
      <c r="Q37" s="3051"/>
      <c r="R37" s="3051"/>
      <c r="S37" s="3051"/>
      <c r="T37" s="1036" t="s">
        <v>810</v>
      </c>
      <c r="U37" s="675">
        <f t="shared" si="6"/>
        <v>12.599999999999991</v>
      </c>
      <c r="V37" s="684" t="str">
        <f>IF($T37="L",SUM($U37:U37)*V$16,"")</f>
        <v/>
      </c>
      <c r="W37" s="684">
        <f>IF($U37="","",IF(OR($T37="L",$T37="T",$T37="C"),SUM($U37:V37)*W$16,""))</f>
        <v>1.2599999999999991</v>
      </c>
      <c r="X37" s="684">
        <f>IF($U37="","",SUM($U37:W37)*X$16)</f>
        <v>4.1579999999999968</v>
      </c>
      <c r="Y37" s="1024">
        <f>IF($U37="","",SUM(V37:X37))</f>
        <v>5.4179999999999957</v>
      </c>
      <c r="Z37" s="721"/>
      <c r="AA37" s="738">
        <f>IF($U37="","",SUM(U37,Y37))</f>
        <v>18.017999999999986</v>
      </c>
      <c r="AB37" s="721"/>
      <c r="AC37" s="730">
        <f ca="1">IF(AA37="","",AA37/OFFSET($AB$23,AF37,0))</f>
        <v>0.27995536337006555</v>
      </c>
      <c r="AD37" s="683"/>
      <c r="AE37" s="1067"/>
      <c r="AF37" s="587">
        <f>AF36</f>
        <v>12</v>
      </c>
      <c r="AG37" s="587"/>
      <c r="AH37" s="669">
        <f>$AH$16/K37</f>
        <v>5</v>
      </c>
      <c r="AI37" s="669">
        <f>$AH$16/AH37</f>
        <v>1</v>
      </c>
      <c r="AJ37" s="665">
        <f>$H37*(1-(1+$L$15)^-(AH37*AI37))/((1+$L$15)^AI37-1)*(1+((1+$L$15)^AI37-1))</f>
        <v>5833.6679825636384</v>
      </c>
      <c r="AK37" s="985"/>
    </row>
    <row r="38" spans="1:37" ht="18" customHeight="1" outlineLevel="1">
      <c r="A38" s="676"/>
      <c r="B38" s="712"/>
      <c r="C38" s="1014"/>
      <c r="D38" s="3854"/>
      <c r="E38" s="1082" t="s">
        <v>21</v>
      </c>
      <c r="F38" s="1177"/>
      <c r="G38" s="1177"/>
      <c r="H38" s="665"/>
      <c r="I38" s="818"/>
      <c r="J38" s="666"/>
      <c r="K38" s="667"/>
      <c r="L38" s="668"/>
      <c r="M38" s="667"/>
      <c r="N38" s="665"/>
      <c r="O38" s="680"/>
      <c r="P38" s="985"/>
      <c r="Q38" s="3051"/>
      <c r="R38" s="3051"/>
      <c r="S38" s="3051"/>
      <c r="T38" s="1036" t="s">
        <v>811</v>
      </c>
      <c r="U38" s="675"/>
      <c r="V38" s="684" t="str">
        <f>IF($T38="L",SUM($U38:U38)*V$16,"")</f>
        <v/>
      </c>
      <c r="W38" s="684" t="str">
        <f>IF($U38="","",IF(OR($T38="L",$T38="T",$T38="C"),SUM($U38:V38)*W$16,""))</f>
        <v/>
      </c>
      <c r="X38" s="684" t="str">
        <f>IF($U38="","",SUM($U38:W38)*X$16)</f>
        <v/>
      </c>
      <c r="Y38" s="1024"/>
      <c r="Z38" s="721"/>
      <c r="AA38" s="738"/>
      <c r="AB38" s="721"/>
      <c r="AC38" s="730"/>
      <c r="AD38" s="683"/>
      <c r="AE38" s="1067"/>
      <c r="AF38" s="587">
        <f>AF37</f>
        <v>12</v>
      </c>
      <c r="AG38" s="587"/>
      <c r="AH38" s="669"/>
      <c r="AI38" s="669"/>
      <c r="AJ38" s="665"/>
      <c r="AK38" s="985"/>
    </row>
    <row r="39" spans="1:37" ht="18" customHeight="1" outlineLevel="1">
      <c r="A39" s="656"/>
      <c r="B39" s="713">
        <f>B35+0.1</f>
        <v>2.3000000000000003</v>
      </c>
      <c r="C39" s="1015" t="s">
        <v>202</v>
      </c>
      <c r="D39" s="3863" t="s">
        <v>1051</v>
      </c>
      <c r="E39" s="686" t="s">
        <v>3</v>
      </c>
      <c r="F39" s="1178"/>
      <c r="G39" s="1178">
        <f>$F$280</f>
        <v>9.8415545590433489</v>
      </c>
      <c r="H39" s="645">
        <f>J325</f>
        <v>2214.3497757847535</v>
      </c>
      <c r="I39" s="820" t="s">
        <v>475</v>
      </c>
      <c r="J39" s="646" t="str">
        <f>IF(K39=1,"Annual","Done every "&amp;K39&amp;" years")</f>
        <v>Annual</v>
      </c>
      <c r="K39" s="647">
        <f>L325</f>
        <v>1</v>
      </c>
      <c r="L39" s="651">
        <f t="shared" ref="L39:M41" si="8">$L$16/K39</f>
        <v>80</v>
      </c>
      <c r="M39" s="881">
        <f t="shared" si="8"/>
        <v>1</v>
      </c>
      <c r="N39" s="884">
        <f>$H39*(1-(1+$L$15)^-(L39*M39))/((1+$L$15)^M39-1)*(1+((1+$L$15)^M39-1))</f>
        <v>55075.324276797262</v>
      </c>
      <c r="O39" s="653">
        <f>N39/(1+$L$15)*($L$15)/(1-(1+$L$15)^-$L$16)</f>
        <v>2214.3497757847517</v>
      </c>
      <c r="P39" s="931">
        <f>SUM(O39:O42)</f>
        <v>5296.7713004484267</v>
      </c>
      <c r="Q39" s="3052"/>
      <c r="R39" s="3052"/>
      <c r="S39" s="3052"/>
      <c r="T39" s="1037" t="s">
        <v>808</v>
      </c>
      <c r="U39" s="655">
        <f>O39/$U$16</f>
        <v>22.143497757847516</v>
      </c>
      <c r="V39" s="655">
        <f>IF($T39="L",SUM($U39:U39)*V$16,"")</f>
        <v>6.6430493273542544</v>
      </c>
      <c r="W39" s="655">
        <f>IF($U39="","",IF(OR($T39="L",$T39="T",$T39="C"),SUM($U39:V39)*W$16,""))</f>
        <v>2.8786547085201772</v>
      </c>
      <c r="X39" s="655">
        <f>IF($U39="","",SUM($U39:W39)*X$16)</f>
        <v>9.4995605381165849</v>
      </c>
      <c r="Y39" s="650">
        <f>IF($U39="","",SUM(V39:X39))</f>
        <v>19.021264573991019</v>
      </c>
      <c r="Z39" s="717">
        <f>SUM(V39:X42)</f>
        <v>32.275677130044819</v>
      </c>
      <c r="AA39" s="739">
        <f>IF($U39="","",SUM(U39,Y39))</f>
        <v>41.164762331838531</v>
      </c>
      <c r="AB39" s="717">
        <f>SUM(AA39:AA42)</f>
        <v>85.243390134529079</v>
      </c>
      <c r="AC39" s="731">
        <f ca="1">IF(AA39="","",AA39/OFFSET($AB$23,AF39,0))</f>
        <v>0.48290855474979688</v>
      </c>
      <c r="AD39" s="654"/>
      <c r="AE39" s="1068"/>
      <c r="AF39" s="587">
        <f>AF35+4</f>
        <v>16</v>
      </c>
      <c r="AG39" s="816">
        <f ca="1">SUM(AC39:AC42)-1</f>
        <v>0</v>
      </c>
      <c r="AH39" s="649">
        <f>$AH$16/K39</f>
        <v>5</v>
      </c>
      <c r="AI39" s="649">
        <f>$AH$16/AH39</f>
        <v>1</v>
      </c>
      <c r="AJ39" s="645">
        <f>$H39*(1-(1+$L$15)^-(AH39*AI39))/((1+$L$15)^AI39-1)*(1+((1+$L$15)^AI39-1))</f>
        <v>10252.207451740071</v>
      </c>
      <c r="AK39" s="931">
        <f>SUM(AJ39:AJ42)</f>
        <v>24523.496147926966</v>
      </c>
    </row>
    <row r="40" spans="1:37" ht="19" customHeight="1" outlineLevel="1">
      <c r="A40" s="656"/>
      <c r="B40" s="714"/>
      <c r="C40" s="1016" t="s">
        <v>789</v>
      </c>
      <c r="D40" s="3864"/>
      <c r="E40" s="686" t="s">
        <v>308</v>
      </c>
      <c r="F40" s="1178">
        <f>$F$312</f>
        <v>1</v>
      </c>
      <c r="G40" s="1178">
        <f>$F$304</f>
        <v>4.9207772795216744</v>
      </c>
      <c r="H40" s="645">
        <f>J326</f>
        <v>1402.4215246636772</v>
      </c>
      <c r="I40" s="820" t="s">
        <v>797</v>
      </c>
      <c r="J40" s="646" t="str">
        <f>IF(K40=1,"Annual","Done every "&amp;K40&amp;" years")</f>
        <v>Annual</v>
      </c>
      <c r="K40" s="647">
        <f>L326</f>
        <v>1</v>
      </c>
      <c r="L40" s="648">
        <f t="shared" si="8"/>
        <v>80</v>
      </c>
      <c r="M40" s="647">
        <f t="shared" si="8"/>
        <v>1</v>
      </c>
      <c r="N40" s="645">
        <f>$H40*(1-(1+$L$15)^-(L40*M40))/((1+$L$15)^M40-1)*(1+((1+$L$15)^M40-1))</f>
        <v>34881.038708638262</v>
      </c>
      <c r="O40" s="660">
        <f>N40/(1+$L$15)*($L$15)/(1-(1+$L$15)^-$L$16)</f>
        <v>1402.4215246636759</v>
      </c>
      <c r="P40" s="932"/>
      <c r="Q40" s="3053">
        <f>1*(1-(1+$L$15)^-(L40*M40))/((1+$L$15)^M40-1)*(1+((1+$L$15)^M40-1))</f>
        <v>24.872007520708362</v>
      </c>
      <c r="R40" s="3053">
        <f>Q40/(1+$L$15)*($L$15)/(1-(1+$L$15)^-$L$16)</f>
        <v>0.99999999999999911</v>
      </c>
      <c r="S40" s="3053">
        <f>F40*R40</f>
        <v>0.99999999999999911</v>
      </c>
      <c r="T40" s="1038" t="s">
        <v>809</v>
      </c>
      <c r="U40" s="655">
        <f>O40/$U$16</f>
        <v>14.024215246636759</v>
      </c>
      <c r="V40" s="662" t="str">
        <f>IF($T40="L",SUM($U40:U40)*V$16,"")</f>
        <v/>
      </c>
      <c r="W40" s="662">
        <f>IF($U40="","",IF(OR($T40="L",$T40="T",$T40="C"),SUM($U40:V40)*W$16,""))</f>
        <v>1.402421524663676</v>
      </c>
      <c r="X40" s="662">
        <f>IF($U40="","",SUM($U40:W40)*X$16)</f>
        <v>4.6279910313901302</v>
      </c>
      <c r="Y40" s="659">
        <f>IF($U40="","",SUM(V40:X40))</f>
        <v>6.0304125560538058</v>
      </c>
      <c r="Z40" s="722"/>
      <c r="AA40" s="740">
        <f>IF($U40="","",SUM(U40,Y40))</f>
        <v>20.054627802690565</v>
      </c>
      <c r="AB40" s="722"/>
      <c r="AC40" s="731">
        <f ca="1">IF(AA40="","",AA40/OFFSET($AB$23,AF40,0))</f>
        <v>0.23526314205759333</v>
      </c>
      <c r="AD40" s="661"/>
      <c r="AE40" s="1068"/>
      <c r="AF40" s="587">
        <f>AF39</f>
        <v>16</v>
      </c>
      <c r="AG40" s="587"/>
      <c r="AH40" s="649">
        <f>$AH$16/K40</f>
        <v>5</v>
      </c>
      <c r="AI40" s="649">
        <f>$AH$16/AH40</f>
        <v>1</v>
      </c>
      <c r="AJ40" s="645">
        <f>$H40*(1-(1+$L$15)^-(AH40*AI40))/((1+$L$15)^AI40-1)*(1+((1+$L$15)^AI40-1))</f>
        <v>6493.0647194353778</v>
      </c>
      <c r="AK40" s="932"/>
    </row>
    <row r="41" spans="1:37" ht="19" customHeight="1" outlineLevel="1">
      <c r="A41" s="656"/>
      <c r="B41" s="714"/>
      <c r="C41" s="1016"/>
      <c r="D41" s="3864"/>
      <c r="E41" s="686" t="s">
        <v>4</v>
      </c>
      <c r="F41" s="1178"/>
      <c r="G41" s="1178">
        <f>$F$321</f>
        <v>8</v>
      </c>
      <c r="H41" s="645">
        <f>J327</f>
        <v>1680</v>
      </c>
      <c r="I41" s="820" t="s">
        <v>70</v>
      </c>
      <c r="J41" s="646" t="str">
        <f>IF(K41=1,"Annual","Done every "&amp;K41&amp;" years")</f>
        <v>Annual</v>
      </c>
      <c r="K41" s="647">
        <f>L327</f>
        <v>1</v>
      </c>
      <c r="L41" s="648">
        <f t="shared" si="8"/>
        <v>80</v>
      </c>
      <c r="M41" s="647">
        <f t="shared" si="8"/>
        <v>1</v>
      </c>
      <c r="N41" s="645">
        <f>$H41*(1-(1+$L$15)^-(L41*M41))/((1+$L$15)^M41-1)*(1+((1+$L$15)^M41-1))</f>
        <v>41784.972634790051</v>
      </c>
      <c r="O41" s="660">
        <f>N41/(1+$L$15)*($L$15)/(1-(1+$L$15)^-$L$16)</f>
        <v>1679.9999999999986</v>
      </c>
      <c r="P41" s="933"/>
      <c r="Q41" s="3053"/>
      <c r="R41" s="3053"/>
      <c r="S41" s="3053"/>
      <c r="T41" s="1038" t="s">
        <v>810</v>
      </c>
      <c r="U41" s="655">
        <f>O41/$U$16</f>
        <v>16.799999999999986</v>
      </c>
      <c r="V41" s="664" t="str">
        <f>IF($T41="L",SUM($U41:U41)*V$16,"")</f>
        <v/>
      </c>
      <c r="W41" s="664">
        <f>IF($U41="","",IF(OR($T41="L",$T41="T",$T41="C"),SUM($U41:V41)*W$16,""))</f>
        <v>1.6799999999999988</v>
      </c>
      <c r="X41" s="664">
        <f>IF($U41="","",SUM($U41:W41)*X$16)</f>
        <v>5.543999999999996</v>
      </c>
      <c r="Y41" s="1025">
        <f>IF($U41="","",SUM(V41:X41))</f>
        <v>7.2239999999999949</v>
      </c>
      <c r="Z41" s="723"/>
      <c r="AA41" s="741">
        <f>IF($U41="","",SUM(U41,Y41))</f>
        <v>24.02399999999998</v>
      </c>
      <c r="AB41" s="723"/>
      <c r="AC41" s="731">
        <f ca="1">IF(AA41="","",AA41/OFFSET($AB$23,AF41,0))</f>
        <v>0.28182830319260976</v>
      </c>
      <c r="AD41" s="663"/>
      <c r="AE41" s="1068"/>
      <c r="AF41" s="587">
        <f>AF40</f>
        <v>16</v>
      </c>
      <c r="AG41" s="587"/>
      <c r="AH41" s="649">
        <f>$AH$16/K41</f>
        <v>5</v>
      </c>
      <c r="AI41" s="649">
        <f>$AH$16/AH41</f>
        <v>1</v>
      </c>
      <c r="AJ41" s="645">
        <f>$H41*(1-(1+$L$15)^-(AH41*AI41))/((1+$L$15)^AI41-1)*(1+((1+$L$15)^AI41-1))</f>
        <v>7778.2239767515175</v>
      </c>
      <c r="AK41" s="933"/>
    </row>
    <row r="42" spans="1:37" ht="19" customHeight="1" outlineLevel="1">
      <c r="A42" s="656"/>
      <c r="B42" s="714"/>
      <c r="C42" s="1017"/>
      <c r="D42" s="3865"/>
      <c r="E42" s="686" t="s">
        <v>21</v>
      </c>
      <c r="F42" s="1178"/>
      <c r="G42" s="1178"/>
      <c r="H42" s="645"/>
      <c r="I42" s="1087"/>
      <c r="J42" s="646"/>
      <c r="K42" s="647"/>
      <c r="L42" s="648"/>
      <c r="M42" s="647"/>
      <c r="N42" s="645"/>
      <c r="O42" s="660"/>
      <c r="P42" s="934"/>
      <c r="Q42" s="3054"/>
      <c r="R42" s="3054"/>
      <c r="S42" s="3054"/>
      <c r="T42" s="1038"/>
      <c r="U42" s="655"/>
      <c r="V42" s="664" t="str">
        <f>IF($T42="L",SUM($U42:U42)*V$16,"")</f>
        <v/>
      </c>
      <c r="W42" s="664" t="str">
        <f>IF($U42="","",IF(OR($T42="L",$T42="T",$T42="C"),SUM($U42:V42)*W$16,""))</f>
        <v/>
      </c>
      <c r="X42" s="664" t="str">
        <f>IF($U42="","",SUM($U42:W42)*X$16)</f>
        <v/>
      </c>
      <c r="Y42" s="1025"/>
      <c r="Z42" s="723"/>
      <c r="AA42" s="741"/>
      <c r="AB42" s="723"/>
      <c r="AC42" s="731"/>
      <c r="AD42" s="663"/>
      <c r="AE42" s="1068"/>
      <c r="AF42" s="587">
        <f>AF41</f>
        <v>16</v>
      </c>
      <c r="AG42" s="587"/>
      <c r="AH42" s="649"/>
      <c r="AI42" s="649"/>
      <c r="AJ42" s="645"/>
      <c r="AK42" s="933"/>
    </row>
    <row r="43" spans="1:37" s="1349" customFormat="1" ht="19" customHeight="1" outlineLevel="1" collapsed="1">
      <c r="B43" s="167">
        <v>3</v>
      </c>
      <c r="C43" s="3961" t="s">
        <v>316</v>
      </c>
      <c r="D43" s="3973" t="s">
        <v>495</v>
      </c>
      <c r="E43" s="168" t="s">
        <v>3</v>
      </c>
      <c r="F43" s="1350"/>
      <c r="G43" s="1350">
        <f t="shared" ref="G43:G45" si="9">E445</f>
        <v>1.2683760683760685</v>
      </c>
      <c r="H43" s="169">
        <f t="shared" ref="H43:I46" si="10">G445</f>
        <v>428.07692307692315</v>
      </c>
      <c r="I43" s="2397" t="str">
        <f t="shared" si="10"/>
        <v>Cost for person hours</v>
      </c>
      <c r="J43" s="1351" t="str">
        <f t="shared" ref="J43:J49" si="11">IF(K43=1,"Annual","Done every "&amp;K43&amp;" years")</f>
        <v>Done every 3 years</v>
      </c>
      <c r="K43" s="1352">
        <f>I445</f>
        <v>3</v>
      </c>
      <c r="L43" s="1353">
        <f t="shared" ref="L43:M49" si="12">$L$16/K43</f>
        <v>26.666666666666668</v>
      </c>
      <c r="M43" s="1354">
        <f t="shared" si="12"/>
        <v>3</v>
      </c>
      <c r="N43" s="169">
        <f t="shared" ref="N43:N49" si="13">$H43*(1-(1+$L$15)^-(L43*M43))/((1+$L$15)^M43-1)*(1+((1+$L$15)^M43-1))</f>
        <v>3689.1140627076311</v>
      </c>
      <c r="O43" s="1355">
        <f t="shared" ref="O43:O49" si="14">N43/(1+$L$15)*($L$15)/(1-(1+$L$15)^-$L$16)</f>
        <v>148.32393644284974</v>
      </c>
      <c r="P43" s="1356">
        <f>SUM(O43:O46)</f>
        <v>13575.795490091412</v>
      </c>
      <c r="Q43" s="2831"/>
      <c r="R43" s="2831"/>
      <c r="S43" s="2831"/>
      <c r="T43" s="1357" t="s">
        <v>808</v>
      </c>
      <c r="U43" s="1358">
        <f t="shared" ref="U43:U73" si="15">O43/$U$16</f>
        <v>1.4832393644284974</v>
      </c>
      <c r="V43" s="1359">
        <f>IF($T43="L",SUM($U43:U43)*V$16,"")</f>
        <v>0.44497180932854918</v>
      </c>
      <c r="W43" s="1359">
        <f>IF($U43="","",IF(OR($T43="L",$T43="T",$T43="C"),SUM($U43:V43)*W$16,""))</f>
        <v>0.19282111737570468</v>
      </c>
      <c r="X43" s="1359">
        <f>IF($U43="","",SUM($U43:W43)*X$16)</f>
        <v>0.6363096873398254</v>
      </c>
      <c r="Y43" s="1360">
        <f t="shared" ref="Y43:Y86" si="16">IF($U43="","",SUM(V43:X43))</f>
        <v>1.2741026140440792</v>
      </c>
      <c r="Z43" s="1356">
        <f>SUM(V43:X46)</f>
        <v>56.976781327161063</v>
      </c>
      <c r="AA43" s="1361">
        <f t="shared" ref="AA43:AA86" si="17">IF($U43="","",SUM(U43,Y43))</f>
        <v>2.7573419784725766</v>
      </c>
      <c r="AB43" s="1356">
        <f>SUM(AA43:AA46)</f>
        <v>192.73473622807518</v>
      </c>
      <c r="AC43" s="1630">
        <f t="shared" ref="AC43:AC86" ca="1" si="18">IF(AA43="","",AA43/OFFSET($AB$23,AF43,0))</f>
        <v>1.4306409069975013E-2</v>
      </c>
      <c r="AD43" s="1631"/>
      <c r="AE43" s="1632"/>
      <c r="AF43" s="1365">
        <f>AF39+4</f>
        <v>20</v>
      </c>
      <c r="AG43" s="1366">
        <f ca="1">SUM(AC43:AC46)-1</f>
        <v>0</v>
      </c>
      <c r="AH43" s="1367">
        <f t="shared" ref="AH43:AH49" si="19">$AH$16/K43</f>
        <v>1.6666666666666667</v>
      </c>
      <c r="AI43" s="1367">
        <f t="shared" ref="AI43:AI49" si="20">$AH$16/AH43</f>
        <v>3</v>
      </c>
      <c r="AJ43" s="169">
        <f t="shared" ref="AJ43:AJ49" si="21">$H43*(1-(1+$L$15)^-(AH43*AI43))/((1+$L$15)^AI43-1)*(1+((1+$L$15)^AI43-1))</f>
        <v>686.72428497972805</v>
      </c>
      <c r="AK43" s="1368">
        <f>SUM(AJ43:AJ46)</f>
        <v>62854.510705062043</v>
      </c>
    </row>
    <row r="44" spans="1:37" s="1349" customFormat="1" ht="19" customHeight="1" outlineLevel="1">
      <c r="B44" s="170"/>
      <c r="C44" s="3962"/>
      <c r="D44" s="3974"/>
      <c r="E44" s="168" t="s">
        <v>308</v>
      </c>
      <c r="F44" s="1350">
        <f>$D$408</f>
        <v>1</v>
      </c>
      <c r="G44" s="1350">
        <f t="shared" si="9"/>
        <v>0.63418803418803427</v>
      </c>
      <c r="H44" s="169">
        <f t="shared" si="10"/>
        <v>4042.9487179487182</v>
      </c>
      <c r="I44" s="2397" t="str">
        <f t="shared" si="10"/>
        <v>cost for helicopter hire</v>
      </c>
      <c r="J44" s="1351" t="str">
        <f t="shared" si="11"/>
        <v>Done every 3 years</v>
      </c>
      <c r="K44" s="1352">
        <f>I446</f>
        <v>3</v>
      </c>
      <c r="L44" s="1353">
        <f t="shared" si="12"/>
        <v>26.666666666666668</v>
      </c>
      <c r="M44" s="1354">
        <f t="shared" si="12"/>
        <v>3</v>
      </c>
      <c r="N44" s="169">
        <f t="shared" si="13"/>
        <v>34841.632814460958</v>
      </c>
      <c r="O44" s="1355">
        <f t="shared" si="14"/>
        <v>1400.8371775158032</v>
      </c>
      <c r="P44" s="1369"/>
      <c r="Q44" s="2833">
        <f>1*(1-(1+$L$15)^-(L44*M44))/((1+$L$15)^M44-1)*(1+((1+$L$15)^M44-1))</f>
        <v>8.6178765166575371</v>
      </c>
      <c r="R44" s="2833">
        <f>Q44/(1+$L$15)*($L$15)/(1-(1+$L$15)^-$L$16)</f>
        <v>0.34648898001025091</v>
      </c>
      <c r="S44" s="2833">
        <f>F44*R44</f>
        <v>0.34648898001025091</v>
      </c>
      <c r="T44" s="1370" t="s">
        <v>809</v>
      </c>
      <c r="U44" s="1359">
        <f t="shared" si="15"/>
        <v>14.008371775158032</v>
      </c>
      <c r="V44" s="1371" t="str">
        <f>IF($T44="L",SUM($U44:U44)*V$16,"")</f>
        <v/>
      </c>
      <c r="W44" s="1371">
        <f>IF($U44="","",IF(OR($T44="L",$T44="T",$T44="C"),SUM($U44:V44)*W$16,""))</f>
        <v>1.4008371775158033</v>
      </c>
      <c r="X44" s="1371">
        <f>IF($U44="","",SUM($U44:W44)*X$16)</f>
        <v>4.6227626858021509</v>
      </c>
      <c r="Y44" s="1372">
        <f t="shared" si="16"/>
        <v>6.0235998633179539</v>
      </c>
      <c r="Z44" s="1369"/>
      <c r="AA44" s="1373">
        <f t="shared" si="17"/>
        <v>20.031971638475987</v>
      </c>
      <c r="AB44" s="1369"/>
      <c r="AC44" s="1630">
        <f t="shared" ca="1" si="18"/>
        <v>0.1039354505083655</v>
      </c>
      <c r="AD44" s="1633"/>
      <c r="AE44" s="1632"/>
      <c r="AF44" s="1365">
        <f>AF43</f>
        <v>20</v>
      </c>
      <c r="AG44" s="1365"/>
      <c r="AH44" s="1367">
        <f t="shared" si="19"/>
        <v>1.6666666666666667</v>
      </c>
      <c r="AI44" s="1367">
        <f t="shared" si="20"/>
        <v>3</v>
      </c>
      <c r="AJ44" s="169">
        <f t="shared" si="21"/>
        <v>6485.7293581418753</v>
      </c>
      <c r="AK44" s="1376"/>
    </row>
    <row r="45" spans="1:37" s="1349" customFormat="1" ht="16" customHeight="1" outlineLevel="1">
      <c r="B45" s="170"/>
      <c r="C45" s="3962"/>
      <c r="D45" s="3974"/>
      <c r="E45" s="168" t="s">
        <v>4</v>
      </c>
      <c r="F45" s="1350"/>
      <c r="G45" s="1350">
        <f t="shared" si="9"/>
        <v>0</v>
      </c>
      <c r="H45" s="169">
        <f t="shared" si="10"/>
        <v>30191.160482991454</v>
      </c>
      <c r="I45" s="2397" t="str">
        <f t="shared" si="10"/>
        <v>Accomodation, desexing and collars</v>
      </c>
      <c r="J45" s="1351" t="str">
        <f t="shared" si="11"/>
        <v>Done every 3 years</v>
      </c>
      <c r="K45" s="1352">
        <f>I447</f>
        <v>3</v>
      </c>
      <c r="L45" s="1353">
        <f t="shared" si="12"/>
        <v>26.666666666666668</v>
      </c>
      <c r="M45" s="1354">
        <f t="shared" si="12"/>
        <v>3</v>
      </c>
      <c r="N45" s="169">
        <f t="shared" si="13"/>
        <v>260183.6929370111</v>
      </c>
      <c r="O45" s="1355">
        <f t="shared" si="14"/>
        <v>10460.904401077505</v>
      </c>
      <c r="P45" s="1369"/>
      <c r="Q45" s="2833"/>
      <c r="R45" s="2833"/>
      <c r="S45" s="2833"/>
      <c r="T45" s="1370" t="s">
        <v>810</v>
      </c>
      <c r="U45" s="1359">
        <f t="shared" si="15"/>
        <v>104.60904401077505</v>
      </c>
      <c r="V45" s="1371" t="str">
        <f>IF($T45="L",SUM($U45:U45)*V$16,"")</f>
        <v/>
      </c>
      <c r="W45" s="1371">
        <f>IF($U45="","",IF(OR($T45="L",$T45="T",$T45="C"),SUM($U45:V45)*W$16,""))</f>
        <v>10.460904401077507</v>
      </c>
      <c r="X45" s="1371">
        <f>IF($U45="","",SUM($U45:W45)*X$16)</f>
        <v>34.520984523555761</v>
      </c>
      <c r="Y45" s="1372">
        <f t="shared" si="16"/>
        <v>44.981888924633267</v>
      </c>
      <c r="Z45" s="1369"/>
      <c r="AA45" s="1373">
        <f t="shared" si="17"/>
        <v>149.59093293540832</v>
      </c>
      <c r="AB45" s="1369"/>
      <c r="AC45" s="1630">
        <f t="shared" ca="1" si="18"/>
        <v>0.7761493120699734</v>
      </c>
      <c r="AD45" s="1631"/>
      <c r="AE45" s="1632"/>
      <c r="AF45" s="1365">
        <f>AF44</f>
        <v>20</v>
      </c>
      <c r="AG45" s="1365"/>
      <c r="AH45" s="1367">
        <f t="shared" si="19"/>
        <v>1.6666666666666667</v>
      </c>
      <c r="AI45" s="1367">
        <f t="shared" si="20"/>
        <v>3</v>
      </c>
      <c r="AJ45" s="169">
        <f t="shared" si="21"/>
        <v>48432.891327956306</v>
      </c>
      <c r="AK45" s="1376"/>
    </row>
    <row r="46" spans="1:37" s="1349" customFormat="1" ht="19" customHeight="1" outlineLevel="1">
      <c r="B46" s="170"/>
      <c r="C46" s="3963"/>
      <c r="D46" s="3975"/>
      <c r="E46" s="168" t="s">
        <v>21</v>
      </c>
      <c r="F46" s="1350"/>
      <c r="G46" s="1350"/>
      <c r="H46" s="169">
        <f t="shared" si="10"/>
        <v>13207.451552136732</v>
      </c>
      <c r="I46" s="2397" t="str">
        <f t="shared" si="10"/>
        <v>Desexing equipment</v>
      </c>
      <c r="J46" s="1351" t="str">
        <f t="shared" si="11"/>
        <v>Done every 10 years</v>
      </c>
      <c r="K46" s="1352">
        <f>I448</f>
        <v>10</v>
      </c>
      <c r="L46" s="1353">
        <f t="shared" si="12"/>
        <v>8</v>
      </c>
      <c r="M46" s="1354">
        <f t="shared" si="12"/>
        <v>10</v>
      </c>
      <c r="N46" s="169">
        <f t="shared" si="13"/>
        <v>38942.847714972799</v>
      </c>
      <c r="O46" s="1355">
        <f t="shared" si="14"/>
        <v>1565.7299750552529</v>
      </c>
      <c r="P46" s="1369"/>
      <c r="Q46" s="2833"/>
      <c r="R46" s="2833"/>
      <c r="S46" s="2833"/>
      <c r="T46" s="1378" t="s">
        <v>811</v>
      </c>
      <c r="U46" s="1359">
        <f t="shared" si="15"/>
        <v>15.657299750552529</v>
      </c>
      <c r="V46" s="1371" t="str">
        <f>IF($T46="L",SUM($U46:U46)*V$16,"")</f>
        <v/>
      </c>
      <c r="W46" s="1371" t="str">
        <f>IF($U46="","",IF(OR($T46="L",$T46="T",$T46="C"),SUM($U46:V46)*W$16,""))</f>
        <v/>
      </c>
      <c r="X46" s="1371">
        <f>IF($U46="","",SUM($U46:W46)*X$16)</f>
        <v>4.6971899251657581</v>
      </c>
      <c r="Y46" s="1372">
        <f t="shared" si="16"/>
        <v>4.6971899251657581</v>
      </c>
      <c r="Z46" s="1369"/>
      <c r="AA46" s="1373">
        <f t="shared" si="17"/>
        <v>20.354489675718288</v>
      </c>
      <c r="AB46" s="1369"/>
      <c r="AC46" s="1630">
        <f t="shared" ca="1" si="18"/>
        <v>0.1056088283516861</v>
      </c>
      <c r="AD46" s="1631"/>
      <c r="AE46" s="1632" t="s">
        <v>1026</v>
      </c>
      <c r="AF46" s="1365">
        <f>AF45</f>
        <v>20</v>
      </c>
      <c r="AG46" s="1365"/>
      <c r="AH46" s="1367">
        <f t="shared" si="19"/>
        <v>0.5</v>
      </c>
      <c r="AI46" s="1367">
        <f t="shared" si="20"/>
        <v>10</v>
      </c>
      <c r="AJ46" s="169">
        <f t="shared" si="21"/>
        <v>7249.1657339841304</v>
      </c>
      <c r="AK46" s="1376"/>
    </row>
    <row r="47" spans="1:37" s="1144" customFormat="1" ht="19" customHeight="1">
      <c r="B47" s="260">
        <f>B43+1</f>
        <v>4</v>
      </c>
      <c r="C47" s="3844" t="s">
        <v>654</v>
      </c>
      <c r="D47" s="3847" t="s">
        <v>497</v>
      </c>
      <c r="E47" s="12" t="s">
        <v>3</v>
      </c>
      <c r="F47" s="1172"/>
      <c r="G47" s="1172">
        <f t="shared" ref="G47:G49" si="22">E549</f>
        <v>1.1323076923076925</v>
      </c>
      <c r="H47" s="188">
        <f t="shared" ref="H47:I49" si="23">G549</f>
        <v>254.7692307692308</v>
      </c>
      <c r="I47" s="1145" t="str">
        <f t="shared" si="23"/>
        <v>Cost for person hours</v>
      </c>
      <c r="J47" s="377" t="str">
        <f t="shared" si="11"/>
        <v>Annual</v>
      </c>
      <c r="K47" s="1146">
        <f>I549</f>
        <v>1</v>
      </c>
      <c r="L47" s="158">
        <f t="shared" si="12"/>
        <v>80</v>
      </c>
      <c r="M47" s="586">
        <f t="shared" si="12"/>
        <v>1</v>
      </c>
      <c r="N47" s="188">
        <f t="shared" si="13"/>
        <v>6336.6222237373931</v>
      </c>
      <c r="O47" s="1147">
        <f t="shared" si="14"/>
        <v>254.7692307692306</v>
      </c>
      <c r="P47" s="192">
        <f>SUM(O47:O50)</f>
        <v>7683.230769230765</v>
      </c>
      <c r="Q47" s="2817"/>
      <c r="R47" s="2817"/>
      <c r="S47" s="2817"/>
      <c r="T47" s="1148" t="s">
        <v>808</v>
      </c>
      <c r="U47" s="1149">
        <f t="shared" si="15"/>
        <v>2.5476923076923059</v>
      </c>
      <c r="V47" s="583">
        <f>IF($T47="L",SUM($U47:U47)*V$16,"")</f>
        <v>0.7643076923076918</v>
      </c>
      <c r="W47" s="583">
        <f>IF($U47="","",IF(OR($T47="L",$T47="T",$T47="C"),SUM($U47:V47)*W$16,""))</f>
        <v>0.33119999999999977</v>
      </c>
      <c r="X47" s="583">
        <f>IF($U47="","",SUM($U47:W47)*X$16)</f>
        <v>1.0929599999999993</v>
      </c>
      <c r="Y47" s="240">
        <f t="shared" si="16"/>
        <v>2.1884676923076909</v>
      </c>
      <c r="Z47" s="192">
        <f>SUM(V47:X50)</f>
        <v>34.130852307692287</v>
      </c>
      <c r="AA47" s="742">
        <f t="shared" si="17"/>
        <v>4.7361599999999964</v>
      </c>
      <c r="AB47" s="192">
        <f>SUM(AA47:AA50)</f>
        <v>110.96315999999993</v>
      </c>
      <c r="AC47" s="1049">
        <f t="shared" ca="1" si="18"/>
        <v>4.2682274008779122E-2</v>
      </c>
      <c r="AD47" s="1150">
        <f>$D$804</f>
        <v>234</v>
      </c>
      <c r="AE47" s="1151" t="s">
        <v>1024</v>
      </c>
      <c r="AF47" s="587">
        <f>AF43+4</f>
        <v>24</v>
      </c>
      <c r="AG47" s="995">
        <f ca="1">SUM(AC47:AC50)-1</f>
        <v>0</v>
      </c>
      <c r="AH47" s="13">
        <f t="shared" si="19"/>
        <v>5</v>
      </c>
      <c r="AI47" s="13">
        <f t="shared" si="20"/>
        <v>1</v>
      </c>
      <c r="AJ47" s="188">
        <f t="shared" si="21"/>
        <v>1179.5548448260545</v>
      </c>
      <c r="AK47" s="191">
        <f>SUM(AJ47:AJ50)</f>
        <v>35572.553445324869</v>
      </c>
    </row>
    <row r="48" spans="1:37" s="1144" customFormat="1" ht="19" customHeight="1">
      <c r="B48" s="261"/>
      <c r="C48" s="3845"/>
      <c r="D48" s="3848"/>
      <c r="E48" s="12" t="s">
        <v>308</v>
      </c>
      <c r="F48" s="1172">
        <f>$D$531</f>
        <v>1</v>
      </c>
      <c r="G48" s="1172">
        <f t="shared" si="22"/>
        <v>1.1323076923076925</v>
      </c>
      <c r="H48" s="188">
        <f t="shared" si="23"/>
        <v>7218.4615384615399</v>
      </c>
      <c r="I48" s="1145" t="str">
        <f t="shared" si="23"/>
        <v>Cost for aerial</v>
      </c>
      <c r="J48" s="377" t="str">
        <f t="shared" si="11"/>
        <v>Annual</v>
      </c>
      <c r="K48" s="1146">
        <f>I550</f>
        <v>1</v>
      </c>
      <c r="L48" s="158">
        <f t="shared" si="12"/>
        <v>80</v>
      </c>
      <c r="M48" s="586">
        <f t="shared" si="12"/>
        <v>1</v>
      </c>
      <c r="N48" s="188">
        <f t="shared" si="13"/>
        <v>179537.62967255947</v>
      </c>
      <c r="O48" s="1147">
        <f t="shared" si="14"/>
        <v>7218.4615384615345</v>
      </c>
      <c r="P48" s="194"/>
      <c r="Q48" s="2819">
        <f>1*(1-(1+$L$15)^-(L48*M48))/((1+$L$15)^M48-1)*(1+((1+$L$15)^M48-1))</f>
        <v>24.872007520708362</v>
      </c>
      <c r="R48" s="2819">
        <f>Q48/(1+$L$15)*($L$15)/(1-(1+$L$15)^-$L$16)</f>
        <v>0.99999999999999911</v>
      </c>
      <c r="S48" s="2819">
        <f>F48*R48</f>
        <v>0.99999999999999911</v>
      </c>
      <c r="T48" s="1152" t="s">
        <v>809</v>
      </c>
      <c r="U48" s="583">
        <f t="shared" si="15"/>
        <v>72.184615384615341</v>
      </c>
      <c r="V48" s="585" t="str">
        <f>IF($T48="L",SUM($U48:U48)*V$16,"")</f>
        <v/>
      </c>
      <c r="W48" s="585">
        <f>IF($U48="","",IF(OR($T48="L",$T48="T",$T48="C"),SUM($U48:V48)*W$16,""))</f>
        <v>7.2184615384615345</v>
      </c>
      <c r="X48" s="585">
        <f>IF($U48="","",SUM($U48:W48)*X$16)</f>
        <v>23.820923076923062</v>
      </c>
      <c r="Y48" s="242">
        <f t="shared" si="16"/>
        <v>31.039384615384598</v>
      </c>
      <c r="Z48" s="194"/>
      <c r="AA48" s="733">
        <f t="shared" si="17"/>
        <v>103.22399999999993</v>
      </c>
      <c r="AB48" s="194"/>
      <c r="AC48" s="1049">
        <f t="shared" ca="1" si="18"/>
        <v>0.93025468993492977</v>
      </c>
      <c r="AD48" s="1153">
        <f ca="1">AD47-AC47</f>
        <v>233.95731772599123</v>
      </c>
      <c r="AE48" s="165"/>
      <c r="AF48" s="587">
        <f>AF47</f>
        <v>24</v>
      </c>
      <c r="AG48" s="587"/>
      <c r="AH48" s="13">
        <f t="shared" si="19"/>
        <v>5</v>
      </c>
      <c r="AI48" s="13">
        <f t="shared" si="20"/>
        <v>1</v>
      </c>
      <c r="AJ48" s="188">
        <f t="shared" si="21"/>
        <v>33420.72060340488</v>
      </c>
      <c r="AK48" s="342"/>
    </row>
    <row r="49" spans="2:37" s="1144" customFormat="1" ht="16" customHeight="1">
      <c r="B49" s="261"/>
      <c r="C49" s="3845"/>
      <c r="D49" s="3848"/>
      <c r="E49" s="12" t="s">
        <v>4</v>
      </c>
      <c r="F49" s="1172"/>
      <c r="G49" s="1172">
        <f t="shared" si="22"/>
        <v>1</v>
      </c>
      <c r="H49" s="188">
        <f t="shared" si="23"/>
        <v>210</v>
      </c>
      <c r="I49" s="1145" t="str">
        <f t="shared" si="23"/>
        <v>cost for accommodation and meals</v>
      </c>
      <c r="J49" s="377" t="str">
        <f t="shared" si="11"/>
        <v>Annual</v>
      </c>
      <c r="K49" s="1146">
        <f>I551</f>
        <v>1</v>
      </c>
      <c r="L49" s="158">
        <f t="shared" si="12"/>
        <v>80</v>
      </c>
      <c r="M49" s="586">
        <f t="shared" si="12"/>
        <v>1</v>
      </c>
      <c r="N49" s="188">
        <f t="shared" si="13"/>
        <v>5223.1215793487563</v>
      </c>
      <c r="O49" s="1147">
        <f t="shared" si="14"/>
        <v>209.99999999999983</v>
      </c>
      <c r="P49" s="194"/>
      <c r="Q49" s="2819"/>
      <c r="R49" s="2819"/>
      <c r="S49" s="2819"/>
      <c r="T49" s="1152" t="s">
        <v>810</v>
      </c>
      <c r="U49" s="583">
        <f t="shared" si="15"/>
        <v>2.0999999999999983</v>
      </c>
      <c r="V49" s="585" t="str">
        <f>IF($T49="L",SUM($U49:U49)*V$16,"")</f>
        <v/>
      </c>
      <c r="W49" s="585">
        <f>IF($U49="","",IF(OR($T49="L",$T49="T",$T49="C"),SUM($U49:V49)*W$16,""))</f>
        <v>0.20999999999999985</v>
      </c>
      <c r="X49" s="585">
        <f>IF($U49="","",SUM($U49:W49)*X$16)</f>
        <v>0.69299999999999951</v>
      </c>
      <c r="Y49" s="242">
        <f t="shared" si="16"/>
        <v>0.90299999999999936</v>
      </c>
      <c r="Z49" s="194"/>
      <c r="AA49" s="733">
        <f t="shared" si="17"/>
        <v>3.0029999999999974</v>
      </c>
      <c r="AB49" s="194"/>
      <c r="AC49" s="1049">
        <f t="shared" ca="1" si="18"/>
        <v>2.7063036056291109E-2</v>
      </c>
      <c r="AD49" s="1154">
        <f>$D$810</f>
        <v>122.83</v>
      </c>
      <c r="AE49" s="165" t="s">
        <v>1025</v>
      </c>
      <c r="AF49" s="587">
        <f>AF48</f>
        <v>24</v>
      </c>
      <c r="AG49" s="587"/>
      <c r="AH49" s="13">
        <f t="shared" si="19"/>
        <v>5</v>
      </c>
      <c r="AI49" s="13">
        <f t="shared" si="20"/>
        <v>1</v>
      </c>
      <c r="AJ49" s="188">
        <f t="shared" si="21"/>
        <v>972.27799709393969</v>
      </c>
      <c r="AK49" s="342"/>
    </row>
    <row r="50" spans="2:37" s="1144" customFormat="1" ht="19" customHeight="1">
      <c r="B50" s="261"/>
      <c r="C50" s="3846"/>
      <c r="D50" s="3849"/>
      <c r="E50" s="12"/>
      <c r="F50" s="1172"/>
      <c r="G50" s="1172"/>
      <c r="H50" s="188"/>
      <c r="I50" s="1155"/>
      <c r="J50" s="377"/>
      <c r="K50" s="586"/>
      <c r="L50" s="158"/>
      <c r="M50" s="586"/>
      <c r="N50" s="188"/>
      <c r="O50" s="1147"/>
      <c r="P50" s="194"/>
      <c r="Q50" s="2819"/>
      <c r="R50" s="2819"/>
      <c r="S50" s="2819"/>
      <c r="T50" s="1156" t="s">
        <v>811</v>
      </c>
      <c r="U50" s="583">
        <f t="shared" si="15"/>
        <v>0</v>
      </c>
      <c r="V50" s="585" t="str">
        <f>IF($T50="L",SUM($U50:U50)*V$16,"")</f>
        <v/>
      </c>
      <c r="W50" s="585" t="str">
        <f>IF($U50="","",IF(OR($T50="L",$T50="T",$T50="C"),SUM($U50:V50)*W$16,""))</f>
        <v/>
      </c>
      <c r="X50" s="585">
        <f>IF($U50="","",SUM($U50:W50)*X$16)</f>
        <v>0</v>
      </c>
      <c r="Y50" s="242">
        <f t="shared" si="16"/>
        <v>0</v>
      </c>
      <c r="Z50" s="194"/>
      <c r="AA50" s="733">
        <f t="shared" si="17"/>
        <v>0</v>
      </c>
      <c r="AB50" s="194"/>
      <c r="AC50" s="1049">
        <f t="shared" ca="1" si="18"/>
        <v>0</v>
      </c>
      <c r="AD50" s="1157">
        <f ca="1">AD49-AC47</f>
        <v>122.78731772599122</v>
      </c>
      <c r="AE50" s="166"/>
      <c r="AF50" s="587">
        <f>AF49</f>
        <v>24</v>
      </c>
      <c r="AG50" s="587"/>
      <c r="AH50" s="13"/>
      <c r="AI50" s="13"/>
      <c r="AJ50" s="188"/>
      <c r="AK50" s="342"/>
    </row>
    <row r="51" spans="2:37" s="1997" customFormat="1" ht="19" customHeight="1">
      <c r="B51" s="2303">
        <f>B47+1</f>
        <v>5</v>
      </c>
      <c r="C51" s="3906" t="s">
        <v>394</v>
      </c>
      <c r="D51" s="3909" t="s">
        <v>496</v>
      </c>
      <c r="E51" s="2000" t="s">
        <v>3</v>
      </c>
      <c r="F51" s="2001"/>
      <c r="G51" s="2001">
        <f t="shared" ref="G51:G53" si="24">E623</f>
        <v>2</v>
      </c>
      <c r="H51" s="2002">
        <f t="shared" ref="H51:I53" si="25">G623</f>
        <v>450</v>
      </c>
      <c r="I51" s="2398" t="str">
        <f t="shared" si="25"/>
        <v>Cost for labour</v>
      </c>
      <c r="J51" s="2004" t="str">
        <f>IF(K51=1,"Annual","Done every "&amp;K51&amp;" years")</f>
        <v>Annual</v>
      </c>
      <c r="K51" s="2036">
        <f>I623</f>
        <v>1</v>
      </c>
      <c r="L51" s="2006">
        <f t="shared" ref="L51:M53" si="26">$L$16/K51</f>
        <v>80</v>
      </c>
      <c r="M51" s="2005">
        <f t="shared" si="26"/>
        <v>1</v>
      </c>
      <c r="N51" s="2002">
        <f>$H51*(1-(1+$L$15)^-(L51*M51))/((1+$L$15)^M51-1)*(1+((1+$L$15)^M51-1))</f>
        <v>11192.403384318763</v>
      </c>
      <c r="O51" s="2007">
        <f>N51/(1+$L$15)*($L$15)/(1-(1+$L$15)^-$L$16)</f>
        <v>449.99999999999966</v>
      </c>
      <c r="P51" s="2008">
        <f>SUM(O51:O54)</f>
        <v>1019.9999999999991</v>
      </c>
      <c r="Q51" s="3065"/>
      <c r="R51" s="3065"/>
      <c r="S51" s="3065"/>
      <c r="T51" s="2009" t="s">
        <v>808</v>
      </c>
      <c r="U51" s="2305">
        <f t="shared" si="15"/>
        <v>4.4999999999999964</v>
      </c>
      <c r="V51" s="2010">
        <f>IF($T51="L",SUM($U51:U51)*V$16,"")</f>
        <v>1.349999999999999</v>
      </c>
      <c r="W51" s="2010">
        <f>IF($U51="","",IF(OR($T51="L",$T51="T",$T51="C"),SUM($U51:V51)*W$16,""))</f>
        <v>0.58499999999999952</v>
      </c>
      <c r="X51" s="2010">
        <f>IF($U51="","",SUM($U51:W51)*X$16)</f>
        <v>1.9304999999999986</v>
      </c>
      <c r="Y51" s="2011">
        <f t="shared" si="16"/>
        <v>3.8654999999999973</v>
      </c>
      <c r="Z51" s="2008">
        <f>SUM(V51:X54)</f>
        <v>6.3164999999999942</v>
      </c>
      <c r="AA51" s="2012">
        <f t="shared" si="17"/>
        <v>8.3654999999999937</v>
      </c>
      <c r="AB51" s="2008">
        <f>SUM(AA51:AA54)</f>
        <v>16.516499999999986</v>
      </c>
      <c r="AC51" s="2013">
        <f t="shared" ca="1" si="18"/>
        <v>0.50649350649350655</v>
      </c>
      <c r="AD51" s="2306"/>
      <c r="AE51" s="2015"/>
      <c r="AF51" s="1483">
        <f>AF47+4</f>
        <v>28</v>
      </c>
      <c r="AG51" s="2016">
        <f ca="1">SUM(AC51:AC54)-1</f>
        <v>0</v>
      </c>
      <c r="AH51" s="2017">
        <f>$AH$16/K51</f>
        <v>5</v>
      </c>
      <c r="AI51" s="2017">
        <f>$AH$16/AH51</f>
        <v>1</v>
      </c>
      <c r="AJ51" s="2002">
        <f>$H51*(1-(1+$L$15)^-(AH51*AI51))/((1+$L$15)^AI51-1)*(1+((1+$L$15)^AI51-1))</f>
        <v>2083.4528509155853</v>
      </c>
      <c r="AK51" s="2018">
        <f>SUM(AJ51:AJ54)</f>
        <v>4722.4931287419931</v>
      </c>
    </row>
    <row r="52" spans="2:37" s="1997" customFormat="1" ht="19" customHeight="1">
      <c r="B52" s="2307"/>
      <c r="C52" s="3907"/>
      <c r="D52" s="3910"/>
      <c r="E52" s="2000" t="s">
        <v>308</v>
      </c>
      <c r="F52" s="2001">
        <f>$D$608</f>
        <v>4</v>
      </c>
      <c r="G52" s="2001">
        <f t="shared" si="24"/>
        <v>2</v>
      </c>
      <c r="H52" s="2002">
        <f t="shared" si="25"/>
        <v>570</v>
      </c>
      <c r="I52" s="2398" t="str">
        <f t="shared" si="25"/>
        <v>Cost for ute hire for the whole activity</v>
      </c>
      <c r="J52" s="2004" t="str">
        <f>IF(K52=1,"Annual","Done every "&amp;K52&amp;" years")</f>
        <v>Annual</v>
      </c>
      <c r="K52" s="2036">
        <f>I624</f>
        <v>1</v>
      </c>
      <c r="L52" s="2006">
        <f t="shared" si="26"/>
        <v>80</v>
      </c>
      <c r="M52" s="2005">
        <f t="shared" si="26"/>
        <v>1</v>
      </c>
      <c r="N52" s="2002">
        <f>$H52*(1-(1+$L$15)^-(L52*M52))/((1+$L$15)^M52-1)*(1+((1+$L$15)^M52-1))</f>
        <v>14177.044286803764</v>
      </c>
      <c r="O52" s="2007">
        <f>N52/(1+$L$15)*($L$15)/(1-(1+$L$15)^-$L$16)</f>
        <v>569.99999999999943</v>
      </c>
      <c r="P52" s="2021"/>
      <c r="Q52" s="3066">
        <f>1*(1-(1+$L$15)^-(L52*M52))/((1+$L$15)^M52-1)*(1+((1+$L$15)^M52-1))</f>
        <v>24.872007520708362</v>
      </c>
      <c r="R52" s="3066">
        <f>Q52/(1+$L$15)*($L$15)/(1-(1+$L$15)^-$L$16)</f>
        <v>0.99999999999999911</v>
      </c>
      <c r="S52" s="3066">
        <f>F52*R52</f>
        <v>3.9999999999999964</v>
      </c>
      <c r="T52" s="2022" t="s">
        <v>809</v>
      </c>
      <c r="U52" s="2010">
        <f t="shared" si="15"/>
        <v>5.699999999999994</v>
      </c>
      <c r="V52" s="2023" t="str">
        <f>IF($T52="L",SUM($U52:U52)*V$16,"")</f>
        <v/>
      </c>
      <c r="W52" s="2023">
        <f>IF($U52="","",IF(OR($T52="L",$T52="T",$T52="C"),SUM($U52:V52)*W$16,""))</f>
        <v>0.5699999999999994</v>
      </c>
      <c r="X52" s="2023">
        <f>IF($U52="","",SUM($U52:W52)*X$16)</f>
        <v>1.880999999999998</v>
      </c>
      <c r="Y52" s="2024">
        <f t="shared" si="16"/>
        <v>2.4509999999999974</v>
      </c>
      <c r="Z52" s="2021"/>
      <c r="AA52" s="2025">
        <f t="shared" si="17"/>
        <v>8.1509999999999909</v>
      </c>
      <c r="AB52" s="2021"/>
      <c r="AC52" s="2013">
        <f t="shared" ca="1" si="18"/>
        <v>0.49350649350649334</v>
      </c>
      <c r="AD52" s="2026"/>
      <c r="AE52" s="2015"/>
      <c r="AF52" s="1483">
        <f>AF51</f>
        <v>28</v>
      </c>
      <c r="AG52" s="1483"/>
      <c r="AH52" s="2017">
        <f>$AH$16/K52</f>
        <v>5</v>
      </c>
      <c r="AI52" s="2017">
        <f>$AH$16/AH52</f>
        <v>1</v>
      </c>
      <c r="AJ52" s="2002">
        <f>$H52*(1-(1+$L$15)^-(AH52*AI52))/((1+$L$15)^AI52-1)*(1+((1+$L$15)^AI52-1))</f>
        <v>2639.0402778264079</v>
      </c>
      <c r="AK52" s="2027"/>
    </row>
    <row r="53" spans="2:37" s="1997" customFormat="1" ht="16" customHeight="1">
      <c r="B53" s="2307"/>
      <c r="C53" s="3907"/>
      <c r="D53" s="3910"/>
      <c r="E53" s="2000" t="s">
        <v>4</v>
      </c>
      <c r="F53" s="2001"/>
      <c r="G53" s="2001">
        <f t="shared" si="24"/>
        <v>0</v>
      </c>
      <c r="H53" s="2002">
        <f t="shared" si="25"/>
        <v>0</v>
      </c>
      <c r="I53" s="2398" t="str">
        <f t="shared" si="25"/>
        <v>Accomodation + Food Cost</v>
      </c>
      <c r="J53" s="2004" t="str">
        <f>IF(K53=1,"Annual","Done every "&amp;K53&amp;" years")</f>
        <v>Annual</v>
      </c>
      <c r="K53" s="2036">
        <f>I625</f>
        <v>1</v>
      </c>
      <c r="L53" s="2006">
        <f t="shared" si="26"/>
        <v>80</v>
      </c>
      <c r="M53" s="2005">
        <f t="shared" si="26"/>
        <v>1</v>
      </c>
      <c r="N53" s="2002">
        <f>$H53*(1-(1+$L$15)^-(L53*M53))/((1+$L$15)^M53-1)*(1+((1+$L$15)^M53-1))</f>
        <v>0</v>
      </c>
      <c r="O53" s="2007">
        <f>N53/(1+$L$15)*($L$15)/(1-(1+$L$15)^-$L$16)</f>
        <v>0</v>
      </c>
      <c r="P53" s="2021"/>
      <c r="Q53" s="3066"/>
      <c r="R53" s="3066"/>
      <c r="S53" s="3066"/>
      <c r="T53" s="2022" t="s">
        <v>810</v>
      </c>
      <c r="U53" s="2010">
        <f t="shared" si="15"/>
        <v>0</v>
      </c>
      <c r="V53" s="2023" t="str">
        <f>IF($T53="L",SUM($U53:U53)*V$16,"")</f>
        <v/>
      </c>
      <c r="W53" s="2023">
        <f>IF($U53="","",IF(OR($T53="L",$T53="T",$T53="C"),SUM($U53:V53)*W$16,""))</f>
        <v>0</v>
      </c>
      <c r="X53" s="2023">
        <f>IF($U53="","",SUM($U53:W53)*X$16)</f>
        <v>0</v>
      </c>
      <c r="Y53" s="2024">
        <f t="shared" si="16"/>
        <v>0</v>
      </c>
      <c r="Z53" s="2021"/>
      <c r="AA53" s="2025">
        <f t="shared" si="17"/>
        <v>0</v>
      </c>
      <c r="AB53" s="2021"/>
      <c r="AC53" s="2013">
        <f t="shared" ca="1" si="18"/>
        <v>0</v>
      </c>
      <c r="AD53" s="2306"/>
      <c r="AE53" s="2015"/>
      <c r="AF53" s="1483">
        <f>AF52</f>
        <v>28</v>
      </c>
      <c r="AG53" s="1483"/>
      <c r="AH53" s="2017">
        <f>$AH$16/K53</f>
        <v>5</v>
      </c>
      <c r="AI53" s="2017">
        <f>$AH$16/AH53</f>
        <v>1</v>
      </c>
      <c r="AJ53" s="2002">
        <f>$H53*(1-(1+$L$15)^-(AH53*AI53))/((1+$L$15)^AI53-1)*(1+((1+$L$15)^AI53-1))</f>
        <v>0</v>
      </c>
      <c r="AK53" s="2027"/>
    </row>
    <row r="54" spans="2:37" s="1997" customFormat="1" ht="19" customHeight="1">
      <c r="B54" s="2307"/>
      <c r="C54" s="3908"/>
      <c r="D54" s="3911"/>
      <c r="E54" s="2000" t="s">
        <v>21</v>
      </c>
      <c r="F54" s="2001"/>
      <c r="G54" s="2001"/>
      <c r="H54" s="188">
        <f>H722</f>
        <v>19089.686098654707</v>
      </c>
      <c r="I54" s="1145" t="str">
        <f>K722</f>
        <v>Cost for labour</v>
      </c>
      <c r="J54" s="2004"/>
      <c r="K54" s="2005"/>
      <c r="L54" s="2006"/>
      <c r="M54" s="2005"/>
      <c r="N54" s="2002"/>
      <c r="O54" s="2007"/>
      <c r="P54" s="2021"/>
      <c r="Q54" s="3066"/>
      <c r="R54" s="3066"/>
      <c r="S54" s="3066"/>
      <c r="T54" s="2040" t="s">
        <v>811</v>
      </c>
      <c r="U54" s="2010"/>
      <c r="V54" s="2023" t="str">
        <f>IF($T54="L",SUM($U54:U54)*V$16,"")</f>
        <v/>
      </c>
      <c r="W54" s="2023" t="str">
        <f>IF($U54="","",IF(OR($T54="L",$T54="T",$T54="C"),SUM($U54:V54)*W$16,""))</f>
        <v/>
      </c>
      <c r="X54" s="2023" t="str">
        <f>IF($U54="","",SUM($U54:W54)*X$16)</f>
        <v/>
      </c>
      <c r="Y54" s="2024" t="str">
        <f t="shared" si="16"/>
        <v/>
      </c>
      <c r="Z54" s="2021"/>
      <c r="AA54" s="2025" t="str">
        <f t="shared" si="17"/>
        <v/>
      </c>
      <c r="AB54" s="2021"/>
      <c r="AC54" s="2013" t="str">
        <f t="shared" ca="1" si="18"/>
        <v/>
      </c>
      <c r="AD54" s="2306"/>
      <c r="AE54" s="2015"/>
      <c r="AF54" s="1483">
        <f>AF53</f>
        <v>28</v>
      </c>
      <c r="AG54" s="1483"/>
      <c r="AH54" s="2017"/>
      <c r="AI54" s="2017"/>
      <c r="AJ54" s="2002"/>
      <c r="AK54" s="2027"/>
    </row>
    <row r="55" spans="2:37" s="1144" customFormat="1" ht="18" customHeight="1">
      <c r="B55" s="926">
        <f>B51+1.1</f>
        <v>6.1</v>
      </c>
      <c r="C55" s="3485" t="s">
        <v>1007</v>
      </c>
      <c r="D55" s="3847" t="s">
        <v>491</v>
      </c>
      <c r="E55" s="12" t="s">
        <v>3</v>
      </c>
      <c r="F55" s="1172"/>
      <c r="G55" s="1172">
        <f t="shared" ref="G55:G57" si="27">E722</f>
        <v>56.562032884902841</v>
      </c>
      <c r="J55" s="377" t="str">
        <f>IF(K55=1,"Annual","Done every "&amp;K55&amp;" years")</f>
        <v>Annual</v>
      </c>
      <c r="K55" s="586">
        <f>L722</f>
        <v>1</v>
      </c>
      <c r="L55" s="158">
        <f t="shared" ref="L55:M57" si="28">$L$16/K55</f>
        <v>80</v>
      </c>
      <c r="M55" s="586">
        <f t="shared" si="28"/>
        <v>1</v>
      </c>
      <c r="N55" s="188">
        <f>$H54*(1-(1+$L$15)^-(L55*M55))/((1+$L$15)^M55-1)*(1+((1+$L$15)^M55-1))</f>
        <v>474798.81621370168</v>
      </c>
      <c r="O55" s="1147">
        <f>N55/(1+$L$15)*($L$15)/(1-(1+$L$15)^-$L$16)</f>
        <v>19089.686098654689</v>
      </c>
      <c r="P55" s="192">
        <f>SUM(O55:O58)</f>
        <v>39448.275784753321</v>
      </c>
      <c r="Q55" s="2817"/>
      <c r="R55" s="2817"/>
      <c r="S55" s="2817"/>
      <c r="T55" s="1148" t="s">
        <v>808</v>
      </c>
      <c r="U55" s="583">
        <f t="shared" si="15"/>
        <v>190.8968609865469</v>
      </c>
      <c r="V55" s="583">
        <f>IF($T55="L",SUM($U55:U55)*V$16,"")</f>
        <v>57.269058295964065</v>
      </c>
      <c r="W55" s="583">
        <f>IF($U55="","",IF(OR($T55="L",$T55="T",$T55="C"),SUM($U55:V55)*W$16,""))</f>
        <v>24.8165919282511</v>
      </c>
      <c r="X55" s="583">
        <f>IF($U55="","",SUM($U55:W55)*X$16)</f>
        <v>81.894753363228617</v>
      </c>
      <c r="Y55" s="240">
        <f t="shared" si="16"/>
        <v>163.98040358744379</v>
      </c>
      <c r="Z55" s="192">
        <f>SUM(V55:X58)</f>
        <v>251.52233923766792</v>
      </c>
      <c r="AA55" s="742">
        <f t="shared" si="17"/>
        <v>354.87726457399071</v>
      </c>
      <c r="AB55" s="192">
        <f>SUM(AA55:AA58)</f>
        <v>646.00509708520121</v>
      </c>
      <c r="AC55" s="727">
        <f t="shared" ca="1" si="18"/>
        <v>0.54934127636950547</v>
      </c>
      <c r="AD55" s="1917"/>
      <c r="AE55" s="1437"/>
      <c r="AF55" s="1438">
        <f>AF51+4</f>
        <v>32</v>
      </c>
      <c r="AG55" s="1439">
        <f ca="1">SUM(AC55:AC58)-1</f>
        <v>0</v>
      </c>
      <c r="AH55" s="13">
        <f>$AH$16/K55</f>
        <v>5</v>
      </c>
      <c r="AI55" s="13">
        <f>$AH$16/AH55</f>
        <v>1</v>
      </c>
      <c r="AJ55" s="188">
        <f>$H54*(1-(1+$L$15)^-(AH55*AI55))/((1+$L$15)^AI55-1)*(1+((1+$L$15)^AI55-1))</f>
        <v>88383.246500723923</v>
      </c>
      <c r="AK55" s="191">
        <f>SUM(AJ55:AJ58)</f>
        <v>182641.38366099697</v>
      </c>
    </row>
    <row r="56" spans="2:37" s="1144" customFormat="1" ht="19" customHeight="1">
      <c r="B56" s="1918"/>
      <c r="C56" s="3486" t="s">
        <v>749</v>
      </c>
      <c r="D56" s="3848"/>
      <c r="E56" s="12" t="s">
        <v>308</v>
      </c>
      <c r="F56" s="1172">
        <f>$D$708</f>
        <v>2</v>
      </c>
      <c r="G56" s="1172">
        <f t="shared" si="27"/>
        <v>28.281016442451421</v>
      </c>
      <c r="H56" s="188">
        <f>H723</f>
        <v>8060.089686098655</v>
      </c>
      <c r="I56" s="1145" t="str">
        <f>K723</f>
        <v>On site Vehicle Costs</v>
      </c>
      <c r="J56" s="377" t="str">
        <f>IF(K56=1,"Annual","Done every "&amp;K56&amp;" years")</f>
        <v>Annual</v>
      </c>
      <c r="K56" s="586">
        <f>L723</f>
        <v>1</v>
      </c>
      <c r="L56" s="158">
        <f t="shared" si="28"/>
        <v>80</v>
      </c>
      <c r="M56" s="586">
        <f t="shared" si="28"/>
        <v>1</v>
      </c>
      <c r="N56" s="188">
        <f>$H56*(1-(1+$L$15)^-(L56*M56))/((1+$L$15)^M56-1)*(1+((1+$L$15)^M56-1))</f>
        <v>200470.61129022963</v>
      </c>
      <c r="O56" s="1147">
        <f>N56/(1+$L$15)*($L$15)/(1-(1+$L$15)^-$L$16)</f>
        <v>8060.0896860986477</v>
      </c>
      <c r="P56" s="194"/>
      <c r="Q56" s="2819">
        <f>1*(1-(1+$L$15)^-(L56*M56))/((1+$L$15)^M56-1)*(1+((1+$L$15)^M56-1))</f>
        <v>24.872007520708362</v>
      </c>
      <c r="R56" s="2819">
        <f>Q56/(1+$L$15)*($L$15)/(1-(1+$L$15)^-$L$16)</f>
        <v>0.99999999999999911</v>
      </c>
      <c r="S56" s="2819">
        <f>F56*R56</f>
        <v>1.9999999999999982</v>
      </c>
      <c r="T56" s="1152" t="s">
        <v>809</v>
      </c>
      <c r="U56" s="583">
        <f t="shared" si="15"/>
        <v>80.600896860986481</v>
      </c>
      <c r="V56" s="585" t="str">
        <f>IF($T56="L",SUM($U56:U56)*V$16,"")</f>
        <v/>
      </c>
      <c r="W56" s="585">
        <f>IF($U56="","",IF(OR($T56="L",$T56="T",$T56="C"),SUM($U56:V56)*W$16,""))</f>
        <v>8.0600896860986477</v>
      </c>
      <c r="X56" s="585">
        <f>IF($U56="","",SUM($U56:W56)*X$16)</f>
        <v>26.598295964125537</v>
      </c>
      <c r="Y56" s="242">
        <f t="shared" si="16"/>
        <v>34.658385650224183</v>
      </c>
      <c r="Z56" s="194"/>
      <c r="AA56" s="733">
        <f t="shared" si="17"/>
        <v>115.25928251121067</v>
      </c>
      <c r="AB56" s="194"/>
      <c r="AC56" s="727">
        <f t="shared" ca="1" si="18"/>
        <v>0.17841853420548043</v>
      </c>
      <c r="AD56" s="1440"/>
      <c r="AE56" s="1437"/>
      <c r="AF56" s="1438">
        <f>AF55</f>
        <v>32</v>
      </c>
      <c r="AG56" s="1438"/>
      <c r="AH56" s="13">
        <f>$AH$16/K56</f>
        <v>5</v>
      </c>
      <c r="AI56" s="13">
        <f>$AH$16/AH56</f>
        <v>1</v>
      </c>
      <c r="AJ56" s="188">
        <f>$H56*(1-(1+$L$15)^-(AH56*AI56))/((1+$L$15)^AI56-1)*(1+((1+$L$15)^AI56-1))</f>
        <v>37317.370744750107</v>
      </c>
      <c r="AK56" s="342"/>
    </row>
    <row r="57" spans="2:37" s="1144" customFormat="1" ht="19" customHeight="1">
      <c r="B57" s="1918"/>
      <c r="C57" s="3486"/>
      <c r="D57" s="3848"/>
      <c r="E57" s="12" t="s">
        <v>4</v>
      </c>
      <c r="F57" s="1172"/>
      <c r="G57" s="1172">
        <f t="shared" si="27"/>
        <v>56</v>
      </c>
      <c r="H57" s="188">
        <f>H724</f>
        <v>12298.5</v>
      </c>
      <c r="I57" s="1145" t="str">
        <f>K724</f>
        <v>Accomodation, food and bullets</v>
      </c>
      <c r="J57" s="377" t="str">
        <f>IF(K57=1,"Annual","Done every "&amp;K57&amp;" years")</f>
        <v>Annual</v>
      </c>
      <c r="K57" s="586">
        <f>L724</f>
        <v>1</v>
      </c>
      <c r="L57" s="158">
        <f t="shared" si="28"/>
        <v>80</v>
      </c>
      <c r="M57" s="586">
        <f t="shared" si="28"/>
        <v>1</v>
      </c>
      <c r="N57" s="188">
        <f>$H57*(1-(1+$L$15)^-(L57*M57))/((1+$L$15)^M57-1)*(1+((1+$L$15)^M57-1))</f>
        <v>305888.38449343177</v>
      </c>
      <c r="O57" s="1147">
        <f>N57/(1+$L$15)*($L$15)/(1-(1+$L$15)^-$L$16)</f>
        <v>12298.499999999989</v>
      </c>
      <c r="P57" s="210"/>
      <c r="Q57" s="2819"/>
      <c r="R57" s="2819"/>
      <c r="S57" s="2819"/>
      <c r="T57" s="1152" t="s">
        <v>810</v>
      </c>
      <c r="U57" s="583">
        <f t="shared" si="15"/>
        <v>122.98499999999989</v>
      </c>
      <c r="V57" s="584" t="str">
        <f>IF($T57="L",SUM($U57:U57)*V$16,"")</f>
        <v/>
      </c>
      <c r="W57" s="584">
        <f>IF($U57="","",IF(OR($T57="L",$T57="T",$T57="C"),SUM($U57:V57)*W$16,""))</f>
        <v>12.29849999999999</v>
      </c>
      <c r="X57" s="584">
        <f>IF($U57="","",SUM($U57:W57)*X$16)</f>
        <v>40.585049999999967</v>
      </c>
      <c r="Y57" s="241">
        <f t="shared" si="16"/>
        <v>52.883549999999957</v>
      </c>
      <c r="Z57" s="210"/>
      <c r="AA57" s="746">
        <f t="shared" si="17"/>
        <v>175.86854999999986</v>
      </c>
      <c r="AB57" s="210"/>
      <c r="AC57" s="727">
        <f t="shared" ca="1" si="18"/>
        <v>0.27224018942501421</v>
      </c>
      <c r="AD57" s="1919"/>
      <c r="AE57" s="1437"/>
      <c r="AF57" s="1438">
        <f>AF56</f>
        <v>32</v>
      </c>
      <c r="AG57" s="1438"/>
      <c r="AH57" s="13">
        <f>$AH$16/K57</f>
        <v>5</v>
      </c>
      <c r="AI57" s="13">
        <f>$AH$16/AH57</f>
        <v>1</v>
      </c>
      <c r="AJ57" s="188">
        <f>$H57*(1-(1+$L$15)^-(AH57*AI57))/((1+$L$15)^AI57-1)*(1+((1+$L$15)^AI57-1))</f>
        <v>56940.766415522943</v>
      </c>
      <c r="AK57" s="477"/>
    </row>
    <row r="58" spans="2:37" s="1144" customFormat="1" ht="16" customHeight="1">
      <c r="B58" s="1918"/>
      <c r="C58" s="3487"/>
      <c r="D58" s="3849"/>
      <c r="E58" s="12" t="s">
        <v>21</v>
      </c>
      <c r="F58" s="1172"/>
      <c r="G58" s="1172"/>
      <c r="H58" s="188"/>
      <c r="I58" s="1155"/>
      <c r="J58" s="377"/>
      <c r="K58" s="1146"/>
      <c r="L58" s="157"/>
      <c r="M58" s="11"/>
      <c r="N58" s="188"/>
      <c r="O58" s="1147"/>
      <c r="P58" s="211"/>
      <c r="Q58" s="2821"/>
      <c r="R58" s="2821"/>
      <c r="S58" s="2821"/>
      <c r="T58" s="1156" t="s">
        <v>811</v>
      </c>
      <c r="U58" s="583">
        <f t="shared" si="15"/>
        <v>0</v>
      </c>
      <c r="V58" s="584" t="str">
        <f>IF($T58="L",SUM($U58:U58)*V$16,"")</f>
        <v/>
      </c>
      <c r="W58" s="584" t="str">
        <f>IF($U58="","",IF(OR($T58="L",$T58="T",$T58="C"),SUM($U58:V58)*W$16,""))</f>
        <v/>
      </c>
      <c r="X58" s="584">
        <f>IF($U58="","",SUM($U58:W58)*X$16)</f>
        <v>0</v>
      </c>
      <c r="Y58" s="241">
        <f t="shared" si="16"/>
        <v>0</v>
      </c>
      <c r="Z58" s="211"/>
      <c r="AA58" s="1920">
        <f t="shared" si="17"/>
        <v>0</v>
      </c>
      <c r="AB58" s="211"/>
      <c r="AC58" s="727">
        <f t="shared" ca="1" si="18"/>
        <v>0</v>
      </c>
      <c r="AD58" s="1921"/>
      <c r="AE58" s="1437"/>
      <c r="AF58" s="1438">
        <f>AF57</f>
        <v>32</v>
      </c>
      <c r="AG58" s="1438"/>
      <c r="AH58" s="12"/>
      <c r="AI58" s="12"/>
      <c r="AJ58" s="188"/>
      <c r="AK58" s="478"/>
    </row>
    <row r="59" spans="2:37" s="1550" customFormat="1" ht="18" customHeight="1">
      <c r="B59" s="1922">
        <f>B55+0.1</f>
        <v>6.1999999999999993</v>
      </c>
      <c r="C59" s="3482" t="s">
        <v>1007</v>
      </c>
      <c r="D59" s="3753" t="s">
        <v>491</v>
      </c>
      <c r="E59" s="1552" t="s">
        <v>3</v>
      </c>
      <c r="F59" s="1553"/>
      <c r="G59" s="1553">
        <f>F722</f>
        <v>66.527154957648236</v>
      </c>
      <c r="H59" s="1554">
        <f>I722</f>
        <v>22452.914798206279</v>
      </c>
      <c r="I59" s="1923" t="str">
        <f>K722</f>
        <v>Cost for labour</v>
      </c>
      <c r="J59" s="1555" t="str">
        <f>IF(K59=1,"Annual","Done every "&amp;K59&amp;" years")</f>
        <v>Annual</v>
      </c>
      <c r="K59" s="1558">
        <f>L722</f>
        <v>1</v>
      </c>
      <c r="L59" s="1557">
        <f t="shared" ref="L59:M61" si="29">$L$16/K59</f>
        <v>80</v>
      </c>
      <c r="M59" s="1558">
        <f t="shared" si="29"/>
        <v>1</v>
      </c>
      <c r="N59" s="1554">
        <f>$H59*(1-(1+$L$15)^-(L59*M59))/((1+$L$15)^M59-1)*(1+((1+$L$15)^M59-1))</f>
        <v>558449.06572281069</v>
      </c>
      <c r="O59" s="1559">
        <f>N59/(1+$L$15)*($L$15)/(1-(1+$L$15)^-$L$16)</f>
        <v>22452.91479820626</v>
      </c>
      <c r="P59" s="1560">
        <f>SUM(O59:O62)</f>
        <v>46331.534379671109</v>
      </c>
      <c r="Q59" s="3093"/>
      <c r="R59" s="3093"/>
      <c r="S59" s="3093"/>
      <c r="T59" s="1561" t="s">
        <v>808</v>
      </c>
      <c r="U59" s="1563">
        <f t="shared" si="15"/>
        <v>224.5291479820626</v>
      </c>
      <c r="V59" s="1563">
        <f>IF($T59="L",SUM($U59:U59)*V$16,"")</f>
        <v>67.358744394618782</v>
      </c>
      <c r="W59" s="1563">
        <f>IF($U59="","",IF(OR($T59="L",$T59="T",$T59="C"),SUM($U59:V59)*W$16,""))</f>
        <v>29.188789237668143</v>
      </c>
      <c r="X59" s="1563">
        <f>IF($U59="","",SUM($U59:W59)*X$16)</f>
        <v>96.32300448430486</v>
      </c>
      <c r="Y59" s="1564">
        <f t="shared" si="16"/>
        <v>192.87053811659177</v>
      </c>
      <c r="Z59" s="1560">
        <f>SUM(V59:X62)</f>
        <v>295.54860231689065</v>
      </c>
      <c r="AA59" s="1565">
        <f t="shared" si="17"/>
        <v>417.39968609865434</v>
      </c>
      <c r="AB59" s="1560">
        <f>SUM(AA59:AA62)</f>
        <v>758.86394611360174</v>
      </c>
      <c r="AC59" s="1566">
        <f t="shared" ca="1" si="18"/>
        <v>0.55003230583861429</v>
      </c>
      <c r="AD59" s="1924"/>
      <c r="AE59" s="1568"/>
      <c r="AF59" s="1569">
        <f>AF55+4</f>
        <v>36</v>
      </c>
      <c r="AG59" s="1570">
        <f ca="1">SUM(AC59:AC62)-1</f>
        <v>0</v>
      </c>
      <c r="AH59" s="1571">
        <f>$AH$16/K59</f>
        <v>5</v>
      </c>
      <c r="AI59" s="1571">
        <f>$AH$16/AH59</f>
        <v>1</v>
      </c>
      <c r="AJ59" s="1554">
        <f>$H59*(1-(1+$L$15)^-(AH59*AI59))/((1+$L$15)^AI59-1)*(1+((1+$L$15)^AI59-1))</f>
        <v>103954.64299486132</v>
      </c>
      <c r="AK59" s="1572">
        <f>SUM(AJ59:AJ62)</f>
        <v>214510.14975693176</v>
      </c>
    </row>
    <row r="60" spans="2:37" s="1550" customFormat="1" ht="19" customHeight="1">
      <c r="B60" s="1925"/>
      <c r="C60" s="3483" t="s">
        <v>779</v>
      </c>
      <c r="D60" s="3754"/>
      <c r="E60" s="1552" t="s">
        <v>308</v>
      </c>
      <c r="F60" s="1553">
        <f>$E$708</f>
        <v>2</v>
      </c>
      <c r="G60" s="1553">
        <f>F723</f>
        <v>33.263577478824118</v>
      </c>
      <c r="H60" s="1554">
        <f>I723</f>
        <v>9480.1195814648745</v>
      </c>
      <c r="I60" s="1923" t="str">
        <f>K723</f>
        <v>On site Vehicle Costs</v>
      </c>
      <c r="J60" s="1555" t="str">
        <f>IF(K60=1,"Annual","Done every "&amp;K60&amp;" years")</f>
        <v>Annual</v>
      </c>
      <c r="K60" s="1558">
        <f>L723</f>
        <v>1</v>
      </c>
      <c r="L60" s="1557">
        <f t="shared" si="29"/>
        <v>80</v>
      </c>
      <c r="M60" s="1558">
        <f t="shared" si="29"/>
        <v>1</v>
      </c>
      <c r="N60" s="1554">
        <f>$H60*(1-(1+$L$15)^-(L60*M60))/((1+$L$15)^M60-1)*(1+((1+$L$15)^M60-1))</f>
        <v>235789.60552740894</v>
      </c>
      <c r="O60" s="1559">
        <f>N60/(1+$L$15)*($L$15)/(1-(1+$L$15)^-$L$16)</f>
        <v>9480.1195814648654</v>
      </c>
      <c r="P60" s="1574"/>
      <c r="Q60" s="3094">
        <f>1*(1-(1+$L$15)^-(L60*M60))/((1+$L$15)^M60-1)*(1+((1+$L$15)^M60-1))</f>
        <v>24.872007520708362</v>
      </c>
      <c r="R60" s="3094">
        <f>Q60/(1+$L$15)*($L$15)/(1-(1+$L$15)^-$L$16)</f>
        <v>0.99999999999999911</v>
      </c>
      <c r="S60" s="3094">
        <f>F60*R60</f>
        <v>1.9999999999999982</v>
      </c>
      <c r="T60" s="1575" t="s">
        <v>809</v>
      </c>
      <c r="U60" s="1563">
        <f t="shared" si="15"/>
        <v>94.801195814648651</v>
      </c>
      <c r="V60" s="1576" t="str">
        <f>IF($T60="L",SUM($U60:U60)*V$16,"")</f>
        <v/>
      </c>
      <c r="W60" s="1576">
        <f>IF($U60="","",IF(OR($T60="L",$T60="T",$T60="C"),SUM($U60:V60)*W$16,""))</f>
        <v>9.4801195814648658</v>
      </c>
      <c r="X60" s="1576">
        <f>IF($U60="","",SUM($U60:W60)*X$16)</f>
        <v>31.284394618834053</v>
      </c>
      <c r="Y60" s="1577">
        <f t="shared" si="16"/>
        <v>40.764514200298919</v>
      </c>
      <c r="Z60" s="1574"/>
      <c r="AA60" s="1578">
        <f t="shared" si="17"/>
        <v>135.56571001494757</v>
      </c>
      <c r="AB60" s="1574"/>
      <c r="AC60" s="1566">
        <f t="shared" ca="1" si="18"/>
        <v>0.17864297112707134</v>
      </c>
      <c r="AD60" s="1579"/>
      <c r="AE60" s="1568"/>
      <c r="AF60" s="1569">
        <f>AF59</f>
        <v>36</v>
      </c>
      <c r="AG60" s="1569"/>
      <c r="AH60" s="1571">
        <f>$AH$16/K60</f>
        <v>5</v>
      </c>
      <c r="AI60" s="1571">
        <f>$AH$16/AH60</f>
        <v>1</v>
      </c>
      <c r="AJ60" s="1554">
        <f>$H60*(1-(1+$L$15)^-(AH60*AI60))/((1+$L$15)^AI60-1)*(1+((1+$L$15)^AI60-1))</f>
        <v>43891.960375608127</v>
      </c>
      <c r="AK60" s="1580"/>
    </row>
    <row r="61" spans="2:37" s="1550" customFormat="1" ht="19" customHeight="1">
      <c r="B61" s="1925"/>
      <c r="C61" s="3483"/>
      <c r="D61" s="3754"/>
      <c r="E61" s="1552" t="s">
        <v>4</v>
      </c>
      <c r="F61" s="1553"/>
      <c r="G61" s="1553">
        <f>F724</f>
        <v>66</v>
      </c>
      <c r="H61" s="1554">
        <f>I724</f>
        <v>14398.5</v>
      </c>
      <c r="I61" s="1923" t="str">
        <f>K724</f>
        <v>Accomodation, food and bullets</v>
      </c>
      <c r="J61" s="1555" t="str">
        <f>IF(K61=1,"Annual","Done every "&amp;K61&amp;" years")</f>
        <v>Annual</v>
      </c>
      <c r="K61" s="1558">
        <f>L724</f>
        <v>1</v>
      </c>
      <c r="L61" s="1557">
        <f t="shared" si="29"/>
        <v>80</v>
      </c>
      <c r="M61" s="1558">
        <f t="shared" si="29"/>
        <v>1</v>
      </c>
      <c r="N61" s="1554">
        <f>$H61*(1-(1+$L$15)^-(L61*M61))/((1+$L$15)^M61-1)*(1+((1+$L$15)^M61-1))</f>
        <v>358119.60028691933</v>
      </c>
      <c r="O61" s="1559">
        <f>N61/(1+$L$15)*($L$15)/(1-(1+$L$15)^-$L$16)</f>
        <v>14398.499999999987</v>
      </c>
      <c r="P61" s="1926"/>
      <c r="Q61" s="3094"/>
      <c r="R61" s="3094"/>
      <c r="S61" s="3094"/>
      <c r="T61" s="1575" t="s">
        <v>810</v>
      </c>
      <c r="U61" s="1563">
        <f t="shared" si="15"/>
        <v>143.98499999999987</v>
      </c>
      <c r="V61" s="1927" t="str">
        <f>IF($T61="L",SUM($U61:U61)*V$16,"")</f>
        <v/>
      </c>
      <c r="W61" s="1927">
        <f>IF($U61="","",IF(OR($T61="L",$T61="T",$T61="C"),SUM($U61:V61)*W$16,""))</f>
        <v>14.398499999999988</v>
      </c>
      <c r="X61" s="1927">
        <f>IF($U61="","",SUM($U61:W61)*X$16)</f>
        <v>47.515049999999952</v>
      </c>
      <c r="Y61" s="1928">
        <f t="shared" si="16"/>
        <v>61.913549999999944</v>
      </c>
      <c r="Z61" s="1926"/>
      <c r="AA61" s="1929">
        <f t="shared" si="17"/>
        <v>205.89854999999983</v>
      </c>
      <c r="AB61" s="1926"/>
      <c r="AC61" s="1566">
        <f t="shared" ca="1" si="18"/>
        <v>0.27132472303431432</v>
      </c>
      <c r="AD61" s="1930"/>
      <c r="AE61" s="1568"/>
      <c r="AF61" s="1569">
        <f>AF60</f>
        <v>36</v>
      </c>
      <c r="AG61" s="1569"/>
      <c r="AH61" s="1571">
        <f>$AH$16/K61</f>
        <v>5</v>
      </c>
      <c r="AI61" s="1571">
        <f>$AH$16/AH61</f>
        <v>1</v>
      </c>
      <c r="AJ61" s="1554">
        <f>$H61*(1-(1+$L$15)^-(AH61*AI61))/((1+$L$15)^AI61-1)*(1+((1+$L$15)^AI61-1))</f>
        <v>66663.546386462331</v>
      </c>
      <c r="AK61" s="1931"/>
    </row>
    <row r="62" spans="2:37" s="1550" customFormat="1" ht="16" customHeight="1">
      <c r="B62" s="1925"/>
      <c r="C62" s="3484"/>
      <c r="D62" s="3755"/>
      <c r="E62" s="1552" t="s">
        <v>21</v>
      </c>
      <c r="F62" s="1553"/>
      <c r="G62" s="1553"/>
      <c r="H62" s="1554"/>
      <c r="I62" s="2494"/>
      <c r="J62" s="1555"/>
      <c r="K62" s="1556"/>
      <c r="L62" s="1932"/>
      <c r="M62" s="1933"/>
      <c r="N62" s="1554"/>
      <c r="O62" s="1559"/>
      <c r="P62" s="1934"/>
      <c r="Q62" s="3095"/>
      <c r="R62" s="3095"/>
      <c r="S62" s="3095"/>
      <c r="T62" s="1581" t="s">
        <v>811</v>
      </c>
      <c r="U62" s="1563">
        <f t="shared" si="15"/>
        <v>0</v>
      </c>
      <c r="V62" s="1927" t="str">
        <f>IF($T62="L",SUM($U62:U62)*V$16,"")</f>
        <v/>
      </c>
      <c r="W62" s="1927" t="str">
        <f>IF($U62="","",IF(OR($T62="L",$T62="T",$T62="C"),SUM($U62:V62)*W$16,""))</f>
        <v/>
      </c>
      <c r="X62" s="1927">
        <f>IF($U62="","",SUM($U62:W62)*X$16)</f>
        <v>0</v>
      </c>
      <c r="Y62" s="1928">
        <f t="shared" si="16"/>
        <v>0</v>
      </c>
      <c r="Z62" s="1934"/>
      <c r="AA62" s="1935">
        <f t="shared" si="17"/>
        <v>0</v>
      </c>
      <c r="AB62" s="1934"/>
      <c r="AC62" s="1566">
        <f t="shared" ca="1" si="18"/>
        <v>0</v>
      </c>
      <c r="AD62" s="1936"/>
      <c r="AE62" s="1568"/>
      <c r="AF62" s="1569">
        <f>AF61</f>
        <v>36</v>
      </c>
      <c r="AG62" s="1569"/>
      <c r="AH62" s="1552"/>
      <c r="AI62" s="1552"/>
      <c r="AJ62" s="1554"/>
      <c r="AK62" s="1937"/>
    </row>
    <row r="63" spans="2:37" s="1441" customFormat="1" ht="18" customHeight="1">
      <c r="B63" s="1938">
        <f>B59+0.1</f>
        <v>6.2999999999999989</v>
      </c>
      <c r="C63" s="3499" t="s">
        <v>1007</v>
      </c>
      <c r="D63" s="3915" t="s">
        <v>491</v>
      </c>
      <c r="E63" s="1443" t="s">
        <v>3</v>
      </c>
      <c r="F63" s="1444"/>
      <c r="G63" s="1444">
        <f>G722</f>
        <v>86.457399103139011</v>
      </c>
      <c r="H63" s="1445">
        <f t="shared" ref="H63:I65" si="30">J722</f>
        <v>29179.372197309414</v>
      </c>
      <c r="I63" s="1446" t="str">
        <f t="shared" si="30"/>
        <v>Cost for labour</v>
      </c>
      <c r="J63" s="1447" t="str">
        <f>IF(K63=1,"Annual","Done every "&amp;K63&amp;" years")</f>
        <v>Annual</v>
      </c>
      <c r="K63" s="1450">
        <f>L722</f>
        <v>1</v>
      </c>
      <c r="L63" s="1449">
        <f t="shared" ref="L63:M65" si="31">$L$16/K63</f>
        <v>80</v>
      </c>
      <c r="M63" s="1450">
        <f t="shared" si="31"/>
        <v>1</v>
      </c>
      <c r="N63" s="1445">
        <f>$H63*(1-(1+$L$15)^-(L63*M63))/((1+$L$15)^M63-1)*(1+((1+$L$15)^M63-1))</f>
        <v>725749.56474102812</v>
      </c>
      <c r="O63" s="1451">
        <f>N63/(1+$L$15)*($L$15)/(1-(1+$L$15)^-$L$16)</f>
        <v>29179.372197309389</v>
      </c>
      <c r="P63" s="1452">
        <f>SUM(O63:O66)</f>
        <v>60098.051569506672</v>
      </c>
      <c r="Q63" s="2839"/>
      <c r="R63" s="2839"/>
      <c r="S63" s="2839"/>
      <c r="T63" s="1453" t="s">
        <v>808</v>
      </c>
      <c r="U63" s="1455">
        <f t="shared" si="15"/>
        <v>291.79372197309391</v>
      </c>
      <c r="V63" s="1455">
        <f>IF($T63="L",SUM($U63:U63)*V$16,"")</f>
        <v>87.538116591928173</v>
      </c>
      <c r="W63" s="1455">
        <f>IF($U63="","",IF(OR($T63="L",$T63="T",$T63="C"),SUM($U63:V63)*W$16,""))</f>
        <v>37.933183856502204</v>
      </c>
      <c r="X63" s="1457">
        <f>IF($U63="","",SUM($U63:W63)*X$16)</f>
        <v>125.17950672645726</v>
      </c>
      <c r="Y63" s="1464">
        <f t="shared" si="16"/>
        <v>250.65080717488763</v>
      </c>
      <c r="Z63" s="1452">
        <f>SUM(V63:X66)</f>
        <v>383.60112847533594</v>
      </c>
      <c r="AA63" s="1457">
        <f t="shared" si="17"/>
        <v>542.44452914798148</v>
      </c>
      <c r="AB63" s="1452">
        <f>SUM(AA63:AA66)</f>
        <v>984.58164417040257</v>
      </c>
      <c r="AC63" s="1458">
        <f t="shared" ca="1" si="18"/>
        <v>0.55093910429849535</v>
      </c>
      <c r="AD63" s="1939"/>
      <c r="AE63" s="1460"/>
      <c r="AF63" s="1461">
        <f>AF59+4</f>
        <v>40</v>
      </c>
      <c r="AG63" s="1462">
        <f ca="1">SUM(AC63:AC66)-1</f>
        <v>0</v>
      </c>
      <c r="AH63" s="1463">
        <f>$AH$16/K63</f>
        <v>5</v>
      </c>
      <c r="AI63" s="1463">
        <f>$AH$16/AH63</f>
        <v>1</v>
      </c>
      <c r="AJ63" s="1445">
        <f>$H63*(1-(1+$L$15)^-(AH63*AI63))/((1+$L$15)^AI63-1)*(1+((1+$L$15)^AI63-1))</f>
        <v>135097.43598313615</v>
      </c>
      <c r="AK63" s="1464">
        <f>SUM(AJ63:AJ66)</f>
        <v>278247.68194880144</v>
      </c>
    </row>
    <row r="64" spans="2:37" s="1441" customFormat="1" ht="19" customHeight="1">
      <c r="B64" s="1940"/>
      <c r="C64" s="3500" t="s">
        <v>789</v>
      </c>
      <c r="D64" s="3916"/>
      <c r="E64" s="1443" t="s">
        <v>308</v>
      </c>
      <c r="F64" s="1444">
        <f>$F$708</f>
        <v>3</v>
      </c>
      <c r="G64" s="1444">
        <f>G723</f>
        <v>43.228699551569505</v>
      </c>
      <c r="H64" s="1445">
        <f t="shared" si="30"/>
        <v>12320.17937219731</v>
      </c>
      <c r="I64" s="1446" t="str">
        <f t="shared" si="30"/>
        <v>On site Vehicle Costs</v>
      </c>
      <c r="J64" s="1447" t="str">
        <f>IF(K64=1,"Annual","Done every "&amp;K64&amp;" years")</f>
        <v>Annual</v>
      </c>
      <c r="K64" s="1450">
        <f>L723</f>
        <v>1</v>
      </c>
      <c r="L64" s="1449">
        <f t="shared" si="31"/>
        <v>80</v>
      </c>
      <c r="M64" s="1450">
        <f t="shared" si="31"/>
        <v>1</v>
      </c>
      <c r="N64" s="1445">
        <f>$H64*(1-(1+$L$15)^-(L64*M64))/((1+$L$15)^M64-1)*(1+((1+$L$15)^M64-1))</f>
        <v>306427.59400176746</v>
      </c>
      <c r="O64" s="1451">
        <f>N64/(1+$L$15)*($L$15)/(1-(1+$L$15)^-$L$16)</f>
        <v>12320.179372197297</v>
      </c>
      <c r="P64" s="1466"/>
      <c r="Q64" s="2840">
        <f>1*(1-(1+$L$15)^-(L64*M64))/((1+$L$15)^M64-1)*(1+((1+$L$15)^M64-1))</f>
        <v>24.872007520708362</v>
      </c>
      <c r="R64" s="2840">
        <f>Q64/(1+$L$15)*($L$15)/(1-(1+$L$15)^-$L$16)</f>
        <v>0.99999999999999911</v>
      </c>
      <c r="S64" s="2840">
        <f>F64*R64</f>
        <v>2.9999999999999973</v>
      </c>
      <c r="T64" s="1467" t="s">
        <v>809</v>
      </c>
      <c r="U64" s="1455">
        <f t="shared" si="15"/>
        <v>123.20179372197298</v>
      </c>
      <c r="V64" s="1468" t="str">
        <f>IF($T64="L",SUM($U64:U64)*V$16,"")</f>
        <v/>
      </c>
      <c r="W64" s="1468">
        <f>IF($U64="","",IF(OR($T64="L",$T64="T",$T64="C"),SUM($U64:V64)*W$16,""))</f>
        <v>12.320179372197298</v>
      </c>
      <c r="X64" s="1470">
        <f>IF($U64="","",SUM($U64:W64)*X$16)</f>
        <v>40.656591928251082</v>
      </c>
      <c r="Y64" s="1472">
        <f t="shared" si="16"/>
        <v>52.976771300448377</v>
      </c>
      <c r="Z64" s="1466"/>
      <c r="AA64" s="1470">
        <f t="shared" si="17"/>
        <v>176.17856502242137</v>
      </c>
      <c r="AB64" s="1466"/>
      <c r="AC64" s="1458">
        <f t="shared" ca="1" si="18"/>
        <v>0.17893748686617802</v>
      </c>
      <c r="AD64" s="1471"/>
      <c r="AE64" s="1460"/>
      <c r="AF64" s="1461">
        <f>AF63</f>
        <v>40</v>
      </c>
      <c r="AG64" s="1461"/>
      <c r="AH64" s="1463">
        <f>$AH$16/K64</f>
        <v>5</v>
      </c>
      <c r="AI64" s="1463">
        <f>$AH$16/AH64</f>
        <v>1</v>
      </c>
      <c r="AJ64" s="1445">
        <f>$H64*(1-(1+$L$15)^-(AH64*AI64))/((1+$L$15)^AI64-1)*(1+((1+$L$15)^AI64-1))</f>
        <v>57041.139637324159</v>
      </c>
      <c r="AK64" s="1472"/>
    </row>
    <row r="65" spans="1:37" s="1441" customFormat="1" ht="19" customHeight="1">
      <c r="B65" s="1940"/>
      <c r="C65" s="3500"/>
      <c r="D65" s="3916"/>
      <c r="E65" s="1443" t="s">
        <v>4</v>
      </c>
      <c r="F65" s="1444"/>
      <c r="G65" s="1444">
        <f>G724</f>
        <v>86</v>
      </c>
      <c r="H65" s="1445">
        <f t="shared" si="30"/>
        <v>18598.5</v>
      </c>
      <c r="I65" s="1446" t="str">
        <f t="shared" si="30"/>
        <v>Accomodation, food and bullets</v>
      </c>
      <c r="J65" s="1447" t="str">
        <f>IF(K65=1,"Annual","Done every "&amp;K65&amp;" years")</f>
        <v>Annual</v>
      </c>
      <c r="K65" s="1450">
        <f>L724</f>
        <v>1</v>
      </c>
      <c r="L65" s="1449">
        <f t="shared" si="31"/>
        <v>80</v>
      </c>
      <c r="M65" s="1450">
        <f t="shared" si="31"/>
        <v>1</v>
      </c>
      <c r="N65" s="1445">
        <f>$H65*(1-(1+$L$15)^-(L65*M65))/((1+$L$15)^M65-1)*(1+((1+$L$15)^M65-1))</f>
        <v>462582.03187389445</v>
      </c>
      <c r="O65" s="1451">
        <f>N65/(1+$L$15)*($L$15)/(1-(1+$L$15)^-$L$16)</f>
        <v>18598.499999999985</v>
      </c>
      <c r="P65" s="1941"/>
      <c r="Q65" s="2840"/>
      <c r="R65" s="2840"/>
      <c r="S65" s="2840"/>
      <c r="T65" s="1467" t="s">
        <v>810</v>
      </c>
      <c r="U65" s="1455">
        <f t="shared" si="15"/>
        <v>185.98499999999984</v>
      </c>
      <c r="V65" s="1942" t="str">
        <f>IF($T65="L",SUM($U65:U65)*V$16,"")</f>
        <v/>
      </c>
      <c r="W65" s="1942">
        <f>IF($U65="","",IF(OR($T65="L",$T65="T",$T65="C"),SUM($U65:V65)*W$16,""))</f>
        <v>18.598499999999984</v>
      </c>
      <c r="X65" s="1943">
        <f>IF($U65="","",SUM($U65:W65)*X$16)</f>
        <v>61.375049999999945</v>
      </c>
      <c r="Y65" s="1944">
        <f t="shared" si="16"/>
        <v>79.973549999999932</v>
      </c>
      <c r="Z65" s="1941"/>
      <c r="AA65" s="1943">
        <f t="shared" si="17"/>
        <v>265.95854999999978</v>
      </c>
      <c r="AB65" s="1941"/>
      <c r="AC65" s="1458">
        <f t="shared" ca="1" si="18"/>
        <v>0.27012340883532665</v>
      </c>
      <c r="AD65" s="1945"/>
      <c r="AE65" s="1460"/>
      <c r="AF65" s="1461">
        <f>AF64</f>
        <v>40</v>
      </c>
      <c r="AG65" s="1461"/>
      <c r="AH65" s="1463">
        <f>$AH$16/K65</f>
        <v>5</v>
      </c>
      <c r="AI65" s="1463">
        <f>$AH$16/AH65</f>
        <v>1</v>
      </c>
      <c r="AJ65" s="1445">
        <f>$H65*(1-(1+$L$15)^-(AH65*AI65))/((1+$L$15)^AI65-1)*(1+((1+$L$15)^AI65-1))</f>
        <v>86109.10632834112</v>
      </c>
      <c r="AK65" s="1944"/>
    </row>
    <row r="66" spans="1:37" s="1441" customFormat="1" ht="16" customHeight="1">
      <c r="B66" s="1940"/>
      <c r="C66" s="3501"/>
      <c r="D66" s="3917"/>
      <c r="E66" s="1443" t="s">
        <v>21</v>
      </c>
      <c r="F66" s="1444"/>
      <c r="G66" s="1444"/>
      <c r="H66" s="1445"/>
      <c r="I66" s="1946"/>
      <c r="J66" s="1447"/>
      <c r="K66" s="1448"/>
      <c r="L66" s="1947"/>
      <c r="M66" s="1948"/>
      <c r="N66" s="1445"/>
      <c r="O66" s="1451"/>
      <c r="P66" s="1949"/>
      <c r="Q66" s="3096"/>
      <c r="R66" s="3096"/>
      <c r="S66" s="3096"/>
      <c r="T66" s="1473" t="s">
        <v>811</v>
      </c>
      <c r="U66" s="1455">
        <f t="shared" si="15"/>
        <v>0</v>
      </c>
      <c r="V66" s="1942" t="str">
        <f>IF($T66="L",SUM($U66:U66)*V$16,"")</f>
        <v/>
      </c>
      <c r="W66" s="1942" t="str">
        <f>IF($U66="","",IF(OR($T66="L",$T66="T",$T66="C"),SUM($U66:V66)*W$16,""))</f>
        <v/>
      </c>
      <c r="X66" s="1943">
        <f>IF($U66="","",SUM($U66:W66)*X$16)</f>
        <v>0</v>
      </c>
      <c r="Y66" s="1950">
        <f t="shared" si="16"/>
        <v>0</v>
      </c>
      <c r="Z66" s="1949"/>
      <c r="AA66" s="1951">
        <f t="shared" si="17"/>
        <v>0</v>
      </c>
      <c r="AB66" s="1949"/>
      <c r="AC66" s="1458">
        <f t="shared" ca="1" si="18"/>
        <v>0</v>
      </c>
      <c r="AD66" s="1952"/>
      <c r="AE66" s="1460"/>
      <c r="AF66" s="1461">
        <f>AF65</f>
        <v>40</v>
      </c>
      <c r="AG66" s="1461"/>
      <c r="AH66" s="1443"/>
      <c r="AI66" s="1443"/>
      <c r="AJ66" s="1445"/>
      <c r="AK66" s="1950"/>
    </row>
    <row r="67" spans="1:37" ht="19" customHeight="1">
      <c r="B67" s="26">
        <v>7</v>
      </c>
      <c r="C67" s="3898" t="s">
        <v>1009</v>
      </c>
      <c r="D67" s="3901" t="s">
        <v>494</v>
      </c>
      <c r="E67" s="593" t="s">
        <v>3</v>
      </c>
      <c r="F67" s="1174"/>
      <c r="G67" s="1174">
        <f t="shared" ref="G67:G68" si="32">E743</f>
        <v>0.20512820512820515</v>
      </c>
      <c r="H67" s="150">
        <f t="shared" ref="H67:I69" si="33">H743</f>
        <v>46.15384615384616</v>
      </c>
      <c r="I67" s="1085" t="str">
        <f t="shared" si="33"/>
        <v>Cost for labour</v>
      </c>
      <c r="J67" s="376" t="str">
        <f t="shared" ref="J67:J73" si="34">IF(K67=1,"Annual","Done every "&amp;K67&amp;" years")</f>
        <v>Annual</v>
      </c>
      <c r="K67" s="117">
        <f>J743</f>
        <v>1</v>
      </c>
      <c r="L67" s="379">
        <f t="shared" ref="L67:M69" si="35">$L$16/K67</f>
        <v>80</v>
      </c>
      <c r="M67" s="272">
        <f t="shared" si="35"/>
        <v>1</v>
      </c>
      <c r="N67" s="150">
        <f>$H67*(1-(1+$L$15)^-(L67*M67))/((1+$L$15)^M67-1)*(1+((1+$L$15)^M67-1))</f>
        <v>1147.9388086480785</v>
      </c>
      <c r="O67" s="915">
        <f>N67/(1+$L$15)*($L$15)/(1-(1+$L$15)^-$L$16)</f>
        <v>46.153846153846125</v>
      </c>
      <c r="P67" s="245">
        <f>SUM(O67:O70)</f>
        <v>1353.8461538461524</v>
      </c>
      <c r="Q67" s="3015"/>
      <c r="R67" s="3015"/>
      <c r="S67" s="3015"/>
      <c r="T67" s="1031" t="s">
        <v>808</v>
      </c>
      <c r="U67" s="916">
        <f t="shared" si="15"/>
        <v>0.46153846153846123</v>
      </c>
      <c r="V67" s="588">
        <f>IF($T67="L",SUM($U67:U67)*V$16,"")</f>
        <v>0.13846153846153836</v>
      </c>
      <c r="W67" s="588">
        <f>IF($U67="","",IF(OR($T67="L",$T67="T",$T67="C"),SUM($U67:V67)*W$16,""))</f>
        <v>5.999999999999997E-2</v>
      </c>
      <c r="X67" s="588">
        <f>IF($U67="","",SUM($U67:W67)*X$16)</f>
        <v>0.19799999999999987</v>
      </c>
      <c r="Y67" s="383">
        <f t="shared" si="16"/>
        <v>0.3964615384615382</v>
      </c>
      <c r="Z67" s="245">
        <f>SUM(V67:X70)</f>
        <v>6.0195384615384553</v>
      </c>
      <c r="AA67" s="917">
        <f t="shared" si="17"/>
        <v>0.85799999999999943</v>
      </c>
      <c r="AB67" s="245">
        <f>SUM(AA67:AA70)</f>
        <v>19.557999999999982</v>
      </c>
      <c r="AC67" s="918">
        <f t="shared" ca="1" si="18"/>
        <v>4.3869516310461203E-2</v>
      </c>
      <c r="AD67" s="589"/>
      <c r="AE67" s="573"/>
      <c r="AF67" s="587">
        <f>AF63+4</f>
        <v>44</v>
      </c>
      <c r="AG67" s="816">
        <f ca="1">SUM(AC67:AC70)-1</f>
        <v>0</v>
      </c>
      <c r="AH67" s="13">
        <f>$AH$16/K67</f>
        <v>5</v>
      </c>
      <c r="AI67" s="13">
        <f>$AH$16/AH67</f>
        <v>1</v>
      </c>
      <c r="AJ67" s="188">
        <f>$H67*(1-(1+$L$15)^-(AH67*AI67))/((1+$L$15)^AI67-1)*(1+((1+$L$15)^AI67-1))</f>
        <v>213.68747188877799</v>
      </c>
      <c r="AK67" s="191">
        <f>SUM(AJ67:AJ70)</f>
        <v>6268.1658420708209</v>
      </c>
    </row>
    <row r="68" spans="1:37" ht="19" customHeight="1">
      <c r="B68" s="612"/>
      <c r="C68" s="3899"/>
      <c r="D68" s="3902"/>
      <c r="E68" s="593" t="s">
        <v>308</v>
      </c>
      <c r="F68" s="1174">
        <f>$F$28</f>
        <v>1</v>
      </c>
      <c r="G68" s="1174">
        <f t="shared" si="32"/>
        <v>0.20512820512820515</v>
      </c>
      <c r="H68" s="150">
        <f t="shared" si="33"/>
        <v>1307.6923076923076</v>
      </c>
      <c r="I68" s="1085" t="str">
        <f t="shared" si="33"/>
        <v xml:space="preserve">Cost for transport </v>
      </c>
      <c r="J68" s="376" t="str">
        <f t="shared" si="34"/>
        <v>Annual</v>
      </c>
      <c r="K68" s="117">
        <f>J744</f>
        <v>1</v>
      </c>
      <c r="L68" s="379">
        <f t="shared" si="35"/>
        <v>80</v>
      </c>
      <c r="M68" s="272">
        <f t="shared" si="35"/>
        <v>1</v>
      </c>
      <c r="N68" s="150">
        <f>$H68*(1-(1+$L$15)^-(L68*M68))/((1+$L$15)^M68-1)*(1+((1+$L$15)^M68-1))</f>
        <v>32524.932911695545</v>
      </c>
      <c r="O68" s="915">
        <f>N68/(1+$L$15)*($L$15)/(1-(1+$L$15)^-$L$16)</f>
        <v>1307.6923076923063</v>
      </c>
      <c r="P68" s="382"/>
      <c r="Q68" s="2854">
        <f>1*(1-(1+$L$15)^-(L68*M68))/((1+$L$15)^M68-1)*(1+((1+$L$15)^M68-1))</f>
        <v>24.872007520708362</v>
      </c>
      <c r="R68" s="2854">
        <f>Q68/(1+$L$15)*($L$15)/(1-(1+$L$15)^-$L$16)</f>
        <v>0.99999999999999911</v>
      </c>
      <c r="S68" s="2854">
        <f>F68*R68</f>
        <v>0.99999999999999911</v>
      </c>
      <c r="T68" s="1032" t="s">
        <v>809</v>
      </c>
      <c r="U68" s="588">
        <f t="shared" si="15"/>
        <v>13.076923076923062</v>
      </c>
      <c r="V68" s="919" t="str">
        <f>IF($T68="L",SUM($U68:U68)*V$16,"")</f>
        <v/>
      </c>
      <c r="W68" s="919">
        <f>IF($U68="","",IF(OR($T68="L",$T68="T",$T68="C"),SUM($U68:V68)*W$16,""))</f>
        <v>1.3076923076923064</v>
      </c>
      <c r="X68" s="919">
        <f>IF($U68="","",SUM($U68:W68)*X$16)</f>
        <v>4.3153846153846107</v>
      </c>
      <c r="Y68" s="384">
        <f t="shared" si="16"/>
        <v>5.6230769230769173</v>
      </c>
      <c r="Z68" s="382"/>
      <c r="AA68" s="920">
        <f t="shared" si="17"/>
        <v>18.699999999999982</v>
      </c>
      <c r="AB68" s="382"/>
      <c r="AC68" s="918">
        <f t="shared" ca="1" si="18"/>
        <v>0.95613048368953879</v>
      </c>
      <c r="AD68" s="590"/>
      <c r="AE68" s="573"/>
      <c r="AF68" s="587">
        <f>AF67</f>
        <v>44</v>
      </c>
      <c r="AG68" s="587"/>
      <c r="AH68" s="13">
        <f>$AH$16/K68</f>
        <v>5</v>
      </c>
      <c r="AI68" s="13">
        <f>$AH$16/AH68</f>
        <v>1</v>
      </c>
      <c r="AJ68" s="188">
        <f>$H68*(1-(1+$L$15)^-(AH68*AI68))/((1+$L$15)^AI68-1)*(1+((1+$L$15)^AI68-1))</f>
        <v>6054.4783701820425</v>
      </c>
      <c r="AK68" s="342"/>
    </row>
    <row r="69" spans="1:37" ht="16" customHeight="1">
      <c r="B69" s="612"/>
      <c r="C69" s="3899"/>
      <c r="D69" s="3902"/>
      <c r="E69" s="593" t="s">
        <v>4</v>
      </c>
      <c r="F69" s="1174"/>
      <c r="G69" s="1174"/>
      <c r="H69" s="150">
        <f t="shared" si="33"/>
        <v>0</v>
      </c>
      <c r="I69" s="1085" t="str">
        <f t="shared" si="33"/>
        <v>cost for accommodation and meals</v>
      </c>
      <c r="J69" s="376" t="str">
        <f t="shared" si="34"/>
        <v>Annual</v>
      </c>
      <c r="K69" s="117">
        <f>J745</f>
        <v>1</v>
      </c>
      <c r="L69" s="379">
        <f t="shared" si="35"/>
        <v>80</v>
      </c>
      <c r="M69" s="272">
        <f t="shared" si="35"/>
        <v>1</v>
      </c>
      <c r="N69" s="150">
        <f>$H69*(1-(1+$L$15)^-(L69*M69))/((1+$L$15)^M69-1)*(1+((1+$L$15)^M69-1))</f>
        <v>0</v>
      </c>
      <c r="O69" s="915">
        <f>N69/(1+$L$15)*($L$15)/(1-(1+$L$15)^-$L$16)</f>
        <v>0</v>
      </c>
      <c r="P69" s="382"/>
      <c r="Q69" s="2854"/>
      <c r="R69" s="2854"/>
      <c r="S69" s="2854"/>
      <c r="T69" s="1032" t="s">
        <v>810</v>
      </c>
      <c r="U69" s="588">
        <f t="shared" si="15"/>
        <v>0</v>
      </c>
      <c r="V69" s="919" t="str">
        <f>IF($T69="L",SUM($U69:U69)*V$16,"")</f>
        <v/>
      </c>
      <c r="W69" s="919">
        <f>IF($U69="","",IF(OR($T69="L",$T69="T",$T69="C"),SUM($U69:V69)*W$16,""))</f>
        <v>0</v>
      </c>
      <c r="X69" s="919">
        <f>IF($U69="","",SUM($U69:W69)*X$16)</f>
        <v>0</v>
      </c>
      <c r="Y69" s="384">
        <f t="shared" si="16"/>
        <v>0</v>
      </c>
      <c r="Z69" s="382"/>
      <c r="AA69" s="920">
        <f t="shared" si="17"/>
        <v>0</v>
      </c>
      <c r="AB69" s="382"/>
      <c r="AC69" s="918">
        <f t="shared" ca="1" si="18"/>
        <v>0</v>
      </c>
      <c r="AD69" s="589"/>
      <c r="AE69" s="573"/>
      <c r="AF69" s="587">
        <f>AF68</f>
        <v>44</v>
      </c>
      <c r="AG69" s="587"/>
      <c r="AH69" s="13">
        <f>$AH$16/K69</f>
        <v>5</v>
      </c>
      <c r="AI69" s="13">
        <f>$AH$16/AH69</f>
        <v>1</v>
      </c>
      <c r="AJ69" s="188">
        <f>$H69*(1-(1+$L$15)^-(AH69*AI69))/((1+$L$15)^AI69-1)*(1+((1+$L$15)^AI69-1))</f>
        <v>0</v>
      </c>
      <c r="AK69" s="342"/>
    </row>
    <row r="70" spans="1:37" ht="19" customHeight="1">
      <c r="B70" s="612"/>
      <c r="C70" s="3900"/>
      <c r="D70" s="3903"/>
      <c r="E70" s="593" t="s">
        <v>21</v>
      </c>
      <c r="F70" s="1174"/>
      <c r="G70" s="1174"/>
      <c r="H70" s="150"/>
      <c r="I70" s="479"/>
      <c r="J70" s="376"/>
      <c r="K70" s="272"/>
      <c r="L70" s="379"/>
      <c r="M70" s="272"/>
      <c r="N70" s="150"/>
      <c r="O70" s="915"/>
      <c r="P70" s="382"/>
      <c r="Q70" s="2854"/>
      <c r="R70" s="2854"/>
      <c r="S70" s="2854"/>
      <c r="T70" s="1033" t="s">
        <v>811</v>
      </c>
      <c r="U70" s="588"/>
      <c r="V70" s="919" t="str">
        <f>IF($T70="L",SUM($U70:U70)*V$16,"")</f>
        <v/>
      </c>
      <c r="W70" s="919" t="str">
        <f>IF($U70="","",IF(OR($T70="L",$T70="T",$T70="C"),SUM($U70:V70)*W$16,""))</f>
        <v/>
      </c>
      <c r="X70" s="919" t="str">
        <f>IF($U70="","",SUM($U70:W70)*X$16)</f>
        <v/>
      </c>
      <c r="Y70" s="384" t="str">
        <f t="shared" si="16"/>
        <v/>
      </c>
      <c r="Z70" s="382"/>
      <c r="AA70" s="920" t="str">
        <f t="shared" si="17"/>
        <v/>
      </c>
      <c r="AB70" s="382"/>
      <c r="AC70" s="918" t="str">
        <f t="shared" ca="1" si="18"/>
        <v/>
      </c>
      <c r="AD70" s="589"/>
      <c r="AE70" s="573"/>
      <c r="AF70" s="587">
        <f>AF69</f>
        <v>44</v>
      </c>
      <c r="AG70" s="587"/>
      <c r="AH70" s="13"/>
      <c r="AI70" s="13"/>
      <c r="AJ70" s="188"/>
      <c r="AK70" s="342"/>
    </row>
    <row r="71" spans="1:37" ht="19" customHeight="1">
      <c r="A71" s="390"/>
      <c r="B71" s="1768">
        <f>B67+1.1</f>
        <v>8.1</v>
      </c>
      <c r="C71" s="3859" t="s">
        <v>1008</v>
      </c>
      <c r="D71" s="3850" t="s">
        <v>975</v>
      </c>
      <c r="E71" s="373" t="s">
        <v>3</v>
      </c>
      <c r="F71" s="1176"/>
      <c r="G71" s="1176">
        <f t="shared" ref="G71:G82" si="36">G31</f>
        <v>6.2541106128550075</v>
      </c>
      <c r="H71" s="370">
        <f>H760</f>
        <v>1407.1748878923768</v>
      </c>
      <c r="I71" s="613" t="s">
        <v>474</v>
      </c>
      <c r="J71" s="375" t="str">
        <f t="shared" si="34"/>
        <v>Annual</v>
      </c>
      <c r="K71" s="374">
        <f>L760</f>
        <v>1</v>
      </c>
      <c r="L71" s="386">
        <f t="shared" ref="L71:M73" si="37">$L$16/K71</f>
        <v>80</v>
      </c>
      <c r="M71" s="371">
        <f t="shared" si="37"/>
        <v>1</v>
      </c>
      <c r="N71" s="370">
        <f>$H71*(1-(1+$L$15)^-(L71*M71))/((1+$L$15)^M71-1)*(1+((1+$L$15)^M71-1))</f>
        <v>34999.264394611135</v>
      </c>
      <c r="O71" s="640">
        <f>N71/(1+$L$15)*($L$15)/(1-(1+$L$15)^-$L$16)</f>
        <v>1407.1748878923752</v>
      </c>
      <c r="P71" s="392">
        <f>SUM(O71:O74)</f>
        <v>3558.3856502242124</v>
      </c>
      <c r="Q71" s="3067"/>
      <c r="R71" s="3067"/>
      <c r="S71" s="3067"/>
      <c r="T71" s="1039" t="s">
        <v>808</v>
      </c>
      <c r="U71" s="639">
        <f t="shared" si="15"/>
        <v>14.071748878923751</v>
      </c>
      <c r="V71" s="639">
        <f>IF($T71="L",SUM($U71:U71)*V$16,"")</f>
        <v>4.2215246636771253</v>
      </c>
      <c r="W71" s="639">
        <f>IF($U71="","",IF(OR($T71="L",$T71="T",$T71="C"),SUM($U71:V71)*W$16,""))</f>
        <v>1.8293273542600876</v>
      </c>
      <c r="X71" s="639">
        <f>IF($U71="","",SUM($U71:W71)*X$16)</f>
        <v>6.0367802690582888</v>
      </c>
      <c r="Y71" s="388">
        <f t="shared" si="16"/>
        <v>12.087632286995502</v>
      </c>
      <c r="Z71" s="392">
        <f>SUM(V71:X74)</f>
        <v>21.337838565022402</v>
      </c>
      <c r="AA71" s="734">
        <f t="shared" si="17"/>
        <v>26.159381165919253</v>
      </c>
      <c r="AB71" s="391">
        <f>SUM(AA71:AA74)</f>
        <v>56.921695067264523</v>
      </c>
      <c r="AC71" s="936">
        <f t="shared" ca="1" si="18"/>
        <v>0.45956785255615878</v>
      </c>
      <c r="AD71" s="638"/>
      <c r="AE71" s="1069"/>
      <c r="AF71" s="587">
        <f>AF67+4</f>
        <v>48</v>
      </c>
      <c r="AG71" s="816">
        <f ca="1">SUM(AC71:AC74)-1</f>
        <v>0</v>
      </c>
      <c r="AH71" s="387">
        <f>$AH$16/K71</f>
        <v>5</v>
      </c>
      <c r="AI71" s="387">
        <f>$AH$16/AH71</f>
        <v>1</v>
      </c>
      <c r="AJ71" s="370">
        <f>$H71*(1-(1+$L$15)^-(AH71*AI71))/((1+$L$15)^AI71-1)*(1+((1+$L$15)^AI71-1))</f>
        <v>6515.0722931470918</v>
      </c>
      <c r="AK71" s="981">
        <f>SUM(AJ71:AJ74)</f>
        <v>16474.95272803722</v>
      </c>
    </row>
    <row r="72" spans="1:37" ht="19" customHeight="1">
      <c r="A72" s="390"/>
      <c r="B72" s="1765"/>
      <c r="C72" s="3860"/>
      <c r="D72" s="3851"/>
      <c r="E72" s="373" t="s">
        <v>308</v>
      </c>
      <c r="F72" s="1176">
        <f>$F$32</f>
        <v>1</v>
      </c>
      <c r="G72" s="1176">
        <f t="shared" si="36"/>
        <v>3.1270553064275037</v>
      </c>
      <c r="H72" s="370">
        <f>H761</f>
        <v>891.21076233183862</v>
      </c>
      <c r="I72" s="613" t="s">
        <v>65</v>
      </c>
      <c r="J72" s="375" t="str">
        <f t="shared" si="34"/>
        <v>Annual</v>
      </c>
      <c r="K72" s="374">
        <f>L761</f>
        <v>1</v>
      </c>
      <c r="L72" s="386">
        <f t="shared" si="37"/>
        <v>80</v>
      </c>
      <c r="M72" s="371">
        <f t="shared" si="37"/>
        <v>1</v>
      </c>
      <c r="N72" s="370">
        <f>$H72*(1-(1+$L$15)^-(L72*M72))/((1+$L$15)^M72-1)*(1+((1+$L$15)^M72-1))</f>
        <v>22166.200783253724</v>
      </c>
      <c r="O72" s="640">
        <f>N72/(1+$L$15)*($L$15)/(1-(1+$L$15)^-$L$16)</f>
        <v>891.21076233183794</v>
      </c>
      <c r="P72" s="392"/>
      <c r="Q72" s="3067">
        <f>1*(1-(1+$L$15)^-(L72*M72))/((1+$L$15)^M72-1)*(1+((1+$L$15)^M72-1))</f>
        <v>24.872007520708362</v>
      </c>
      <c r="R72" s="3067">
        <f>Q72/(1+$L$15)*($L$15)/(1-(1+$L$15)^-$L$16)</f>
        <v>0.99999999999999911</v>
      </c>
      <c r="S72" s="3067">
        <f>F72*R72</f>
        <v>0.99999999999999911</v>
      </c>
      <c r="T72" s="1034" t="s">
        <v>809</v>
      </c>
      <c r="U72" s="639">
        <f t="shared" si="15"/>
        <v>8.9121076233183789</v>
      </c>
      <c r="V72" s="642" t="str">
        <f>IF($T72="L",SUM($U72:U72)*V$16,"")</f>
        <v/>
      </c>
      <c r="W72" s="642">
        <f>IF($U72="","",IF(OR($T72="L",$T72="T",$T72="C"),SUM($U72:V72)*W$16,""))</f>
        <v>0.89121076233183794</v>
      </c>
      <c r="X72" s="642">
        <f>IF($U72="","",SUM($U72:W72)*X$16)</f>
        <v>2.9409955156950649</v>
      </c>
      <c r="Y72" s="388">
        <f t="shared" si="16"/>
        <v>3.8322062780269031</v>
      </c>
      <c r="Z72" s="392"/>
      <c r="AA72" s="734">
        <f t="shared" si="17"/>
        <v>12.744313901345283</v>
      </c>
      <c r="AB72" s="391"/>
      <c r="AC72" s="936">
        <f t="shared" ca="1" si="18"/>
        <v>0.2238920307324877</v>
      </c>
      <c r="AD72" s="641"/>
      <c r="AE72" s="1069"/>
      <c r="AF72" s="587">
        <f>AF71</f>
        <v>48</v>
      </c>
      <c r="AG72" s="587"/>
      <c r="AH72" s="387">
        <f>$AH$16/K72</f>
        <v>5</v>
      </c>
      <c r="AI72" s="387">
        <f>$AH$16/AH72</f>
        <v>1</v>
      </c>
      <c r="AJ72" s="370">
        <f>$H72*(1-(1+$L$15)^-(AH72*AI72))/((1+$L$15)^AI72-1)*(1+((1+$L$15)^AI72-1))</f>
        <v>4126.212452326492</v>
      </c>
      <c r="AK72" s="981"/>
    </row>
    <row r="73" spans="1:37" ht="19" customHeight="1">
      <c r="A73" s="390"/>
      <c r="B73" s="1765"/>
      <c r="C73" s="3860"/>
      <c r="D73" s="3851"/>
      <c r="E73" s="373" t="s">
        <v>4</v>
      </c>
      <c r="F73" s="1176"/>
      <c r="G73" s="1176">
        <f t="shared" si="36"/>
        <v>6</v>
      </c>
      <c r="H73" s="370">
        <f>H762</f>
        <v>1260</v>
      </c>
      <c r="I73" s="613" t="s">
        <v>70</v>
      </c>
      <c r="J73" s="375" t="str">
        <f t="shared" si="34"/>
        <v>Annual</v>
      </c>
      <c r="K73" s="374">
        <f>L762</f>
        <v>1</v>
      </c>
      <c r="L73" s="386">
        <f t="shared" si="37"/>
        <v>80</v>
      </c>
      <c r="M73" s="371">
        <f t="shared" si="37"/>
        <v>1</v>
      </c>
      <c r="N73" s="370">
        <f>$H73*(1-(1+$L$15)^-(L73*M73))/((1+$L$15)^M73-1)*(1+((1+$L$15)^M73-1))</f>
        <v>31338.729476092536</v>
      </c>
      <c r="O73" s="640">
        <f>N73/(1+$L$15)*($L$15)/(1-(1+$L$15)^-$L$16)</f>
        <v>1259.9999999999991</v>
      </c>
      <c r="P73" s="392"/>
      <c r="Q73" s="3067"/>
      <c r="R73" s="3067"/>
      <c r="S73" s="3067"/>
      <c r="T73" s="1034" t="s">
        <v>810</v>
      </c>
      <c r="U73" s="639">
        <f t="shared" si="15"/>
        <v>12.599999999999991</v>
      </c>
      <c r="V73" s="642" t="str">
        <f>IF($T73="L",SUM($U73:U73)*V$16,"")</f>
        <v/>
      </c>
      <c r="W73" s="642">
        <f>IF($U73="","",IF(OR($T73="L",$T73="T",$T73="C"),SUM($U73:V73)*W$16,""))</f>
        <v>1.2599999999999991</v>
      </c>
      <c r="X73" s="642">
        <f>IF($U73="","",SUM($U73:W73)*X$16)</f>
        <v>4.1579999999999968</v>
      </c>
      <c r="Y73" s="388">
        <f t="shared" si="16"/>
        <v>5.4179999999999957</v>
      </c>
      <c r="Z73" s="392"/>
      <c r="AA73" s="734">
        <f t="shared" si="17"/>
        <v>18.017999999999986</v>
      </c>
      <c r="AB73" s="391"/>
      <c r="AC73" s="936">
        <f t="shared" ca="1" si="18"/>
        <v>0.31654011671135351</v>
      </c>
      <c r="AD73" s="641"/>
      <c r="AE73" s="1069"/>
      <c r="AF73" s="587">
        <f>AF72</f>
        <v>48</v>
      </c>
      <c r="AG73" s="587"/>
      <c r="AH73" s="387">
        <f>$AH$16/K73</f>
        <v>5</v>
      </c>
      <c r="AI73" s="387">
        <f>$AH$16/AH73</f>
        <v>1</v>
      </c>
      <c r="AJ73" s="370">
        <f>$H73*(1-(1+$L$15)^-(AH73*AI73))/((1+$L$15)^AI73-1)*(1+((1+$L$15)^AI73-1))</f>
        <v>5833.6679825636384</v>
      </c>
      <c r="AK73" s="981"/>
    </row>
    <row r="74" spans="1:37" ht="19" customHeight="1">
      <c r="A74" s="390"/>
      <c r="B74" s="1772"/>
      <c r="C74" s="3861"/>
      <c r="D74" s="3862"/>
      <c r="E74" s="373" t="s">
        <v>21</v>
      </c>
      <c r="F74" s="1176"/>
      <c r="G74" s="1176">
        <f t="shared" si="36"/>
        <v>0</v>
      </c>
      <c r="H74" s="370"/>
      <c r="I74" s="613"/>
      <c r="J74" s="375"/>
      <c r="K74" s="374"/>
      <c r="L74" s="386"/>
      <c r="M74" s="371"/>
      <c r="N74" s="370"/>
      <c r="O74" s="699"/>
      <c r="P74" s="396"/>
      <c r="Q74" s="3068"/>
      <c r="R74" s="3068"/>
      <c r="S74" s="3068"/>
      <c r="T74" s="1040" t="s">
        <v>811</v>
      </c>
      <c r="U74" s="700"/>
      <c r="V74" s="700" t="str">
        <f>IF($T74="L",SUM($U74:U74)*V$16,"")</f>
        <v/>
      </c>
      <c r="W74" s="700" t="str">
        <f>IF($U74="","",IF(OR($T74="L",$T74="T",$T74="C"),SUM($U74:V74)*W$16,""))</f>
        <v/>
      </c>
      <c r="X74" s="700" t="str">
        <f>IF($U74="","",SUM($U74:W74)*X$16)</f>
        <v/>
      </c>
      <c r="Y74" s="699" t="str">
        <f t="shared" si="16"/>
        <v/>
      </c>
      <c r="Z74" s="396"/>
      <c r="AA74" s="743" t="str">
        <f t="shared" si="17"/>
        <v/>
      </c>
      <c r="AB74" s="395"/>
      <c r="AC74" s="937" t="str">
        <f t="shared" ca="1" si="18"/>
        <v/>
      </c>
      <c r="AD74" s="822"/>
      <c r="AE74" s="1069"/>
      <c r="AF74" s="587">
        <f>AF73</f>
        <v>48</v>
      </c>
      <c r="AG74" s="587"/>
      <c r="AH74" s="387"/>
      <c r="AI74" s="387"/>
      <c r="AJ74" s="370"/>
      <c r="AK74" s="882"/>
    </row>
    <row r="75" spans="1:37" ht="19" customHeight="1">
      <c r="A75" s="676"/>
      <c r="B75" s="1766">
        <f>B71+0.1</f>
        <v>8.1999999999999993</v>
      </c>
      <c r="C75" s="3875" t="s">
        <v>203</v>
      </c>
      <c r="D75" s="3852" t="s">
        <v>473</v>
      </c>
      <c r="E75" s="685" t="s">
        <v>3</v>
      </c>
      <c r="F75" s="1177"/>
      <c r="G75" s="1177">
        <f t="shared" si="36"/>
        <v>7.449925261584454</v>
      </c>
      <c r="H75" s="665">
        <f>I760</f>
        <v>1676.2331838565024</v>
      </c>
      <c r="I75" s="818" t="s">
        <v>474</v>
      </c>
      <c r="J75" s="666" t="str">
        <f>IF(K75=1,"Annual","Done every "&amp;K75&amp;" years")</f>
        <v>Annual</v>
      </c>
      <c r="K75" s="701">
        <f>K71</f>
        <v>1</v>
      </c>
      <c r="L75" s="668">
        <f t="shared" ref="L75:M77" si="38">$L$16/K75</f>
        <v>80</v>
      </c>
      <c r="M75" s="667">
        <f t="shared" si="38"/>
        <v>1</v>
      </c>
      <c r="N75" s="665">
        <f>$H75*(1-(1+$L$15)^-(L75*M75))/((1+$L$15)^M75-1)*(1+((1+$L$15)^M75-1))</f>
        <v>41691.284355339849</v>
      </c>
      <c r="O75" s="680">
        <f>N75/(1+$L$15)*($L$15)/(1-(1+$L$15)^-$L$16)</f>
        <v>1676.233183856501</v>
      </c>
      <c r="P75" s="720">
        <f>SUM(O75:O78)</f>
        <v>3997.847533632284</v>
      </c>
      <c r="Q75" s="2825"/>
      <c r="R75" s="2825"/>
      <c r="S75" s="2825"/>
      <c r="T75" s="1035" t="s">
        <v>808</v>
      </c>
      <c r="U75" s="675">
        <f>O75/$U$16</f>
        <v>16.762331838565011</v>
      </c>
      <c r="V75" s="675">
        <f>IF($T75="L",SUM($U75:U75)*V$16,"")</f>
        <v>5.0286995515695034</v>
      </c>
      <c r="W75" s="675">
        <f>IF($U75="","",IF(OR($T75="L",$T75="T",$T75="C"),SUM($U75:V75)*W$16,""))</f>
        <v>2.1791031390134514</v>
      </c>
      <c r="X75" s="675">
        <f>IF($U75="","",SUM($U75:W75)*X$16)</f>
        <v>7.1910403587443898</v>
      </c>
      <c r="Y75" s="679">
        <f t="shared" si="16"/>
        <v>14.398843049327345</v>
      </c>
      <c r="Z75" s="720">
        <f>SUM(V75:X78)</f>
        <v>24.381784753363213</v>
      </c>
      <c r="AA75" s="737">
        <f t="shared" si="17"/>
        <v>31.161174887892358</v>
      </c>
      <c r="AB75" s="678">
        <f>SUM(AA75:AA78)</f>
        <v>64.360260089686051</v>
      </c>
      <c r="AC75" s="935">
        <f t="shared" ca="1" si="18"/>
        <v>0.48416794532012841</v>
      </c>
      <c r="AD75" s="674"/>
      <c r="AE75" s="1070"/>
      <c r="AF75" s="587">
        <f>AF71+4</f>
        <v>52</v>
      </c>
      <c r="AG75" s="816">
        <f ca="1">SUM(AC75:AC78)-1</f>
        <v>0</v>
      </c>
      <c r="AH75" s="669">
        <f>$AH$16/K75</f>
        <v>5</v>
      </c>
      <c r="AI75" s="669">
        <f>$AH$16/AH75</f>
        <v>1</v>
      </c>
      <c r="AJ75" s="665">
        <f>$H75*(1-(1+$L$15)^-(AH75*AI75))/((1+$L$15)^AI75-1)*(1+((1+$L$15)^AI75-1))</f>
        <v>7760.7840126780848</v>
      </c>
      <c r="AK75" s="984">
        <f>SUM(AJ75:AJ78)</f>
        <v>18509.615203271176</v>
      </c>
    </row>
    <row r="76" spans="1:37" ht="19" customHeight="1">
      <c r="A76" s="676"/>
      <c r="B76" s="1769"/>
      <c r="C76" s="3876"/>
      <c r="D76" s="3853"/>
      <c r="E76" s="685" t="s">
        <v>308</v>
      </c>
      <c r="F76" s="1177">
        <f>$F$36</f>
        <v>1</v>
      </c>
      <c r="G76" s="1177">
        <f t="shared" si="36"/>
        <v>3.724962630792227</v>
      </c>
      <c r="H76" s="665">
        <f>I761</f>
        <v>1061.6143497757848</v>
      </c>
      <c r="I76" s="818" t="s">
        <v>65</v>
      </c>
      <c r="J76" s="666" t="str">
        <f>IF(K76=1,"Annual","Done every "&amp;K76&amp;" years")</f>
        <v>Annual</v>
      </c>
      <c r="K76" s="701">
        <f>K72</f>
        <v>1</v>
      </c>
      <c r="L76" s="668">
        <f t="shared" si="38"/>
        <v>80</v>
      </c>
      <c r="M76" s="667">
        <f t="shared" si="38"/>
        <v>1</v>
      </c>
      <c r="N76" s="665">
        <f>$H76*(1-(1+$L$15)^-(L76*M76))/((1+$L$15)^M76-1)*(1+((1+$L$15)^M76-1))</f>
        <v>26404.480091715235</v>
      </c>
      <c r="O76" s="680">
        <f>N76/(1+$L$15)*($L$15)/(1-(1+$L$15)^-$L$16)</f>
        <v>1061.6143497757839</v>
      </c>
      <c r="P76" s="720"/>
      <c r="Q76" s="2825">
        <f>1*(1-(1+$L$15)^-(L76*M76))/((1+$L$15)^M76-1)*(1+((1+$L$15)^M76-1))</f>
        <v>24.872007520708362</v>
      </c>
      <c r="R76" s="2825">
        <f>Q76/(1+$L$15)*($L$15)/(1-(1+$L$15)^-$L$16)</f>
        <v>0.99999999999999911</v>
      </c>
      <c r="S76" s="2825">
        <f>F76*R76</f>
        <v>0.99999999999999911</v>
      </c>
      <c r="T76" s="1036" t="s">
        <v>809</v>
      </c>
      <c r="U76" s="675">
        <f>O76/$U$16</f>
        <v>10.616143497757839</v>
      </c>
      <c r="V76" s="682" t="str">
        <f>IF($T76="L",SUM($U76:U76)*V$16,"")</f>
        <v/>
      </c>
      <c r="W76" s="682">
        <f>IF($U76="","",IF(OR($T76="L",$T76="T",$T76="C"),SUM($U76:V76)*W$16,""))</f>
        <v>1.0616143497757839</v>
      </c>
      <c r="X76" s="682">
        <f>IF($U76="","",SUM($U76:W76)*X$16)</f>
        <v>3.5033273542600871</v>
      </c>
      <c r="Y76" s="679">
        <f t="shared" si="16"/>
        <v>4.5649417040358706</v>
      </c>
      <c r="Z76" s="720"/>
      <c r="AA76" s="737">
        <f t="shared" si="17"/>
        <v>15.18108520179371</v>
      </c>
      <c r="AB76" s="678"/>
      <c r="AC76" s="935">
        <f t="shared" ca="1" si="18"/>
        <v>0.2358766913098061</v>
      </c>
      <c r="AD76" s="681"/>
      <c r="AE76" s="1070"/>
      <c r="AF76" s="587">
        <f>AF75</f>
        <v>52</v>
      </c>
      <c r="AG76" s="587"/>
      <c r="AH76" s="669">
        <f>$AH$16/K76</f>
        <v>5</v>
      </c>
      <c r="AI76" s="669">
        <f>$AH$16/AH76</f>
        <v>1</v>
      </c>
      <c r="AJ76" s="665">
        <f>$H76*(1-(1+$L$15)^-(AH76*AI76))/((1+$L$15)^AI76-1)*(1+((1+$L$15)^AI76-1))</f>
        <v>4915.163208029453</v>
      </c>
      <c r="AK76" s="984"/>
    </row>
    <row r="77" spans="1:37" ht="19" customHeight="1">
      <c r="A77" s="676"/>
      <c r="B77" s="1769"/>
      <c r="C77" s="3876"/>
      <c r="D77" s="3853"/>
      <c r="E77" s="685" t="s">
        <v>4</v>
      </c>
      <c r="F77" s="1177"/>
      <c r="G77" s="1177">
        <f t="shared" si="36"/>
        <v>6</v>
      </c>
      <c r="H77" s="665">
        <f>I762</f>
        <v>1260</v>
      </c>
      <c r="I77" s="818" t="s">
        <v>70</v>
      </c>
      <c r="J77" s="666" t="str">
        <f>IF(K77=1,"Annual","Done every "&amp;K77&amp;" years")</f>
        <v>Annual</v>
      </c>
      <c r="K77" s="701">
        <f>K73</f>
        <v>1</v>
      </c>
      <c r="L77" s="668">
        <f t="shared" si="38"/>
        <v>80</v>
      </c>
      <c r="M77" s="667">
        <f t="shared" si="38"/>
        <v>1</v>
      </c>
      <c r="N77" s="665">
        <f>$H77*(1-(1+$L$15)^-(L77*M77))/((1+$L$15)^M77-1)*(1+((1+$L$15)^M77-1))</f>
        <v>31338.729476092536</v>
      </c>
      <c r="O77" s="680">
        <f>N77/(1+$L$15)*($L$15)/(1-(1+$L$15)^-$L$16)</f>
        <v>1259.9999999999991</v>
      </c>
      <c r="P77" s="720"/>
      <c r="Q77" s="2825"/>
      <c r="R77" s="2825"/>
      <c r="S77" s="2825"/>
      <c r="T77" s="1036" t="s">
        <v>810</v>
      </c>
      <c r="U77" s="675">
        <f>O77/$U$16</f>
        <v>12.599999999999991</v>
      </c>
      <c r="V77" s="682" t="str">
        <f>IF($T77="L",SUM($U77:U77)*V$16,"")</f>
        <v/>
      </c>
      <c r="W77" s="682">
        <f>IF($U77="","",IF(OR($T77="L",$T77="T",$T77="C"),SUM($U77:V77)*W$16,""))</f>
        <v>1.2599999999999991</v>
      </c>
      <c r="X77" s="682">
        <f>IF($U77="","",SUM($U77:W77)*X$16)</f>
        <v>4.1579999999999968</v>
      </c>
      <c r="Y77" s="679">
        <f t="shared" si="16"/>
        <v>5.4179999999999957</v>
      </c>
      <c r="Z77" s="720"/>
      <c r="AA77" s="737">
        <f t="shared" si="17"/>
        <v>18.017999999999986</v>
      </c>
      <c r="AB77" s="678"/>
      <c r="AC77" s="935">
        <f t="shared" ca="1" si="18"/>
        <v>0.27995536337006555</v>
      </c>
      <c r="AD77" s="681"/>
      <c r="AE77" s="1070"/>
      <c r="AF77" s="587">
        <f>AF76</f>
        <v>52</v>
      </c>
      <c r="AG77" s="587"/>
      <c r="AH77" s="669">
        <f>$AH$16/K77</f>
        <v>5</v>
      </c>
      <c r="AI77" s="669">
        <f>$AH$16/AH77</f>
        <v>1</v>
      </c>
      <c r="AJ77" s="665">
        <f>$H77*(1-(1+$L$15)^-(AH77*AI77))/((1+$L$15)^AI77-1)*(1+((1+$L$15)^AI77-1))</f>
        <v>5833.6679825636384</v>
      </c>
      <c r="AK77" s="984"/>
    </row>
    <row r="78" spans="1:37" ht="19" customHeight="1">
      <c r="A78" s="676"/>
      <c r="B78" s="1773"/>
      <c r="C78" s="3877"/>
      <c r="D78" s="3854"/>
      <c r="E78" s="685" t="s">
        <v>21</v>
      </c>
      <c r="F78" s="1177"/>
      <c r="G78" s="1177">
        <f t="shared" si="36"/>
        <v>0</v>
      </c>
      <c r="H78" s="665"/>
      <c r="I78" s="818"/>
      <c r="J78" s="666"/>
      <c r="K78" s="701"/>
      <c r="L78" s="668"/>
      <c r="M78" s="667"/>
      <c r="N78" s="665"/>
      <c r="O78" s="703"/>
      <c r="P78" s="718"/>
      <c r="Q78" s="3069"/>
      <c r="R78" s="3069"/>
      <c r="S78" s="3069"/>
      <c r="T78" s="1041" t="s">
        <v>811</v>
      </c>
      <c r="U78" s="704"/>
      <c r="V78" s="704" t="str">
        <f>IF($T78="L",SUM($U78:U78)*V$16,"")</f>
        <v/>
      </c>
      <c r="W78" s="704" t="str">
        <f>IF($U78="","",IF(OR($T78="L",$T78="T",$T78="C"),SUM($U78:V78)*W$16,""))</f>
        <v/>
      </c>
      <c r="X78" s="704" t="str">
        <f>IF($U78="","",SUM($U78:W78)*X$16)</f>
        <v/>
      </c>
      <c r="Y78" s="703" t="str">
        <f t="shared" si="16"/>
        <v/>
      </c>
      <c r="Z78" s="718"/>
      <c r="AA78" s="744" t="str">
        <f t="shared" si="17"/>
        <v/>
      </c>
      <c r="AB78" s="672"/>
      <c r="AC78" s="938" t="str">
        <f t="shared" ca="1" si="18"/>
        <v/>
      </c>
      <c r="AD78" s="823"/>
      <c r="AE78" s="1070"/>
      <c r="AF78" s="587">
        <f>AF77</f>
        <v>52</v>
      </c>
      <c r="AG78" s="587"/>
      <c r="AH78" s="669"/>
      <c r="AI78" s="669"/>
      <c r="AJ78" s="665"/>
      <c r="AK78" s="883"/>
    </row>
    <row r="79" spans="1:37" ht="19" customHeight="1">
      <c r="A79" s="656"/>
      <c r="B79" s="1767">
        <f>B75+0.1</f>
        <v>8.2999999999999989</v>
      </c>
      <c r="C79" s="3878" t="s">
        <v>203</v>
      </c>
      <c r="D79" s="3863" t="s">
        <v>473</v>
      </c>
      <c r="E79" s="686" t="s">
        <v>3</v>
      </c>
      <c r="F79" s="1178"/>
      <c r="G79" s="1178">
        <f t="shared" si="36"/>
        <v>9.8415545590433489</v>
      </c>
      <c r="H79" s="645">
        <f>J760</f>
        <v>2214.3497757847535</v>
      </c>
      <c r="I79" s="820" t="s">
        <v>474</v>
      </c>
      <c r="J79" s="646" t="str">
        <f>IF(K79=1,"Annual","Done every "&amp;K79&amp;" years")</f>
        <v>Annual</v>
      </c>
      <c r="K79" s="705">
        <f>K75</f>
        <v>1</v>
      </c>
      <c r="L79" s="648">
        <f t="shared" ref="L79:M81" si="39">$L$16/K79</f>
        <v>80</v>
      </c>
      <c r="M79" s="647">
        <f t="shared" si="39"/>
        <v>1</v>
      </c>
      <c r="N79" s="645">
        <f>$H79*(1-(1+$L$15)^-(L79*M79))/((1+$L$15)^M79-1)*(1+((1+$L$15)^M79-1))</f>
        <v>55075.324276797262</v>
      </c>
      <c r="O79" s="660">
        <f>N79/(1+$L$15)*($L$15)/(1-(1+$L$15)^-$L$16)</f>
        <v>2214.3497757847517</v>
      </c>
      <c r="P79" s="722">
        <f>SUM(O79:O82)</f>
        <v>5296.7713004484267</v>
      </c>
      <c r="Q79" s="3070"/>
      <c r="R79" s="3070"/>
      <c r="S79" s="3070"/>
      <c r="T79" s="1037" t="s">
        <v>808</v>
      </c>
      <c r="U79" s="655">
        <f>O79/$U$16</f>
        <v>22.143497757847516</v>
      </c>
      <c r="V79" s="655">
        <f>IF($T79="L",SUM($U79:U79)*V$16,"")</f>
        <v>6.6430493273542544</v>
      </c>
      <c r="W79" s="655">
        <f>IF($U79="","",IF(OR($T79="L",$T79="T",$T79="C"),SUM($U79:V79)*W$16,""))</f>
        <v>2.8786547085201772</v>
      </c>
      <c r="X79" s="655">
        <f>IF($U79="","",SUM($U79:W79)*X$16)</f>
        <v>9.4995605381165849</v>
      </c>
      <c r="Y79" s="659">
        <f t="shared" si="16"/>
        <v>19.021264573991019</v>
      </c>
      <c r="Z79" s="722">
        <f>SUM(V79:X82)</f>
        <v>32.275677130044819</v>
      </c>
      <c r="AA79" s="740">
        <f t="shared" si="17"/>
        <v>41.164762331838531</v>
      </c>
      <c r="AB79" s="658">
        <f>SUM(AA79:AA82)</f>
        <v>85.243390134529079</v>
      </c>
      <c r="AC79" s="939">
        <f t="shared" ca="1" si="18"/>
        <v>0.48290855474979688</v>
      </c>
      <c r="AD79" s="654"/>
      <c r="AE79" s="1071"/>
      <c r="AF79" s="587">
        <f>AF75+4</f>
        <v>56</v>
      </c>
      <c r="AG79" s="816">
        <f ca="1">SUM(AC79:AC82)-1</f>
        <v>0</v>
      </c>
      <c r="AH79" s="649">
        <f>$AH$16/K79</f>
        <v>5</v>
      </c>
      <c r="AI79" s="649">
        <f>$AH$16/AH79</f>
        <v>1</v>
      </c>
      <c r="AJ79" s="645">
        <f>$H79*(1-(1+$L$15)^-(AH79*AI79))/((1+$L$15)^AI79-1)*(1+((1+$L$15)^AI79-1))</f>
        <v>10252.207451740071</v>
      </c>
      <c r="AK79" s="932">
        <f>SUM(AJ79:AJ82)</f>
        <v>24523.496147926966</v>
      </c>
    </row>
    <row r="80" spans="1:37" ht="19" customHeight="1">
      <c r="A80" s="656"/>
      <c r="B80" s="1770"/>
      <c r="C80" s="3879"/>
      <c r="D80" s="3864"/>
      <c r="E80" s="686" t="s">
        <v>308</v>
      </c>
      <c r="F80" s="1178">
        <f>$F$40</f>
        <v>1</v>
      </c>
      <c r="G80" s="1178">
        <f t="shared" si="36"/>
        <v>4.9207772795216744</v>
      </c>
      <c r="H80" s="645">
        <f>J761</f>
        <v>1402.4215246636772</v>
      </c>
      <c r="I80" s="820" t="s">
        <v>65</v>
      </c>
      <c r="J80" s="646" t="str">
        <f>IF(K80=1,"Annual","Done every "&amp;K80&amp;" years")</f>
        <v>Annual</v>
      </c>
      <c r="K80" s="705">
        <f>K76</f>
        <v>1</v>
      </c>
      <c r="L80" s="648">
        <f t="shared" si="39"/>
        <v>80</v>
      </c>
      <c r="M80" s="647">
        <f t="shared" si="39"/>
        <v>1</v>
      </c>
      <c r="N80" s="645">
        <f>$H80*(1-(1+$L$15)^-(L80*M80))/((1+$L$15)^M80-1)*(1+((1+$L$15)^M80-1))</f>
        <v>34881.038708638262</v>
      </c>
      <c r="O80" s="660">
        <f>N80/(1+$L$15)*($L$15)/(1-(1+$L$15)^-$L$16)</f>
        <v>1402.4215246636759</v>
      </c>
      <c r="P80" s="722"/>
      <c r="Q80" s="3070">
        <f>1*(1-(1+$L$15)^-(L80*M80))/((1+$L$15)^M80-1)*(1+((1+$L$15)^M80-1))</f>
        <v>24.872007520708362</v>
      </c>
      <c r="R80" s="3070">
        <f>Q80/(1+$L$15)*($L$15)/(1-(1+$L$15)^-$L$16)</f>
        <v>0.99999999999999911</v>
      </c>
      <c r="S80" s="3070">
        <f>F80*R80</f>
        <v>0.99999999999999911</v>
      </c>
      <c r="T80" s="1038" t="s">
        <v>809</v>
      </c>
      <c r="U80" s="655">
        <f>O80/$U$16</f>
        <v>14.024215246636759</v>
      </c>
      <c r="V80" s="662" t="str">
        <f>IF($T80="L",SUM($U80:U80)*V$16,"")</f>
        <v/>
      </c>
      <c r="W80" s="662">
        <f>IF($U80="","",IF(OR($T80="L",$T80="T",$T80="C"),SUM($U80:V80)*W$16,""))</f>
        <v>1.402421524663676</v>
      </c>
      <c r="X80" s="662">
        <f>IF($U80="","",SUM($U80:W80)*X$16)</f>
        <v>4.6279910313901302</v>
      </c>
      <c r="Y80" s="659">
        <f t="shared" si="16"/>
        <v>6.0304125560538058</v>
      </c>
      <c r="Z80" s="722"/>
      <c r="AA80" s="740">
        <f t="shared" si="17"/>
        <v>20.054627802690565</v>
      </c>
      <c r="AB80" s="658"/>
      <c r="AC80" s="939">
        <f t="shared" ca="1" si="18"/>
        <v>0.23526314205759333</v>
      </c>
      <c r="AD80" s="661"/>
      <c r="AE80" s="1071"/>
      <c r="AF80" s="587">
        <f>AF79</f>
        <v>56</v>
      </c>
      <c r="AG80" s="587"/>
      <c r="AH80" s="649">
        <f>$AH$16/K80</f>
        <v>5</v>
      </c>
      <c r="AI80" s="649">
        <f>$AH$16/AH80</f>
        <v>1</v>
      </c>
      <c r="AJ80" s="645">
        <f>$H80*(1-(1+$L$15)^-(AH80*AI80))/((1+$L$15)^AI80-1)*(1+((1+$L$15)^AI80-1))</f>
        <v>6493.0647194353778</v>
      </c>
      <c r="AK80" s="932"/>
    </row>
    <row r="81" spans="1:37" ht="19" customHeight="1">
      <c r="A81" s="656"/>
      <c r="B81" s="1770"/>
      <c r="C81" s="3879"/>
      <c r="D81" s="3864"/>
      <c r="E81" s="686" t="s">
        <v>4</v>
      </c>
      <c r="F81" s="1178"/>
      <c r="G81" s="1178">
        <f t="shared" si="36"/>
        <v>8</v>
      </c>
      <c r="H81" s="645">
        <f>J762</f>
        <v>1680</v>
      </c>
      <c r="I81" s="820" t="s">
        <v>70</v>
      </c>
      <c r="J81" s="646" t="str">
        <f>IF(K81=1,"Annual","Done every "&amp;K81&amp;" years")</f>
        <v>Annual</v>
      </c>
      <c r="K81" s="705">
        <f>K77</f>
        <v>1</v>
      </c>
      <c r="L81" s="648">
        <f t="shared" si="39"/>
        <v>80</v>
      </c>
      <c r="M81" s="647">
        <f t="shared" si="39"/>
        <v>1</v>
      </c>
      <c r="N81" s="645">
        <f>$H81*(1-(1+$L$15)^-(L81*M81))/((1+$L$15)^M81-1)*(1+((1+$L$15)^M81-1))</f>
        <v>41784.972634790051</v>
      </c>
      <c r="O81" s="660">
        <f>N81/(1+$L$15)*($L$15)/(1-(1+$L$15)^-$L$16)</f>
        <v>1679.9999999999986</v>
      </c>
      <c r="P81" s="722"/>
      <c r="Q81" s="3070"/>
      <c r="R81" s="3070"/>
      <c r="S81" s="3070"/>
      <c r="T81" s="1038" t="s">
        <v>810</v>
      </c>
      <c r="U81" s="655">
        <f>O81/$U$16</f>
        <v>16.799999999999986</v>
      </c>
      <c r="V81" s="662" t="str">
        <f>IF($T81="L",SUM($U81:U81)*V$16,"")</f>
        <v/>
      </c>
      <c r="W81" s="662">
        <f>IF($U81="","",IF(OR($T81="L",$T81="T",$T81="C"),SUM($U81:V81)*W$16,""))</f>
        <v>1.6799999999999988</v>
      </c>
      <c r="X81" s="662">
        <f>IF($U81="","",SUM($U81:W81)*X$16)</f>
        <v>5.543999999999996</v>
      </c>
      <c r="Y81" s="659">
        <f t="shared" si="16"/>
        <v>7.2239999999999949</v>
      </c>
      <c r="Z81" s="722"/>
      <c r="AA81" s="740">
        <f t="shared" si="17"/>
        <v>24.02399999999998</v>
      </c>
      <c r="AB81" s="658"/>
      <c r="AC81" s="939">
        <f t="shared" ca="1" si="18"/>
        <v>0.28182830319260976</v>
      </c>
      <c r="AD81" s="661"/>
      <c r="AE81" s="1071"/>
      <c r="AF81" s="587">
        <f>AF80</f>
        <v>56</v>
      </c>
      <c r="AG81" s="587"/>
      <c r="AH81" s="649">
        <f>$AH$16/K81</f>
        <v>5</v>
      </c>
      <c r="AI81" s="649">
        <f>$AH$16/AH81</f>
        <v>1</v>
      </c>
      <c r="AJ81" s="645">
        <f>$H81*(1-(1+$L$15)^-(AH81*AI81))/((1+$L$15)^AI81-1)*(1+((1+$L$15)^AI81-1))</f>
        <v>7778.2239767515175</v>
      </c>
      <c r="AK81" s="932"/>
    </row>
    <row r="82" spans="1:37" ht="19" customHeight="1">
      <c r="A82" s="656"/>
      <c r="B82" s="706"/>
      <c r="C82" s="3880"/>
      <c r="D82" s="3865"/>
      <c r="E82" s="686" t="s">
        <v>21</v>
      </c>
      <c r="F82" s="1178"/>
      <c r="G82" s="1178">
        <f t="shared" si="36"/>
        <v>0</v>
      </c>
      <c r="H82" s="645"/>
      <c r="I82" s="820"/>
      <c r="J82" s="646"/>
      <c r="K82" s="705"/>
      <c r="L82" s="648"/>
      <c r="M82" s="647"/>
      <c r="N82" s="645"/>
      <c r="O82" s="707"/>
      <c r="P82" s="719"/>
      <c r="Q82" s="3071"/>
      <c r="R82" s="3071"/>
      <c r="S82" s="3071"/>
      <c r="T82" s="1042" t="s">
        <v>811</v>
      </c>
      <c r="U82" s="708"/>
      <c r="V82" s="708" t="str">
        <f>IF($T82="L",SUM($U82:U82)*V$16,"")</f>
        <v/>
      </c>
      <c r="W82" s="708" t="str">
        <f>IF($U82="","",IF(OR($T82="L",$T82="T",$T82="C"),SUM($U82:V82)*W$16,""))</f>
        <v/>
      </c>
      <c r="X82" s="708" t="str">
        <f>IF($U82="","",SUM($U82:W82)*X$16)</f>
        <v/>
      </c>
      <c r="Y82" s="707" t="str">
        <f t="shared" si="16"/>
        <v/>
      </c>
      <c r="Z82" s="719"/>
      <c r="AA82" s="745" t="str">
        <f t="shared" si="17"/>
        <v/>
      </c>
      <c r="AB82" s="652"/>
      <c r="AC82" s="940" t="str">
        <f t="shared" ca="1" si="18"/>
        <v/>
      </c>
      <c r="AD82" s="824"/>
      <c r="AE82" s="1071"/>
      <c r="AF82" s="587">
        <f>AF81</f>
        <v>56</v>
      </c>
      <c r="AG82" s="587"/>
      <c r="AH82" s="649"/>
      <c r="AI82" s="649"/>
      <c r="AJ82" s="645"/>
      <c r="AK82" s="884"/>
    </row>
    <row r="83" spans="1:37" ht="19" customHeight="1">
      <c r="B83" s="1771">
        <v>9</v>
      </c>
      <c r="C83" s="862" t="s">
        <v>397</v>
      </c>
      <c r="D83" s="3847" t="s">
        <v>192</v>
      </c>
      <c r="E83" s="12" t="s">
        <v>3</v>
      </c>
      <c r="F83" s="1172"/>
      <c r="G83" s="1172"/>
      <c r="H83" s="188">
        <f>F790</f>
        <v>5062.5</v>
      </c>
      <c r="I83" s="1088" t="str">
        <f>G790</f>
        <v>Cost for reporting, analysis and feedback</v>
      </c>
      <c r="J83" s="377" t="str">
        <f>IF(K83=1,"Annual","Done every "&amp;K83&amp;" years")</f>
        <v>Annual</v>
      </c>
      <c r="K83" s="586">
        <f>$D$778</f>
        <v>1</v>
      </c>
      <c r="L83" s="158">
        <f>$L$16/K83</f>
        <v>80</v>
      </c>
      <c r="M83" s="586">
        <f>$L$16/L83</f>
        <v>1</v>
      </c>
      <c r="N83" s="188">
        <f>$H83*(1-(1+$L$15)^-(L83*M83))/((1+$L$15)^M83-1)*(1+((1+$L$15)^M83-1))</f>
        <v>125914.53807358607</v>
      </c>
      <c r="O83" s="242">
        <f>N83/(1+$L$15)*($L$15)/(1-(1+$L$15)^-$L$16)</f>
        <v>5062.4999999999955</v>
      </c>
      <c r="P83" s="192">
        <f>SUM(O83:O86)</f>
        <v>5062.4999999999955</v>
      </c>
      <c r="Q83" s="2817"/>
      <c r="R83" s="2817"/>
      <c r="S83" s="2817"/>
      <c r="T83" s="1039" t="s">
        <v>808</v>
      </c>
      <c r="U83" s="583">
        <f>O83/$U$16</f>
        <v>50.624999999999957</v>
      </c>
      <c r="V83" s="583">
        <f>IF($T83="L",SUM($U83:U83)*V$16,"")</f>
        <v>15.187499999999986</v>
      </c>
      <c r="W83" s="1474"/>
      <c r="X83" s="583">
        <f>IF($U83="","",SUM($U83:W83)*X$16)</f>
        <v>19.743749999999981</v>
      </c>
      <c r="Y83" s="240">
        <f t="shared" si="16"/>
        <v>34.931249999999963</v>
      </c>
      <c r="Z83" s="192">
        <f>SUM(V83:X86)</f>
        <v>34.931249999999963</v>
      </c>
      <c r="AA83" s="742">
        <f t="shared" si="17"/>
        <v>85.55624999999992</v>
      </c>
      <c r="AB83" s="192">
        <f>SUM(AA83:AA86)</f>
        <v>85.55624999999992</v>
      </c>
      <c r="AC83" s="727">
        <f t="shared" ca="1" si="18"/>
        <v>1</v>
      </c>
      <c r="AD83" s="589"/>
      <c r="AE83" s="573"/>
      <c r="AF83" s="587">
        <f>AF79+4</f>
        <v>60</v>
      </c>
      <c r="AG83" s="816">
        <f ca="1">SUM(AC83:AC86)-1</f>
        <v>0</v>
      </c>
      <c r="AH83" s="13">
        <f>$AH$16/K83</f>
        <v>5</v>
      </c>
      <c r="AI83" s="13">
        <f>$AH$16/AH83</f>
        <v>1</v>
      </c>
      <c r="AJ83" s="188">
        <f>$H83*(1-(1+$L$15)^-(AH83*AI83))/((1+$L$15)^AI83-1)*(1+((1+$L$15)^AI83-1))</f>
        <v>23438.844572800335</v>
      </c>
      <c r="AK83" s="191">
        <f>SUM(AJ83:AJ86)</f>
        <v>23438.844572800335</v>
      </c>
    </row>
    <row r="84" spans="1:37" ht="19" customHeight="1">
      <c r="B84" s="261"/>
      <c r="C84" s="863"/>
      <c r="D84" s="3848"/>
      <c r="E84" s="12" t="s">
        <v>308</v>
      </c>
      <c r="F84" s="1172">
        <v>0</v>
      </c>
      <c r="G84" s="1172">
        <f>$E$790</f>
        <v>15</v>
      </c>
      <c r="H84" s="188"/>
      <c r="I84" s="921"/>
      <c r="J84" s="377"/>
      <c r="K84" s="586"/>
      <c r="L84" s="158"/>
      <c r="M84" s="586"/>
      <c r="N84" s="188"/>
      <c r="O84" s="242"/>
      <c r="P84" s="194"/>
      <c r="Q84" s="2819">
        <v>0</v>
      </c>
      <c r="R84" s="2819">
        <v>0</v>
      </c>
      <c r="S84" s="2819">
        <v>0</v>
      </c>
      <c r="T84" s="1034" t="s">
        <v>809</v>
      </c>
      <c r="U84" s="585"/>
      <c r="V84" s="585" t="str">
        <f>IF($T84="L",SUM($U84:U84)*V$16,"")</f>
        <v/>
      </c>
      <c r="W84" s="1475"/>
      <c r="X84" s="585" t="str">
        <f>IF($U84="","",SUM($U84:W84)*X$16)</f>
        <v/>
      </c>
      <c r="Y84" s="242" t="str">
        <f t="shared" si="16"/>
        <v/>
      </c>
      <c r="Z84" s="194"/>
      <c r="AA84" s="733" t="str">
        <f t="shared" si="17"/>
        <v/>
      </c>
      <c r="AB84" s="194"/>
      <c r="AC84" s="728" t="str">
        <f t="shared" ca="1" si="18"/>
        <v/>
      </c>
      <c r="AD84" s="589"/>
      <c r="AE84" s="1072"/>
      <c r="AF84" s="587">
        <f>AF83</f>
        <v>60</v>
      </c>
      <c r="AG84" s="587"/>
      <c r="AH84" s="13"/>
      <c r="AI84" s="13"/>
      <c r="AJ84" s="209"/>
      <c r="AK84" s="342"/>
    </row>
    <row r="85" spans="1:37" ht="19" customHeight="1">
      <c r="B85" s="261"/>
      <c r="C85" s="863"/>
      <c r="D85" s="3848"/>
      <c r="E85" s="12" t="s">
        <v>4</v>
      </c>
      <c r="F85" s="1172"/>
      <c r="G85" s="1172"/>
      <c r="H85" s="188"/>
      <c r="I85" s="921"/>
      <c r="J85" s="377"/>
      <c r="K85" s="586"/>
      <c r="L85" s="158"/>
      <c r="M85" s="586"/>
      <c r="N85" s="188"/>
      <c r="O85" s="241"/>
      <c r="P85" s="210"/>
      <c r="Q85" s="2819"/>
      <c r="R85" s="2819"/>
      <c r="S85" s="2819"/>
      <c r="T85" s="1034" t="s">
        <v>810</v>
      </c>
      <c r="U85" s="584"/>
      <c r="V85" s="584" t="str">
        <f>IF($T85="L",SUM($U85:U85)*V$16,"")</f>
        <v/>
      </c>
      <c r="W85" s="1475"/>
      <c r="X85" s="584" t="str">
        <f>IF($U85="","",SUM($U85:W85)*X$16)</f>
        <v/>
      </c>
      <c r="Y85" s="241" t="str">
        <f t="shared" si="16"/>
        <v/>
      </c>
      <c r="Z85" s="210"/>
      <c r="AA85" s="746" t="str">
        <f t="shared" si="17"/>
        <v/>
      </c>
      <c r="AB85" s="210"/>
      <c r="AC85" s="732" t="str">
        <f t="shared" ca="1" si="18"/>
        <v/>
      </c>
      <c r="AD85" s="815"/>
      <c r="AE85" s="1072"/>
      <c r="AF85" s="587">
        <f>AF84</f>
        <v>60</v>
      </c>
      <c r="AG85" s="587"/>
      <c r="AH85" s="13"/>
      <c r="AI85" s="13"/>
      <c r="AJ85" s="188"/>
      <c r="AK85" s="477"/>
    </row>
    <row r="86" spans="1:37" ht="19" customHeight="1" thickBot="1">
      <c r="B86" s="261"/>
      <c r="C86" s="922"/>
      <c r="D86" s="3849"/>
      <c r="E86" s="12" t="s">
        <v>21</v>
      </c>
      <c r="F86" s="1172"/>
      <c r="G86" s="1172"/>
      <c r="H86" s="188"/>
      <c r="I86" s="921"/>
      <c r="J86" s="377"/>
      <c r="K86" s="11"/>
      <c r="L86" s="1046"/>
      <c r="M86" s="1047"/>
      <c r="N86" s="1048"/>
      <c r="O86" s="726"/>
      <c r="P86" s="725"/>
      <c r="Q86" s="2858"/>
      <c r="R86" s="2858"/>
      <c r="S86" s="2858"/>
      <c r="T86" s="1040" t="s">
        <v>811</v>
      </c>
      <c r="U86" s="724"/>
      <c r="V86" s="724" t="str">
        <f>IF($T86="L",SUM($U86:U86)*V$16,"")</f>
        <v/>
      </c>
      <c r="W86" s="1478"/>
      <c r="X86" s="724" t="str">
        <f>IF($U86="","",SUM($U86:W86)*X$16)</f>
        <v/>
      </c>
      <c r="Y86" s="726" t="str">
        <f t="shared" si="16"/>
        <v/>
      </c>
      <c r="Z86" s="725"/>
      <c r="AA86" s="747" t="str">
        <f t="shared" si="17"/>
        <v/>
      </c>
      <c r="AB86" s="725"/>
      <c r="AC86" s="767" t="str">
        <f t="shared" ca="1" si="18"/>
        <v/>
      </c>
      <c r="AD86" s="1073"/>
      <c r="AE86" s="1074"/>
      <c r="AF86" s="587">
        <f>AF85</f>
        <v>60</v>
      </c>
      <c r="AG86" s="587"/>
      <c r="AH86" s="13"/>
      <c r="AI86" s="13"/>
      <c r="AJ86" s="188"/>
      <c r="AK86" s="478"/>
    </row>
    <row r="87" spans="1:37">
      <c r="C87" s="24"/>
      <c r="D87" s="238"/>
      <c r="E87"/>
      <c r="F87" s="359"/>
      <c r="H87" s="6"/>
      <c r="I87" s="359"/>
      <c r="U87" s="5"/>
    </row>
    <row r="88" spans="1:37">
      <c r="C88" s="24"/>
      <c r="D88" s="238"/>
      <c r="E88"/>
      <c r="F88" s="359"/>
      <c r="H88" s="6"/>
      <c r="I88" s="359"/>
      <c r="U88" s="5"/>
    </row>
    <row r="89" spans="1:37">
      <c r="C89" s="24"/>
      <c r="D89" s="238"/>
      <c r="E89"/>
      <c r="F89" s="359"/>
      <c r="H89" s="6"/>
      <c r="I89" s="359"/>
      <c r="U89" s="5"/>
    </row>
    <row r="90" spans="1:37">
      <c r="C90" s="24"/>
      <c r="D90" s="238"/>
      <c r="E90"/>
      <c r="F90" s="359"/>
      <c r="H90" s="6"/>
      <c r="I90" s="359"/>
      <c r="U90" s="5"/>
    </row>
    <row r="91" spans="1:37">
      <c r="C91" s="24"/>
      <c r="D91" s="238"/>
      <c r="E91"/>
      <c r="F91" s="359"/>
      <c r="H91" s="6"/>
      <c r="I91" s="359"/>
      <c r="U91" s="5"/>
    </row>
    <row r="92" spans="1:37">
      <c r="C92" s="24"/>
      <c r="D92" s="238" t="s">
        <v>299</v>
      </c>
      <c r="E92"/>
      <c r="F92" s="359"/>
      <c r="H92" s="6"/>
      <c r="I92" s="359"/>
      <c r="U92" s="5"/>
    </row>
    <row r="93" spans="1:37">
      <c r="C93" s="24"/>
      <c r="D93" s="238"/>
      <c r="E93"/>
      <c r="F93" s="359"/>
      <c r="H93" s="6"/>
      <c r="I93" s="359"/>
      <c r="U93" s="5"/>
    </row>
    <row r="94" spans="1:37">
      <c r="C94" s="24"/>
      <c r="D94" s="238"/>
      <c r="E94"/>
      <c r="F94" s="359"/>
      <c r="H94" s="6"/>
      <c r="I94" s="359"/>
      <c r="U94" s="5"/>
    </row>
    <row r="95" spans="1:37">
      <c r="C95" s="24"/>
      <c r="D95" s="238"/>
      <c r="E95"/>
      <c r="F95" s="359"/>
      <c r="H95" s="6"/>
      <c r="I95" s="359"/>
      <c r="U95" s="5"/>
    </row>
    <row r="96" spans="1:37">
      <c r="C96" s="24"/>
      <c r="D96" s="238"/>
      <c r="E96"/>
      <c r="F96" s="359"/>
      <c r="H96" s="6"/>
      <c r="I96" s="359"/>
      <c r="U96" s="5"/>
    </row>
    <row r="97" spans="3:21">
      <c r="C97" s="24"/>
      <c r="D97" s="238"/>
      <c r="E97"/>
      <c r="F97" s="359"/>
      <c r="H97" s="6"/>
      <c r="I97" s="359"/>
      <c r="U97" s="5"/>
    </row>
    <row r="98" spans="3:21">
      <c r="C98" s="24"/>
      <c r="D98" s="238"/>
      <c r="E98"/>
      <c r="F98" s="359"/>
      <c r="H98" s="6"/>
      <c r="I98" s="359"/>
      <c r="U98" s="5"/>
    </row>
    <row r="99" spans="3:21">
      <c r="C99" s="24"/>
      <c r="D99" s="238"/>
      <c r="E99"/>
      <c r="F99" s="359"/>
      <c r="H99" s="6"/>
      <c r="I99" s="359"/>
      <c r="U99" s="5"/>
    </row>
    <row r="100" spans="3:21" s="7" customFormat="1">
      <c r="E100" s="36"/>
      <c r="G100" s="1089"/>
    </row>
    <row r="101" spans="3:21" s="9" customFormat="1">
      <c r="C101" s="120" t="s">
        <v>57</v>
      </c>
      <c r="D101" s="34" t="s">
        <v>1054</v>
      </c>
      <c r="E101" s="34"/>
      <c r="G101" s="572"/>
    </row>
    <row r="102" spans="3:21" s="9" customFormat="1">
      <c r="D102" s="592" t="s">
        <v>237</v>
      </c>
      <c r="E102" s="970"/>
      <c r="G102" s="572"/>
    </row>
    <row r="103" spans="3:21" s="9" customFormat="1">
      <c r="D103" s="332" t="s">
        <v>91</v>
      </c>
      <c r="E103" s="43"/>
      <c r="F103" s="24"/>
      <c r="G103" s="359"/>
    </row>
    <row r="104" spans="3:21" s="9" customFormat="1">
      <c r="D104" s="135">
        <f>'Overall Assumptions'!$C$6</f>
        <v>100</v>
      </c>
      <c r="E104" s="246" t="s">
        <v>967</v>
      </c>
      <c r="F104"/>
      <c r="G104" s="359"/>
    </row>
    <row r="105" spans="3:21" s="9" customFormat="1">
      <c r="D105" s="332">
        <f>'Overall Assumptions'!$C$115</f>
        <v>3</v>
      </c>
      <c r="E105" s="131" t="str">
        <f>'Overall Assumptions'!$D$115</f>
        <v>weeks</v>
      </c>
      <c r="F105"/>
      <c r="G105" s="359"/>
    </row>
    <row r="106" spans="3:21" s="9" customFormat="1">
      <c r="C106" s="105"/>
      <c r="D106" s="332">
        <f>'Overall Assumptions'!$C$116</f>
        <v>15</v>
      </c>
      <c r="E106" s="131" t="str">
        <f>'Overall Assumptions'!$D$116</f>
        <v>days</v>
      </c>
      <c r="F106"/>
      <c r="G106" s="359"/>
    </row>
    <row r="107" spans="3:21" s="9" customFormat="1">
      <c r="C107" s="105"/>
      <c r="D107" s="332"/>
      <c r="E107" s="43"/>
      <c r="F107"/>
      <c r="G107" s="359"/>
    </row>
    <row r="108" spans="3:21" s="9" customFormat="1">
      <c r="C108" s="105"/>
      <c r="D108" s="268">
        <v>1</v>
      </c>
      <c r="E108" s="43" t="s">
        <v>245</v>
      </c>
      <c r="F108"/>
      <c r="G108" s="359"/>
    </row>
    <row r="109" spans="3:21" s="9" customFormat="1">
      <c r="C109" s="105"/>
      <c r="D109" s="332"/>
      <c r="E109" s="43"/>
      <c r="F109"/>
      <c r="G109" s="359"/>
    </row>
    <row r="110" spans="3:21" s="9" customFormat="1">
      <c r="C110" s="105"/>
      <c r="D110" s="332"/>
      <c r="E110" s="43"/>
      <c r="F110"/>
      <c r="G110" s="359"/>
    </row>
    <row r="111" spans="3:21" s="9" customFormat="1">
      <c r="C111" s="105"/>
      <c r="D111" s="332" t="str">
        <f>'Overall Assumptions'!$D$76</f>
        <v>Daily rate (AUD) for labour assuming 7.5 hours/day</v>
      </c>
      <c r="E111" s="246"/>
      <c r="F111"/>
      <c r="G111" s="359"/>
    </row>
    <row r="112" spans="3:21" s="9" customFormat="1">
      <c r="D112" s="614">
        <f>'Overall Assumptions'!$C$68</f>
        <v>225</v>
      </c>
      <c r="E112" s="246" t="str">
        <f>'Overall Assumptions'!$B$67</f>
        <v>Labour 1- APS Low (Entry lvl)</v>
      </c>
      <c r="F112"/>
      <c r="G112" s="359"/>
    </row>
    <row r="113" spans="3:8" s="9" customFormat="1">
      <c r="D113" s="399">
        <f>'Overall Assumptions'!$C$72</f>
        <v>337.5</v>
      </c>
      <c r="E113" s="530" t="str">
        <f>'Overall Assumptions'!$B$71</f>
        <v>Labour 2 - APS High (Experienced)</v>
      </c>
      <c r="F113"/>
      <c r="G113" s="359"/>
    </row>
    <row r="114" spans="3:8" s="9" customFormat="1">
      <c r="D114" s="112">
        <f>'Overall Assumptions'!$C$76</f>
        <v>487.5</v>
      </c>
      <c r="E114" s="45" t="str">
        <f>'Overall Assumptions'!$B$75</f>
        <v>Labour 3 - EL (Management)</v>
      </c>
      <c r="F114"/>
      <c r="G114" s="359"/>
    </row>
    <row r="115" spans="3:8" s="9" customFormat="1">
      <c r="D115" s="33"/>
      <c r="E115" s="16"/>
      <c r="F115"/>
      <c r="G115" s="359"/>
    </row>
    <row r="116" spans="3:8" s="9" customFormat="1">
      <c r="D116" s="531"/>
      <c r="E116" s="33"/>
      <c r="F116"/>
      <c r="G116" s="359"/>
    </row>
    <row r="117" spans="3:8" s="9" customFormat="1">
      <c r="D117" s="912"/>
      <c r="E117" s="16"/>
      <c r="F117"/>
      <c r="G117" s="359"/>
    </row>
    <row r="118" spans="3:8" s="9" customFormat="1">
      <c r="D118" s="33"/>
      <c r="E118" s="16"/>
      <c r="F118"/>
      <c r="G118" s="359"/>
    </row>
    <row r="119" spans="3:8" s="9" customFormat="1">
      <c r="D119" s="33"/>
      <c r="E119" s="16"/>
      <c r="F119"/>
      <c r="G119" s="359"/>
    </row>
    <row r="120" spans="3:8" s="9" customFormat="1">
      <c r="D120" s="175"/>
      <c r="E120" s="164" t="s">
        <v>155</v>
      </c>
      <c r="F120" s="255" t="s">
        <v>166</v>
      </c>
      <c r="G120" s="1090" t="s">
        <v>69</v>
      </c>
      <c r="H120" s="108"/>
    </row>
    <row r="121" spans="3:8" s="9" customFormat="1">
      <c r="D121" s="405" t="s">
        <v>3</v>
      </c>
      <c r="E121" s="509">
        <f>D106</f>
        <v>15</v>
      </c>
      <c r="F121" s="321">
        <f>D106*D113</f>
        <v>5062.5</v>
      </c>
      <c r="G121" s="1091" t="s">
        <v>162</v>
      </c>
      <c r="H121" s="323"/>
    </row>
    <row r="122" spans="3:8" s="9" customFormat="1">
      <c r="D122" s="105"/>
      <c r="E122" s="34"/>
      <c r="G122" s="572"/>
    </row>
    <row r="123" spans="3:8" s="7" customFormat="1">
      <c r="D123" s="977"/>
      <c r="E123" s="35"/>
      <c r="G123" s="1089"/>
    </row>
    <row r="124" spans="3:8" s="9" customFormat="1">
      <c r="C124" s="120" t="s">
        <v>984</v>
      </c>
      <c r="D124" s="34" t="s">
        <v>163</v>
      </c>
      <c r="E124" s="34"/>
      <c r="G124" s="572"/>
    </row>
    <row r="125" spans="3:8" s="9" customFormat="1">
      <c r="D125" s="9" t="s">
        <v>168</v>
      </c>
      <c r="E125" s="34"/>
      <c r="G125" s="572"/>
    </row>
    <row r="126" spans="3:8" s="9" customFormat="1">
      <c r="D126" s="106" t="s">
        <v>269</v>
      </c>
      <c r="G126" s="572"/>
    </row>
    <row r="127" spans="3:8" s="9" customFormat="1">
      <c r="D127" s="107" t="s">
        <v>91</v>
      </c>
      <c r="E127" s="108"/>
      <c r="G127" s="572"/>
    </row>
    <row r="128" spans="3:8" s="9" customFormat="1">
      <c r="D128" s="199">
        <f>'Overall Assumptions'!$C$6</f>
        <v>100</v>
      </c>
      <c r="E128" s="161" t="s">
        <v>451</v>
      </c>
      <c r="G128" s="572"/>
    </row>
    <row r="129" spans="3:9" s="9" customFormat="1">
      <c r="D129" s="348">
        <f>'Overall Assumptions'!$C$121</f>
        <v>1</v>
      </c>
      <c r="E129" s="269" t="s">
        <v>134</v>
      </c>
      <c r="G129" s="572"/>
    </row>
    <row r="130" spans="3:9" s="9" customFormat="1">
      <c r="D130" s="972">
        <f>D128*D129</f>
        <v>100</v>
      </c>
      <c r="E130" s="109" t="s">
        <v>971</v>
      </c>
      <c r="G130" s="572"/>
    </row>
    <row r="131" spans="3:9" s="9" customFormat="1">
      <c r="D131" s="413">
        <v>1</v>
      </c>
      <c r="E131" s="270" t="s">
        <v>246</v>
      </c>
      <c r="G131" s="572"/>
    </row>
    <row r="132" spans="3:9" s="9" customFormat="1">
      <c r="D132" s="116"/>
      <c r="E132" s="116"/>
      <c r="G132" s="572"/>
    </row>
    <row r="133" spans="3:9" s="9" customFormat="1">
      <c r="E133" s="106"/>
      <c r="F133" s="119"/>
      <c r="G133" s="1092"/>
    </row>
    <row r="134" spans="3:9">
      <c r="C134" t="s">
        <v>266</v>
      </c>
      <c r="D134" s="16"/>
    </row>
    <row r="135" spans="3:9">
      <c r="C135" t="s">
        <v>1284</v>
      </c>
    </row>
    <row r="136" spans="3:9" ht="28">
      <c r="D136" s="345" t="s">
        <v>101</v>
      </c>
      <c r="E136" s="147"/>
      <c r="F136" s="122"/>
      <c r="G136" s="1093"/>
      <c r="H136" s="119"/>
      <c r="I136" s="119"/>
    </row>
    <row r="137" spans="3:9">
      <c r="D137" s="346">
        <v>1</v>
      </c>
      <c r="E137" s="147" t="s">
        <v>263</v>
      </c>
      <c r="F137" s="122"/>
      <c r="G137" s="1093"/>
      <c r="H137" s="119"/>
      <c r="I137" s="119"/>
    </row>
    <row r="138" spans="3:9" ht="35">
      <c r="D138" s="17"/>
    </row>
    <row r="139" spans="3:9">
      <c r="D139" s="25"/>
    </row>
    <row r="140" spans="3:9">
      <c r="D140" s="85" t="s">
        <v>91</v>
      </c>
      <c r="E140" s="164"/>
      <c r="F140" s="161"/>
    </row>
    <row r="141" spans="3:9">
      <c r="D141" s="84">
        <f>'Overall Assumptions'!$C$68</f>
        <v>225</v>
      </c>
      <c r="E141" s="284" t="s">
        <v>102</v>
      </c>
      <c r="F141" s="967"/>
    </row>
    <row r="142" spans="3:9">
      <c r="D142" s="84">
        <f>'Overall Assumptions'!$C$81</f>
        <v>210</v>
      </c>
      <c r="E142" s="76" t="s">
        <v>87</v>
      </c>
      <c r="F142" s="246"/>
    </row>
    <row r="143" spans="3:9">
      <c r="D143" s="84">
        <f>'Overall Assumptions'!$C$131</f>
        <v>1</v>
      </c>
      <c r="E143" s="963" t="s">
        <v>84</v>
      </c>
      <c r="F143" s="246"/>
    </row>
    <row r="144" spans="3:9">
      <c r="D144" s="84">
        <f>'Overall Assumptions'!$C$6</f>
        <v>100</v>
      </c>
      <c r="E144" s="963" t="str">
        <f>'Overall Assumptions'!$D$6</f>
        <v>Standardised action area - Planar spatial polygon area of action area (km2)</v>
      </c>
      <c r="F144" s="246"/>
    </row>
    <row r="145" spans="4:8">
      <c r="D145" s="411">
        <f>D144*D129</f>
        <v>100</v>
      </c>
      <c r="E145" s="964" t="s">
        <v>270</v>
      </c>
      <c r="F145" s="246"/>
    </row>
    <row r="146" spans="4:8">
      <c r="D146" s="412">
        <f>'Overall Assumptions'!$C$133</f>
        <v>0.5</v>
      </c>
      <c r="E146" s="965" t="s">
        <v>105</v>
      </c>
      <c r="F146" s="246"/>
    </row>
    <row r="147" spans="4:8">
      <c r="D147" s="84">
        <f>'Overall Assumptions'!C11</f>
        <v>0</v>
      </c>
      <c r="E147" s="283" t="str">
        <f>'Overall Assumptions'!D11</f>
        <v>Distance from mgmt area to closest air base (km) [These steps calculated with GIS layer]</v>
      </c>
      <c r="F147" s="246"/>
    </row>
    <row r="148" spans="4:8">
      <c r="D148" s="84">
        <f>'Overall Assumptions'!$C$97</f>
        <v>250</v>
      </c>
      <c r="E148" s="963" t="s">
        <v>103</v>
      </c>
      <c r="F148" s="246"/>
    </row>
    <row r="149" spans="4:8">
      <c r="D149" s="54">
        <f>'Overall Assumptions'!$C$98</f>
        <v>130</v>
      </c>
      <c r="E149" s="966" t="s">
        <v>104</v>
      </c>
      <c r="F149" s="246"/>
    </row>
    <row r="150" spans="4:8">
      <c r="D150" s="54">
        <f>'Overall Assumptions'!$C$99</f>
        <v>400</v>
      </c>
      <c r="E150" s="76" t="s">
        <v>47</v>
      </c>
      <c r="F150" s="246"/>
    </row>
    <row r="151" spans="4:8">
      <c r="D151" s="968">
        <f>'Overall Assumptions'!$C$100</f>
        <v>50</v>
      </c>
      <c r="E151" s="969" t="s">
        <v>107</v>
      </c>
      <c r="F151" s="162"/>
    </row>
    <row r="152" spans="4:8" ht="18">
      <c r="D152" s="18" t="s">
        <v>108</v>
      </c>
    </row>
    <row r="153" spans="4:8">
      <c r="D153" s="25">
        <f>2*D147/D148/7.5</f>
        <v>0</v>
      </c>
      <c r="E153" s="16" t="s">
        <v>112</v>
      </c>
    </row>
    <row r="154" spans="4:8">
      <c r="D154" s="23" t="s">
        <v>109</v>
      </c>
    </row>
    <row r="155" spans="4:8">
      <c r="D155" s="77">
        <f>D145/D146/D149/7.5</f>
        <v>0.20512820512820515</v>
      </c>
      <c r="E155" s="16" t="s">
        <v>113</v>
      </c>
    </row>
    <row r="156" spans="4:8">
      <c r="D156" s="23" t="s">
        <v>110</v>
      </c>
    </row>
    <row r="157" spans="4:8">
      <c r="D157" s="46">
        <f>FLOOR(D145/D146/D150,1)</f>
        <v>0</v>
      </c>
      <c r="E157" s="16" t="s">
        <v>111</v>
      </c>
      <c r="F157" s="70"/>
      <c r="G157" s="99"/>
      <c r="H157" s="16"/>
    </row>
    <row r="158" spans="4:8">
      <c r="D158" s="25" t="str">
        <f>IF(F157&gt;D150,"YES","NO")</f>
        <v>NO</v>
      </c>
      <c r="E158" s="16" t="s">
        <v>48</v>
      </c>
    </row>
    <row r="159" spans="4:8">
      <c r="D159" s="46">
        <f>2*D151/D148*D157/7.5</f>
        <v>0</v>
      </c>
      <c r="E159" s="16" t="s">
        <v>114</v>
      </c>
    </row>
    <row r="161" spans="3:5">
      <c r="D161" s="25">
        <f>SUM(D153,D155,D159)</f>
        <v>0.20512820512820515</v>
      </c>
      <c r="E161" s="16" t="s">
        <v>115</v>
      </c>
    </row>
    <row r="162" spans="3:5">
      <c r="D162" s="77">
        <f>D143*D161</f>
        <v>0.20512820512820515</v>
      </c>
      <c r="E162" s="16" t="s">
        <v>88</v>
      </c>
    </row>
    <row r="164" spans="3:5">
      <c r="D164" s="62">
        <f>D141*D143*D153</f>
        <v>0</v>
      </c>
      <c r="E164" s="16" t="s">
        <v>36</v>
      </c>
    </row>
    <row r="165" spans="3:5">
      <c r="D165" s="62">
        <f>D141*D143*D155</f>
        <v>46.15384615384616</v>
      </c>
      <c r="E165" s="16" t="s">
        <v>39</v>
      </c>
    </row>
    <row r="166" spans="3:5">
      <c r="D166" s="62">
        <f>D141*D143*D159</f>
        <v>0</v>
      </c>
      <c r="E166" s="16" t="s">
        <v>118</v>
      </c>
    </row>
    <row r="168" spans="3:5">
      <c r="D168" s="72">
        <f>SUM(D164:D166)</f>
        <v>46.15384615384616</v>
      </c>
      <c r="E168" s="47" t="s">
        <v>486</v>
      </c>
    </row>
    <row r="169" spans="3:5">
      <c r="D169" s="104"/>
      <c r="E169" s="66"/>
    </row>
    <row r="170" spans="3:5">
      <c r="C170" t="s">
        <v>55</v>
      </c>
      <c r="D170" s="6" t="s">
        <v>119</v>
      </c>
    </row>
    <row r="171" spans="3:5">
      <c r="D171" s="25"/>
    </row>
    <row r="172" spans="3:5">
      <c r="D172" s="25"/>
    </row>
    <row r="173" spans="3:5">
      <c r="D173" s="25"/>
    </row>
    <row r="175" spans="3:5">
      <c r="D175" s="85" t="s">
        <v>91</v>
      </c>
      <c r="E175" s="41"/>
    </row>
    <row r="176" spans="3:5">
      <c r="D176" s="86">
        <f>'Overall Assumptions'!$C$96</f>
        <v>850</v>
      </c>
      <c r="E176" s="80" t="s">
        <v>120</v>
      </c>
    </row>
    <row r="177" spans="3:10">
      <c r="D177" s="56"/>
      <c r="E177" s="45"/>
    </row>
    <row r="178" spans="3:10">
      <c r="D178" s="23" t="s">
        <v>121</v>
      </c>
      <c r="E178" s="87"/>
      <c r="F178" s="21"/>
    </row>
    <row r="179" spans="3:10">
      <c r="D179" s="23" t="s">
        <v>123</v>
      </c>
      <c r="E179" s="87"/>
      <c r="F179" s="21"/>
    </row>
    <row r="180" spans="3:10">
      <c r="D180" s="22">
        <f>2*D147/D148</f>
        <v>0</v>
      </c>
      <c r="E180" s="21" t="s">
        <v>968</v>
      </c>
      <c r="F180" s="21"/>
    </row>
    <row r="181" spans="3:10">
      <c r="D181" s="23" t="s">
        <v>122</v>
      </c>
      <c r="E181" s="21"/>
      <c r="F181" s="21"/>
    </row>
    <row r="182" spans="3:10">
      <c r="D182" s="23" t="s">
        <v>124</v>
      </c>
      <c r="E182" s="21"/>
      <c r="F182" s="21"/>
    </row>
    <row r="183" spans="3:10">
      <c r="D183" s="22">
        <f>D155</f>
        <v>0.20512820512820515</v>
      </c>
      <c r="E183" s="21" t="s">
        <v>969</v>
      </c>
      <c r="F183" s="21"/>
    </row>
    <row r="184" spans="3:10">
      <c r="D184" s="23" t="s">
        <v>125</v>
      </c>
      <c r="E184" s="21"/>
      <c r="F184" s="21"/>
    </row>
    <row r="185" spans="3:10">
      <c r="D185" s="23" t="s">
        <v>126</v>
      </c>
      <c r="E185" s="21"/>
      <c r="F185" s="21"/>
    </row>
    <row r="186" spans="3:10">
      <c r="D186" s="22">
        <f t="shared" ref="D186:E188" si="40">D157</f>
        <v>0</v>
      </c>
      <c r="E186" s="971" t="str">
        <f t="shared" si="40"/>
        <v>Number of times required to do refuelling</v>
      </c>
      <c r="F186" s="21"/>
    </row>
    <row r="187" spans="3:10">
      <c r="D187" s="22" t="str">
        <f t="shared" si="40"/>
        <v>NO</v>
      </c>
      <c r="E187" s="971" t="str">
        <f t="shared" si="40"/>
        <v>Need to refuel?</v>
      </c>
      <c r="F187" s="21"/>
    </row>
    <row r="188" spans="3:10">
      <c r="D188" s="22">
        <f t="shared" si="40"/>
        <v>0</v>
      </c>
      <c r="E188" s="971" t="str">
        <f t="shared" si="40"/>
        <v>Days required to do refuelling</v>
      </c>
      <c r="F188" s="21"/>
    </row>
    <row r="189" spans="3:10">
      <c r="F189" s="21"/>
      <c r="J189" s="21"/>
    </row>
    <row r="190" spans="3:10">
      <c r="D190" s="20">
        <f>SUM(D180,D183,D188)</f>
        <v>0.20512820512820515</v>
      </c>
      <c r="E190" s="21" t="s">
        <v>177</v>
      </c>
      <c r="F190" s="21"/>
    </row>
    <row r="191" spans="3:10">
      <c r="D191" s="20">
        <f>D190*7.5</f>
        <v>1.5384615384615385</v>
      </c>
      <c r="E191" s="16" t="s">
        <v>970</v>
      </c>
      <c r="F191" s="21"/>
    </row>
    <row r="192" spans="3:10">
      <c r="C192" s="90"/>
      <c r="D192" s="89">
        <f>D176*D180*7.5</f>
        <v>0</v>
      </c>
      <c r="E192" s="21" t="s">
        <v>36</v>
      </c>
      <c r="F192" s="21"/>
    </row>
    <row r="193" spans="3:9">
      <c r="D193" s="73">
        <f>D183*D176*7.5</f>
        <v>1307.6923076923076</v>
      </c>
      <c r="E193" s="16" t="s">
        <v>56</v>
      </c>
    </row>
    <row r="194" spans="3:9">
      <c r="D194" s="73">
        <f>D188*D176*7.5</f>
        <v>0</v>
      </c>
      <c r="E194" s="21" t="s">
        <v>127</v>
      </c>
    </row>
    <row r="195" spans="3:9">
      <c r="D195" s="74">
        <f>SUM(D192:D194)</f>
        <v>1307.6923076923076</v>
      </c>
      <c r="E195" s="47" t="s">
        <v>487</v>
      </c>
    </row>
    <row r="196" spans="3:9">
      <c r="D196" s="91"/>
      <c r="E196" s="66"/>
    </row>
    <row r="197" spans="3:9">
      <c r="D197" s="46">
        <f>D190</f>
        <v>0.20512820512820515</v>
      </c>
      <c r="E197" s="359" t="s">
        <v>795</v>
      </c>
      <c r="F197" s="46"/>
    </row>
    <row r="198" spans="3:9">
      <c r="D198" s="75">
        <f>ROUNDUP((D190/21),0)</f>
        <v>1</v>
      </c>
      <c r="E198" s="99" t="s">
        <v>739</v>
      </c>
      <c r="F198" s="75"/>
    </row>
    <row r="199" spans="3:9">
      <c r="D199" s="104"/>
      <c r="E199" s="66"/>
    </row>
    <row r="200" spans="3:9">
      <c r="C200" t="s">
        <v>70</v>
      </c>
      <c r="D200" s="23" t="s">
        <v>161</v>
      </c>
    </row>
    <row r="204" spans="3:9">
      <c r="D204" s="46">
        <f>SUM(D153,D155,D159)</f>
        <v>0.20512820512820515</v>
      </c>
      <c r="E204" s="16" t="s">
        <v>115</v>
      </c>
    </row>
    <row r="205" spans="3:9">
      <c r="D205" s="23" t="str">
        <f>IF(D161&gt;1,"YES","NO")</f>
        <v>NO</v>
      </c>
      <c r="E205" s="16" t="s">
        <v>72</v>
      </c>
    </row>
    <row r="206" spans="3:9">
      <c r="D206" s="23">
        <f>FLOOR(D161,1)</f>
        <v>0</v>
      </c>
      <c r="E206" s="16" t="s">
        <v>116</v>
      </c>
    </row>
    <row r="207" spans="3:9">
      <c r="D207" s="104"/>
      <c r="E207" s="66"/>
    </row>
    <row r="208" spans="3:9">
      <c r="D208" s="64">
        <f>D142*D143*D206</f>
        <v>0</v>
      </c>
      <c r="E208" s="39" t="s">
        <v>117</v>
      </c>
      <c r="F208" s="255"/>
      <c r="G208" s="1090"/>
      <c r="H208" s="255"/>
      <c r="I208" s="161"/>
    </row>
    <row r="209" spans="3:10">
      <c r="D209" s="400"/>
      <c r="E209" s="164"/>
      <c r="F209" s="255"/>
      <c r="G209" s="1090"/>
      <c r="H209" s="255"/>
      <c r="I209" s="161"/>
    </row>
    <row r="210" spans="3:10">
      <c r="D210" s="143" t="s">
        <v>172</v>
      </c>
      <c r="E210" s="144" t="s">
        <v>155</v>
      </c>
      <c r="F210" s="144" t="s">
        <v>173</v>
      </c>
      <c r="G210" s="1094" t="s">
        <v>174</v>
      </c>
      <c r="H210" s="144" t="s">
        <v>166</v>
      </c>
      <c r="I210" s="145" t="s">
        <v>69</v>
      </c>
    </row>
    <row r="211" spans="3:10">
      <c r="D211" s="135" t="s">
        <v>3</v>
      </c>
      <c r="E211" s="136">
        <f>D162</f>
        <v>0.20512820512820515</v>
      </c>
      <c r="F211" s="141">
        <f>D145</f>
        <v>100</v>
      </c>
      <c r="G211" s="1093"/>
      <c r="H211" s="119">
        <f>D168</f>
        <v>46.15384615384616</v>
      </c>
      <c r="I211" s="358" t="str">
        <f>E168</f>
        <v>Cost for labour</v>
      </c>
      <c r="J211" s="558">
        <f>$D$131</f>
        <v>1</v>
      </c>
    </row>
    <row r="212" spans="3:10">
      <c r="D212" s="135" t="s">
        <v>132</v>
      </c>
      <c r="E212" s="136">
        <f>D190</f>
        <v>0.20512820512820515</v>
      </c>
      <c r="F212" s="141">
        <f>D147*2</f>
        <v>0</v>
      </c>
      <c r="G212" s="1095"/>
      <c r="H212" s="119">
        <f>D195</f>
        <v>1307.6923076923076</v>
      </c>
      <c r="I212" s="358" t="str">
        <f>E195</f>
        <v xml:space="preserve">Cost for transport </v>
      </c>
      <c r="J212" s="558">
        <f>$D$131</f>
        <v>1</v>
      </c>
    </row>
    <row r="213" spans="3:10">
      <c r="D213" s="135" t="s">
        <v>169</v>
      </c>
      <c r="E213" s="136">
        <f>D206</f>
        <v>0</v>
      </c>
      <c r="F213" s="141"/>
      <c r="G213" s="1095"/>
      <c r="H213" s="119">
        <f>D208</f>
        <v>0</v>
      </c>
      <c r="I213" s="358" t="str">
        <f>E208</f>
        <v>cost for accommodation and meals</v>
      </c>
      <c r="J213" s="558">
        <f>$D$131</f>
        <v>1</v>
      </c>
    </row>
    <row r="214" spans="3:10">
      <c r="D214" s="135"/>
      <c r="E214" s="136"/>
      <c r="F214" s="141"/>
      <c r="G214" s="1093"/>
      <c r="H214" s="119"/>
      <c r="I214" s="358"/>
    </row>
    <row r="215" spans="3:10">
      <c r="D215" s="135"/>
      <c r="E215" s="136"/>
      <c r="F215" s="141"/>
      <c r="G215" s="1093"/>
      <c r="H215" s="119"/>
      <c r="I215" s="358"/>
    </row>
    <row r="216" spans="3:10">
      <c r="D216" s="137"/>
      <c r="E216" s="138"/>
      <c r="F216" s="142"/>
      <c r="G216" s="1096"/>
      <c r="H216" s="139">
        <f>SUM(H211:H215)</f>
        <v>1353.8461538461538</v>
      </c>
      <c r="I216" s="140" t="s">
        <v>165</v>
      </c>
    </row>
    <row r="217" spans="3:10">
      <c r="D217" s="122"/>
      <c r="E217" s="147"/>
      <c r="F217" s="122"/>
      <c r="G217" s="1093"/>
      <c r="H217" s="119"/>
      <c r="I217" s="119"/>
    </row>
    <row r="219" spans="3:10" s="7" customFormat="1">
      <c r="D219" s="35"/>
      <c r="E219" s="36"/>
      <c r="G219" s="1089"/>
    </row>
    <row r="220" spans="3:10">
      <c r="C220" s="8" t="s">
        <v>1001</v>
      </c>
      <c r="D220" s="16" t="s">
        <v>163</v>
      </c>
    </row>
    <row r="221" spans="3:10">
      <c r="D221" t="s">
        <v>168</v>
      </c>
    </row>
    <row r="222" spans="3:10">
      <c r="D222" t="s">
        <v>401</v>
      </c>
      <c r="E222"/>
    </row>
    <row r="223" spans="3:10">
      <c r="D223"/>
      <c r="E223"/>
    </row>
    <row r="224" spans="3:10">
      <c r="D224" s="455" t="s">
        <v>986</v>
      </c>
      <c r="E224"/>
    </row>
    <row r="225" spans="4:8" ht="17">
      <c r="D225" s="456" t="s">
        <v>874</v>
      </c>
      <c r="E225"/>
    </row>
    <row r="226" spans="4:8">
      <c r="D226" s="455"/>
      <c r="E226"/>
    </row>
    <row r="227" spans="4:8">
      <c r="D227"/>
      <c r="E227"/>
    </row>
    <row r="228" spans="4:8">
      <c r="D228" s="592" t="s">
        <v>179</v>
      </c>
      <c r="E228" s="274"/>
    </row>
    <row r="229" spans="4:8">
      <c r="D229" s="974">
        <f>'Overall Assumptions'!$C$6</f>
        <v>100</v>
      </c>
      <c r="E229" s="246" t="s">
        <v>451</v>
      </c>
    </row>
    <row r="230" spans="4:8">
      <c r="D230" s="408">
        <f>'Overall Assumptions'!$C$120</f>
        <v>0.3</v>
      </c>
      <c r="E230" s="483" t="str">
        <f>'Overall Assumptions'!$D$120</f>
        <v>Percentage of field that needs to be surveyed (ground)</v>
      </c>
    </row>
    <row r="231" spans="4:8">
      <c r="D231" s="332">
        <f>D229*D230</f>
        <v>30</v>
      </c>
      <c r="E231" s="483" t="s">
        <v>450</v>
      </c>
    </row>
    <row r="232" spans="4:8">
      <c r="D232" s="447">
        <v>1</v>
      </c>
      <c r="E232" s="483" t="s">
        <v>246</v>
      </c>
    </row>
    <row r="233" spans="4:8">
      <c r="D233" s="482">
        <f>'Overall Assumptions'!$C$132</f>
        <v>0.5</v>
      </c>
      <c r="E233" s="43" t="s">
        <v>79</v>
      </c>
    </row>
    <row r="234" spans="4:8">
      <c r="D234" s="54">
        <f>D231/D233</f>
        <v>60</v>
      </c>
      <c r="E234" s="483" t="s">
        <v>972</v>
      </c>
    </row>
    <row r="235" spans="4:8">
      <c r="D235" s="42">
        <f>'Overall Assumptions'!$C$53</f>
        <v>4.46</v>
      </c>
      <c r="E235" s="631" t="s">
        <v>780</v>
      </c>
    </row>
    <row r="236" spans="4:8">
      <c r="D236" s="42">
        <f>'Overall Assumptions'!$C$54</f>
        <v>3.3449999999999998</v>
      </c>
      <c r="E236" s="631" t="s">
        <v>781</v>
      </c>
    </row>
    <row r="237" spans="4:8">
      <c r="D237" s="125">
        <f>'Overall Assumptions'!$C$55</f>
        <v>2.23</v>
      </c>
      <c r="E237" s="635" t="s">
        <v>782</v>
      </c>
    </row>
    <row r="239" spans="4:8">
      <c r="D239" s="25"/>
    </row>
    <row r="240" spans="4:8">
      <c r="D240" s="151" t="s">
        <v>179</v>
      </c>
      <c r="E240" s="164"/>
      <c r="F240" s="255"/>
      <c r="G240" s="1090"/>
      <c r="H240" s="161"/>
    </row>
    <row r="241" spans="3:12">
      <c r="D241" s="444">
        <f>10/60</f>
        <v>0.16666666666666666</v>
      </c>
      <c r="E241" s="443" t="s">
        <v>447</v>
      </c>
      <c r="F241" s="465"/>
      <c r="G241" s="1097"/>
      <c r="H241" s="466"/>
    </row>
    <row r="242" spans="3:12">
      <c r="D242" s="332">
        <f>D231/D233</f>
        <v>60</v>
      </c>
      <c r="E242" s="16" t="s">
        <v>253</v>
      </c>
      <c r="H242" s="246"/>
    </row>
    <row r="243" spans="3:12">
      <c r="D243" s="154">
        <f>D241*D242</f>
        <v>10</v>
      </c>
      <c r="E243" s="333" t="s">
        <v>985</v>
      </c>
      <c r="F243" s="439"/>
      <c r="G243" s="1098"/>
      <c r="H243" s="162"/>
    </row>
    <row r="244" spans="3:12">
      <c r="D244" s="152"/>
      <c r="H244" s="246"/>
    </row>
    <row r="245" spans="3:12">
      <c r="D245"/>
      <c r="E245"/>
    </row>
    <row r="246" spans="3:12">
      <c r="D246"/>
      <c r="E246"/>
    </row>
    <row r="247" spans="3:12">
      <c r="D247"/>
      <c r="K247" s="860"/>
      <c r="L247" s="860"/>
    </row>
    <row r="248" spans="3:12">
      <c r="D248" s="825"/>
      <c r="E248" s="825"/>
    </row>
    <row r="249" spans="3:12">
      <c r="D249"/>
      <c r="E249"/>
      <c r="F249" s="432"/>
      <c r="G249" s="1099"/>
    </row>
    <row r="250" spans="3:12" ht="19">
      <c r="C250" t="s">
        <v>50</v>
      </c>
      <c r="D250" s="37" t="s">
        <v>81</v>
      </c>
      <c r="E250" s="24"/>
      <c r="F250" s="1"/>
      <c r="G250" s="1100"/>
      <c r="H250" s="3"/>
      <c r="I250" s="3"/>
      <c r="J250" s="3"/>
    </row>
    <row r="251" spans="3:12">
      <c r="F251" s="1"/>
      <c r="G251" s="1100"/>
      <c r="H251" s="3"/>
      <c r="I251" s="3"/>
      <c r="J251" s="3"/>
    </row>
    <row r="252" spans="3:12">
      <c r="D252" s="160" t="s">
        <v>408</v>
      </c>
    </row>
    <row r="254" spans="3:12">
      <c r="D254" s="50"/>
    </row>
    <row r="255" spans="3:12">
      <c r="D255" s="51" t="s">
        <v>82</v>
      </c>
      <c r="E255" s="273"/>
      <c r="F255" s="274"/>
    </row>
    <row r="256" spans="3:12" ht="19">
      <c r="D256" s="54">
        <f>'Overall Assumptions'!$C$68</f>
        <v>225</v>
      </c>
      <c r="E256" s="1215" t="s">
        <v>99</v>
      </c>
      <c r="F256" s="246"/>
    </row>
    <row r="257" spans="3:10">
      <c r="D257" s="54">
        <f>'Overall Assumptions'!$C$130</f>
        <v>2</v>
      </c>
      <c r="E257" s="76" t="s">
        <v>84</v>
      </c>
      <c r="F257" s="246"/>
    </row>
    <row r="258" spans="3:10">
      <c r="D258" s="152"/>
      <c r="E258" s="76"/>
      <c r="F258" s="246"/>
    </row>
    <row r="259" spans="3:10">
      <c r="D259" s="42">
        <f>'Overall Assumptions'!$C$53</f>
        <v>4.46</v>
      </c>
      <c r="E259" s="629" t="s">
        <v>780</v>
      </c>
      <c r="F259" s="246"/>
    </row>
    <row r="260" spans="3:10">
      <c r="D260" s="42">
        <f>'Overall Assumptions'!$C$54</f>
        <v>3.3449999999999998</v>
      </c>
      <c r="E260" s="629" t="s">
        <v>781</v>
      </c>
      <c r="F260" s="246"/>
    </row>
    <row r="261" spans="3:10">
      <c r="D261" s="42">
        <f>'Overall Assumptions'!$C$55</f>
        <v>2.23</v>
      </c>
      <c r="E261" s="629" t="s">
        <v>782</v>
      </c>
      <c r="F261" s="246"/>
    </row>
    <row r="262" spans="3:10">
      <c r="D262" s="616"/>
      <c r="E262" s="833"/>
      <c r="F262" s="246"/>
    </row>
    <row r="263" spans="3:10">
      <c r="D263" s="467">
        <f>D234</f>
        <v>60</v>
      </c>
      <c r="E263" s="1216" t="str">
        <f>E234</f>
        <v>Effective distance to be walked along</v>
      </c>
      <c r="F263" s="246"/>
    </row>
    <row r="264" spans="3:10">
      <c r="D264" s="467"/>
      <c r="E264" s="76"/>
      <c r="F264" s="246"/>
    </row>
    <row r="265" spans="3:10">
      <c r="D265" s="468">
        <f>D243/7.5</f>
        <v>1.3333333333333333</v>
      </c>
      <c r="E265" s="76" t="s">
        <v>464</v>
      </c>
      <c r="F265" s="246"/>
    </row>
    <row r="266" spans="3:10">
      <c r="D266" s="54">
        <f>'Overall Assumptions'!$C$10</f>
        <v>0</v>
      </c>
      <c r="E266" s="76" t="s">
        <v>85</v>
      </c>
      <c r="F266" s="246"/>
    </row>
    <row r="267" spans="3:10">
      <c r="D267" s="54">
        <f>'Overall Assumptions'!$C$90</f>
        <v>80</v>
      </c>
      <c r="E267" s="76" t="s">
        <v>86</v>
      </c>
      <c r="F267" s="246"/>
    </row>
    <row r="268" spans="3:10">
      <c r="D268" s="56">
        <f>'Overall Assumptions'!$C$81</f>
        <v>210</v>
      </c>
      <c r="E268" s="333" t="s">
        <v>87</v>
      </c>
      <c r="F268" s="162"/>
      <c r="J268" s="578"/>
    </row>
    <row r="269" spans="3:10">
      <c r="D269" s="57"/>
    </row>
    <row r="270" spans="3:10">
      <c r="C270" s="21"/>
      <c r="J270" s="90"/>
    </row>
    <row r="271" spans="3:10">
      <c r="C271" s="21"/>
      <c r="D271" s="59" t="s">
        <v>735</v>
      </c>
      <c r="E271" s="2" t="s">
        <v>218</v>
      </c>
      <c r="F271" s="2" t="s">
        <v>733</v>
      </c>
      <c r="G271" s="359" t="s">
        <v>796</v>
      </c>
    </row>
    <row r="272" spans="3:10">
      <c r="C272" s="21"/>
      <c r="D272" s="46">
        <f>D259</f>
        <v>4.46</v>
      </c>
      <c r="E272" s="46">
        <f>D260</f>
        <v>3.3449999999999998</v>
      </c>
      <c r="F272" s="1219">
        <f>D261</f>
        <v>2.23</v>
      </c>
      <c r="G272" s="359" t="s">
        <v>254</v>
      </c>
      <c r="J272" s="90"/>
    </row>
    <row r="273" spans="3:11">
      <c r="C273" s="21"/>
      <c r="D273" s="77">
        <f>2*D266/D267/7.5</f>
        <v>0</v>
      </c>
      <c r="E273" s="77">
        <f>D273</f>
        <v>0</v>
      </c>
      <c r="F273" s="77">
        <f>E273</f>
        <v>0</v>
      </c>
      <c r="G273" s="59" t="s">
        <v>95</v>
      </c>
      <c r="J273" s="90"/>
    </row>
    <row r="274" spans="3:11">
      <c r="C274" s="21"/>
      <c r="D274" s="77"/>
      <c r="G274" s="16" t="s">
        <v>778</v>
      </c>
      <c r="J274" s="90"/>
    </row>
    <row r="275" spans="3:11">
      <c r="C275" s="21"/>
      <c r="J275" s="90"/>
    </row>
    <row r="276" spans="3:11" ht="18" customHeight="1">
      <c r="C276" s="21"/>
      <c r="D276" s="77">
        <f>$D263/D272/7.5</f>
        <v>1.7937219730941705</v>
      </c>
      <c r="E276" s="77">
        <f>$D263/E272/7.5</f>
        <v>2.391629297458894</v>
      </c>
      <c r="F276" s="77">
        <f>$D263/F272/7.5</f>
        <v>3.5874439461883409</v>
      </c>
      <c r="G276" s="693" t="s">
        <v>96</v>
      </c>
    </row>
    <row r="277" spans="3:11" ht="18" customHeight="1">
      <c r="C277" s="21"/>
      <c r="D277" s="77">
        <f>$D265</f>
        <v>1.3333333333333333</v>
      </c>
      <c r="E277" s="77">
        <f>$D265</f>
        <v>1.3333333333333333</v>
      </c>
      <c r="F277" s="77">
        <f>$D265</f>
        <v>1.3333333333333333</v>
      </c>
      <c r="G277" s="693" t="s">
        <v>786</v>
      </c>
    </row>
    <row r="278" spans="3:11" ht="18" customHeight="1">
      <c r="C278" s="21"/>
      <c r="D278" s="77">
        <f>SUM(D276:D277)</f>
        <v>3.1270553064275037</v>
      </c>
      <c r="E278" s="77">
        <f>SUM(E276:E277)</f>
        <v>3.724962630792227</v>
      </c>
      <c r="F278" s="77">
        <f>SUM(F276:F277)</f>
        <v>4.9207772795216744</v>
      </c>
      <c r="G278" s="693" t="s">
        <v>171</v>
      </c>
    </row>
    <row r="279" spans="3:11" ht="18" customHeight="1">
      <c r="C279" s="21"/>
      <c r="D279" s="16"/>
      <c r="E279"/>
    </row>
    <row r="280" spans="3:11" ht="18" customHeight="1">
      <c r="C280" s="21"/>
      <c r="D280" s="77">
        <f>D278*$D257</f>
        <v>6.2541106128550075</v>
      </c>
      <c r="E280" s="77">
        <f>E278*$D257</f>
        <v>7.449925261584454</v>
      </c>
      <c r="F280" s="77">
        <f>F278*$D257</f>
        <v>9.8415545590433489</v>
      </c>
      <c r="G280" s="99" t="s">
        <v>787</v>
      </c>
    </row>
    <row r="281" spans="3:11">
      <c r="C281" s="21"/>
      <c r="D281" s="16"/>
      <c r="E281"/>
      <c r="G281" s="99"/>
    </row>
    <row r="282" spans="3:11">
      <c r="C282" s="21"/>
      <c r="D282" s="63">
        <f>$D256*$D257*D276</f>
        <v>807.17488789237666</v>
      </c>
      <c r="E282" s="63">
        <f>$D256*$D257*E276</f>
        <v>1076.2331838565024</v>
      </c>
      <c r="F282" s="63">
        <f>$D256*$D257*F276</f>
        <v>1614.3497757847533</v>
      </c>
      <c r="G282" s="99" t="s">
        <v>37</v>
      </c>
      <c r="J282" s="90"/>
    </row>
    <row r="283" spans="3:11">
      <c r="C283" s="21"/>
      <c r="D283" s="63">
        <f>$D256*$D257*D277</f>
        <v>600</v>
      </c>
      <c r="E283" s="63">
        <f>$D256*$D257*E277</f>
        <v>600</v>
      </c>
      <c r="F283" s="63">
        <f>$D256*$D257*F277</f>
        <v>600</v>
      </c>
      <c r="G283" s="99" t="s">
        <v>412</v>
      </c>
      <c r="J283" s="259"/>
      <c r="K283" s="16"/>
    </row>
    <row r="284" spans="3:11">
      <c r="C284" s="21"/>
      <c r="D284" s="64">
        <f>SUM(D282:D283)</f>
        <v>1407.1748878923768</v>
      </c>
      <c r="E284" s="905">
        <f>SUM(E282:E283)</f>
        <v>1676.2331838565024</v>
      </c>
      <c r="F284" s="905">
        <f>SUM(F282:F283)</f>
        <v>2214.3497757847535</v>
      </c>
      <c r="G284" s="1101" t="s">
        <v>486</v>
      </c>
      <c r="J284" s="259"/>
      <c r="K284" s="16"/>
    </row>
    <row r="285" spans="3:11">
      <c r="F285" s="16"/>
      <c r="G285" s="99"/>
    </row>
    <row r="286" spans="3:11">
      <c r="D286" s="46"/>
      <c r="E286" s="46"/>
      <c r="F286" s="46"/>
      <c r="J286" s="65"/>
      <c r="K286" s="24"/>
    </row>
    <row r="287" spans="3:11">
      <c r="D287" s="75"/>
      <c r="E287" s="75"/>
      <c r="F287" s="75"/>
      <c r="G287" s="99"/>
      <c r="J287" s="65"/>
      <c r="K287" s="24"/>
    </row>
    <row r="288" spans="3:11">
      <c r="D288" s="75"/>
      <c r="E288" s="75"/>
      <c r="F288" s="75"/>
      <c r="G288" s="99"/>
      <c r="J288" s="65"/>
      <c r="K288" s="24"/>
    </row>
    <row r="289" spans="3:11" ht="19">
      <c r="C289" t="s">
        <v>64</v>
      </c>
      <c r="D289" s="37" t="s">
        <v>89</v>
      </c>
    </row>
    <row r="290" spans="3:11">
      <c r="C290" t="s">
        <v>54</v>
      </c>
    </row>
    <row r="292" spans="3:11">
      <c r="D292" s="16"/>
    </row>
    <row r="293" spans="3:11">
      <c r="D293" s="67" t="s">
        <v>91</v>
      </c>
      <c r="E293" s="41"/>
    </row>
    <row r="294" spans="3:11">
      <c r="D294" s="52">
        <f>'Overall Assumptions'!$C$93</f>
        <v>285</v>
      </c>
      <c r="E294" s="41" t="s">
        <v>93</v>
      </c>
    </row>
    <row r="295" spans="3:11">
      <c r="D295" s="54">
        <f>'Overall Assumptions'!$C$10</f>
        <v>0</v>
      </c>
      <c r="E295" s="43" t="s">
        <v>85</v>
      </c>
    </row>
    <row r="296" spans="3:11">
      <c r="D296" s="54"/>
      <c r="E296" s="43"/>
    </row>
    <row r="297" spans="3:11">
      <c r="D297" s="616"/>
      <c r="E297" s="43"/>
    </row>
    <row r="298" spans="3:11">
      <c r="D298" s="56"/>
      <c r="E298" s="45"/>
      <c r="J298" s="578"/>
    </row>
    <row r="299" spans="3:11">
      <c r="D299" s="75"/>
    </row>
    <row r="300" spans="3:11">
      <c r="D300" s="46">
        <f>D273</f>
        <v>0</v>
      </c>
      <c r="E300" s="46">
        <f>D300</f>
        <v>0</v>
      </c>
      <c r="F300" s="46">
        <f>E300</f>
        <v>0</v>
      </c>
      <c r="G300" s="693"/>
      <c r="J300" s="532"/>
      <c r="K300" s="59"/>
    </row>
    <row r="301" spans="3:11">
      <c r="D301" s="46">
        <f t="shared" ref="D301:F302" si="41">D276</f>
        <v>1.7937219730941705</v>
      </c>
      <c r="E301" s="46">
        <f t="shared" si="41"/>
        <v>2.391629297458894</v>
      </c>
      <c r="F301" s="46">
        <f t="shared" si="41"/>
        <v>3.5874439461883409</v>
      </c>
      <c r="G301" s="693" t="s">
        <v>98</v>
      </c>
      <c r="K301" s="59"/>
    </row>
    <row r="302" spans="3:11">
      <c r="D302" s="46">
        <f t="shared" si="41"/>
        <v>1.3333333333333333</v>
      </c>
      <c r="E302" s="46">
        <f t="shared" si="41"/>
        <v>1.3333333333333333</v>
      </c>
      <c r="F302" s="46">
        <f t="shared" si="41"/>
        <v>1.3333333333333333</v>
      </c>
      <c r="G302" s="693" t="str">
        <f>G277</f>
        <v>3rd term is the days required to do all activities (for one person)</v>
      </c>
      <c r="K302" s="59"/>
    </row>
    <row r="303" spans="3:11">
      <c r="D303" s="46"/>
      <c r="E303" s="46"/>
      <c r="F303" s="46"/>
      <c r="G303" s="693"/>
      <c r="K303" s="59"/>
    </row>
    <row r="304" spans="3:11">
      <c r="D304" s="46">
        <f>SUM(D300:D302)</f>
        <v>3.1270553064275037</v>
      </c>
      <c r="E304" s="46">
        <f>SUM(E300:E302)</f>
        <v>3.724962630792227</v>
      </c>
      <c r="F304" s="46">
        <f>SUM(F300:F302)</f>
        <v>4.9207772795216744</v>
      </c>
      <c r="G304" s="693" t="s">
        <v>135</v>
      </c>
      <c r="J304" s="90"/>
    </row>
    <row r="305" spans="3:11">
      <c r="D305" s="46"/>
      <c r="E305" s="59"/>
      <c r="J305" s="90"/>
    </row>
    <row r="306" spans="3:11">
      <c r="D306" s="63"/>
      <c r="E306" s="63"/>
      <c r="F306" s="63"/>
      <c r="G306" s="99"/>
      <c r="J306" s="259"/>
      <c r="K306" s="16"/>
    </row>
    <row r="307" spans="3:11">
      <c r="D307" s="63">
        <f>$D294*D301</f>
        <v>511.21076233183857</v>
      </c>
      <c r="E307" s="63">
        <f>$D294*E301</f>
        <v>681.61434977578483</v>
      </c>
      <c r="F307" s="63">
        <f>$D294*F301</f>
        <v>1022.4215246636771</v>
      </c>
      <c r="G307" s="99" t="s">
        <v>52</v>
      </c>
      <c r="J307" s="259"/>
      <c r="K307" s="16"/>
    </row>
    <row r="308" spans="3:11">
      <c r="D308" s="63">
        <f>$D294*D302</f>
        <v>380</v>
      </c>
      <c r="E308" s="63">
        <f>$D294*E302</f>
        <v>380</v>
      </c>
      <c r="F308" s="63">
        <f>$D294*F302</f>
        <v>380</v>
      </c>
      <c r="G308" s="99" t="s">
        <v>52</v>
      </c>
      <c r="J308" s="259"/>
      <c r="K308" s="16"/>
    </row>
    <row r="309" spans="3:11">
      <c r="D309" s="68">
        <f>SUM(D306:D308)</f>
        <v>891.21076233183862</v>
      </c>
      <c r="E309" s="906">
        <f>SUM(E306:E308)</f>
        <v>1061.6143497757848</v>
      </c>
      <c r="F309" s="906">
        <f>SUM(F306:F308)</f>
        <v>1402.4215246636772</v>
      </c>
      <c r="G309" s="1101" t="s">
        <v>53</v>
      </c>
      <c r="J309" s="65"/>
      <c r="K309" s="24"/>
    </row>
    <row r="310" spans="3:11">
      <c r="D310" s="432"/>
      <c r="J310" s="65"/>
      <c r="K310" s="24"/>
    </row>
    <row r="311" spans="3:11">
      <c r="D311" s="46">
        <f>D304</f>
        <v>3.1270553064275037</v>
      </c>
      <c r="E311" s="46">
        <f>E304</f>
        <v>3.724962630792227</v>
      </c>
      <c r="F311" s="46">
        <f>F304</f>
        <v>4.9207772795216744</v>
      </c>
      <c r="G311" s="359" t="s">
        <v>795</v>
      </c>
      <c r="J311" s="65"/>
      <c r="K311" s="24"/>
    </row>
    <row r="312" spans="3:11">
      <c r="D312" s="75">
        <f>ROUNDUP((D304/21),0)</f>
        <v>1</v>
      </c>
      <c r="E312" s="75">
        <f>ROUNDUP((E304/21),0)</f>
        <v>1</v>
      </c>
      <c r="F312" s="75">
        <f>ROUNDUP((F304/21),0)</f>
        <v>1</v>
      </c>
      <c r="G312" s="99" t="s">
        <v>739</v>
      </c>
      <c r="J312" s="65"/>
      <c r="K312" s="24"/>
    </row>
    <row r="313" spans="3:11">
      <c r="D313" s="432"/>
      <c r="J313" s="65"/>
      <c r="K313" s="24"/>
    </row>
    <row r="314" spans="3:11">
      <c r="D314" s="65"/>
      <c r="E314" s="24"/>
      <c r="J314" s="65"/>
      <c r="K314" s="24"/>
    </row>
    <row r="315" spans="3:11">
      <c r="C315" t="s">
        <v>70</v>
      </c>
      <c r="D315" s="58"/>
      <c r="E315" s="59" t="s">
        <v>156</v>
      </c>
      <c r="J315" s="65"/>
      <c r="K315" s="24"/>
    </row>
    <row r="316" spans="3:11">
      <c r="D316" s="160" t="s">
        <v>238</v>
      </c>
      <c r="E316" s="59"/>
      <c r="J316" s="65"/>
      <c r="K316" s="24"/>
    </row>
    <row r="317" spans="3:11">
      <c r="D317" s="58"/>
      <c r="E317" s="59"/>
      <c r="J317" s="65"/>
      <c r="K317" s="24"/>
    </row>
    <row r="318" spans="3:11">
      <c r="D318" s="25">
        <f>D278</f>
        <v>3.1270553064275037</v>
      </c>
      <c r="E318" s="25">
        <f>E278</f>
        <v>3.724962630792227</v>
      </c>
      <c r="F318" s="25">
        <f>F278</f>
        <v>4.9207772795216744</v>
      </c>
      <c r="G318" s="99" t="s">
        <v>157</v>
      </c>
      <c r="J318" s="65"/>
      <c r="K318" s="24"/>
    </row>
    <row r="319" spans="3:11">
      <c r="D319" s="61">
        <f>FLOOR(D318,1)</f>
        <v>3</v>
      </c>
      <c r="E319" s="61">
        <f>FLOOR(E318,1)</f>
        <v>3</v>
      </c>
      <c r="F319" s="61">
        <f>FLOOR(F318,1)</f>
        <v>4</v>
      </c>
      <c r="G319" s="99" t="s">
        <v>73</v>
      </c>
      <c r="J319" s="65"/>
      <c r="K319" s="24"/>
    </row>
    <row r="320" spans="3:11">
      <c r="D320" s="65"/>
      <c r="G320" s="1102"/>
      <c r="J320" s="65"/>
      <c r="K320" s="24"/>
    </row>
    <row r="321" spans="3:12">
      <c r="D321" s="65">
        <f>D319*$D257</f>
        <v>6</v>
      </c>
      <c r="E321" s="65">
        <f>E319*$D257</f>
        <v>6</v>
      </c>
      <c r="F321" s="65">
        <f>F319*$D257</f>
        <v>8</v>
      </c>
      <c r="G321" s="1102" t="s">
        <v>88</v>
      </c>
      <c r="J321" s="65"/>
      <c r="K321" s="24"/>
    </row>
    <row r="322" spans="3:12">
      <c r="D322" s="102">
        <f>D321*$D268</f>
        <v>1260</v>
      </c>
      <c r="E322" s="907">
        <f>E321*$D268</f>
        <v>1260</v>
      </c>
      <c r="F322" s="907">
        <f>F321*$D268</f>
        <v>1680</v>
      </c>
      <c r="G322" s="1101" t="s">
        <v>74</v>
      </c>
      <c r="J322" s="259"/>
      <c r="K322" s="16"/>
    </row>
    <row r="323" spans="3:12">
      <c r="D323" s="825"/>
      <c r="E323" s="825"/>
      <c r="H323" s="1" t="s">
        <v>788</v>
      </c>
      <c r="I323" s="1" t="s">
        <v>779</v>
      </c>
      <c r="J323" s="1" t="s">
        <v>789</v>
      </c>
    </row>
    <row r="324" spans="3:12">
      <c r="D324" s="617" t="s">
        <v>172</v>
      </c>
      <c r="E324" s="618" t="s">
        <v>155</v>
      </c>
      <c r="F324" s="618" t="s">
        <v>173</v>
      </c>
      <c r="G324" s="1103" t="s">
        <v>174</v>
      </c>
      <c r="H324" s="618" t="s">
        <v>166</v>
      </c>
      <c r="I324" s="618" t="s">
        <v>166</v>
      </c>
      <c r="J324" s="618" t="s">
        <v>166</v>
      </c>
      <c r="K324" s="619" t="s">
        <v>69</v>
      </c>
    </row>
    <row r="325" spans="3:12">
      <c r="D325" s="404" t="s">
        <v>3</v>
      </c>
      <c r="E325" s="90">
        <f>D280</f>
        <v>6.2541106128550075</v>
      </c>
      <c r="F325" s="531">
        <f>D231</f>
        <v>30</v>
      </c>
      <c r="H325" s="432">
        <f>D284</f>
        <v>1407.1748878923768</v>
      </c>
      <c r="I325" s="432">
        <f>E284</f>
        <v>1676.2331838565024</v>
      </c>
      <c r="J325" s="432">
        <f>F284</f>
        <v>2214.3497757847535</v>
      </c>
      <c r="K325" s="830" t="str">
        <f>G284</f>
        <v>Cost for labour</v>
      </c>
      <c r="L325" s="558">
        <f>D232</f>
        <v>1</v>
      </c>
    </row>
    <row r="326" spans="3:12">
      <c r="D326" s="404" t="s">
        <v>490</v>
      </c>
      <c r="E326" s="90">
        <f>D304</f>
        <v>3.1270553064275037</v>
      </c>
      <c r="F326" s="531">
        <f>F327</f>
        <v>30</v>
      </c>
      <c r="G326" s="1104">
        <f>D295</f>
        <v>0</v>
      </c>
      <c r="H326" s="432">
        <f>D309</f>
        <v>891.21076233183862</v>
      </c>
      <c r="I326" s="432">
        <f>E309</f>
        <v>1061.6143497757848</v>
      </c>
      <c r="J326" s="432">
        <f>F309</f>
        <v>1402.4215246636772</v>
      </c>
      <c r="K326" s="830" t="str">
        <f>G309</f>
        <v>Cost for ute hire for the whole activity</v>
      </c>
      <c r="L326" s="558">
        <f>L325</f>
        <v>1</v>
      </c>
    </row>
    <row r="327" spans="3:12">
      <c r="D327" s="404" t="s">
        <v>169</v>
      </c>
      <c r="E327" s="90">
        <f>D321</f>
        <v>6</v>
      </c>
      <c r="F327" s="531">
        <f>F325</f>
        <v>30</v>
      </c>
      <c r="H327" s="432">
        <f>D322</f>
        <v>1260</v>
      </c>
      <c r="I327" s="432">
        <f>E322</f>
        <v>1260</v>
      </c>
      <c r="J327" s="432">
        <f>F322</f>
        <v>1680</v>
      </c>
      <c r="K327" s="830" t="str">
        <f>G322</f>
        <v>Accomodation + Food Cost</v>
      </c>
      <c r="L327" s="558">
        <f>L326</f>
        <v>1</v>
      </c>
    </row>
    <row r="328" spans="3:12">
      <c r="D328" s="404"/>
      <c r="E328" s="90"/>
      <c r="F328" s="531"/>
      <c r="H328" s="432"/>
      <c r="I328" s="259"/>
      <c r="J328" s="259"/>
      <c r="K328" s="830"/>
      <c r="L328" s="558"/>
    </row>
    <row r="329" spans="3:12">
      <c r="D329" s="404"/>
      <c r="E329" s="90"/>
      <c r="F329" s="531"/>
      <c r="H329" s="432"/>
      <c r="I329" s="259"/>
      <c r="J329" s="259"/>
      <c r="K329" s="830"/>
    </row>
    <row r="330" spans="3:12">
      <c r="D330" s="405"/>
      <c r="E330" s="439"/>
      <c r="F330" s="439"/>
      <c r="G330" s="1098"/>
      <c r="H330" s="622">
        <f>SUM(H325:H329)</f>
        <v>3558.3856502242152</v>
      </c>
      <c r="I330" s="622">
        <f>SUM(I325:I329)</f>
        <v>3997.8475336322872</v>
      </c>
      <c r="J330" s="622">
        <f>SUM(J325:J329)</f>
        <v>5296.7713004484303</v>
      </c>
      <c r="K330" s="623" t="s">
        <v>165</v>
      </c>
    </row>
    <row r="331" spans="3:12">
      <c r="D331"/>
      <c r="E331"/>
      <c r="F331" s="432"/>
      <c r="G331" s="1099"/>
    </row>
    <row r="332" spans="3:12">
      <c r="D332" s="25"/>
    </row>
    <row r="333" spans="3:12" s="7" customFormat="1">
      <c r="D333" s="134"/>
      <c r="E333" s="134"/>
      <c r="G333" s="1089"/>
    </row>
    <row r="334" spans="3:12" s="9" customFormat="1">
      <c r="D334" s="116"/>
      <c r="E334" s="116"/>
      <c r="G334" s="572"/>
    </row>
    <row r="335" spans="3:12" s="9" customFormat="1">
      <c r="C335" s="233" t="s">
        <v>167</v>
      </c>
      <c r="D335" s="235" t="s">
        <v>371</v>
      </c>
      <c r="E335" s="231"/>
      <c r="F335" s="234"/>
      <c r="G335" s="1105"/>
      <c r="H335" s="216"/>
      <c r="I335" s="216"/>
    </row>
    <row r="336" spans="3:12" s="9" customFormat="1">
      <c r="C336" s="216"/>
      <c r="D336" s="224" t="s">
        <v>376</v>
      </c>
      <c r="E336" s="213"/>
      <c r="F336" s="216"/>
      <c r="G336" s="1105"/>
      <c r="H336" s="216"/>
      <c r="I336" s="216"/>
    </row>
    <row r="337" spans="3:13" s="9" customFormat="1">
      <c r="C337" s="216"/>
      <c r="D337" s="224" t="s">
        <v>372</v>
      </c>
      <c r="E337" s="213"/>
      <c r="F337" s="216"/>
      <c r="G337" s="1105"/>
      <c r="H337" s="216"/>
      <c r="I337" s="216"/>
    </row>
    <row r="338" spans="3:13" s="9" customFormat="1">
      <c r="C338" s="216"/>
      <c r="D338" s="224" t="s">
        <v>340</v>
      </c>
      <c r="E338" s="213"/>
      <c r="G338" s="1105"/>
      <c r="H338" s="216"/>
      <c r="J338" s="407" t="s">
        <v>339</v>
      </c>
    </row>
    <row r="339" spans="3:13" s="9" customFormat="1">
      <c r="C339" s="216"/>
      <c r="D339" s="224" t="s">
        <v>338</v>
      </c>
      <c r="E339" s="213"/>
      <c r="G339" s="1105"/>
      <c r="H339" s="216"/>
      <c r="I339" s="216"/>
      <c r="J339" s="407" t="s">
        <v>360</v>
      </c>
    </row>
    <row r="340" spans="3:13" s="9" customFormat="1">
      <c r="C340" s="216"/>
      <c r="D340" s="224" t="s">
        <v>344</v>
      </c>
      <c r="E340" s="213"/>
      <c r="G340" s="1105"/>
      <c r="H340" s="216"/>
      <c r="I340" s="216"/>
      <c r="J340" s="407" t="s">
        <v>361</v>
      </c>
    </row>
    <row r="341" spans="3:13" s="9" customFormat="1">
      <c r="C341" s="216"/>
      <c r="D341" s="224"/>
      <c r="E341" s="213"/>
      <c r="F341" s="407"/>
      <c r="G341" s="1105"/>
      <c r="H341" s="216"/>
      <c r="I341" s="216"/>
    </row>
    <row r="342" spans="3:13" s="9" customFormat="1">
      <c r="C342" s="216"/>
      <c r="D342" s="160" t="s">
        <v>348</v>
      </c>
      <c r="E342" s="213"/>
      <c r="F342" s="407"/>
      <c r="G342" s="1105"/>
      <c r="H342" s="216"/>
      <c r="I342" s="216"/>
      <c r="J342" s="216">
        <v>1.39</v>
      </c>
      <c r="K342" s="9" t="s">
        <v>350</v>
      </c>
    </row>
    <row r="343" spans="3:13" s="9" customFormat="1">
      <c r="C343" s="216"/>
      <c r="D343" s="224" t="s">
        <v>343</v>
      </c>
      <c r="E343" s="213"/>
      <c r="F343" s="407"/>
      <c r="G343" s="1105"/>
      <c r="H343" s="216"/>
      <c r="I343" s="216"/>
      <c r="J343" s="9">
        <f>2020-2005</f>
        <v>15</v>
      </c>
      <c r="K343" s="9" t="s">
        <v>351</v>
      </c>
    </row>
    <row r="344" spans="3:13" s="9" customFormat="1">
      <c r="C344" s="216"/>
      <c r="D344" s="224"/>
      <c r="E344" s="213"/>
      <c r="F344" s="407"/>
      <c r="G344" s="1105"/>
      <c r="H344" s="216"/>
      <c r="I344" s="216"/>
      <c r="J344" s="976">
        <f>'Overall Assumptions'!$C$25</f>
        <v>1.4999999999999999E-2</v>
      </c>
      <c r="K344" s="9" t="s">
        <v>978</v>
      </c>
    </row>
    <row r="345" spans="3:13" s="9" customFormat="1">
      <c r="C345" s="216"/>
      <c r="D345" s="107" t="s">
        <v>91</v>
      </c>
      <c r="E345" s="108"/>
      <c r="F345" s="407"/>
      <c r="G345" s="1105"/>
      <c r="H345" s="216"/>
      <c r="I345" s="216"/>
      <c r="J345" s="9">
        <f>J342*(1+J344)^J343</f>
        <v>1.73782257264957</v>
      </c>
      <c r="K345" s="9" t="s">
        <v>977</v>
      </c>
    </row>
    <row r="346" spans="3:13" s="9" customFormat="1">
      <c r="C346" s="216"/>
      <c r="D346" s="348">
        <v>0.3</v>
      </c>
      <c r="E346" s="269" t="s">
        <v>373</v>
      </c>
      <c r="F346" s="407"/>
      <c r="G346" s="1105"/>
      <c r="H346" s="216"/>
      <c r="I346" s="216"/>
    </row>
    <row r="347" spans="3:13" s="9" customFormat="1">
      <c r="C347" s="216"/>
      <c r="D347" s="410">
        <v>10</v>
      </c>
      <c r="E347" s="409" t="s">
        <v>349</v>
      </c>
      <c r="F347" s="407"/>
      <c r="G347" s="1105"/>
      <c r="H347" s="216"/>
      <c r="I347" s="216"/>
      <c r="K347" s="9" t="s">
        <v>352</v>
      </c>
      <c r="L347" s="9" t="s">
        <v>353</v>
      </c>
    </row>
    <row r="348" spans="3:13" s="9" customFormat="1">
      <c r="C348" s="216"/>
      <c r="D348" s="410">
        <f>L356</f>
        <v>13</v>
      </c>
      <c r="E348" s="409" t="s">
        <v>364</v>
      </c>
      <c r="F348" s="407"/>
      <c r="G348" s="1105"/>
      <c r="H348" s="216"/>
      <c r="I348" s="216"/>
      <c r="K348" s="9">
        <v>7600</v>
      </c>
      <c r="L348" s="414">
        <f>K348*$J$345</f>
        <v>13207.451552136732</v>
      </c>
      <c r="M348" s="9" t="s">
        <v>354</v>
      </c>
    </row>
    <row r="349" spans="3:13" s="9" customFormat="1">
      <c r="C349" s="216"/>
      <c r="D349" s="415">
        <f>L348</f>
        <v>13207.451552136732</v>
      </c>
      <c r="E349" s="409" t="s">
        <v>980</v>
      </c>
      <c r="F349" s="407"/>
      <c r="G349" s="1105"/>
      <c r="H349" s="216"/>
      <c r="I349" s="216"/>
      <c r="K349" s="9">
        <v>5</v>
      </c>
      <c r="L349" s="414">
        <f>K349*$J$345</f>
        <v>8.6891128632478498</v>
      </c>
      <c r="M349" s="9" t="s">
        <v>355</v>
      </c>
    </row>
    <row r="350" spans="3:13" s="9" customFormat="1">
      <c r="C350" s="216"/>
      <c r="D350" s="417">
        <f>L351</f>
        <v>19.11604829914527</v>
      </c>
      <c r="E350" s="409" t="s">
        <v>365</v>
      </c>
      <c r="F350" s="407"/>
      <c r="G350" s="1105"/>
      <c r="H350" s="216"/>
      <c r="I350" s="216"/>
      <c r="K350" s="9">
        <v>17</v>
      </c>
      <c r="L350" s="414">
        <f>K350*$J$345</f>
        <v>29.542983735042689</v>
      </c>
      <c r="M350" s="9" t="s">
        <v>356</v>
      </c>
    </row>
    <row r="351" spans="3:13" s="9" customFormat="1">
      <c r="C351" s="216"/>
      <c r="G351" s="572"/>
      <c r="H351" s="216"/>
      <c r="I351" s="216"/>
      <c r="L351" s="416">
        <f>0.5*L349+0.5*L350</f>
        <v>19.11604829914527</v>
      </c>
      <c r="M351" s="9" t="s">
        <v>357</v>
      </c>
    </row>
    <row r="352" spans="3:13" s="9" customFormat="1">
      <c r="C352" s="216"/>
      <c r="D352" s="410">
        <v>10</v>
      </c>
      <c r="E352" s="409" t="s">
        <v>367</v>
      </c>
      <c r="F352" s="407"/>
      <c r="G352" s="1105"/>
      <c r="H352" s="216"/>
      <c r="I352" s="216"/>
    </row>
    <row r="353" spans="3:13" s="9" customFormat="1">
      <c r="C353" s="216"/>
      <c r="D353" s="418">
        <v>3000</v>
      </c>
      <c r="E353" s="409" t="s">
        <v>358</v>
      </c>
      <c r="F353" s="407"/>
      <c r="G353" s="1105"/>
      <c r="H353" s="216"/>
      <c r="I353" s="216"/>
      <c r="K353" s="9" t="s">
        <v>359</v>
      </c>
    </row>
    <row r="354" spans="3:13" s="9" customFormat="1">
      <c r="C354" s="216"/>
      <c r="D354" s="408">
        <v>0.3</v>
      </c>
      <c r="E354" s="409" t="s">
        <v>374</v>
      </c>
      <c r="F354" s="407"/>
      <c r="G354" s="1105"/>
      <c r="H354" s="216"/>
      <c r="I354" s="216"/>
      <c r="L354" s="9">
        <v>16</v>
      </c>
      <c r="M354" s="9" t="s">
        <v>362</v>
      </c>
    </row>
    <row r="355" spans="3:13" s="9" customFormat="1">
      <c r="C355" s="216"/>
      <c r="D355" s="271">
        <v>1</v>
      </c>
      <c r="E355" s="270" t="s">
        <v>342</v>
      </c>
      <c r="F355" s="407"/>
      <c r="G355" s="1105"/>
      <c r="H355" s="216"/>
      <c r="I355" s="216"/>
      <c r="L355" s="9">
        <v>10</v>
      </c>
      <c r="M355" s="9" t="s">
        <v>363</v>
      </c>
    </row>
    <row r="356" spans="3:13" s="9" customFormat="1">
      <c r="C356" s="216"/>
      <c r="D356" s="973">
        <f>SUM(D348,D352)*D347</f>
        <v>230</v>
      </c>
      <c r="E356" s="116" t="s">
        <v>979</v>
      </c>
      <c r="F356" s="407"/>
      <c r="G356" s="1105"/>
      <c r="H356" s="216"/>
      <c r="I356" s="216"/>
      <c r="L356" s="422">
        <f>0.5*L354+0.5*L355</f>
        <v>13</v>
      </c>
      <c r="M356" s="9" t="s">
        <v>357</v>
      </c>
    </row>
    <row r="357" spans="3:13" s="9" customFormat="1">
      <c r="C357" s="216"/>
      <c r="D357" s="224"/>
      <c r="E357" s="213"/>
      <c r="F357" s="216"/>
      <c r="G357" s="1105"/>
      <c r="H357" s="216"/>
      <c r="I357" s="216"/>
    </row>
    <row r="358" spans="3:13" s="9" customFormat="1">
      <c r="C358" s="216"/>
      <c r="D358" s="298" t="s">
        <v>341</v>
      </c>
      <c r="E358" s="299"/>
      <c r="F358" s="214"/>
      <c r="G358" s="1105"/>
      <c r="H358" s="216"/>
      <c r="I358" s="216"/>
    </row>
    <row r="359" spans="3:13" s="9" customFormat="1">
      <c r="C359" s="216"/>
      <c r="D359" s="86">
        <f>'Overall Assumptions'!$C$72</f>
        <v>337.5</v>
      </c>
      <c r="E359" s="80" t="s">
        <v>102</v>
      </c>
      <c r="F359" s="216"/>
      <c r="G359" s="1105"/>
      <c r="H359" s="216"/>
      <c r="I359" s="216"/>
    </row>
    <row r="360" spans="3:13" s="9" customFormat="1">
      <c r="C360" s="216"/>
      <c r="D360" s="84">
        <f>'Overall Assumptions'!$C$81</f>
        <v>210</v>
      </c>
      <c r="E360" s="43" t="s">
        <v>87</v>
      </c>
      <c r="F360" s="216"/>
      <c r="G360" s="1105"/>
      <c r="H360" s="216"/>
      <c r="I360" s="216"/>
    </row>
    <row r="361" spans="3:13" s="9" customFormat="1">
      <c r="C361" s="214"/>
      <c r="D361" s="84">
        <v>2</v>
      </c>
      <c r="E361" s="81" t="s">
        <v>84</v>
      </c>
      <c r="F361" s="216"/>
      <c r="G361" s="1106"/>
      <c r="H361" s="216"/>
      <c r="I361" s="216"/>
    </row>
    <row r="362" spans="3:13" s="9" customFormat="1">
      <c r="C362" s="214"/>
      <c r="D362" s="84">
        <f>'Overall Assumptions'!$C$6</f>
        <v>100</v>
      </c>
      <c r="E362" s="81" t="s">
        <v>345</v>
      </c>
      <c r="F362" s="216"/>
      <c r="G362" s="1106"/>
      <c r="H362" s="216"/>
      <c r="I362" s="216"/>
    </row>
    <row r="363" spans="3:13" s="9" customFormat="1">
      <c r="C363" s="214"/>
      <c r="D363" s="84">
        <f>D362*D346</f>
        <v>30</v>
      </c>
      <c r="E363" s="347" t="s">
        <v>346</v>
      </c>
      <c r="F363" s="216"/>
      <c r="G363" s="1106"/>
      <c r="H363" s="216"/>
      <c r="I363" s="216"/>
    </row>
    <row r="364" spans="3:13" s="9" customFormat="1">
      <c r="C364" s="214"/>
      <c r="D364" s="84">
        <f>D362*D354</f>
        <v>30</v>
      </c>
      <c r="E364" s="347" t="s">
        <v>347</v>
      </c>
      <c r="F364" s="216"/>
      <c r="G364" s="1106"/>
      <c r="H364" s="216"/>
      <c r="I364" s="216"/>
    </row>
    <row r="365" spans="3:13" s="9" customFormat="1">
      <c r="C365" s="214"/>
      <c r="D365" s="84">
        <f>SUM(D363:D364)</f>
        <v>60</v>
      </c>
      <c r="E365" s="347" t="s">
        <v>366</v>
      </c>
      <c r="F365" s="216"/>
      <c r="G365" s="1106"/>
      <c r="H365" s="216"/>
      <c r="I365" s="216"/>
    </row>
    <row r="366" spans="3:13" s="9" customFormat="1">
      <c r="C366" s="214"/>
      <c r="D366" s="412">
        <f>'Overall Assumptions'!$C$133</f>
        <v>0.5</v>
      </c>
      <c r="E366" s="82" t="s">
        <v>105</v>
      </c>
      <c r="F366" s="216"/>
      <c r="G366" s="1106"/>
      <c r="H366" s="216"/>
      <c r="I366" s="216"/>
    </row>
    <row r="367" spans="3:13" s="9" customFormat="1">
      <c r="C367" s="214"/>
      <c r="D367" s="84">
        <f>'Overall Assumptions'!$C$11</f>
        <v>0</v>
      </c>
      <c r="E367" s="82" t="s">
        <v>106</v>
      </c>
      <c r="F367" s="216"/>
      <c r="G367" s="1106"/>
      <c r="H367" s="84"/>
      <c r="I367" s="82"/>
      <c r="J367" s="216"/>
    </row>
    <row r="368" spans="3:13" s="9" customFormat="1">
      <c r="C368" s="214"/>
      <c r="D368" s="84">
        <f>'Overall Assumptions'!$C$96</f>
        <v>850</v>
      </c>
      <c r="E368" s="81" t="str">
        <f>'Overall Assumptions'!D96</f>
        <v>Hourly rate for flying (AUD)</v>
      </c>
      <c r="F368" s="216"/>
      <c r="G368" s="1106"/>
      <c r="H368" s="84"/>
      <c r="I368" s="81"/>
      <c r="J368" s="216"/>
    </row>
    <row r="369" spans="3:10" s="9" customFormat="1">
      <c r="C369" s="216"/>
      <c r="D369" s="84">
        <f>'Overall Assumptions'!$C$97</f>
        <v>250</v>
      </c>
      <c r="E369" s="81" t="str">
        <f>'Overall Assumptions'!D97</f>
        <v>Transit speed (km/h)</v>
      </c>
      <c r="F369" s="216"/>
      <c r="G369" s="1107"/>
      <c r="H369" s="84"/>
      <c r="I369" s="81"/>
      <c r="J369" s="216"/>
    </row>
    <row r="370" spans="3:10" s="9" customFormat="1">
      <c r="C370" s="216"/>
      <c r="D370" s="54">
        <f>'Overall Assumptions'!$C$98</f>
        <v>130</v>
      </c>
      <c r="E370" s="82" t="str">
        <f>'Overall Assumptions'!D98</f>
        <v>Working speed (km/h)</v>
      </c>
      <c r="F370" s="216"/>
      <c r="G370" s="1108"/>
      <c r="H370" s="54"/>
      <c r="I370" s="82"/>
      <c r="J370" s="216"/>
    </row>
    <row r="371" spans="3:10" s="9" customFormat="1">
      <c r="C371" s="216"/>
      <c r="D371" s="56">
        <f>'Overall Assumptions'!$C$99</f>
        <v>400</v>
      </c>
      <c r="E371" s="45" t="str">
        <f>'Overall Assumptions'!D99</f>
        <v>Maixmum distance to fly before refuelling (km)</v>
      </c>
      <c r="F371" s="216"/>
      <c r="G371" s="1107"/>
      <c r="H371" s="56"/>
      <c r="I371" s="45"/>
      <c r="J371" s="216"/>
    </row>
    <row r="372" spans="3:10" s="9" customFormat="1">
      <c r="C372" s="216"/>
      <c r="D372" s="75">
        <f>'Overall Assumptions'!$C$100</f>
        <v>50</v>
      </c>
      <c r="E372" s="76" t="str">
        <f>'Overall Assumptions'!D100</f>
        <v>Distance to fly to refuel (maximum distance from centre of standardised area)</v>
      </c>
      <c r="F372" s="216"/>
      <c r="G372" s="1107"/>
      <c r="H372" s="75"/>
      <c r="I372" s="76"/>
      <c r="J372" s="216"/>
    </row>
    <row r="373" spans="3:10" s="9" customFormat="1">
      <c r="C373" s="216"/>
      <c r="D373" s="75"/>
      <c r="E373" s="76"/>
      <c r="F373" s="216"/>
      <c r="G373" s="1107"/>
      <c r="H373" s="75"/>
      <c r="I373" s="76"/>
      <c r="J373" s="216"/>
    </row>
    <row r="374" spans="3:10" s="9" customFormat="1">
      <c r="C374" s="285"/>
      <c r="D374" s="23" t="s">
        <v>377</v>
      </c>
      <c r="E374" s="16"/>
      <c r="F374" s="216"/>
      <c r="G374" s="1105"/>
      <c r="H374" s="216"/>
      <c r="I374" s="216"/>
    </row>
    <row r="375" spans="3:10" s="9" customFormat="1">
      <c r="C375" s="285"/>
      <c r="D375" s="25">
        <f>2*D367/D369/7.5</f>
        <v>0</v>
      </c>
      <c r="E375" s="16" t="s">
        <v>112</v>
      </c>
      <c r="F375" s="216"/>
      <c r="G375" s="1105"/>
      <c r="H375" s="216"/>
      <c r="I375" s="216"/>
    </row>
    <row r="376" spans="3:10" s="9" customFormat="1">
      <c r="C376" s="285"/>
      <c r="D376" s="23" t="s">
        <v>369</v>
      </c>
      <c r="E376" s="16"/>
      <c r="F376" s="216"/>
      <c r="G376" s="1105"/>
      <c r="H376" s="216"/>
      <c r="I376" s="216"/>
    </row>
    <row r="377" spans="3:10" s="9" customFormat="1">
      <c r="C377" s="285"/>
      <c r="D377" s="77">
        <f>D365/D366/D370/7.5</f>
        <v>0.12307692307692308</v>
      </c>
      <c r="E377" s="16" t="s">
        <v>113</v>
      </c>
      <c r="F377" s="216"/>
      <c r="G377" s="1105"/>
      <c r="H377" s="216"/>
      <c r="I377" s="216"/>
    </row>
    <row r="378" spans="3:10" s="9" customFormat="1">
      <c r="C378" s="285"/>
      <c r="D378" s="23" t="s">
        <v>368</v>
      </c>
      <c r="E378" s="16"/>
      <c r="F378" s="216"/>
      <c r="G378" s="1105"/>
      <c r="H378" s="216"/>
      <c r="I378" s="216"/>
    </row>
    <row r="379" spans="3:10" s="9" customFormat="1">
      <c r="C379" s="285"/>
      <c r="D379" s="46">
        <f>FLOOR(D365/D366/D371,1)</f>
        <v>0</v>
      </c>
      <c r="E379" s="16" t="s">
        <v>111</v>
      </c>
      <c r="F379" s="216"/>
      <c r="G379" s="1105"/>
      <c r="H379" s="216"/>
      <c r="I379" s="216"/>
    </row>
    <row r="380" spans="3:10" s="9" customFormat="1">
      <c r="C380" s="285"/>
      <c r="D380" s="46">
        <f>2*D372/D369*D379/7.5</f>
        <v>0</v>
      </c>
      <c r="E380" s="16" t="s">
        <v>114</v>
      </c>
      <c r="F380" s="216"/>
      <c r="G380" s="1105"/>
      <c r="H380" s="216"/>
      <c r="I380" s="216"/>
    </row>
    <row r="381" spans="3:10" s="9" customFormat="1">
      <c r="C381" s="285"/>
      <c r="D381" s="46" t="s">
        <v>370</v>
      </c>
      <c r="E381" s="16"/>
      <c r="F381" s="216"/>
      <c r="G381" s="1105"/>
      <c r="H381" s="216"/>
      <c r="I381" s="216"/>
    </row>
    <row r="382" spans="3:10" s="9" customFormat="1">
      <c r="C382" s="285"/>
      <c r="D382" s="46">
        <f>D356/60/7.5</f>
        <v>0.51111111111111118</v>
      </c>
      <c r="E382" s="16" t="s">
        <v>375</v>
      </c>
      <c r="F382" s="216"/>
      <c r="G382" s="1105"/>
      <c r="H382" s="216"/>
      <c r="I382" s="216"/>
    </row>
    <row r="383" spans="3:10" s="9" customFormat="1">
      <c r="C383" s="285"/>
      <c r="F383" s="216"/>
      <c r="G383" s="1105"/>
      <c r="H383" s="216"/>
      <c r="I383" s="216"/>
    </row>
    <row r="384" spans="3:10" s="9" customFormat="1">
      <c r="C384" s="285"/>
      <c r="D384" s="25">
        <f>SUM(D375,D377,D380,D382)</f>
        <v>0.63418803418803427</v>
      </c>
      <c r="E384" s="16" t="s">
        <v>115</v>
      </c>
      <c r="F384" s="216"/>
      <c r="G384" s="1105"/>
      <c r="H384" s="216"/>
      <c r="I384" s="216"/>
    </row>
    <row r="385" spans="2:9" s="9" customFormat="1">
      <c r="C385" s="285"/>
      <c r="D385" s="427">
        <f>D384*D361</f>
        <v>1.2683760683760685</v>
      </c>
      <c r="E385" s="16" t="s">
        <v>88</v>
      </c>
      <c r="F385" s="216"/>
      <c r="G385" s="1105"/>
      <c r="H385" s="216"/>
      <c r="I385" s="216"/>
    </row>
    <row r="386" spans="2:9" s="9" customFormat="1">
      <c r="C386" s="285"/>
      <c r="D386" s="77"/>
      <c r="E386" s="16"/>
      <c r="F386" s="216"/>
      <c r="G386" s="1105"/>
      <c r="H386" s="216"/>
      <c r="I386" s="216"/>
    </row>
    <row r="387" spans="2:9" s="9" customFormat="1">
      <c r="C387" s="285"/>
      <c r="F387" s="216"/>
      <c r="G387" s="1105"/>
      <c r="H387" s="216"/>
      <c r="I387" s="216"/>
    </row>
    <row r="388" spans="2:9" s="9" customFormat="1">
      <c r="C388" s="285"/>
      <c r="D388" s="62">
        <f>D359*D361*D375</f>
        <v>0</v>
      </c>
      <c r="E388" s="16" t="s">
        <v>36</v>
      </c>
      <c r="F388" s="216"/>
      <c r="G388" s="1105"/>
      <c r="H388" s="216"/>
      <c r="I388" s="216"/>
    </row>
    <row r="389" spans="2:9" s="9" customFormat="1">
      <c r="C389" s="285"/>
      <c r="D389" s="62">
        <f>D359*D361*D377</f>
        <v>83.07692307692308</v>
      </c>
      <c r="E389" s="16" t="s">
        <v>39</v>
      </c>
      <c r="F389" s="216"/>
      <c r="G389" s="1105"/>
      <c r="H389" s="216"/>
      <c r="I389" s="216"/>
    </row>
    <row r="390" spans="2:9" s="9" customFormat="1">
      <c r="C390" s="285"/>
      <c r="D390" s="62">
        <f>D359*D361*D380</f>
        <v>0</v>
      </c>
      <c r="E390" s="16" t="s">
        <v>118</v>
      </c>
      <c r="F390" s="216"/>
      <c r="G390" s="1105"/>
      <c r="H390" s="216"/>
      <c r="I390" s="216"/>
    </row>
    <row r="391" spans="2:9" s="9" customFormat="1">
      <c r="C391" s="285"/>
      <c r="D391" s="63">
        <f>D382*D359*D361</f>
        <v>345.00000000000006</v>
      </c>
      <c r="E391" s="16" t="s">
        <v>378</v>
      </c>
      <c r="F391" s="216"/>
      <c r="G391" s="1105"/>
      <c r="H391" s="216"/>
      <c r="I391" s="216"/>
    </row>
    <row r="392" spans="2:9" s="9" customFormat="1">
      <c r="C392" s="285"/>
      <c r="D392" s="72">
        <f>SUM(D388:D391)</f>
        <v>428.07692307692315</v>
      </c>
      <c r="E392" s="47" t="s">
        <v>329</v>
      </c>
      <c r="F392" s="216"/>
      <c r="G392" s="1105"/>
      <c r="H392" s="216"/>
      <c r="I392" s="216"/>
    </row>
    <row r="393" spans="2:9" s="9" customFormat="1">
      <c r="C393" s="285"/>
      <c r="D393" s="309"/>
      <c r="E393" s="310"/>
      <c r="F393" s="216"/>
      <c r="G393" s="1105"/>
      <c r="H393" s="216"/>
      <c r="I393" s="216"/>
    </row>
    <row r="394" spans="2:9" s="9" customFormat="1">
      <c r="C394" s="285"/>
      <c r="D394" s="309"/>
      <c r="E394" s="310"/>
      <c r="F394" s="216"/>
      <c r="G394" s="1105"/>
      <c r="H394" s="216"/>
      <c r="I394" s="216"/>
    </row>
    <row r="395" spans="2:9" s="9" customFormat="1">
      <c r="C395" s="285"/>
      <c r="D395" s="309"/>
      <c r="E395" s="310"/>
      <c r="F395" s="216"/>
      <c r="G395" s="1105"/>
      <c r="H395" s="216"/>
      <c r="I395" s="216"/>
    </row>
    <row r="396" spans="2:9" s="9" customFormat="1">
      <c r="B396"/>
      <c r="C396" t="s">
        <v>55</v>
      </c>
      <c r="D396" s="6" t="s">
        <v>119</v>
      </c>
      <c r="E396" s="16"/>
      <c r="F396" s="216"/>
      <c r="G396" s="1105"/>
      <c r="H396" s="216"/>
      <c r="I396" s="216"/>
    </row>
    <row r="397" spans="2:9" s="9" customFormat="1">
      <c r="B397"/>
      <c r="C397"/>
      <c r="D397" s="424" t="s">
        <v>379</v>
      </c>
      <c r="E397" s="16"/>
      <c r="F397" s="325"/>
      <c r="G397" s="1109"/>
      <c r="H397" s="325"/>
      <c r="I397" s="325"/>
    </row>
    <row r="398" spans="2:9" s="9" customFormat="1">
      <c r="C398" s="419"/>
      <c r="D398" s="85" t="s">
        <v>91</v>
      </c>
      <c r="E398" s="41"/>
      <c r="F398"/>
      <c r="G398" s="359"/>
      <c r="H398"/>
      <c r="I398" s="325"/>
    </row>
    <row r="399" spans="2:9" s="9" customFormat="1">
      <c r="C399" s="419"/>
      <c r="D399" s="428">
        <f>'Overall Assumptions'!$C$96</f>
        <v>850</v>
      </c>
      <c r="E399" s="429" t="s">
        <v>120</v>
      </c>
      <c r="F399"/>
      <c r="G399" s="359"/>
      <c r="H399"/>
      <c r="I399" s="325"/>
    </row>
    <row r="400" spans="2:9" s="9" customFormat="1">
      <c r="C400" s="419"/>
      <c r="D400" s="23"/>
      <c r="E400" s="87"/>
      <c r="F400" s="21"/>
      <c r="G400" s="359"/>
      <c r="H400"/>
      <c r="I400" s="325"/>
    </row>
    <row r="401" spans="3:13" s="9" customFormat="1">
      <c r="C401" s="419"/>
      <c r="D401" s="23"/>
      <c r="E401" s="87"/>
      <c r="F401" s="21"/>
      <c r="G401" s="359"/>
      <c r="H401"/>
      <c r="I401" s="325"/>
    </row>
    <row r="402" spans="3:13" s="9" customFormat="1">
      <c r="C402" s="419"/>
      <c r="D402" s="425" t="s">
        <v>390</v>
      </c>
      <c r="E402" s="21"/>
      <c r="F402" s="21"/>
      <c r="G402" s="359"/>
      <c r="H402"/>
      <c r="I402" s="325"/>
    </row>
    <row r="403" spans="3:13" s="9" customFormat="1">
      <c r="C403" s="419"/>
      <c r="D403" s="23"/>
      <c r="E403" s="21"/>
      <c r="F403" s="21"/>
      <c r="G403" s="359"/>
      <c r="H403"/>
      <c r="I403" s="325"/>
    </row>
    <row r="404" spans="3:13" s="9" customFormat="1">
      <c r="C404" s="419"/>
      <c r="D404" s="426">
        <f>D384</f>
        <v>0.63418803418803427</v>
      </c>
      <c r="E404" s="21" t="s">
        <v>380</v>
      </c>
      <c r="F404" s="21"/>
      <c r="G404" s="359"/>
      <c r="H404"/>
      <c r="I404" s="325"/>
    </row>
    <row r="405" spans="3:13" s="9" customFormat="1">
      <c r="C405" s="419"/>
      <c r="D405" s="22"/>
      <c r="E405" s="21"/>
      <c r="F405" s="21"/>
      <c r="G405" s="359"/>
      <c r="H405"/>
      <c r="I405" s="325"/>
    </row>
    <row r="406" spans="3:13" s="9" customFormat="1">
      <c r="C406" s="419"/>
      <c r="D406" s="430">
        <f>D399*D404*7.5</f>
        <v>4042.9487179487182</v>
      </c>
      <c r="E406" s="431" t="s">
        <v>381</v>
      </c>
      <c r="F406" s="21"/>
      <c r="G406" s="359"/>
      <c r="H406"/>
      <c r="I406" s="325"/>
    </row>
    <row r="407" spans="3:13" s="9" customFormat="1">
      <c r="C407" s="419"/>
      <c r="D407" s="23"/>
      <c r="E407" s="21"/>
      <c r="F407" s="21"/>
      <c r="G407" s="359"/>
      <c r="H407"/>
      <c r="I407" s="325"/>
    </row>
    <row r="408" spans="3:13" s="9" customFormat="1">
      <c r="D408">
        <f>ROUNDUP(D404/21,0)</f>
        <v>1</v>
      </c>
      <c r="E408" s="359" t="s">
        <v>739</v>
      </c>
      <c r="F408"/>
      <c r="H408"/>
      <c r="I408" s="325"/>
      <c r="J408" s="6"/>
      <c r="K408" s="6"/>
      <c r="L408" s="6"/>
      <c r="M408" s="1170"/>
    </row>
    <row r="409" spans="3:13" s="9" customFormat="1">
      <c r="C409"/>
      <c r="D409" s="532">
        <f>D404</f>
        <v>0.63418803418803427</v>
      </c>
      <c r="E409" s="359" t="s">
        <v>793</v>
      </c>
      <c r="F409" s="532"/>
      <c r="H409"/>
      <c r="I409" s="325"/>
      <c r="J409" s="1171"/>
      <c r="K409" s="1171"/>
      <c r="L409" s="1171"/>
      <c r="M409" s="1170"/>
    </row>
    <row r="410" spans="3:13" s="9" customFormat="1">
      <c r="C410"/>
      <c r="D410" s="24"/>
      <c r="E410" s="16"/>
      <c r="F410"/>
      <c r="G410" s="359"/>
      <c r="H410"/>
      <c r="I410" s="325"/>
    </row>
    <row r="411" spans="3:13" s="9" customFormat="1">
      <c r="C411" t="s">
        <v>70</v>
      </c>
      <c r="D411" s="23" t="s">
        <v>161</v>
      </c>
      <c r="E411" s="16"/>
      <c r="F411"/>
      <c r="G411" s="359"/>
      <c r="H411"/>
      <c r="I411" s="325"/>
    </row>
    <row r="412" spans="3:13" s="9" customFormat="1">
      <c r="C412"/>
      <c r="D412" s="46">
        <f>D384</f>
        <v>0.63418803418803427</v>
      </c>
      <c r="E412" s="16" t="s">
        <v>115</v>
      </c>
      <c r="F412"/>
      <c r="G412" s="359"/>
      <c r="H412"/>
      <c r="I412" s="325"/>
    </row>
    <row r="413" spans="3:13" s="9" customFormat="1">
      <c r="C413"/>
      <c r="D413" s="23" t="str">
        <f>IF(D359&gt;1,"YES","NO")</f>
        <v>YES</v>
      </c>
      <c r="E413" s="16" t="s">
        <v>72</v>
      </c>
      <c r="F413"/>
      <c r="G413" s="359"/>
      <c r="H413"/>
      <c r="I413" s="325"/>
    </row>
    <row r="414" spans="3:13" s="9" customFormat="1">
      <c r="C414"/>
      <c r="D414" s="23">
        <f>FLOOR(D412,1)</f>
        <v>0</v>
      </c>
      <c r="E414" s="16" t="s">
        <v>116</v>
      </c>
      <c r="F414"/>
      <c r="G414" s="359"/>
      <c r="H414"/>
      <c r="I414" s="325"/>
    </row>
    <row r="415" spans="3:13" s="9" customFormat="1">
      <c r="C415"/>
      <c r="D415" s="104"/>
      <c r="E415" s="66"/>
      <c r="F415"/>
      <c r="G415" s="359"/>
      <c r="H415"/>
      <c r="I415" s="325"/>
    </row>
    <row r="416" spans="3:13" s="9" customFormat="1">
      <c r="C416" s="419"/>
      <c r="D416" s="433">
        <f>D414*D361*D360</f>
        <v>0</v>
      </c>
      <c r="E416" s="21" t="s">
        <v>385</v>
      </c>
      <c r="F416" s="21"/>
      <c r="G416" s="359"/>
      <c r="H416"/>
      <c r="I416" s="325"/>
    </row>
    <row r="417" spans="3:9" s="9" customFormat="1">
      <c r="C417" s="419"/>
      <c r="D417" s="22"/>
      <c r="E417" s="88"/>
      <c r="F417" s="21"/>
      <c r="G417" s="359"/>
      <c r="H417"/>
      <c r="I417" s="325"/>
    </row>
    <row r="418" spans="3:9" s="9" customFormat="1">
      <c r="C418" s="419"/>
      <c r="D418" s="22"/>
      <c r="E418" s="21"/>
      <c r="F418" s="21"/>
      <c r="G418" s="359"/>
      <c r="H418"/>
      <c r="I418" s="325"/>
    </row>
    <row r="419" spans="3:9" s="9" customFormat="1">
      <c r="C419" s="326" t="s">
        <v>382</v>
      </c>
      <c r="D419" s="432">
        <f>D347*D350</f>
        <v>191.16048299145268</v>
      </c>
      <c r="E419" s="16" t="s">
        <v>383</v>
      </c>
      <c r="F419" s="21"/>
      <c r="G419" s="359"/>
      <c r="H419"/>
      <c r="I419" s="325"/>
    </row>
    <row r="420" spans="3:9" s="9" customFormat="1">
      <c r="C420" s="326"/>
      <c r="D420" s="20"/>
      <c r="E420" s="21"/>
      <c r="F420" s="21"/>
      <c r="G420" s="359"/>
      <c r="H420"/>
      <c r="I420" s="325"/>
    </row>
    <row r="421" spans="3:9" s="9" customFormat="1">
      <c r="C421" s="326"/>
      <c r="D421" s="20"/>
      <c r="E421" s="21"/>
      <c r="F421" s="21"/>
      <c r="G421" s="359"/>
      <c r="H421"/>
      <c r="I421" s="325"/>
    </row>
    <row r="422" spans="3:9" s="9" customFormat="1">
      <c r="C422" s="107" t="s">
        <v>331</v>
      </c>
      <c r="D422" s="1000"/>
      <c r="E422" s="1001"/>
      <c r="F422" s="1002">
        <f>D416</f>
        <v>0</v>
      </c>
      <c r="G422" s="1110" t="str">
        <f>E416</f>
        <v>Cost for accomodation</v>
      </c>
      <c r="H422" s="1006"/>
      <c r="I422" s="325"/>
    </row>
    <row r="423" spans="3:9" s="9" customFormat="1">
      <c r="C423" s="135" t="s">
        <v>386</v>
      </c>
      <c r="D423" s="136"/>
      <c r="E423" s="141"/>
      <c r="F423" s="119">
        <f>D419</f>
        <v>191.16048299145268</v>
      </c>
      <c r="G423" s="1111" t="str">
        <f>E419</f>
        <v>Desexing cost</v>
      </c>
      <c r="H423" s="1006"/>
      <c r="I423" s="325"/>
    </row>
    <row r="424" spans="3:9" s="9" customFormat="1">
      <c r="C424" s="137" t="s">
        <v>1010</v>
      </c>
      <c r="D424" s="486"/>
      <c r="E424" s="487"/>
      <c r="F424" s="139">
        <f>D427</f>
        <v>30000</v>
      </c>
      <c r="G424" s="1112" t="str">
        <f>E427</f>
        <v>Collar costs</v>
      </c>
      <c r="H424" s="1006"/>
      <c r="I424" s="325"/>
    </row>
    <row r="425" spans="3:9" s="9" customFormat="1">
      <c r="G425" s="572"/>
      <c r="I425" s="325"/>
    </row>
    <row r="426" spans="3:9" s="9" customFormat="1">
      <c r="C426" s="326" t="s">
        <v>21</v>
      </c>
      <c r="D426" s="434">
        <f>D349</f>
        <v>13207.451552136732</v>
      </c>
      <c r="E426" s="9" t="s">
        <v>387</v>
      </c>
      <c r="F426" s="21"/>
      <c r="G426" s="359"/>
      <c r="H426" s="326"/>
      <c r="I426" s="325"/>
    </row>
    <row r="427" spans="3:9" s="9" customFormat="1">
      <c r="C427" s="326"/>
      <c r="D427" s="89">
        <f>D347*D353</f>
        <v>30000</v>
      </c>
      <c r="E427" s="21" t="s">
        <v>384</v>
      </c>
      <c r="F427"/>
      <c r="G427" s="359"/>
      <c r="H427" s="326"/>
      <c r="I427" s="325"/>
    </row>
    <row r="428" spans="3:9" s="9" customFormat="1">
      <c r="C428" s="326"/>
      <c r="D428" s="73"/>
      <c r="E428" s="21"/>
      <c r="F428"/>
      <c r="G428" s="359"/>
      <c r="H428" s="326"/>
      <c r="I428" s="325"/>
    </row>
    <row r="429" spans="3:9" s="9" customFormat="1">
      <c r="C429" s="326"/>
      <c r="D429" s="74"/>
      <c r="E429" s="39"/>
      <c r="F429"/>
      <c r="G429" s="359"/>
      <c r="H429" s="326"/>
      <c r="I429" s="325"/>
    </row>
    <row r="430" spans="3:9" s="9" customFormat="1">
      <c r="C430" s="419"/>
      <c r="D430" s="420"/>
      <c r="E430" s="327"/>
      <c r="F430" s="325"/>
      <c r="G430" s="1109"/>
      <c r="H430" s="326"/>
      <c r="I430" s="325"/>
    </row>
    <row r="431" spans="3:9" s="9" customFormat="1">
      <c r="C431" s="419"/>
      <c r="D431" s="420"/>
      <c r="E431" s="327"/>
      <c r="F431" s="325"/>
      <c r="G431" s="1109"/>
      <c r="H431" s="326"/>
      <c r="I431" s="325"/>
    </row>
    <row r="432" spans="3:9" s="9" customFormat="1">
      <c r="C432" s="419"/>
      <c r="D432" s="420"/>
      <c r="E432" s="327"/>
      <c r="F432" s="325"/>
      <c r="G432" s="1109"/>
      <c r="H432" s="326"/>
      <c r="I432" s="325"/>
    </row>
    <row r="433" spans="3:29" s="9" customFormat="1">
      <c r="C433" s="117" t="s">
        <v>388</v>
      </c>
      <c r="D433" s="1003"/>
      <c r="E433" s="1004"/>
      <c r="F433" s="1005">
        <f>D426</f>
        <v>13207.451552136732</v>
      </c>
      <c r="G433" s="1113" t="str">
        <f>E426</f>
        <v>Desexing equipment</v>
      </c>
      <c r="H433" s="1007"/>
      <c r="I433" s="325"/>
    </row>
    <row r="434" spans="3:29" s="9" customFormat="1">
      <c r="G434" s="572"/>
      <c r="I434" s="325"/>
    </row>
    <row r="435" spans="3:29" s="9" customFormat="1">
      <c r="C435" s="419"/>
      <c r="D435" s="420"/>
      <c r="E435" s="327"/>
      <c r="F435" s="325"/>
      <c r="G435" s="1109"/>
      <c r="H435" s="325"/>
      <c r="I435" s="325"/>
    </row>
    <row r="436" spans="3:29" s="9" customFormat="1">
      <c r="C436" s="419"/>
      <c r="D436" s="420"/>
      <c r="E436" s="327"/>
      <c r="F436" s="325"/>
      <c r="G436" s="1109"/>
      <c r="H436" s="325"/>
      <c r="I436" s="325"/>
    </row>
    <row r="437" spans="3:29" s="9" customFormat="1">
      <c r="C437" s="419"/>
      <c r="D437" s="420"/>
      <c r="E437" s="327"/>
      <c r="F437" s="325"/>
      <c r="G437" s="1109"/>
      <c r="H437" s="325"/>
      <c r="I437" s="325"/>
    </row>
    <row r="438" spans="3:29" s="9" customFormat="1">
      <c r="C438" s="419"/>
      <c r="D438" s="420"/>
      <c r="E438" s="327"/>
      <c r="F438" s="325"/>
      <c r="G438" s="1109"/>
      <c r="H438" s="325"/>
      <c r="I438" s="325"/>
    </row>
    <row r="439" spans="3:29" s="9" customFormat="1">
      <c r="C439" s="419"/>
      <c r="D439" s="420"/>
      <c r="E439" s="327"/>
      <c r="F439" s="325"/>
      <c r="G439" s="1109"/>
      <c r="H439" s="325"/>
      <c r="I439" s="325"/>
    </row>
    <row r="440" spans="3:29" s="9" customFormat="1">
      <c r="C440" s="419"/>
      <c r="D440" s="420"/>
      <c r="E440" s="327"/>
      <c r="F440" s="325"/>
      <c r="G440" s="1109"/>
      <c r="H440" s="325"/>
      <c r="I440" s="325"/>
      <c r="L440" s="122"/>
      <c r="M440" s="122"/>
      <c r="N440" s="122"/>
      <c r="O440" s="122"/>
      <c r="AB440" s="122"/>
      <c r="AC440" s="122"/>
    </row>
    <row r="441" spans="3:29" s="9" customFormat="1">
      <c r="C441" s="419"/>
      <c r="D441" s="420"/>
      <c r="E441" s="327"/>
      <c r="F441" s="325"/>
      <c r="G441" s="1109"/>
      <c r="H441" s="325"/>
      <c r="I441" s="325"/>
      <c r="L441" s="122"/>
      <c r="M441" s="122"/>
      <c r="N441" s="122"/>
      <c r="O441" s="122"/>
      <c r="AB441" s="122"/>
      <c r="AC441" s="122"/>
    </row>
    <row r="442" spans="3:29" s="9" customFormat="1">
      <c r="C442" s="419"/>
      <c r="D442" s="420"/>
      <c r="E442" s="327"/>
      <c r="F442" s="325"/>
      <c r="G442" s="1109"/>
      <c r="H442" s="325"/>
      <c r="I442" s="325"/>
      <c r="L442" s="122"/>
      <c r="M442" s="122"/>
      <c r="N442" s="122"/>
      <c r="O442" s="122"/>
      <c r="AB442" s="122"/>
      <c r="AC442" s="122"/>
    </row>
    <row r="443" spans="3:29" s="9" customFormat="1">
      <c r="C443" s="419"/>
      <c r="D443" s="420"/>
      <c r="E443" s="327"/>
      <c r="F443" s="325"/>
      <c r="G443" s="1109"/>
      <c r="H443" s="325"/>
      <c r="I443" s="325"/>
      <c r="L443" s="276"/>
      <c r="M443" s="276"/>
      <c r="N443" s="276"/>
      <c r="O443" s="326"/>
      <c r="AB443" s="276"/>
      <c r="AC443" s="276"/>
    </row>
    <row r="444" spans="3:29" s="9" customFormat="1">
      <c r="C444" s="419"/>
      <c r="D444" s="143" t="s">
        <v>172</v>
      </c>
      <c r="E444" s="144" t="s">
        <v>155</v>
      </c>
      <c r="F444" s="144" t="s">
        <v>68</v>
      </c>
      <c r="G444" s="1094" t="s">
        <v>166</v>
      </c>
      <c r="H444" s="145" t="s">
        <v>69</v>
      </c>
      <c r="I444" s="325" t="s">
        <v>499</v>
      </c>
      <c r="L444" s="122"/>
      <c r="M444" s="136"/>
      <c r="N444" s="141"/>
      <c r="O444" s="326"/>
      <c r="AB444" s="119"/>
      <c r="AC444" s="119"/>
    </row>
    <row r="445" spans="3:29" s="9" customFormat="1">
      <c r="C445" s="419"/>
      <c r="D445" s="135" t="s">
        <v>3</v>
      </c>
      <c r="E445" s="136">
        <f>D385</f>
        <v>1.2683760683760685</v>
      </c>
      <c r="F445" s="141">
        <v>100</v>
      </c>
      <c r="G445" s="1092">
        <f>D392</f>
        <v>428.07692307692315</v>
      </c>
      <c r="H445" s="358" t="str">
        <f>E392</f>
        <v>Cost for person hours</v>
      </c>
      <c r="I445" s="435">
        <v>3</v>
      </c>
      <c r="L445" s="122"/>
      <c r="M445" s="136"/>
      <c r="N445" s="141"/>
      <c r="O445" s="326"/>
      <c r="AB445" s="119"/>
      <c r="AC445" s="119"/>
    </row>
    <row r="446" spans="3:29" s="9" customFormat="1">
      <c r="C446" s="419"/>
      <c r="D446" s="135" t="s">
        <v>132</v>
      </c>
      <c r="E446" s="136">
        <f>D404</f>
        <v>0.63418803418803427</v>
      </c>
      <c r="F446" s="141">
        <v>100</v>
      </c>
      <c r="G446" s="1092">
        <f>D406</f>
        <v>4042.9487179487182</v>
      </c>
      <c r="H446" s="358" t="str">
        <f>E406</f>
        <v>cost for helicopter hire</v>
      </c>
      <c r="I446" s="435">
        <f>I445</f>
        <v>3</v>
      </c>
      <c r="L446" s="122"/>
      <c r="M446" s="136"/>
      <c r="N446" s="141"/>
      <c r="O446" s="326"/>
      <c r="AB446" s="119"/>
      <c r="AC446" s="119"/>
    </row>
    <row r="447" spans="3:29" s="9" customFormat="1">
      <c r="C447" s="419"/>
      <c r="D447" s="9" t="s">
        <v>4</v>
      </c>
      <c r="E447" s="9">
        <f>D414</f>
        <v>0</v>
      </c>
      <c r="G447" s="1114">
        <f>SUM(F422:F424)</f>
        <v>30191.160482991454</v>
      </c>
      <c r="H447" s="9" t="s">
        <v>1011</v>
      </c>
      <c r="I447" s="435">
        <f>I446</f>
        <v>3</v>
      </c>
      <c r="L447" s="122"/>
      <c r="M447" s="136"/>
      <c r="N447" s="141"/>
      <c r="O447" s="326"/>
      <c r="AB447" s="119"/>
      <c r="AC447" s="119"/>
    </row>
    <row r="448" spans="3:29" s="9" customFormat="1">
      <c r="C448" s="419"/>
      <c r="D448" s="122" t="s">
        <v>21</v>
      </c>
      <c r="G448" s="1115">
        <f>F433</f>
        <v>13207.451552136732</v>
      </c>
      <c r="H448" s="9" t="s">
        <v>387</v>
      </c>
      <c r="I448" s="435">
        <v>10</v>
      </c>
      <c r="L448" s="122"/>
      <c r="M448" s="136"/>
      <c r="N448" s="141"/>
      <c r="O448" s="326"/>
      <c r="AB448" s="476"/>
      <c r="AC448" s="476"/>
    </row>
    <row r="449" spans="3:29" s="9" customFormat="1">
      <c r="C449" s="419"/>
      <c r="D449" s="135"/>
      <c r="E449" s="136"/>
      <c r="F449" s="141"/>
      <c r="G449" s="1092"/>
      <c r="H449" s="358"/>
      <c r="L449" s="122"/>
      <c r="M449" s="136"/>
      <c r="N449" s="141"/>
      <c r="O449" s="326"/>
      <c r="AB449" s="119"/>
      <c r="AC449" s="119"/>
    </row>
    <row r="450" spans="3:29" s="9" customFormat="1">
      <c r="C450" s="419"/>
      <c r="D450" s="137"/>
      <c r="E450" s="138"/>
      <c r="F450" s="142"/>
      <c r="G450" s="1116">
        <f>SUM(G445:G448)</f>
        <v>47869.637676153827</v>
      </c>
      <c r="H450" s="140" t="s">
        <v>389</v>
      </c>
      <c r="L450" s="122"/>
      <c r="M450" s="136"/>
      <c r="N450" s="141"/>
      <c r="O450" s="326"/>
      <c r="AB450" s="119"/>
      <c r="AC450" s="119"/>
    </row>
    <row r="451" spans="3:29" s="9" customFormat="1">
      <c r="C451" s="419"/>
      <c r="G451" s="572"/>
      <c r="I451" s="325"/>
      <c r="L451" s="122"/>
      <c r="M451" s="147"/>
      <c r="N451" s="122"/>
      <c r="O451" s="326"/>
      <c r="AB451" s="119"/>
      <c r="AC451" s="119"/>
    </row>
    <row r="452" spans="3:29" s="9" customFormat="1">
      <c r="C452" s="419"/>
      <c r="G452" s="572"/>
      <c r="I452" s="325"/>
      <c r="L452" s="122"/>
      <c r="M452" s="122"/>
      <c r="N452" s="122"/>
      <c r="O452" s="122"/>
      <c r="AB452" s="122"/>
      <c r="AC452" s="122"/>
    </row>
    <row r="453" spans="3:29" s="9" customFormat="1">
      <c r="C453" s="419"/>
      <c r="D453" s="420"/>
      <c r="E453" s="327"/>
      <c r="F453" s="325"/>
      <c r="G453" s="1109"/>
      <c r="H453" s="325"/>
      <c r="I453" s="325"/>
      <c r="L453" s="122"/>
      <c r="M453" s="122"/>
      <c r="N453" s="122"/>
      <c r="O453" s="122"/>
      <c r="AB453" s="122"/>
      <c r="AC453" s="122"/>
    </row>
    <row r="454" spans="3:29" s="9" customFormat="1">
      <c r="C454" s="325"/>
      <c r="D454" s="421"/>
      <c r="E454" s="287"/>
      <c r="F454" s="325"/>
      <c r="G454" s="1109"/>
      <c r="H454" s="325"/>
      <c r="I454" s="325"/>
    </row>
    <row r="455" spans="3:29" s="9" customFormat="1">
      <c r="C455" s="325"/>
      <c r="D455" s="421"/>
      <c r="E455" s="287"/>
      <c r="F455" s="325"/>
      <c r="G455" s="1109"/>
      <c r="H455" s="325"/>
      <c r="I455" s="325"/>
    </row>
    <row r="456" spans="3:29" s="9" customFormat="1">
      <c r="C456" s="325"/>
      <c r="D456" s="421"/>
      <c r="E456" s="287"/>
      <c r="F456" s="325"/>
      <c r="G456" s="1109"/>
      <c r="H456" s="325"/>
      <c r="I456" s="325"/>
    </row>
    <row r="457" spans="3:29" s="9" customFormat="1">
      <c r="C457" s="325"/>
      <c r="D457" s="325"/>
      <c r="E457" s="325"/>
      <c r="F457" s="423"/>
      <c r="G457" s="1117"/>
      <c r="H457" s="325"/>
      <c r="I457" s="325"/>
    </row>
    <row r="458" spans="3:29" s="9" customFormat="1">
      <c r="C458" s="122"/>
      <c r="D458" s="116"/>
      <c r="E458" s="116"/>
      <c r="F458" s="122"/>
      <c r="G458" s="1093"/>
      <c r="H458" s="122"/>
      <c r="I458" s="122"/>
    </row>
    <row r="459" spans="3:29" s="9" customFormat="1">
      <c r="D459" s="116"/>
      <c r="E459" s="116"/>
      <c r="G459" s="572"/>
    </row>
    <row r="460" spans="3:29" s="9" customFormat="1">
      <c r="D460" s="116"/>
      <c r="E460" s="116"/>
      <c r="G460" s="572"/>
    </row>
    <row r="461" spans="3:29" s="9" customFormat="1">
      <c r="D461" s="116"/>
      <c r="E461" s="116"/>
      <c r="G461" s="572"/>
    </row>
    <row r="462" spans="3:29" s="9" customFormat="1">
      <c r="D462" s="116"/>
      <c r="E462" s="116"/>
      <c r="G462" s="572"/>
    </row>
    <row r="463" spans="3:29" s="9" customFormat="1">
      <c r="D463" s="116"/>
      <c r="E463" s="116"/>
      <c r="G463" s="572"/>
    </row>
    <row r="464" spans="3:29" s="9" customFormat="1">
      <c r="D464" s="116"/>
      <c r="E464" s="116"/>
      <c r="G464" s="572"/>
    </row>
    <row r="465" spans="3:9" s="9" customFormat="1">
      <c r="D465" s="116"/>
      <c r="E465" s="116"/>
      <c r="G465" s="572"/>
    </row>
    <row r="466" spans="3:9" s="7" customFormat="1">
      <c r="D466" s="69"/>
      <c r="E466" s="36"/>
      <c r="G466" s="1089"/>
    </row>
    <row r="467" spans="3:9">
      <c r="C467" s="8" t="s">
        <v>395</v>
      </c>
      <c r="D467" s="16"/>
    </row>
    <row r="468" spans="3:9">
      <c r="C468" t="s">
        <v>267</v>
      </c>
    </row>
    <row r="469" spans="3:9" ht="28">
      <c r="D469" s="345" t="s">
        <v>101</v>
      </c>
      <c r="E469" s="147"/>
      <c r="F469" s="122"/>
      <c r="G469" s="1093"/>
      <c r="H469" s="119"/>
      <c r="I469" s="119"/>
    </row>
    <row r="470" spans="3:9">
      <c r="D470" s="346">
        <v>1</v>
      </c>
      <c r="E470" s="147" t="s">
        <v>263</v>
      </c>
      <c r="F470" s="122"/>
      <c r="G470" s="1093"/>
      <c r="H470" s="119"/>
      <c r="I470" s="119"/>
    </row>
    <row r="471" spans="3:9" ht="35">
      <c r="D471" s="17"/>
    </row>
    <row r="472" spans="3:9">
      <c r="D472" s="25"/>
    </row>
    <row r="473" spans="3:9">
      <c r="D473" s="85" t="s">
        <v>91</v>
      </c>
      <c r="E473" s="41"/>
      <c r="F473" s="79"/>
    </row>
    <row r="474" spans="3:9">
      <c r="D474" s="86">
        <f>'Overall Assumptions'!$C$68</f>
        <v>225</v>
      </c>
      <c r="E474" s="80" t="s">
        <v>102</v>
      </c>
      <c r="F474" s="78"/>
    </row>
    <row r="475" spans="3:9">
      <c r="D475" s="84">
        <f>'Overall Assumptions'!$C$81</f>
        <v>210</v>
      </c>
      <c r="E475" s="43" t="s">
        <v>87</v>
      </c>
      <c r="F475" s="79"/>
    </row>
    <row r="476" spans="3:9">
      <c r="D476" s="84">
        <f>'Overall Assumptions'!$C$131</f>
        <v>1</v>
      </c>
      <c r="E476" s="81" t="s">
        <v>84</v>
      </c>
      <c r="F476" s="79"/>
    </row>
    <row r="477" spans="3:9">
      <c r="D477" s="84">
        <f>'Overall Assumptions'!$C$6</f>
        <v>100</v>
      </c>
      <c r="E477" s="81" t="s">
        <v>80</v>
      </c>
      <c r="F477" s="79"/>
    </row>
    <row r="478" spans="3:9">
      <c r="D478" s="412">
        <f>'Overall Assumptions'!$C$134</f>
        <v>0.1</v>
      </c>
      <c r="E478" s="82" t="s">
        <v>105</v>
      </c>
      <c r="F478" s="79"/>
    </row>
    <row r="479" spans="3:9">
      <c r="D479" s="84">
        <f>'Overall Assumptions'!$C$11</f>
        <v>0</v>
      </c>
      <c r="E479" s="82" t="s">
        <v>106</v>
      </c>
      <c r="F479" s="79"/>
    </row>
    <row r="480" spans="3:9">
      <c r="D480" s="84">
        <f>'Overall Assumptions'!$C$97</f>
        <v>250</v>
      </c>
      <c r="E480" s="81" t="s">
        <v>103</v>
      </c>
      <c r="F480" s="79"/>
    </row>
    <row r="481" spans="4:8">
      <c r="D481" s="84">
        <f>'Overall Assumptions'!$C$7</f>
        <v>50</v>
      </c>
      <c r="E481" s="81" t="s">
        <v>107</v>
      </c>
      <c r="F481" s="79"/>
    </row>
    <row r="482" spans="4:8">
      <c r="D482" s="54">
        <f>'Overall Assumptions'!$C$98</f>
        <v>130</v>
      </c>
      <c r="E482" s="82" t="s">
        <v>104</v>
      </c>
      <c r="F482" s="83"/>
    </row>
    <row r="483" spans="4:8">
      <c r="D483" s="56">
        <f>'Overall Assumptions'!$C$99</f>
        <v>400</v>
      </c>
      <c r="E483" s="45" t="s">
        <v>47</v>
      </c>
    </row>
    <row r="484" spans="4:8">
      <c r="D484" s="75">
        <f>D477/D478</f>
        <v>1000</v>
      </c>
      <c r="E484" s="76" t="s">
        <v>981</v>
      </c>
    </row>
    <row r="485" spans="4:8" ht="18">
      <c r="D485" s="18" t="s">
        <v>108</v>
      </c>
    </row>
    <row r="486" spans="4:8">
      <c r="D486" s="25">
        <f>2*D479/D480/7.5</f>
        <v>0</v>
      </c>
      <c r="E486" s="16" t="s">
        <v>112</v>
      </c>
    </row>
    <row r="487" spans="4:8">
      <c r="D487" s="23" t="s">
        <v>109</v>
      </c>
    </row>
    <row r="488" spans="4:8">
      <c r="D488" s="77">
        <f>D477/D478/D482/7.5</f>
        <v>1.0256410256410258</v>
      </c>
      <c r="E488" s="16" t="s">
        <v>113</v>
      </c>
    </row>
    <row r="489" spans="4:8">
      <c r="D489" s="23" t="s">
        <v>110</v>
      </c>
    </row>
    <row r="490" spans="4:8">
      <c r="D490" s="46">
        <f>FLOOR(D477/D478/D483,1)</f>
        <v>2</v>
      </c>
      <c r="E490" s="16" t="s">
        <v>111</v>
      </c>
      <c r="F490" s="70"/>
      <c r="G490" s="99"/>
      <c r="H490" s="16"/>
    </row>
    <row r="491" spans="4:8">
      <c r="D491" s="25" t="str">
        <f>IF(D484&gt;D483,"YES","NO")</f>
        <v>YES</v>
      </c>
      <c r="E491" s="16" t="s">
        <v>48</v>
      </c>
    </row>
    <row r="492" spans="4:8">
      <c r="D492" s="46">
        <f>2*D481/D480*D490/7.5</f>
        <v>0.10666666666666667</v>
      </c>
      <c r="E492" s="16" t="s">
        <v>114</v>
      </c>
    </row>
    <row r="494" spans="4:8">
      <c r="D494" s="25">
        <f>SUM(D486,D488,D492)</f>
        <v>1.1323076923076925</v>
      </c>
      <c r="E494" s="16" t="s">
        <v>115</v>
      </c>
    </row>
    <row r="495" spans="4:8">
      <c r="D495" s="23"/>
    </row>
    <row r="496" spans="4:8">
      <c r="D496" s="77">
        <f>D476*D494</f>
        <v>1.1323076923076925</v>
      </c>
      <c r="E496" s="16" t="s">
        <v>88</v>
      </c>
    </row>
    <row r="497" spans="3:6">
      <c r="D497" s="62">
        <f>D474*D476*D486</f>
        <v>0</v>
      </c>
      <c r="E497" s="16" t="s">
        <v>36</v>
      </c>
    </row>
    <row r="498" spans="3:6">
      <c r="D498" s="62">
        <f>D474*D476*D488</f>
        <v>230.7692307692308</v>
      </c>
      <c r="E498" s="16" t="s">
        <v>39</v>
      </c>
    </row>
    <row r="499" spans="3:6">
      <c r="D499" s="62">
        <f>D474*D476*D492</f>
        <v>24</v>
      </c>
      <c r="E499" s="16" t="s">
        <v>118</v>
      </c>
    </row>
    <row r="501" spans="3:6">
      <c r="D501" s="72">
        <f>SUM(D497:D499)</f>
        <v>254.7692307692308</v>
      </c>
      <c r="E501" s="47" t="s">
        <v>329</v>
      </c>
    </row>
    <row r="502" spans="3:6">
      <c r="D502" s="104"/>
      <c r="E502" s="66"/>
    </row>
    <row r="503" spans="3:6">
      <c r="C503" t="s">
        <v>55</v>
      </c>
      <c r="D503" s="6" t="s">
        <v>119</v>
      </c>
    </row>
    <row r="504" spans="3:6">
      <c r="D504" s="25" t="s">
        <v>278</v>
      </c>
    </row>
    <row r="505" spans="3:6">
      <c r="D505" s="25"/>
    </row>
    <row r="506" spans="3:6">
      <c r="D506" s="25"/>
    </row>
    <row r="508" spans="3:6">
      <c r="D508" s="85" t="s">
        <v>91</v>
      </c>
      <c r="E508" s="41"/>
      <c r="F508" s="161"/>
    </row>
    <row r="509" spans="3:6">
      <c r="D509" s="428">
        <f>'Overall Assumptions'!$C$96</f>
        <v>850</v>
      </c>
      <c r="E509" s="429" t="s">
        <v>279</v>
      </c>
      <c r="F509" s="162"/>
    </row>
    <row r="510" spans="3:6">
      <c r="D510" s="283"/>
      <c r="E510" s="284"/>
    </row>
    <row r="511" spans="3:6">
      <c r="D511" s="23" t="s">
        <v>121</v>
      </c>
      <c r="E511" s="87"/>
      <c r="F511" s="21"/>
    </row>
    <row r="512" spans="3:6">
      <c r="D512" s="23" t="s">
        <v>123</v>
      </c>
      <c r="E512" s="87"/>
      <c r="F512" s="21"/>
    </row>
    <row r="513" spans="3:12">
      <c r="D513" s="22">
        <f>D486</f>
        <v>0</v>
      </c>
      <c r="E513" s="21" t="s">
        <v>968</v>
      </c>
      <c r="F513" s="21"/>
    </row>
    <row r="514" spans="3:12">
      <c r="D514" s="23" t="s">
        <v>122</v>
      </c>
      <c r="E514" s="21"/>
      <c r="F514" s="21"/>
    </row>
    <row r="515" spans="3:12">
      <c r="D515" s="23" t="s">
        <v>124</v>
      </c>
      <c r="E515" s="21"/>
      <c r="F515" s="21"/>
    </row>
    <row r="516" spans="3:12">
      <c r="D516" s="22">
        <f>D488</f>
        <v>1.0256410256410258</v>
      </c>
      <c r="E516" s="21" t="s">
        <v>969</v>
      </c>
      <c r="F516" s="21"/>
    </row>
    <row r="517" spans="3:12">
      <c r="D517" s="23" t="s">
        <v>125</v>
      </c>
      <c r="E517" s="21"/>
      <c r="F517" s="21"/>
    </row>
    <row r="518" spans="3:12">
      <c r="D518" s="23" t="s">
        <v>126</v>
      </c>
      <c r="E518" s="21"/>
      <c r="F518" s="21"/>
    </row>
    <row r="519" spans="3:12">
      <c r="D519" s="22">
        <f t="shared" ref="D519:E521" si="42">D490</f>
        <v>2</v>
      </c>
      <c r="E519" s="971" t="str">
        <f t="shared" si="42"/>
        <v>Number of times required to do refuelling</v>
      </c>
      <c r="F519" s="21"/>
      <c r="K519" s="9" t="s">
        <v>271</v>
      </c>
    </row>
    <row r="520" spans="3:12">
      <c r="D520" s="22" t="str">
        <f t="shared" si="42"/>
        <v>YES</v>
      </c>
      <c r="E520" s="971" t="str">
        <f t="shared" si="42"/>
        <v>Need to refuel?</v>
      </c>
      <c r="F520" s="21"/>
      <c r="L520" s="9" t="s">
        <v>275</v>
      </c>
    </row>
    <row r="521" spans="3:12">
      <c r="D521" s="22">
        <f t="shared" si="42"/>
        <v>0.10666666666666667</v>
      </c>
      <c r="E521" s="971" t="str">
        <f t="shared" si="42"/>
        <v>Days required to do refuelling</v>
      </c>
      <c r="F521" s="21"/>
      <c r="K521" s="349">
        <v>359</v>
      </c>
      <c r="L521" t="s">
        <v>272</v>
      </c>
    </row>
    <row r="522" spans="3:12">
      <c r="D522" s="22"/>
      <c r="E522" s="21"/>
      <c r="F522" s="21"/>
      <c r="K522">
        <v>200</v>
      </c>
      <c r="L522" t="s">
        <v>273</v>
      </c>
    </row>
    <row r="523" spans="3:12">
      <c r="D523" s="20">
        <f>SUM(D513,D516,D521)</f>
        <v>1.1323076923076925</v>
      </c>
      <c r="E523" s="21" t="s">
        <v>177</v>
      </c>
      <c r="F523" s="21"/>
      <c r="J523" s="21"/>
      <c r="K523" s="203">
        <f>K521/K522</f>
        <v>1.7949999999999999</v>
      </c>
      <c r="L523" t="s">
        <v>274</v>
      </c>
    </row>
    <row r="524" spans="3:12">
      <c r="D524" s="20">
        <f>D523*7.5</f>
        <v>8.4923076923076941</v>
      </c>
      <c r="E524" s="21" t="s">
        <v>973</v>
      </c>
      <c r="F524" s="21"/>
      <c r="K524" s="266">
        <v>20</v>
      </c>
      <c r="L524" t="s">
        <v>276</v>
      </c>
    </row>
    <row r="525" spans="3:12">
      <c r="F525" s="21"/>
      <c r="K525" s="350">
        <f>K524*K523</f>
        <v>35.9</v>
      </c>
      <c r="L525" t="s">
        <v>277</v>
      </c>
    </row>
    <row r="526" spans="3:12">
      <c r="C526" s="90"/>
      <c r="D526" s="89">
        <f>D509*D513</f>
        <v>0</v>
      </c>
      <c r="E526" s="21" t="s">
        <v>36</v>
      </c>
      <c r="F526" s="21"/>
    </row>
    <row r="527" spans="3:12">
      <c r="D527" s="73">
        <f>D516*D509*7.5</f>
        <v>6538.4615384615399</v>
      </c>
      <c r="E527" s="16" t="s">
        <v>56</v>
      </c>
    </row>
    <row r="528" spans="3:12">
      <c r="D528" s="73">
        <f>D521*D509*7.5</f>
        <v>680</v>
      </c>
      <c r="E528" s="21" t="s">
        <v>127</v>
      </c>
    </row>
    <row r="529" spans="3:6">
      <c r="D529" s="74">
        <f>SUM(D526:D528)</f>
        <v>7218.4615384615399</v>
      </c>
      <c r="E529" s="47" t="s">
        <v>330</v>
      </c>
    </row>
    <row r="530" spans="3:6">
      <c r="D530" s="91"/>
      <c r="E530" s="66"/>
    </row>
    <row r="531" spans="3:6">
      <c r="D531">
        <f>ROUNDUP(D523/21,0)</f>
        <v>1</v>
      </c>
      <c r="E531" s="359" t="s">
        <v>739</v>
      </c>
    </row>
    <row r="532" spans="3:6">
      <c r="D532" s="532">
        <f>D523</f>
        <v>1.1323076923076925</v>
      </c>
      <c r="E532" s="359" t="s">
        <v>793</v>
      </c>
      <c r="F532" s="532"/>
    </row>
    <row r="533" spans="3:6">
      <c r="D533" s="532"/>
      <c r="E533" s="532"/>
      <c r="F533" s="532"/>
    </row>
    <row r="534" spans="3:6">
      <c r="C534" t="s">
        <v>70</v>
      </c>
      <c r="D534" s="23" t="s">
        <v>161</v>
      </c>
    </row>
    <row r="538" spans="3:6">
      <c r="D538" s="46">
        <f>D494</f>
        <v>1.1323076923076925</v>
      </c>
      <c r="E538" s="16" t="s">
        <v>115</v>
      </c>
    </row>
    <row r="539" spans="3:6">
      <c r="D539" s="23" t="str">
        <f>IF(D494&gt;1,"YES","NO")</f>
        <v>YES</v>
      </c>
      <c r="E539" s="16" t="s">
        <v>72</v>
      </c>
    </row>
    <row r="540" spans="3:6">
      <c r="D540" s="23">
        <f>FLOOR(D494,1)</f>
        <v>1</v>
      </c>
      <c r="E540" s="16" t="s">
        <v>116</v>
      </c>
    </row>
    <row r="541" spans="3:6">
      <c r="D541" s="104"/>
      <c r="E541" s="66"/>
    </row>
    <row r="542" spans="3:6">
      <c r="D542" s="104"/>
      <c r="E542" s="66"/>
    </row>
    <row r="543" spans="3:6">
      <c r="D543" s="104"/>
      <c r="E543" s="66"/>
    </row>
    <row r="544" spans="3:6">
      <c r="D544" s="104"/>
      <c r="E544" s="66"/>
    </row>
    <row r="545" spans="3:13">
      <c r="D545" s="104"/>
      <c r="E545" s="66"/>
    </row>
    <row r="546" spans="3:13">
      <c r="D546" s="64">
        <f>D475*D476*D540</f>
        <v>210</v>
      </c>
      <c r="E546" s="273" t="s">
        <v>117</v>
      </c>
      <c r="F546" s="401"/>
      <c r="G546" s="1118"/>
      <c r="J546" s="79"/>
      <c r="K546" s="79"/>
      <c r="L546" s="79"/>
      <c r="M546" s="79"/>
    </row>
    <row r="547" spans="3:13">
      <c r="D547" s="65"/>
      <c r="E547" s="76"/>
      <c r="F547" s="79"/>
      <c r="G547" s="1119"/>
      <c r="J547" s="79"/>
      <c r="K547" s="79"/>
      <c r="L547" s="79"/>
      <c r="M547" s="79"/>
    </row>
    <row r="548" spans="3:13">
      <c r="D548" s="143" t="s">
        <v>172</v>
      </c>
      <c r="E548" s="144" t="s">
        <v>155</v>
      </c>
      <c r="F548" s="144" t="s">
        <v>68</v>
      </c>
      <c r="G548" s="1094" t="s">
        <v>166</v>
      </c>
      <c r="H548" s="145" t="s">
        <v>69</v>
      </c>
      <c r="J548" s="276"/>
      <c r="K548" s="276"/>
      <c r="L548" s="276"/>
      <c r="M548" s="276"/>
    </row>
    <row r="549" spans="3:13">
      <c r="D549" s="135" t="s">
        <v>3</v>
      </c>
      <c r="E549" s="136">
        <f>D496</f>
        <v>1.1323076923076925</v>
      </c>
      <c r="F549" s="141">
        <v>100</v>
      </c>
      <c r="G549" s="1092">
        <f>D501</f>
        <v>254.7692307692308</v>
      </c>
      <c r="H549" s="358" t="str">
        <f>E501</f>
        <v>Cost for person hours</v>
      </c>
      <c r="I549">
        <f>D470</f>
        <v>1</v>
      </c>
      <c r="J549" s="122"/>
      <c r="K549" s="136"/>
      <c r="L549" s="119"/>
      <c r="M549" s="119"/>
    </row>
    <row r="550" spans="3:13">
      <c r="D550" s="135" t="s">
        <v>132</v>
      </c>
      <c r="E550" s="136">
        <f>D523</f>
        <v>1.1323076923076925</v>
      </c>
      <c r="F550" s="141">
        <v>100</v>
      </c>
      <c r="G550" s="1092">
        <f>D529</f>
        <v>7218.4615384615399</v>
      </c>
      <c r="H550" s="358" t="str">
        <f>E529</f>
        <v>Cost for aerial</v>
      </c>
      <c r="I550">
        <f>I549</f>
        <v>1</v>
      </c>
      <c r="J550" s="122"/>
      <c r="K550" s="136"/>
      <c r="L550" s="119"/>
      <c r="M550" s="119"/>
    </row>
    <row r="551" spans="3:13">
      <c r="D551" s="135" t="s">
        <v>331</v>
      </c>
      <c r="E551" s="136">
        <f>D540</f>
        <v>1</v>
      </c>
      <c r="F551" s="141"/>
      <c r="G551" s="1092">
        <f>D546</f>
        <v>210</v>
      </c>
      <c r="H551" s="358" t="str">
        <f>E546</f>
        <v>cost for accommodation and meals</v>
      </c>
      <c r="I551">
        <f>I550</f>
        <v>1</v>
      </c>
      <c r="J551" s="122"/>
      <c r="K551" s="136"/>
      <c r="L551" s="119"/>
      <c r="M551" s="119"/>
    </row>
    <row r="552" spans="3:13">
      <c r="D552" s="135"/>
      <c r="E552" s="136"/>
      <c r="F552" s="141"/>
      <c r="G552" s="1092"/>
      <c r="H552" s="358"/>
      <c r="J552" s="122"/>
      <c r="K552" s="136"/>
      <c r="L552" s="119"/>
      <c r="M552" s="119"/>
    </row>
    <row r="553" spans="3:13">
      <c r="D553" s="137"/>
      <c r="E553" s="138"/>
      <c r="F553" s="142"/>
      <c r="G553" s="1116">
        <f>SUM(G549:G552)</f>
        <v>7683.2307692307704</v>
      </c>
      <c r="H553" s="140" t="s">
        <v>328</v>
      </c>
      <c r="J553" s="122"/>
      <c r="K553" s="147"/>
      <c r="L553" s="119"/>
      <c r="M553" s="119"/>
    </row>
    <row r="554" spans="3:13">
      <c r="D554" s="122"/>
      <c r="E554" s="147"/>
      <c r="F554" s="122"/>
      <c r="G554" s="1093"/>
      <c r="H554" s="119"/>
      <c r="I554" s="119"/>
      <c r="J554" s="79"/>
      <c r="K554" s="79"/>
      <c r="L554" s="79"/>
      <c r="M554" s="79"/>
    </row>
    <row r="556" spans="3:13">
      <c r="D556" s="25"/>
    </row>
    <row r="557" spans="3:13" s="7" customFormat="1">
      <c r="D557" s="69"/>
      <c r="E557" s="36"/>
      <c r="G557" s="1089"/>
    </row>
    <row r="558" spans="3:13" s="9" customFormat="1">
      <c r="E558" s="34"/>
      <c r="F558" s="34"/>
      <c r="G558" s="572"/>
    </row>
    <row r="559" spans="3:13" s="9" customFormat="1">
      <c r="C559" s="121" t="s">
        <v>223</v>
      </c>
      <c r="D559" s="34" t="s">
        <v>286</v>
      </c>
      <c r="E559" s="34"/>
      <c r="G559" s="572"/>
    </row>
    <row r="560" spans="3:13" s="79" customFormat="1">
      <c r="D560" s="279" t="s">
        <v>287</v>
      </c>
      <c r="E560" s="76"/>
      <c r="G560" s="1119"/>
    </row>
    <row r="561" spans="3:12" s="79" customFormat="1">
      <c r="C561" s="233"/>
      <c r="D561" s="356">
        <v>0.1</v>
      </c>
      <c r="E561" s="76" t="s">
        <v>288</v>
      </c>
      <c r="G561" s="1119"/>
      <c r="H561" s="129"/>
      <c r="J561" s="65"/>
      <c r="K561" s="66"/>
    </row>
    <row r="562" spans="3:12" s="79" customFormat="1">
      <c r="D562" s="65"/>
      <c r="E562" s="66"/>
      <c r="G562" s="1119"/>
      <c r="J562" s="65"/>
      <c r="K562" s="66"/>
    </row>
    <row r="563" spans="3:12" s="79" customFormat="1">
      <c r="D563" s="330">
        <v>1</v>
      </c>
      <c r="E563" s="66" t="s">
        <v>263</v>
      </c>
      <c r="G563" s="1120"/>
      <c r="H563" s="324"/>
      <c r="I563" s="325"/>
    </row>
    <row r="564" spans="3:12" s="79" customFormat="1">
      <c r="C564" s="9"/>
      <c r="D564" s="290"/>
      <c r="E564" s="124"/>
      <c r="F564" s="147"/>
      <c r="G564" s="1121"/>
      <c r="H564" s="288"/>
      <c r="I564" s="288"/>
      <c r="J564" s="289"/>
      <c r="K564" s="216"/>
    </row>
    <row r="565" spans="3:12" s="79" customFormat="1" ht="19">
      <c r="C565" t="s">
        <v>50</v>
      </c>
      <c r="D565" s="37" t="s">
        <v>81</v>
      </c>
      <c r="E565" s="24"/>
      <c r="F565" s="1"/>
      <c r="G565" s="1100"/>
      <c r="H565" s="286"/>
      <c r="I565" s="286"/>
      <c r="J565" s="289"/>
      <c r="K565" s="216"/>
    </row>
    <row r="566" spans="3:12" s="79" customFormat="1">
      <c r="C566"/>
      <c r="D566" s="24" t="s">
        <v>250</v>
      </c>
      <c r="E566" s="16"/>
      <c r="F566" s="1"/>
      <c r="G566" s="1100"/>
      <c r="J566" s="248"/>
      <c r="K566" s="248"/>
      <c r="L566" s="122"/>
    </row>
    <row r="567" spans="3:12" s="79" customFormat="1">
      <c r="C567"/>
      <c r="D567" s="160" t="s">
        <v>294</v>
      </c>
      <c r="E567" s="16"/>
      <c r="F567"/>
      <c r="G567" s="359"/>
      <c r="J567" s="248"/>
      <c r="K567" s="288"/>
      <c r="L567" s="122"/>
    </row>
    <row r="568" spans="3:12" s="79" customFormat="1">
      <c r="C568"/>
      <c r="D568" s="50"/>
      <c r="E568" s="16"/>
      <c r="F568"/>
      <c r="G568" s="359"/>
      <c r="J568" s="286"/>
      <c r="K568" s="286"/>
      <c r="L568" s="122"/>
    </row>
    <row r="569" spans="3:12" s="79" customFormat="1">
      <c r="C569"/>
      <c r="D569" s="51" t="s">
        <v>82</v>
      </c>
      <c r="E569" s="39"/>
      <c r="F569"/>
      <c r="G569" s="359"/>
      <c r="H569" s="212"/>
      <c r="I569" s="212"/>
      <c r="J569" s="216"/>
      <c r="K569" s="216"/>
    </row>
    <row r="570" spans="3:12" s="79" customFormat="1" ht="19">
      <c r="C570"/>
      <c r="D570" s="52">
        <f>'Overall Assumptions'!$C$68</f>
        <v>225</v>
      </c>
      <c r="E570" s="53" t="s">
        <v>99</v>
      </c>
      <c r="F570"/>
      <c r="G570" s="359"/>
      <c r="J570" s="65"/>
      <c r="K570" s="66"/>
    </row>
    <row r="571" spans="3:12" s="79" customFormat="1" ht="19">
      <c r="C571"/>
      <c r="D571" s="54">
        <f>'Overall Assumptions'!$C$6</f>
        <v>100</v>
      </c>
      <c r="E571" s="355" t="s">
        <v>80</v>
      </c>
      <c r="F571"/>
      <c r="G571" s="359"/>
      <c r="H571" s="79" t="s">
        <v>290</v>
      </c>
      <c r="I571" s="65"/>
      <c r="K571" s="66"/>
    </row>
    <row r="572" spans="3:12" s="79" customFormat="1" ht="19">
      <c r="C572"/>
      <c r="D572" s="54">
        <f>D561*D571</f>
        <v>10</v>
      </c>
      <c r="E572" s="355" t="s">
        <v>289</v>
      </c>
      <c r="F572"/>
      <c r="G572" s="359"/>
      <c r="H572" s="79">
        <v>10</v>
      </c>
      <c r="I572" s="357" t="s">
        <v>293</v>
      </c>
      <c r="K572" s="66"/>
    </row>
    <row r="573" spans="3:12" s="79" customFormat="1">
      <c r="C573"/>
      <c r="D573" s="354">
        <f>H573</f>
        <v>4</v>
      </c>
      <c r="E573" s="43" t="s">
        <v>84</v>
      </c>
      <c r="F573"/>
      <c r="G573" s="359"/>
      <c r="H573" s="346">
        <v>4</v>
      </c>
      <c r="I573" s="79" t="s">
        <v>291</v>
      </c>
      <c r="J573" s="65"/>
      <c r="K573" s="66"/>
    </row>
    <row r="574" spans="3:12" s="79" customFormat="1">
      <c r="C574"/>
      <c r="D574" s="295">
        <f>D572/H572*H574</f>
        <v>0.5</v>
      </c>
      <c r="E574" s="43" t="s">
        <v>292</v>
      </c>
      <c r="F574"/>
      <c r="G574" s="359"/>
      <c r="H574" s="346">
        <v>0.5</v>
      </c>
      <c r="I574" s="79" t="s">
        <v>982</v>
      </c>
      <c r="J574" s="65"/>
      <c r="K574" s="66"/>
    </row>
    <row r="575" spans="3:12" s="79" customFormat="1">
      <c r="C575"/>
      <c r="D575" s="54">
        <f>'Overall Assumptions'!$C$10</f>
        <v>0</v>
      </c>
      <c r="E575" s="43" t="s">
        <v>85</v>
      </c>
      <c r="F575"/>
      <c r="G575" s="359"/>
      <c r="I575" s="122" t="s">
        <v>477</v>
      </c>
      <c r="J575" s="65"/>
      <c r="K575" s="66"/>
    </row>
    <row r="576" spans="3:12" s="79" customFormat="1">
      <c r="C576"/>
      <c r="D576" s="54">
        <f>'Overall Assumptions'!$C$90</f>
        <v>80</v>
      </c>
      <c r="E576" s="43" t="s">
        <v>86</v>
      </c>
      <c r="F576"/>
      <c r="G576" s="359"/>
      <c r="J576" s="65"/>
      <c r="K576" s="66"/>
    </row>
    <row r="577" spans="3:11" s="79" customFormat="1">
      <c r="C577"/>
      <c r="D577" s="56">
        <f>'Overall Assumptions'!$C$81</f>
        <v>210</v>
      </c>
      <c r="E577" s="45" t="s">
        <v>87</v>
      </c>
      <c r="F577"/>
      <c r="G577" s="359"/>
      <c r="J577" s="65"/>
      <c r="K577" s="66"/>
    </row>
    <row r="578" spans="3:11" s="79" customFormat="1">
      <c r="C578"/>
      <c r="D578" s="57"/>
      <c r="E578" s="16"/>
      <c r="F578"/>
      <c r="G578" s="359"/>
      <c r="J578" s="65"/>
      <c r="K578" s="66"/>
    </row>
    <row r="579" spans="3:11" s="79" customFormat="1">
      <c r="C579" s="21"/>
      <c r="D579" s="296">
        <f>2*D575/D576/7.5</f>
        <v>0</v>
      </c>
      <c r="E579" s="59" t="s">
        <v>95</v>
      </c>
      <c r="F579"/>
      <c r="G579" s="359"/>
      <c r="J579" s="129"/>
      <c r="K579" s="76"/>
    </row>
    <row r="580" spans="3:11" s="79" customFormat="1">
      <c r="C580" s="21"/>
      <c r="D580" s="296"/>
      <c r="E580" s="60" t="s">
        <v>100</v>
      </c>
      <c r="F580"/>
      <c r="G580" s="359"/>
      <c r="J580" s="65"/>
      <c r="K580" s="66"/>
    </row>
    <row r="581" spans="3:11" s="79" customFormat="1">
      <c r="C581" s="21"/>
      <c r="D581" s="296">
        <f>D574</f>
        <v>0.5</v>
      </c>
      <c r="E581" s="124" t="s">
        <v>295</v>
      </c>
      <c r="F581"/>
      <c r="G581" s="359"/>
    </row>
    <row r="582" spans="3:11" s="79" customFormat="1">
      <c r="C582" s="21"/>
      <c r="D582" s="297"/>
      <c r="E582" s="59"/>
      <c r="G582" s="1119"/>
    </row>
    <row r="583" spans="3:11" s="79" customFormat="1" ht="28">
      <c r="C583" s="21"/>
      <c r="D583" s="296">
        <f>D579+D581+D582</f>
        <v>0.5</v>
      </c>
      <c r="E583" s="16" t="s">
        <v>157</v>
      </c>
      <c r="F583" s="19"/>
      <c r="G583" s="359"/>
    </row>
    <row r="584" spans="3:11" s="122" customFormat="1">
      <c r="C584" s="9"/>
      <c r="D584" s="105"/>
      <c r="E584" s="34" t="s">
        <v>88</v>
      </c>
      <c r="F584" s="9"/>
      <c r="G584" s="572"/>
    </row>
    <row r="585" spans="3:11" s="79" customFormat="1">
      <c r="C585"/>
      <c r="D585" s="77">
        <f>D583*D573</f>
        <v>2</v>
      </c>
      <c r="E585" s="16" t="s">
        <v>133</v>
      </c>
      <c r="F585"/>
      <c r="G585" s="359"/>
    </row>
    <row r="586" spans="3:11" s="79" customFormat="1">
      <c r="C586"/>
      <c r="D586" s="77"/>
      <c r="E586" s="16"/>
      <c r="F586"/>
      <c r="G586" s="359"/>
    </row>
    <row r="587" spans="3:11" s="79" customFormat="1">
      <c r="C587" s="21"/>
      <c r="D587" s="64">
        <f>D585*D570</f>
        <v>450</v>
      </c>
      <c r="E587" s="39" t="s">
        <v>486</v>
      </c>
      <c r="F587"/>
      <c r="G587" s="359"/>
      <c r="H587" s="276"/>
      <c r="I587" s="276"/>
    </row>
    <row r="588" spans="3:11" s="79" customFormat="1">
      <c r="C588" s="21"/>
      <c r="G588" s="1119"/>
      <c r="H588" s="119"/>
      <c r="I588" s="119"/>
    </row>
    <row r="589" spans="3:11" s="79" customFormat="1">
      <c r="C589" s="21"/>
      <c r="G589" s="1119"/>
      <c r="H589" s="119"/>
      <c r="I589" s="119"/>
    </row>
    <row r="590" spans="3:11" s="79" customFormat="1" ht="19">
      <c r="C590" s="2" t="s">
        <v>132</v>
      </c>
      <c r="D590" s="37" t="s">
        <v>89</v>
      </c>
      <c r="E590" s="16"/>
      <c r="F590"/>
      <c r="G590" s="359"/>
      <c r="H590"/>
      <c r="I590"/>
    </row>
    <row r="591" spans="3:11" s="79" customFormat="1">
      <c r="C591" t="s">
        <v>54</v>
      </c>
      <c r="D591" s="160" t="s">
        <v>296</v>
      </c>
      <c r="E591" s="16"/>
      <c r="F591"/>
      <c r="G591" s="359"/>
      <c r="H591"/>
      <c r="I591"/>
    </row>
    <row r="592" spans="3:11" s="79" customFormat="1">
      <c r="C592"/>
      <c r="D592" s="160"/>
      <c r="E592" s="16"/>
      <c r="F592"/>
      <c r="G592" s="359"/>
      <c r="H592"/>
      <c r="I592"/>
    </row>
    <row r="593" spans="3:9" s="79" customFormat="1">
      <c r="C593"/>
      <c r="D593" s="16"/>
      <c r="E593" s="16"/>
      <c r="F593"/>
      <c r="G593" s="359"/>
      <c r="H593"/>
      <c r="I593"/>
    </row>
    <row r="594" spans="3:9" s="79" customFormat="1">
      <c r="C594"/>
      <c r="D594" s="67" t="s">
        <v>91</v>
      </c>
      <c r="E594" s="41"/>
      <c r="F594"/>
      <c r="G594" s="359"/>
      <c r="H594"/>
      <c r="I594"/>
    </row>
    <row r="595" spans="3:9" s="79" customFormat="1">
      <c r="C595"/>
      <c r="D595" s="52">
        <f>'Overall Assumptions'!$C$93</f>
        <v>285</v>
      </c>
      <c r="E595" s="41" t="s">
        <v>93</v>
      </c>
      <c r="F595"/>
      <c r="G595" s="359"/>
      <c r="H595"/>
      <c r="I595"/>
    </row>
    <row r="596" spans="3:9" s="79" customFormat="1">
      <c r="C596"/>
      <c r="D596" s="54">
        <f>D573</f>
        <v>4</v>
      </c>
      <c r="E596" s="43" t="s">
        <v>297</v>
      </c>
      <c r="F596"/>
      <c r="G596" s="359"/>
      <c r="H596"/>
      <c r="I596"/>
    </row>
    <row r="597" spans="3:9" s="79" customFormat="1">
      <c r="C597"/>
      <c r="D597" s="54"/>
      <c r="E597" s="43"/>
      <c r="F597"/>
      <c r="G597" s="359"/>
      <c r="H597"/>
      <c r="I597"/>
    </row>
    <row r="598" spans="3:9" s="79" customFormat="1">
      <c r="C598"/>
      <c r="D598" s="56"/>
      <c r="E598" s="45"/>
      <c r="F598"/>
      <c r="G598" s="359"/>
      <c r="H598"/>
      <c r="I598"/>
    </row>
    <row r="599" spans="3:9" s="79" customFormat="1">
      <c r="C599"/>
      <c r="D599" s="75"/>
      <c r="E599" s="76"/>
      <c r="F599"/>
      <c r="G599" s="359"/>
      <c r="H599"/>
      <c r="I599"/>
    </row>
    <row r="600" spans="3:9" s="79" customFormat="1">
      <c r="C600"/>
      <c r="D600" s="46">
        <f>D579*D596</f>
        <v>0</v>
      </c>
      <c r="E600" s="59" t="s">
        <v>97</v>
      </c>
      <c r="F600"/>
      <c r="G600" s="359"/>
      <c r="H600"/>
      <c r="I600"/>
    </row>
    <row r="601" spans="3:9" s="79" customFormat="1">
      <c r="C601"/>
      <c r="D601" s="46">
        <f>D581</f>
        <v>0.5</v>
      </c>
      <c r="E601" s="59" t="s">
        <v>98</v>
      </c>
      <c r="F601"/>
      <c r="G601" s="359"/>
      <c r="H601"/>
      <c r="I601"/>
    </row>
    <row r="602" spans="3:9" s="79" customFormat="1">
      <c r="C602"/>
      <c r="D602" s="46"/>
      <c r="E602" s="59"/>
      <c r="F602"/>
      <c r="G602" s="359"/>
      <c r="H602"/>
      <c r="I602"/>
    </row>
    <row r="603" spans="3:9" s="79" customFormat="1">
      <c r="C603"/>
      <c r="D603" s="46">
        <f>SUM(D600:D602)</f>
        <v>0.5</v>
      </c>
      <c r="E603" s="59" t="s">
        <v>983</v>
      </c>
      <c r="F603"/>
      <c r="G603" s="359"/>
      <c r="H603"/>
      <c r="I603"/>
    </row>
    <row r="604" spans="3:9" s="79" customFormat="1">
      <c r="C604"/>
      <c r="D604" s="63">
        <f>D603*D596</f>
        <v>2</v>
      </c>
      <c r="E604" s="59" t="s">
        <v>1581</v>
      </c>
      <c r="F604"/>
      <c r="G604" s="359"/>
      <c r="H604"/>
      <c r="I604"/>
    </row>
    <row r="605" spans="3:9" s="79" customFormat="1">
      <c r="C605"/>
      <c r="D605" s="63"/>
      <c r="E605" s="16"/>
      <c r="F605"/>
      <c r="G605" s="359"/>
      <c r="H605"/>
      <c r="I605"/>
    </row>
    <row r="606" spans="3:9" s="79" customFormat="1">
      <c r="C606"/>
      <c r="D606" s="68">
        <f>D603*D595*D596</f>
        <v>570</v>
      </c>
      <c r="E606" s="47" t="s">
        <v>53</v>
      </c>
      <c r="F606"/>
      <c r="G606" s="359"/>
      <c r="H606"/>
      <c r="I606"/>
    </row>
    <row r="607" spans="3:9" s="79" customFormat="1">
      <c r="G607" s="1119"/>
    </row>
    <row r="608" spans="3:9" s="79" customFormat="1">
      <c r="D608" s="90">
        <f>ROUNDUP(D603/21,0)*D596</f>
        <v>4</v>
      </c>
      <c r="E608" s="359" t="s">
        <v>1614</v>
      </c>
      <c r="F608"/>
    </row>
    <row r="609" spans="3:13" s="79" customFormat="1">
      <c r="D609" s="532">
        <f>D603*D596</f>
        <v>2</v>
      </c>
      <c r="E609" s="359" t="s">
        <v>793</v>
      </c>
      <c r="F609" s="532"/>
    </row>
    <row r="610" spans="3:13" s="79" customFormat="1">
      <c r="G610" s="1119"/>
    </row>
    <row r="611" spans="3:13" s="79" customFormat="1">
      <c r="C611" s="225" t="s">
        <v>70</v>
      </c>
      <c r="D611" s="230"/>
      <c r="E611" s="224" t="s">
        <v>156</v>
      </c>
      <c r="F611" s="212"/>
      <c r="G611" s="1108"/>
      <c r="H611" s="212"/>
      <c r="I611" s="119"/>
    </row>
    <row r="612" spans="3:13" s="79" customFormat="1">
      <c r="C612" s="212"/>
      <c r="D612" s="230"/>
      <c r="E612" s="224"/>
      <c r="F612" s="212"/>
      <c r="G612" s="1108"/>
      <c r="H612" s="212"/>
      <c r="I612" s="119"/>
    </row>
    <row r="613" spans="3:13" s="79" customFormat="1">
      <c r="C613" s="212"/>
      <c r="D613" s="230"/>
      <c r="E613" s="224"/>
      <c r="F613" s="212"/>
      <c r="G613" s="1108"/>
      <c r="H613" s="212"/>
      <c r="I613" s="119"/>
    </row>
    <row r="614" spans="3:13" s="79" customFormat="1">
      <c r="C614" s="212"/>
      <c r="D614" s="222">
        <f>D583</f>
        <v>0.5</v>
      </c>
      <c r="E614" s="213" t="s">
        <v>157</v>
      </c>
      <c r="F614" s="212"/>
      <c r="G614" s="1108"/>
      <c r="H614" s="212"/>
      <c r="I614" s="119"/>
    </row>
    <row r="615" spans="3:13" s="79" customFormat="1">
      <c r="C615" s="212"/>
      <c r="D615" s="229">
        <f>FLOOR(D614,1)</f>
        <v>0</v>
      </c>
      <c r="E615" s="213" t="s">
        <v>73</v>
      </c>
      <c r="F615" s="212"/>
      <c r="G615" s="1108"/>
      <c r="H615" s="212"/>
      <c r="I615" s="119"/>
    </row>
    <row r="616" spans="3:13" s="79" customFormat="1">
      <c r="C616" s="212"/>
      <c r="D616" s="228">
        <f>D615*$D$573</f>
        <v>0</v>
      </c>
      <c r="E616" s="214" t="s">
        <v>175</v>
      </c>
      <c r="F616" s="212"/>
      <c r="G616" s="1108"/>
      <c r="H616" s="212"/>
      <c r="I616" s="119"/>
    </row>
    <row r="617" spans="3:13" s="79" customFormat="1">
      <c r="C617" s="212"/>
      <c r="D617" s="227"/>
      <c r="E617" s="214" t="s">
        <v>88</v>
      </c>
      <c r="F617" s="212"/>
      <c r="G617" s="1108"/>
      <c r="H617" s="212"/>
    </row>
    <row r="618" spans="3:13" s="79" customFormat="1">
      <c r="C618" s="212"/>
      <c r="D618" s="226">
        <f>D616*$D$577</f>
        <v>0</v>
      </c>
      <c r="E618" s="221" t="s">
        <v>74</v>
      </c>
      <c r="F618" s="212"/>
      <c r="G618" s="1108"/>
      <c r="H618" s="212"/>
      <c r="J618" s="276"/>
      <c r="K618" s="276"/>
      <c r="L618" s="276"/>
      <c r="M618" s="276"/>
    </row>
    <row r="619" spans="3:13" s="79" customFormat="1">
      <c r="D619" s="282"/>
      <c r="E619" s="76"/>
      <c r="G619" s="1119"/>
      <c r="J619" s="122"/>
      <c r="K619" s="136"/>
      <c r="L619" s="119"/>
      <c r="M619" s="119"/>
    </row>
    <row r="620" spans="3:13" s="79" customFormat="1">
      <c r="D620" s="283"/>
      <c r="E620" s="284"/>
      <c r="F620" s="78"/>
      <c r="G620" s="1119"/>
      <c r="J620" s="122"/>
      <c r="K620" s="136"/>
      <c r="L620" s="119"/>
      <c r="M620" s="119"/>
    </row>
    <row r="621" spans="3:13" s="79" customFormat="1">
      <c r="D621" s="283"/>
      <c r="E621" s="76"/>
      <c r="G621" s="1119"/>
      <c r="J621" s="122"/>
      <c r="K621" s="136"/>
      <c r="L621" s="119"/>
      <c r="M621" s="119"/>
    </row>
    <row r="622" spans="3:13" s="79" customFormat="1">
      <c r="D622" s="143" t="s">
        <v>172</v>
      </c>
      <c r="E622" s="144" t="s">
        <v>155</v>
      </c>
      <c r="F622" s="144" t="s">
        <v>174</v>
      </c>
      <c r="G622" s="1094" t="s">
        <v>166</v>
      </c>
      <c r="H622" s="145" t="s">
        <v>69</v>
      </c>
      <c r="J622" s="122"/>
      <c r="K622" s="147"/>
      <c r="L622" s="119"/>
      <c r="M622" s="119"/>
    </row>
    <row r="623" spans="3:13" s="79" customFormat="1">
      <c r="D623" s="135" t="s">
        <v>3</v>
      </c>
      <c r="E623" s="136">
        <f>D585</f>
        <v>2</v>
      </c>
      <c r="F623" s="122"/>
      <c r="G623" s="1092">
        <f>D587</f>
        <v>450</v>
      </c>
      <c r="H623" s="119" t="str">
        <f>E587</f>
        <v>Cost for labour</v>
      </c>
      <c r="I623" s="79">
        <f>D563</f>
        <v>1</v>
      </c>
    </row>
    <row r="624" spans="3:13" s="79" customFormat="1">
      <c r="D624" s="135" t="s">
        <v>132</v>
      </c>
      <c r="E624" s="136">
        <f>D604</f>
        <v>2</v>
      </c>
      <c r="F624" s="141"/>
      <c r="G624" s="1092">
        <f>D606</f>
        <v>570</v>
      </c>
      <c r="H624" s="119" t="str">
        <f>E606</f>
        <v>Cost for ute hire for the whole activity</v>
      </c>
      <c r="I624" s="79">
        <f>I623</f>
        <v>1</v>
      </c>
    </row>
    <row r="625" spans="3:12" s="79" customFormat="1">
      <c r="D625" s="135" t="s">
        <v>169</v>
      </c>
      <c r="E625" s="136">
        <f>D615</f>
        <v>0</v>
      </c>
      <c r="F625" s="141"/>
      <c r="G625" s="1092">
        <f>D618</f>
        <v>0</v>
      </c>
      <c r="H625" s="119" t="str">
        <f>E618</f>
        <v>Accomodation + Food Cost</v>
      </c>
      <c r="I625" s="79">
        <f>I624</f>
        <v>1</v>
      </c>
    </row>
    <row r="626" spans="3:12" s="79" customFormat="1">
      <c r="D626" s="137"/>
      <c r="E626" s="138"/>
      <c r="F626" s="142"/>
      <c r="G626" s="1116">
        <f>SUM(G623:G625)</f>
        <v>1020</v>
      </c>
      <c r="H626" s="140" t="s">
        <v>165</v>
      </c>
    </row>
    <row r="627" spans="3:12" s="351" customFormat="1">
      <c r="D627" s="352"/>
      <c r="E627" s="353"/>
      <c r="G627" s="1122"/>
    </row>
    <row r="628" spans="3:12" s="9" customFormat="1">
      <c r="E628" s="34"/>
      <c r="F628" s="34"/>
      <c r="G628" s="572"/>
    </row>
    <row r="629" spans="3:12" s="9" customFormat="1">
      <c r="C629" s="121" t="s">
        <v>219</v>
      </c>
      <c r="D629" s="34" t="s">
        <v>396</v>
      </c>
      <c r="E629" s="34"/>
      <c r="G629" s="572"/>
    </row>
    <row r="630" spans="3:12" s="79" customFormat="1">
      <c r="D630" s="279"/>
      <c r="E630" s="76"/>
      <c r="G630" s="1119"/>
    </row>
    <row r="631" spans="3:12" s="79" customFormat="1">
      <c r="C631" s="233"/>
      <c r="D631" s="475"/>
      <c r="E631" s="76"/>
      <c r="G631" s="1119"/>
      <c r="H631" s="129"/>
      <c r="J631" s="65"/>
      <c r="K631" s="66"/>
    </row>
    <row r="632" spans="3:12" s="79" customFormat="1">
      <c r="D632" s="65"/>
      <c r="E632" s="66"/>
      <c r="G632" s="1119"/>
      <c r="J632" s="65"/>
      <c r="K632" s="66"/>
    </row>
    <row r="633" spans="3:12" s="79" customFormat="1">
      <c r="D633" s="330">
        <v>1</v>
      </c>
      <c r="E633" s="66" t="s">
        <v>263</v>
      </c>
      <c r="G633" s="1120"/>
      <c r="H633" s="324"/>
      <c r="I633" s="325"/>
    </row>
    <row r="634" spans="3:12" s="79" customFormat="1">
      <c r="C634" s="9"/>
      <c r="D634" s="290"/>
      <c r="E634" s="124"/>
      <c r="F634" s="147"/>
      <c r="G634" s="1121"/>
      <c r="H634" s="288"/>
      <c r="I634" s="288"/>
      <c r="J634" s="289"/>
      <c r="K634" s="216"/>
    </row>
    <row r="635" spans="3:12" s="79" customFormat="1" ht="19">
      <c r="C635" t="s">
        <v>50</v>
      </c>
      <c r="D635" s="37" t="s">
        <v>81</v>
      </c>
      <c r="E635" s="24"/>
      <c r="F635" s="1"/>
      <c r="G635" s="1100"/>
      <c r="H635" s="286"/>
      <c r="I635" s="286"/>
      <c r="J635" s="289"/>
      <c r="K635" s="216"/>
    </row>
    <row r="636" spans="3:12" s="79" customFormat="1">
      <c r="C636"/>
      <c r="D636" s="24" t="s">
        <v>250</v>
      </c>
      <c r="E636" s="16"/>
      <c r="F636" s="1"/>
      <c r="G636" s="1100"/>
      <c r="J636" s="248"/>
      <c r="K636" s="248"/>
      <c r="L636" s="122"/>
    </row>
    <row r="637" spans="3:12" s="79" customFormat="1">
      <c r="C637"/>
      <c r="D637" s="160" t="s">
        <v>294</v>
      </c>
      <c r="E637" s="16"/>
      <c r="F637"/>
      <c r="G637" s="359"/>
      <c r="J637" s="248"/>
      <c r="K637" s="288"/>
      <c r="L637" s="122"/>
    </row>
    <row r="638" spans="3:12" s="79" customFormat="1">
      <c r="C638"/>
      <c r="D638" s="50"/>
      <c r="E638" s="16"/>
      <c r="F638"/>
      <c r="G638" s="359"/>
      <c r="J638" s="286"/>
      <c r="K638" s="286"/>
      <c r="L638" s="122"/>
    </row>
    <row r="639" spans="3:12" s="79" customFormat="1">
      <c r="C639"/>
      <c r="D639" s="484" t="s">
        <v>82</v>
      </c>
      <c r="E639" s="41"/>
      <c r="F639"/>
      <c r="G639" s="359"/>
      <c r="H639" s="212" t="s">
        <v>994</v>
      </c>
      <c r="I639" s="212"/>
      <c r="J639" s="216"/>
      <c r="K639" s="216"/>
    </row>
    <row r="640" spans="3:12" s="79" customFormat="1" ht="19">
      <c r="C640"/>
      <c r="D640" s="1243">
        <f>'Overall Assumptions'!$C$72</f>
        <v>337.5</v>
      </c>
      <c r="E640" s="53" t="s">
        <v>99</v>
      </c>
      <c r="F640"/>
      <c r="G640" s="359"/>
      <c r="H640" s="474">
        <f>AVERAGE(J641,J645)</f>
        <v>750</v>
      </c>
      <c r="K640" s="76" t="s">
        <v>480</v>
      </c>
    </row>
    <row r="641" spans="3:21" s="79" customFormat="1" ht="19">
      <c r="C641"/>
      <c r="D641" s="54">
        <f>'Overall Assumptions'!$C$6</f>
        <v>100</v>
      </c>
      <c r="E641" s="355" t="s">
        <v>80</v>
      </c>
      <c r="F641"/>
      <c r="G641" s="359"/>
      <c r="I641" s="65"/>
      <c r="J641" s="122">
        <v>500</v>
      </c>
      <c r="K641" s="76" t="s">
        <v>478</v>
      </c>
    </row>
    <row r="642" spans="3:21" s="79" customFormat="1">
      <c r="C642"/>
      <c r="D642" s="482">
        <f>'Overall Assumptions'!$C$135</f>
        <v>0.2</v>
      </c>
      <c r="E642" s="43" t="s">
        <v>79</v>
      </c>
      <c r="F642"/>
      <c r="G642" s="359"/>
      <c r="H642" s="122"/>
      <c r="I642" s="978"/>
      <c r="J642" s="122">
        <v>350</v>
      </c>
      <c r="K642" s="124" t="s">
        <v>479</v>
      </c>
      <c r="U642" s="9"/>
    </row>
    <row r="643" spans="3:21" s="79" customFormat="1">
      <c r="C643"/>
      <c r="D643" s="54">
        <f>D641/D642</f>
        <v>500</v>
      </c>
      <c r="E643" s="483" t="s">
        <v>972</v>
      </c>
      <c r="F643"/>
      <c r="G643" s="359"/>
      <c r="H643" s="122"/>
      <c r="I643" s="978"/>
      <c r="J643" s="129"/>
      <c r="K643" s="76"/>
      <c r="U643" s="9"/>
    </row>
    <row r="644" spans="3:21" s="79" customFormat="1">
      <c r="C644"/>
      <c r="D644" s="42">
        <f>'Overall Assumptions'!$C$53</f>
        <v>4.46</v>
      </c>
      <c r="E644" s="631" t="s">
        <v>780</v>
      </c>
      <c r="F644"/>
      <c r="G644" s="359"/>
      <c r="H644" s="122"/>
      <c r="I644" s="978"/>
      <c r="K644" s="79" t="s">
        <v>485</v>
      </c>
      <c r="U644" s="9"/>
    </row>
    <row r="645" spans="3:21" s="79" customFormat="1">
      <c r="C645"/>
      <c r="D645" s="42">
        <f>'Overall Assumptions'!$C$54</f>
        <v>3.3449999999999998</v>
      </c>
      <c r="E645" s="631" t="s">
        <v>781</v>
      </c>
      <c r="F645"/>
      <c r="G645" s="359"/>
      <c r="H645" s="122"/>
      <c r="I645" s="978"/>
      <c r="J645" s="122">
        <v>1000</v>
      </c>
      <c r="K645" s="122" t="s">
        <v>484</v>
      </c>
      <c r="U645" s="9"/>
    </row>
    <row r="646" spans="3:21" s="79" customFormat="1">
      <c r="C646"/>
      <c r="D646" s="42">
        <f>'Overall Assumptions'!$C$55</f>
        <v>2.23</v>
      </c>
      <c r="E646" s="631" t="s">
        <v>782</v>
      </c>
      <c r="F646"/>
      <c r="G646" s="359"/>
      <c r="H646" s="122"/>
      <c r="I646" s="978"/>
      <c r="K646" s="79" t="s">
        <v>483</v>
      </c>
      <c r="U646" s="9"/>
    </row>
    <row r="647" spans="3:21" s="79" customFormat="1">
      <c r="C647"/>
      <c r="D647" s="354">
        <v>2</v>
      </c>
      <c r="E647" s="43" t="s">
        <v>84</v>
      </c>
      <c r="F647"/>
      <c r="G647" s="359"/>
      <c r="H647" s="122"/>
      <c r="I647" s="978"/>
      <c r="K647" s="79" t="s">
        <v>481</v>
      </c>
      <c r="U647" s="9"/>
    </row>
    <row r="648" spans="3:21" s="79" customFormat="1">
      <c r="C648"/>
      <c r="D648" s="44"/>
      <c r="E648" s="43"/>
      <c r="F648"/>
      <c r="G648" s="359"/>
      <c r="H648" s="122"/>
      <c r="I648" s="978"/>
      <c r="K648" s="473" t="s">
        <v>482</v>
      </c>
      <c r="U648" s="9"/>
    </row>
    <row r="649" spans="3:21" s="79" customFormat="1">
      <c r="C649"/>
      <c r="D649" s="548">
        <v>3</v>
      </c>
      <c r="E649" s="1021" t="s">
        <v>1022</v>
      </c>
      <c r="F649"/>
      <c r="G649" s="359"/>
      <c r="H649" s="122" t="s">
        <v>1016</v>
      </c>
      <c r="I649" s="122"/>
      <c r="U649"/>
    </row>
    <row r="650" spans="3:21" s="79" customFormat="1">
      <c r="C650"/>
      <c r="D650" s="1244">
        <f>D649*D641</f>
        <v>300</v>
      </c>
      <c r="E650" s="1021" t="s">
        <v>1023</v>
      </c>
      <c r="F650"/>
      <c r="G650" s="359"/>
      <c r="H650" s="1023" t="s">
        <v>1017</v>
      </c>
      <c r="I650" s="122"/>
      <c r="U650"/>
    </row>
    <row r="651" spans="3:21" s="79" customFormat="1" ht="19">
      <c r="C651"/>
      <c r="D651" s="354">
        <v>20</v>
      </c>
      <c r="E651" s="43" t="s">
        <v>1015</v>
      </c>
      <c r="F651"/>
      <c r="G651" s="359"/>
      <c r="H651" s="1022" t="s">
        <v>1019</v>
      </c>
      <c r="I651" s="122"/>
      <c r="U651"/>
    </row>
    <row r="652" spans="3:21" s="79" customFormat="1">
      <c r="C652"/>
      <c r="D652" s="1020">
        <f>D650*D651</f>
        <v>6000</v>
      </c>
      <c r="E652" s="43" t="s">
        <v>1013</v>
      </c>
      <c r="F652"/>
      <c r="G652" s="359"/>
      <c r="H652" s="122" t="s">
        <v>1018</v>
      </c>
      <c r="I652" s="122"/>
      <c r="U652"/>
    </row>
    <row r="653" spans="3:21" s="79" customFormat="1">
      <c r="C653"/>
      <c r="D653" s="1245">
        <f>D652/60/7.5</f>
        <v>13.333333333333334</v>
      </c>
      <c r="E653" s="96" t="s">
        <v>1021</v>
      </c>
      <c r="G653" s="359"/>
      <c r="H653" s="122" t="s">
        <v>1014</v>
      </c>
      <c r="I653" s="122"/>
      <c r="U653"/>
    </row>
    <row r="654" spans="3:21" s="79" customFormat="1">
      <c r="C654"/>
      <c r="D654" s="404"/>
      <c r="E654" s="246"/>
      <c r="G654" s="359"/>
      <c r="H654" s="122"/>
      <c r="I654" s="122"/>
      <c r="U654"/>
    </row>
    <row r="655" spans="3:21" s="79" customFormat="1">
      <c r="C655"/>
      <c r="D655" s="1020">
        <f>D652/D641</f>
        <v>60</v>
      </c>
      <c r="E655" s="43" t="s">
        <v>1012</v>
      </c>
      <c r="F655"/>
      <c r="G655" s="359"/>
      <c r="H655" s="122"/>
      <c r="I655" s="122"/>
      <c r="U655"/>
    </row>
    <row r="656" spans="3:21" s="79" customFormat="1">
      <c r="C656"/>
      <c r="D656" s="1020">
        <f>D652/D643</f>
        <v>12</v>
      </c>
      <c r="E656" s="43" t="s">
        <v>1020</v>
      </c>
      <c r="F656"/>
      <c r="G656" s="1119"/>
      <c r="H656" s="122"/>
      <c r="I656" s="122"/>
      <c r="U656"/>
    </row>
    <row r="657" spans="3:21" s="79" customFormat="1">
      <c r="C657"/>
      <c r="D657" s="404"/>
      <c r="E657" s="246"/>
      <c r="G657" s="1119"/>
      <c r="H657" s="122"/>
      <c r="I657" s="122"/>
      <c r="U657"/>
    </row>
    <row r="658" spans="3:21" s="79" customFormat="1">
      <c r="C658"/>
      <c r="D658" s="54">
        <f>'Overall Assumptions'!$C$10</f>
        <v>0</v>
      </c>
      <c r="E658" s="43" t="s">
        <v>85</v>
      </c>
      <c r="F658"/>
      <c r="G658" s="359"/>
      <c r="H658" s="122" t="s">
        <v>996</v>
      </c>
      <c r="I658" s="122"/>
      <c r="U658"/>
    </row>
    <row r="659" spans="3:21" s="79" customFormat="1">
      <c r="C659"/>
      <c r="D659" s="54">
        <f>'Overall Assumptions'!$C$90</f>
        <v>80</v>
      </c>
      <c r="E659" s="43" t="s">
        <v>86</v>
      </c>
      <c r="F659"/>
      <c r="G659" s="359"/>
      <c r="U659"/>
    </row>
    <row r="660" spans="3:21" s="79" customFormat="1">
      <c r="C660"/>
      <c r="D660" s="56">
        <f>'Overall Assumptions'!$C$81</f>
        <v>210</v>
      </c>
      <c r="E660" s="45" t="s">
        <v>87</v>
      </c>
      <c r="F660"/>
      <c r="G660" s="359"/>
      <c r="U660"/>
    </row>
    <row r="661" spans="3:21" s="79" customFormat="1">
      <c r="C661"/>
      <c r="D661" s="75"/>
      <c r="E661" s="76"/>
      <c r="F661"/>
      <c r="G661" s="359"/>
      <c r="U661"/>
    </row>
    <row r="662" spans="3:21" s="79" customFormat="1">
      <c r="C662"/>
      <c r="F662"/>
      <c r="G662" s="359"/>
      <c r="U662"/>
    </row>
    <row r="663" spans="3:21" s="79" customFormat="1">
      <c r="C663"/>
      <c r="F663"/>
      <c r="G663" s="359"/>
      <c r="U663"/>
    </row>
    <row r="664" spans="3:21" s="79" customFormat="1">
      <c r="C664"/>
      <c r="D664" s="79" t="s">
        <v>988</v>
      </c>
      <c r="F664"/>
      <c r="G664" s="359"/>
      <c r="U664"/>
    </row>
    <row r="665" spans="3:21" s="79" customFormat="1">
      <c r="C665"/>
      <c r="G665" s="1119"/>
      <c r="U665"/>
    </row>
    <row r="666" spans="3:21" s="79" customFormat="1">
      <c r="C666"/>
      <c r="D666" s="79" t="s">
        <v>735</v>
      </c>
      <c r="E666" s="79" t="s">
        <v>987</v>
      </c>
      <c r="F666" t="s">
        <v>733</v>
      </c>
      <c r="G666" s="359" t="s">
        <v>796</v>
      </c>
      <c r="U666"/>
    </row>
    <row r="667" spans="3:21" s="79" customFormat="1">
      <c r="C667"/>
      <c r="D667" s="132">
        <f>D644</f>
        <v>4.46</v>
      </c>
      <c r="E667" s="132">
        <f>D645</f>
        <v>3.3449999999999998</v>
      </c>
      <c r="F667" s="532">
        <f>D646</f>
        <v>2.23</v>
      </c>
      <c r="G667" s="359" t="s">
        <v>997</v>
      </c>
      <c r="U667"/>
    </row>
    <row r="668" spans="3:21" s="79" customFormat="1">
      <c r="C668"/>
      <c r="D668" s="336">
        <f>D641</f>
        <v>100</v>
      </c>
      <c r="E668" s="336">
        <f>D668</f>
        <v>100</v>
      </c>
      <c r="F668" s="336">
        <f>E668</f>
        <v>100</v>
      </c>
      <c r="G668" s="1119" t="s">
        <v>173</v>
      </c>
      <c r="U668"/>
    </row>
    <row r="669" spans="3:21" s="79" customFormat="1">
      <c r="C669"/>
      <c r="D669" s="336">
        <f>D643</f>
        <v>500</v>
      </c>
      <c r="E669" s="336">
        <f>D669</f>
        <v>500</v>
      </c>
      <c r="F669" s="336">
        <f>E669</f>
        <v>500</v>
      </c>
      <c r="G669" s="1119" t="s">
        <v>989</v>
      </c>
      <c r="U669"/>
    </row>
    <row r="670" spans="3:21" s="79" customFormat="1">
      <c r="C670"/>
      <c r="D670" s="132">
        <f>D669/D667/7.5</f>
        <v>14.947683109118087</v>
      </c>
      <c r="E670" s="132">
        <f>E669/E667/7.5</f>
        <v>19.930244145490786</v>
      </c>
      <c r="F670" s="132">
        <f>F669/F667/7.5</f>
        <v>29.895366218236173</v>
      </c>
      <c r="G670" s="1093" t="s">
        <v>990</v>
      </c>
      <c r="U670"/>
    </row>
    <row r="671" spans="3:21" s="79" customFormat="1">
      <c r="C671"/>
      <c r="D671" s="128">
        <f>$D653</f>
        <v>13.333333333333334</v>
      </c>
      <c r="E671" s="128">
        <f>$D653</f>
        <v>13.333333333333334</v>
      </c>
      <c r="F671" s="128">
        <f>$D653</f>
        <v>13.333333333333334</v>
      </c>
      <c r="G671" s="1093" t="s">
        <v>991</v>
      </c>
      <c r="U671"/>
    </row>
    <row r="672" spans="3:21" s="79" customFormat="1">
      <c r="C672"/>
      <c r="D672" s="132"/>
      <c r="F672"/>
      <c r="G672" s="1093"/>
      <c r="U672"/>
    </row>
    <row r="673" spans="3:21" s="79" customFormat="1">
      <c r="C673"/>
      <c r="F673"/>
      <c r="G673" s="1093"/>
      <c r="U673"/>
    </row>
    <row r="674" spans="3:21" s="79" customFormat="1">
      <c r="C674" s="21"/>
      <c r="D674" s="296">
        <f>2*D658/D659/7.5</f>
        <v>0</v>
      </c>
      <c r="E674" s="979">
        <f>D674</f>
        <v>0</v>
      </c>
      <c r="F674" s="979">
        <f>E674</f>
        <v>0</v>
      </c>
      <c r="G674" s="693" t="s">
        <v>95</v>
      </c>
      <c r="I674"/>
      <c r="J674"/>
      <c r="U674"/>
    </row>
    <row r="675" spans="3:21" s="79" customFormat="1">
      <c r="C675" s="21"/>
      <c r="D675" s="296"/>
      <c r="G675" s="1123"/>
      <c r="I675"/>
      <c r="J675"/>
      <c r="U675"/>
    </row>
    <row r="676" spans="3:21" s="79" customFormat="1">
      <c r="C676" s="21"/>
      <c r="D676" s="296">
        <f t="shared" ref="D676:F677" si="43">D670</f>
        <v>14.947683109118087</v>
      </c>
      <c r="E676" s="296">
        <f t="shared" si="43"/>
        <v>19.930244145490786</v>
      </c>
      <c r="F676" s="296">
        <f t="shared" si="43"/>
        <v>29.895366218236173</v>
      </c>
      <c r="G676" s="1124" t="s">
        <v>992</v>
      </c>
      <c r="I676"/>
      <c r="J676"/>
      <c r="U676"/>
    </row>
    <row r="677" spans="3:21" s="79" customFormat="1">
      <c r="C677" s="21"/>
      <c r="D677" s="297">
        <f t="shared" si="43"/>
        <v>13.333333333333334</v>
      </c>
      <c r="E677" s="297">
        <f t="shared" si="43"/>
        <v>13.333333333333334</v>
      </c>
      <c r="F677" s="297">
        <f t="shared" si="43"/>
        <v>13.333333333333334</v>
      </c>
      <c r="G677" s="693" t="s">
        <v>993</v>
      </c>
      <c r="U677"/>
    </row>
    <row r="678" spans="3:21" s="79" customFormat="1" ht="28">
      <c r="C678" s="21"/>
      <c r="D678" s="296">
        <f>D674+D676+D677</f>
        <v>28.281016442451421</v>
      </c>
      <c r="E678" s="296">
        <f>E674+E676+E677</f>
        <v>33.263577478824118</v>
      </c>
      <c r="F678" s="296">
        <f>F674+F676+F677</f>
        <v>43.228699551569505</v>
      </c>
      <c r="G678" s="99" t="s">
        <v>157</v>
      </c>
      <c r="I678" s="19"/>
      <c r="J678"/>
      <c r="U678"/>
    </row>
    <row r="679" spans="3:21" s="122" customFormat="1">
      <c r="C679" s="9"/>
      <c r="D679" s="105"/>
      <c r="G679" s="1125"/>
      <c r="I679" s="9"/>
      <c r="J679" s="9"/>
      <c r="U679"/>
    </row>
    <row r="680" spans="3:21" s="79" customFormat="1">
      <c r="C680"/>
      <c r="D680" s="77">
        <f>D678*$D647</f>
        <v>56.562032884902841</v>
      </c>
      <c r="E680" s="77">
        <f>E678*$D647</f>
        <v>66.527154957648236</v>
      </c>
      <c r="F680" s="77">
        <f>F678*$D647</f>
        <v>86.457399103139011</v>
      </c>
      <c r="G680" s="99" t="s">
        <v>787</v>
      </c>
      <c r="I680"/>
      <c r="J680"/>
      <c r="U680"/>
    </row>
    <row r="681" spans="3:21" s="79" customFormat="1">
      <c r="C681"/>
      <c r="D681" s="3612"/>
      <c r="E681" s="164"/>
      <c r="F681" s="255"/>
      <c r="G681" s="1139"/>
      <c r="U681"/>
    </row>
    <row r="682" spans="3:21" s="79" customFormat="1">
      <c r="C682" s="21"/>
      <c r="D682" s="64">
        <f>D680*$D640</f>
        <v>19089.686098654707</v>
      </c>
      <c r="E682" s="64">
        <f>E680*$D640</f>
        <v>22452.914798206279</v>
      </c>
      <c r="F682" s="64">
        <f>F680*$D640</f>
        <v>29179.372197309414</v>
      </c>
      <c r="G682" s="1101" t="s">
        <v>486</v>
      </c>
      <c r="H682" s="276"/>
      <c r="I682" s="276"/>
      <c r="U682"/>
    </row>
    <row r="683" spans="3:21" s="79" customFormat="1">
      <c r="C683" s="21"/>
      <c r="D683" s="65"/>
      <c r="E683" s="65"/>
      <c r="F683" s="65"/>
      <c r="G683" s="1084"/>
      <c r="H683" s="276"/>
      <c r="U683" s="2953"/>
    </row>
    <row r="684" spans="3:21" s="79" customFormat="1">
      <c r="C684" s="21"/>
      <c r="D684" s="65"/>
      <c r="E684" s="65"/>
      <c r="F684" s="65"/>
      <c r="G684" s="1084"/>
      <c r="H684" s="276"/>
      <c r="I684" s="2145" t="s">
        <v>271</v>
      </c>
      <c r="J684" s="2953"/>
      <c r="U684" s="2953"/>
    </row>
    <row r="685" spans="3:21" s="79" customFormat="1">
      <c r="C685" s="21"/>
      <c r="D685" s="65"/>
      <c r="E685" s="65"/>
      <c r="F685" s="65"/>
      <c r="G685" s="1084"/>
      <c r="H685" s="276"/>
      <c r="I685" s="9" t="s">
        <v>275</v>
      </c>
      <c r="U685" s="2953"/>
    </row>
    <row r="686" spans="3:21" s="79" customFormat="1">
      <c r="C686" s="107" t="s">
        <v>1402</v>
      </c>
      <c r="D686" s="255"/>
      <c r="E686" s="255"/>
      <c r="F686" s="255"/>
      <c r="G686" s="161"/>
      <c r="H686" s="276"/>
      <c r="I686" s="349">
        <v>359</v>
      </c>
      <c r="J686" s="2953" t="s">
        <v>272</v>
      </c>
      <c r="U686"/>
    </row>
    <row r="687" spans="3:21" s="79" customFormat="1">
      <c r="C687" s="404"/>
      <c r="D687" s="3610">
        <f>I688</f>
        <v>1.7949999999999999</v>
      </c>
      <c r="E687" s="122" t="s">
        <v>2362</v>
      </c>
      <c r="G687" s="246"/>
      <c r="H687" s="276"/>
      <c r="I687" s="2953">
        <v>200</v>
      </c>
      <c r="J687" s="2953" t="s">
        <v>273</v>
      </c>
      <c r="U687"/>
    </row>
    <row r="688" spans="3:21" s="79" customFormat="1">
      <c r="C688" s="405"/>
      <c r="D688" s="176">
        <f>D650*D687</f>
        <v>538.5</v>
      </c>
      <c r="E688" s="142" t="s">
        <v>1526</v>
      </c>
      <c r="F688" s="138"/>
      <c r="G688" s="2149"/>
      <c r="H688" s="119"/>
      <c r="I688" s="2146">
        <f>I686/I687</f>
        <v>1.7949999999999999</v>
      </c>
      <c r="J688" s="2953" t="s">
        <v>274</v>
      </c>
      <c r="U688" s="3"/>
    </row>
    <row r="689" spans="3:21" s="79" customFormat="1">
      <c r="C689" s="21"/>
      <c r="G689" s="1119"/>
      <c r="H689" s="119"/>
      <c r="I689" s="119"/>
      <c r="L689"/>
      <c r="U689" s="3"/>
    </row>
    <row r="690" spans="3:21" s="79" customFormat="1" ht="19">
      <c r="C690" s="2" t="s">
        <v>132</v>
      </c>
      <c r="D690" s="37" t="s">
        <v>89</v>
      </c>
      <c r="E690" s="16"/>
      <c r="F690"/>
      <c r="G690" s="359"/>
      <c r="H690"/>
      <c r="I690"/>
      <c r="L690"/>
      <c r="U690" s="3"/>
    </row>
    <row r="691" spans="3:21" s="79" customFormat="1">
      <c r="C691" t="s">
        <v>54</v>
      </c>
      <c r="D691" s="160" t="s">
        <v>296</v>
      </c>
      <c r="E691" s="16"/>
      <c r="F691"/>
      <c r="G691" s="359"/>
      <c r="H691"/>
      <c r="I691"/>
      <c r="L691"/>
      <c r="U691" s="3"/>
    </row>
    <row r="692" spans="3:21" s="79" customFormat="1">
      <c r="C692"/>
      <c r="D692" s="160"/>
      <c r="E692" s="16"/>
      <c r="F692"/>
      <c r="G692" s="359"/>
      <c r="H692"/>
      <c r="I692"/>
      <c r="L692"/>
      <c r="M692" s="122"/>
    </row>
    <row r="693" spans="3:21" s="79" customFormat="1">
      <c r="C693"/>
      <c r="D693" s="16"/>
      <c r="E693" s="16"/>
      <c r="F693"/>
      <c r="G693" s="359"/>
      <c r="H693"/>
      <c r="I693"/>
      <c r="L693"/>
    </row>
    <row r="694" spans="3:21" s="79" customFormat="1">
      <c r="C694"/>
      <c r="D694" s="67" t="s">
        <v>91</v>
      </c>
      <c r="E694" s="41"/>
      <c r="F694"/>
      <c r="G694" s="359"/>
      <c r="H694"/>
      <c r="I694"/>
      <c r="L694"/>
    </row>
    <row r="695" spans="3:21" s="79" customFormat="1">
      <c r="C695"/>
      <c r="D695" s="52">
        <f>'Overall Assumptions'!$C$93</f>
        <v>285</v>
      </c>
      <c r="E695" s="41" t="s">
        <v>93</v>
      </c>
      <c r="F695"/>
      <c r="G695" s="359"/>
      <c r="H695"/>
      <c r="I695"/>
      <c r="L695"/>
    </row>
    <row r="696" spans="3:21" s="79" customFormat="1">
      <c r="C696"/>
      <c r="D696" s="54">
        <v>1</v>
      </c>
      <c r="E696" s="43" t="s">
        <v>995</v>
      </c>
      <c r="F696"/>
      <c r="G696" s="359"/>
      <c r="H696"/>
      <c r="I696"/>
      <c r="L696"/>
    </row>
    <row r="697" spans="3:21" s="79" customFormat="1">
      <c r="C697"/>
      <c r="D697" s="54"/>
      <c r="E697" s="43"/>
      <c r="F697"/>
      <c r="G697" s="359"/>
      <c r="H697"/>
      <c r="I697"/>
      <c r="L697" s="274"/>
    </row>
    <row r="698" spans="3:21" s="79" customFormat="1">
      <c r="C698"/>
      <c r="D698" s="56"/>
      <c r="E698" s="45"/>
      <c r="F698"/>
      <c r="G698" s="359"/>
      <c r="H698"/>
      <c r="I698"/>
      <c r="L698"/>
    </row>
    <row r="699" spans="3:21" s="79" customFormat="1">
      <c r="C699"/>
      <c r="D699" s="75"/>
      <c r="E699" s="76"/>
      <c r="F699"/>
      <c r="G699" s="359"/>
      <c r="H699"/>
      <c r="I699"/>
      <c r="L699"/>
    </row>
    <row r="700" spans="3:21" s="79" customFormat="1">
      <c r="C700"/>
      <c r="D700" s="46">
        <f>D674</f>
        <v>0</v>
      </c>
      <c r="E700" s="46">
        <f>E674</f>
        <v>0</v>
      </c>
      <c r="F700" s="46">
        <f>F674</f>
        <v>0</v>
      </c>
      <c r="G700" s="693" t="s">
        <v>97</v>
      </c>
      <c r="H700"/>
      <c r="I700"/>
    </row>
    <row r="701" spans="3:21" s="79" customFormat="1">
      <c r="C701"/>
      <c r="D701" s="46">
        <f>D678</f>
        <v>28.281016442451421</v>
      </c>
      <c r="E701" s="46">
        <f>E678</f>
        <v>33.263577478824118</v>
      </c>
      <c r="F701" s="46">
        <f>F678</f>
        <v>43.228699551569505</v>
      </c>
      <c r="G701" s="693" t="s">
        <v>98</v>
      </c>
      <c r="H701"/>
      <c r="I701"/>
    </row>
    <row r="702" spans="3:21" s="79" customFormat="1">
      <c r="C702"/>
      <c r="D702" s="46"/>
      <c r="F702"/>
      <c r="G702" s="693"/>
      <c r="H702"/>
      <c r="I702"/>
    </row>
    <row r="703" spans="3:21" s="79" customFormat="1">
      <c r="C703"/>
      <c r="D703" s="46">
        <f>SUM(D700:D702)</f>
        <v>28.281016442451421</v>
      </c>
      <c r="E703" s="46">
        <f>SUM(E700:E702)</f>
        <v>33.263577478824118</v>
      </c>
      <c r="F703" s="46">
        <f>SUM(F700:F702)</f>
        <v>43.228699551569505</v>
      </c>
      <c r="G703" s="693" t="s">
        <v>135</v>
      </c>
      <c r="H703"/>
      <c r="I703"/>
    </row>
    <row r="704" spans="3:21" s="79" customFormat="1">
      <c r="C704"/>
      <c r="D704" s="63"/>
      <c r="E704" s="16"/>
      <c r="F704"/>
      <c r="G704" s="359"/>
      <c r="H704"/>
      <c r="I704"/>
    </row>
    <row r="705" spans="3:13" s="79" customFormat="1">
      <c r="C705"/>
      <c r="D705" s="63"/>
      <c r="E705" s="16"/>
      <c r="F705"/>
      <c r="G705" s="359"/>
      <c r="H705"/>
      <c r="I705"/>
    </row>
    <row r="706" spans="3:13" s="79" customFormat="1">
      <c r="C706" t="s">
        <v>998</v>
      </c>
      <c r="D706" s="68">
        <f>D703*$D695*$D696</f>
        <v>8060.089686098655</v>
      </c>
      <c r="E706" s="68">
        <f>E703*$D695*$D696</f>
        <v>9480.1195814648745</v>
      </c>
      <c r="F706" s="68">
        <f>F703*$D695*$D696</f>
        <v>12320.17937219731</v>
      </c>
      <c r="G706" s="1126" t="s">
        <v>53</v>
      </c>
      <c r="H706"/>
      <c r="I706"/>
    </row>
    <row r="707" spans="3:13" s="79" customFormat="1">
      <c r="D707" s="46">
        <f>D701</f>
        <v>28.281016442451421</v>
      </c>
      <c r="E707" s="46">
        <f>E701</f>
        <v>33.263577478824118</v>
      </c>
      <c r="F707" s="46">
        <f>F701</f>
        <v>43.228699551569505</v>
      </c>
      <c r="G707" s="359" t="s">
        <v>795</v>
      </c>
    </row>
    <row r="708" spans="3:13" s="79" customFormat="1">
      <c r="D708" s="75">
        <f>ROUNDUP((D703/21),0)</f>
        <v>2</v>
      </c>
      <c r="E708" s="75">
        <f>ROUNDUP((E703/21),0)</f>
        <v>2</v>
      </c>
      <c r="F708" s="75">
        <f>ROUNDUP((F703/21),0)</f>
        <v>3</v>
      </c>
      <c r="G708" s="99" t="s">
        <v>739</v>
      </c>
    </row>
    <row r="709" spans="3:13" s="79" customFormat="1">
      <c r="D709" s="75"/>
      <c r="E709" s="75"/>
      <c r="F709" s="75"/>
      <c r="G709" s="99"/>
    </row>
    <row r="710" spans="3:13" s="79" customFormat="1">
      <c r="C710" s="225" t="s">
        <v>70</v>
      </c>
      <c r="D710" s="230"/>
      <c r="E710" s="224" t="s">
        <v>156</v>
      </c>
      <c r="F710" s="212"/>
      <c r="G710" s="1108"/>
      <c r="H710" s="212"/>
      <c r="I710" s="119"/>
    </row>
    <row r="711" spans="3:13" s="79" customFormat="1">
      <c r="C711" s="212"/>
      <c r="D711" s="230"/>
      <c r="E711" s="224"/>
      <c r="F711" s="212"/>
      <c r="G711" s="1108"/>
      <c r="H711" s="212"/>
      <c r="I711" s="119"/>
    </row>
    <row r="712" spans="3:13" s="79" customFormat="1">
      <c r="C712" s="212"/>
      <c r="D712" s="230"/>
      <c r="E712" s="224"/>
      <c r="F712" s="212"/>
      <c r="G712" s="1108"/>
      <c r="H712" s="212"/>
      <c r="I712" s="119"/>
    </row>
    <row r="713" spans="3:13" s="79" customFormat="1">
      <c r="C713" s="212"/>
      <c r="D713" s="222">
        <f>D703</f>
        <v>28.281016442451421</v>
      </c>
      <c r="E713" s="222">
        <f>E703</f>
        <v>33.263577478824118</v>
      </c>
      <c r="F713" s="222">
        <f>F703</f>
        <v>43.228699551569505</v>
      </c>
      <c r="G713" s="1127" t="s">
        <v>157</v>
      </c>
      <c r="H713" s="212"/>
      <c r="I713" s="119"/>
    </row>
    <row r="714" spans="3:13" s="79" customFormat="1">
      <c r="C714" s="212"/>
      <c r="D714" s="229">
        <f>FLOOR(D713,1)</f>
        <v>28</v>
      </c>
      <c r="E714" s="229">
        <f>FLOOR(E713,1)</f>
        <v>33</v>
      </c>
      <c r="F714" s="229">
        <f>FLOOR(F713,1)</f>
        <v>43</v>
      </c>
      <c r="G714" s="1127" t="s">
        <v>73</v>
      </c>
      <c r="H714" s="212"/>
      <c r="I714" s="119"/>
    </row>
    <row r="715" spans="3:13" s="79" customFormat="1">
      <c r="C715" s="212"/>
      <c r="D715" s="228">
        <f>D714*$D647</f>
        <v>56</v>
      </c>
      <c r="E715" s="228">
        <f>E714*$D647</f>
        <v>66</v>
      </c>
      <c r="F715" s="228">
        <f>F714*$D647</f>
        <v>86</v>
      </c>
      <c r="G715" s="1128" t="s">
        <v>175</v>
      </c>
      <c r="H715" s="212"/>
      <c r="I715" s="119"/>
    </row>
    <row r="716" spans="3:13" s="79" customFormat="1">
      <c r="C716" s="212"/>
      <c r="D716" s="227"/>
      <c r="E716" s="227"/>
      <c r="F716" s="227"/>
      <c r="G716" s="1128" t="s">
        <v>88</v>
      </c>
      <c r="H716" s="212"/>
    </row>
    <row r="717" spans="3:13" s="79" customFormat="1">
      <c r="C717" s="212"/>
      <c r="D717" s="226">
        <f>D715*$D$577</f>
        <v>11760</v>
      </c>
      <c r="E717" s="226">
        <f>E715*$D$577</f>
        <v>13860</v>
      </c>
      <c r="F717" s="226">
        <f>F715*$D$577</f>
        <v>18060</v>
      </c>
      <c r="G717" s="1129" t="s">
        <v>74</v>
      </c>
      <c r="H717" s="212"/>
      <c r="J717" s="276"/>
      <c r="K717" s="276"/>
      <c r="L717" s="276"/>
      <c r="M717" s="276"/>
    </row>
    <row r="718" spans="3:13" s="79" customFormat="1">
      <c r="C718" s="79" t="s">
        <v>2363</v>
      </c>
      <c r="D718" s="282">
        <f>$D$688</f>
        <v>538.5</v>
      </c>
      <c r="E718" s="282">
        <f t="shared" ref="E718:F718" si="44">$D$688</f>
        <v>538.5</v>
      </c>
      <c r="F718" s="282">
        <f t="shared" si="44"/>
        <v>538.5</v>
      </c>
      <c r="G718" s="1119" t="s">
        <v>2364</v>
      </c>
      <c r="J718" s="122"/>
      <c r="K718" s="136"/>
      <c r="L718" s="119"/>
      <c r="M718" s="119"/>
    </row>
    <row r="719" spans="3:13" s="79" customFormat="1">
      <c r="D719" s="283"/>
      <c r="E719" s="284"/>
      <c r="F719" s="78"/>
      <c r="G719" s="1119"/>
      <c r="J719" s="122"/>
      <c r="K719" s="136"/>
      <c r="L719" s="119"/>
      <c r="M719" s="119"/>
    </row>
    <row r="720" spans="3:13" s="79" customFormat="1">
      <c r="D720" s="283"/>
      <c r="E720" s="76"/>
      <c r="G720" s="1093" t="s">
        <v>166</v>
      </c>
      <c r="J720" s="122"/>
      <c r="K720" s="136"/>
      <c r="L720" s="119"/>
      <c r="M720" s="119"/>
    </row>
    <row r="721" spans="3:13" s="79" customFormat="1">
      <c r="D721" s="143" t="s">
        <v>172</v>
      </c>
      <c r="E721" s="144" t="s">
        <v>2359</v>
      </c>
      <c r="F721" s="144" t="s">
        <v>2360</v>
      </c>
      <c r="G721" s="1093" t="s">
        <v>2361</v>
      </c>
      <c r="H721" s="1130" t="s">
        <v>788</v>
      </c>
      <c r="I721" s="1" t="s">
        <v>779</v>
      </c>
      <c r="J721" s="1" t="s">
        <v>789</v>
      </c>
      <c r="K721" s="145" t="s">
        <v>69</v>
      </c>
      <c r="M721" s="119"/>
    </row>
    <row r="722" spans="3:13" s="79" customFormat="1">
      <c r="D722" s="135" t="s">
        <v>3</v>
      </c>
      <c r="E722" s="136">
        <f>D680</f>
        <v>56.562032884902841</v>
      </c>
      <c r="F722" s="136">
        <f t="shared" ref="F722:G722" si="45">E680</f>
        <v>66.527154957648236</v>
      </c>
      <c r="G722" s="136">
        <f t="shared" si="45"/>
        <v>86.457399103139011</v>
      </c>
      <c r="H722" s="1092">
        <f>D682</f>
        <v>19089.686098654707</v>
      </c>
      <c r="I722" s="119">
        <f>E682</f>
        <v>22452.914798206279</v>
      </c>
      <c r="J722" s="119">
        <f>F682</f>
        <v>29179.372197309414</v>
      </c>
      <c r="K722" s="119" t="str">
        <f>G682</f>
        <v>Cost for labour</v>
      </c>
      <c r="L722" s="119">
        <f>D633</f>
        <v>1</v>
      </c>
    </row>
    <row r="723" spans="3:13" s="79" customFormat="1">
      <c r="D723" s="135" t="s">
        <v>132</v>
      </c>
      <c r="E723" s="136">
        <f>D703</f>
        <v>28.281016442451421</v>
      </c>
      <c r="F723" s="136">
        <f t="shared" ref="F723:G723" si="46">E703</f>
        <v>33.263577478824118</v>
      </c>
      <c r="G723" s="136">
        <f t="shared" si="46"/>
        <v>43.228699551569505</v>
      </c>
      <c r="H723" s="1092">
        <f>D706</f>
        <v>8060.089686098655</v>
      </c>
      <c r="I723" s="119">
        <f>E706</f>
        <v>9480.1195814648745</v>
      </c>
      <c r="J723" s="119">
        <f>F706</f>
        <v>12320.17937219731</v>
      </c>
      <c r="K723" s="119" t="s">
        <v>999</v>
      </c>
      <c r="L723" s="129">
        <f>L722</f>
        <v>1</v>
      </c>
    </row>
    <row r="724" spans="3:13" s="79" customFormat="1">
      <c r="D724" s="135" t="s">
        <v>169</v>
      </c>
      <c r="E724" s="136">
        <f>D715</f>
        <v>56</v>
      </c>
      <c r="F724" s="136">
        <f t="shared" ref="F724:G724" si="47">E715</f>
        <v>66</v>
      </c>
      <c r="G724" s="136">
        <f t="shared" si="47"/>
        <v>86</v>
      </c>
      <c r="H724" s="1092">
        <f>SUM(D717:D718)</f>
        <v>12298.5</v>
      </c>
      <c r="I724" s="1092">
        <f t="shared" ref="I724:J724" si="48">SUM(E717:E718)</f>
        <v>14398.5</v>
      </c>
      <c r="J724" s="1092">
        <f t="shared" si="48"/>
        <v>18598.5</v>
      </c>
      <c r="K724" s="119" t="s">
        <v>2365</v>
      </c>
      <c r="L724" s="129">
        <f>L723</f>
        <v>1</v>
      </c>
    </row>
    <row r="725" spans="3:13" s="79" customFormat="1">
      <c r="D725" s="137"/>
      <c r="E725" s="138"/>
      <c r="F725" s="142"/>
      <c r="H725" s="1116">
        <f>SUM(H722:H724)</f>
        <v>39448.275784753365</v>
      </c>
      <c r="I725" s="139">
        <f>SUM(I722:I724)</f>
        <v>46331.534379671153</v>
      </c>
      <c r="J725" s="139">
        <f>SUM(J722:J724)</f>
        <v>60098.051569506722</v>
      </c>
      <c r="K725" s="140" t="s">
        <v>165</v>
      </c>
    </row>
    <row r="726" spans="3:13">
      <c r="D726" s="25"/>
    </row>
    <row r="727" spans="3:13" s="7" customFormat="1">
      <c r="D727" s="69"/>
      <c r="E727" s="36"/>
      <c r="G727" s="1089"/>
    </row>
    <row r="728" spans="3:13">
      <c r="D728" s="25"/>
    </row>
    <row r="730" spans="3:13">
      <c r="C730" s="1" t="s">
        <v>1000</v>
      </c>
      <c r="D730" s="25"/>
    </row>
    <row r="731" spans="3:13">
      <c r="D731" s="66" t="s">
        <v>1003</v>
      </c>
      <c r="E731" s="76"/>
      <c r="F731" s="79"/>
      <c r="G731" s="1119"/>
      <c r="H731" s="79"/>
      <c r="I731" s="79"/>
    </row>
    <row r="732" spans="3:13">
      <c r="D732" s="329"/>
      <c r="E732" s="76"/>
      <c r="F732" s="79"/>
      <c r="G732" s="1119"/>
      <c r="H732" s="79"/>
      <c r="I732" s="79"/>
    </row>
    <row r="733" spans="3:13">
      <c r="D733" s="117" t="s">
        <v>91</v>
      </c>
      <c r="E733" s="118"/>
      <c r="F733" s="9"/>
      <c r="G733" s="1119"/>
      <c r="H733" s="79"/>
      <c r="I733" s="79"/>
    </row>
    <row r="734" spans="3:13">
      <c r="D734" s="114">
        <v>0.3</v>
      </c>
      <c r="E734" s="115" t="s">
        <v>262</v>
      </c>
      <c r="F734" s="9"/>
      <c r="G734" s="1119"/>
      <c r="H734" s="79"/>
      <c r="I734" s="79"/>
    </row>
    <row r="735" spans="3:13">
      <c r="D735" s="472">
        <v>1</v>
      </c>
      <c r="E735" s="97" t="s">
        <v>260</v>
      </c>
      <c r="F735" s="9"/>
      <c r="G735" s="1119"/>
      <c r="H735" s="79"/>
      <c r="I735" s="79"/>
    </row>
    <row r="736" spans="3:13">
      <c r="E736" s="76"/>
      <c r="F736" s="79"/>
      <c r="G736" s="1119"/>
      <c r="H736" s="79"/>
      <c r="I736" s="79"/>
    </row>
    <row r="737" spans="3:28">
      <c r="E737" s="124"/>
      <c r="F737" s="79"/>
      <c r="G737" s="1119"/>
      <c r="H737" s="79"/>
      <c r="I737" s="79"/>
    </row>
    <row r="738" spans="3:28">
      <c r="E738" s="66"/>
      <c r="F738" s="79"/>
      <c r="G738" s="1119"/>
      <c r="H738" s="79"/>
      <c r="I738" s="79"/>
    </row>
    <row r="739" spans="3:28">
      <c r="D739" s="329"/>
      <c r="E739" s="66"/>
      <c r="F739" s="79"/>
      <c r="G739" s="1119"/>
      <c r="H739" s="79"/>
      <c r="I739" s="79"/>
    </row>
    <row r="740" spans="3:28">
      <c r="D740" s="66"/>
      <c r="E740" s="76"/>
      <c r="F740" s="79"/>
      <c r="G740" s="1119"/>
      <c r="H740" s="79"/>
      <c r="I740" s="79"/>
    </row>
    <row r="741" spans="3:28">
      <c r="D741" s="64"/>
      <c r="E741" s="39" t="str">
        <f>E208</f>
        <v>cost for accommodation and meals</v>
      </c>
      <c r="F741" s="255"/>
      <c r="G741" s="1090"/>
      <c r="H741" s="255"/>
      <c r="I741" s="161"/>
      <c r="K741" s="3918"/>
      <c r="L741" s="3918"/>
      <c r="M741" s="3918"/>
      <c r="N741" s="3918"/>
    </row>
    <row r="742" spans="3:28">
      <c r="D742" s="143" t="str">
        <f t="shared" ref="D742:I742" si="49">D210</f>
        <v>Component</v>
      </c>
      <c r="E742" s="144" t="str">
        <f t="shared" si="49"/>
        <v>Days</v>
      </c>
      <c r="F742" s="144" t="str">
        <f t="shared" si="49"/>
        <v>Area covered</v>
      </c>
      <c r="G742" s="1094" t="str">
        <f t="shared" si="49"/>
        <v>distance</v>
      </c>
      <c r="H742" s="144" t="str">
        <f t="shared" si="49"/>
        <v>Cost</v>
      </c>
      <c r="I742" s="145" t="str">
        <f t="shared" si="49"/>
        <v>Description</v>
      </c>
      <c r="K742" s="10"/>
      <c r="L742" s="10"/>
      <c r="M742" s="10"/>
      <c r="N742" s="10"/>
      <c r="AB742" s="10"/>
    </row>
    <row r="743" spans="3:28">
      <c r="D743" s="135" t="str">
        <f>D211</f>
        <v>Labour</v>
      </c>
      <c r="E743" s="136">
        <f>E211</f>
        <v>0.20512820512820515</v>
      </c>
      <c r="F743" s="141"/>
      <c r="G743" s="1093"/>
      <c r="H743" s="119">
        <f t="shared" ref="H743:I745" si="50">H211</f>
        <v>46.15384615384616</v>
      </c>
      <c r="I743" s="358" t="str">
        <f t="shared" si="50"/>
        <v>Cost for labour</v>
      </c>
      <c r="J743">
        <f>D735</f>
        <v>1</v>
      </c>
    </row>
    <row r="744" spans="3:28">
      <c r="D744" s="135" t="str">
        <f>D212</f>
        <v>Travel</v>
      </c>
      <c r="E744" s="136">
        <f>E212</f>
        <v>0.20512820512820515</v>
      </c>
      <c r="F744" s="141"/>
      <c r="G744" s="1095"/>
      <c r="H744" s="119">
        <f t="shared" si="50"/>
        <v>1307.6923076923076</v>
      </c>
      <c r="I744" s="358" t="str">
        <f t="shared" si="50"/>
        <v xml:space="preserve">Cost for transport </v>
      </c>
      <c r="J744">
        <f>J743</f>
        <v>1</v>
      </c>
    </row>
    <row r="745" spans="3:28">
      <c r="D745" s="135" t="str">
        <f>D213</f>
        <v>Consumables (Accomodation)</v>
      </c>
      <c r="E745" s="136"/>
      <c r="F745" s="141"/>
      <c r="G745" s="1095"/>
      <c r="H745" s="119">
        <f t="shared" si="50"/>
        <v>0</v>
      </c>
      <c r="I745" s="358" t="str">
        <f t="shared" si="50"/>
        <v>cost for accommodation and meals</v>
      </c>
      <c r="J745">
        <f>J744</f>
        <v>1</v>
      </c>
    </row>
    <row r="746" spans="3:28">
      <c r="D746" s="135"/>
      <c r="E746" s="136"/>
      <c r="F746" s="141"/>
      <c r="G746" s="1093"/>
      <c r="H746" s="119"/>
      <c r="I746" s="358"/>
    </row>
    <row r="747" spans="3:28">
      <c r="D747" s="135"/>
      <c r="E747" s="136"/>
      <c r="F747" s="141"/>
      <c r="G747" s="1093"/>
      <c r="H747" s="119"/>
      <c r="I747" s="358"/>
    </row>
    <row r="748" spans="3:28">
      <c r="D748" s="137"/>
      <c r="E748" s="138"/>
      <c r="F748" s="142"/>
      <c r="G748" s="1096"/>
      <c r="H748" s="139">
        <f>H216</f>
        <v>1353.8461538461538</v>
      </c>
      <c r="I748" s="140" t="str">
        <f>I216</f>
        <v>Total cost</v>
      </c>
    </row>
    <row r="750" spans="3:28" s="7" customFormat="1">
      <c r="D750" s="35"/>
      <c r="E750" s="36"/>
      <c r="G750" s="1089"/>
    </row>
    <row r="751" spans="3:28">
      <c r="C751" t="s">
        <v>1002</v>
      </c>
    </row>
    <row r="753" spans="4:12">
      <c r="D753" s="66" t="s">
        <v>1004</v>
      </c>
      <c r="E753" s="76"/>
      <c r="F753" s="79"/>
      <c r="G753" s="1119"/>
    </row>
    <row r="754" spans="4:12">
      <c r="D754" s="329"/>
      <c r="E754" s="76"/>
      <c r="F754" s="79"/>
      <c r="G754" s="1119"/>
    </row>
    <row r="755" spans="4:12">
      <c r="D755" s="117" t="s">
        <v>91</v>
      </c>
      <c r="E755" s="118"/>
      <c r="F755" s="9"/>
      <c r="G755" s="1119"/>
    </row>
    <row r="756" spans="4:12">
      <c r="D756" s="114">
        <v>0.3</v>
      </c>
      <c r="E756" s="115" t="s">
        <v>262</v>
      </c>
      <c r="F756" s="9"/>
      <c r="G756" s="1119"/>
    </row>
    <row r="757" spans="4:12">
      <c r="D757" s="472">
        <v>1</v>
      </c>
      <c r="E757" s="97" t="s">
        <v>260</v>
      </c>
      <c r="F757" s="9"/>
      <c r="G757" s="1119"/>
    </row>
    <row r="758" spans="4:12">
      <c r="D758" s="825"/>
      <c r="E758" s="825"/>
      <c r="H758" s="1" t="s">
        <v>788</v>
      </c>
      <c r="I758" s="1" t="s">
        <v>779</v>
      </c>
      <c r="J758" s="1" t="s">
        <v>789</v>
      </c>
    </row>
    <row r="759" spans="4:12">
      <c r="D759" s="617" t="str">
        <f t="shared" ref="D759:K762" si="51">D324</f>
        <v>Component</v>
      </c>
      <c r="E759" s="618" t="str">
        <f t="shared" si="51"/>
        <v>Days</v>
      </c>
      <c r="F759" s="618" t="str">
        <f t="shared" si="51"/>
        <v>Area covered</v>
      </c>
      <c r="G759" s="1103" t="str">
        <f t="shared" si="51"/>
        <v>distance</v>
      </c>
      <c r="H759" s="618" t="str">
        <f t="shared" si="51"/>
        <v>Cost</v>
      </c>
      <c r="I759" s="618" t="str">
        <f t="shared" si="51"/>
        <v>Cost</v>
      </c>
      <c r="J759" s="618" t="str">
        <f t="shared" si="51"/>
        <v>Cost</v>
      </c>
      <c r="K759" s="619" t="str">
        <f t="shared" si="51"/>
        <v>Description</v>
      </c>
    </row>
    <row r="760" spans="4:12">
      <c r="D760" s="404" t="str">
        <f t="shared" si="51"/>
        <v>Labour</v>
      </c>
      <c r="E760" s="90">
        <f t="shared" si="51"/>
        <v>6.2541106128550075</v>
      </c>
      <c r="F760" s="531">
        <f t="shared" si="51"/>
        <v>30</v>
      </c>
      <c r="G760" s="359">
        <f t="shared" si="51"/>
        <v>0</v>
      </c>
      <c r="H760" s="432">
        <f t="shared" si="51"/>
        <v>1407.1748878923768</v>
      </c>
      <c r="I760" s="432">
        <f t="shared" si="51"/>
        <v>1676.2331838565024</v>
      </c>
      <c r="J760" s="432">
        <f t="shared" si="51"/>
        <v>2214.3497757847535</v>
      </c>
      <c r="K760" s="830" t="str">
        <f t="shared" si="51"/>
        <v>Cost for labour</v>
      </c>
      <c r="L760">
        <v>1</v>
      </c>
    </row>
    <row r="761" spans="4:12">
      <c r="D761" s="404" t="str">
        <f t="shared" si="51"/>
        <v>transport</v>
      </c>
      <c r="E761" s="90">
        <f t="shared" si="51"/>
        <v>3.1270553064275037</v>
      </c>
      <c r="F761" s="531">
        <f t="shared" si="51"/>
        <v>30</v>
      </c>
      <c r="G761" s="1104">
        <f t="shared" si="51"/>
        <v>0</v>
      </c>
      <c r="H761" s="432">
        <f t="shared" si="51"/>
        <v>891.21076233183862</v>
      </c>
      <c r="I761" s="432">
        <f t="shared" si="51"/>
        <v>1061.6143497757848</v>
      </c>
      <c r="J761" s="432">
        <f t="shared" si="51"/>
        <v>1402.4215246636772</v>
      </c>
      <c r="K761" s="830" t="str">
        <f t="shared" si="51"/>
        <v>Cost for ute hire for the whole activity</v>
      </c>
      <c r="L761">
        <v>1</v>
      </c>
    </row>
    <row r="762" spans="4:12">
      <c r="D762" s="404" t="str">
        <f t="shared" si="51"/>
        <v>Consumables (Accomodation)</v>
      </c>
      <c r="E762" s="90">
        <f t="shared" si="51"/>
        <v>6</v>
      </c>
      <c r="F762" s="531">
        <f t="shared" si="51"/>
        <v>30</v>
      </c>
      <c r="G762" s="359">
        <f t="shared" si="51"/>
        <v>0</v>
      </c>
      <c r="H762" s="432">
        <f t="shared" si="51"/>
        <v>1260</v>
      </c>
      <c r="I762" s="432">
        <f t="shared" si="51"/>
        <v>1260</v>
      </c>
      <c r="J762" s="432">
        <f t="shared" si="51"/>
        <v>1680</v>
      </c>
      <c r="K762" s="830" t="str">
        <f t="shared" si="51"/>
        <v>Accomodation + Food Cost</v>
      </c>
      <c r="L762">
        <v>1</v>
      </c>
    </row>
    <row r="763" spans="4:12">
      <c r="D763" s="404"/>
      <c r="E763" s="90"/>
      <c r="F763" s="531"/>
      <c r="H763" s="432"/>
      <c r="I763" s="259"/>
      <c r="J763" s="259"/>
      <c r="K763" s="830"/>
      <c r="L763" s="558"/>
    </row>
    <row r="764" spans="4:12">
      <c r="D764" s="404"/>
      <c r="E764" s="90"/>
      <c r="F764" s="531"/>
      <c r="H764" s="432"/>
      <c r="I764" s="259"/>
      <c r="J764" s="259"/>
      <c r="K764" s="830"/>
    </row>
    <row r="765" spans="4:12">
      <c r="D765" s="405"/>
      <c r="E765" s="439"/>
      <c r="F765" s="439"/>
      <c r="G765" s="1098"/>
      <c r="H765" s="622">
        <f>SUM(H760:H764)</f>
        <v>3558.3856502242152</v>
      </c>
      <c r="I765" s="622">
        <f>SUM(I760:I764)</f>
        <v>3997.8475336322872</v>
      </c>
      <c r="J765" s="622">
        <f>SUM(J760:J764)</f>
        <v>5296.7713004484303</v>
      </c>
      <c r="K765" s="623" t="s">
        <v>165</v>
      </c>
    </row>
    <row r="766" spans="4:12">
      <c r="D766"/>
      <c r="E766"/>
      <c r="F766" s="432"/>
      <c r="G766" s="1099"/>
    </row>
    <row r="767" spans="4:12">
      <c r="D767"/>
      <c r="E767"/>
      <c r="F767" s="432"/>
      <c r="G767" s="1099"/>
    </row>
    <row r="769" spans="3:7" s="7" customFormat="1">
      <c r="D769" s="35"/>
      <c r="E769" s="36"/>
      <c r="G769" s="1089"/>
    </row>
    <row r="770" spans="3:7" s="9" customFormat="1">
      <c r="D770" s="105"/>
      <c r="E770" s="34"/>
      <c r="G770" s="572"/>
    </row>
    <row r="771" spans="3:7" s="9" customFormat="1">
      <c r="C771" s="120" t="s">
        <v>247</v>
      </c>
      <c r="D771" s="105"/>
      <c r="E771" s="34"/>
      <c r="G771" s="572"/>
    </row>
    <row r="772" spans="3:7" s="9" customFormat="1">
      <c r="D772" s="34" t="s">
        <v>258</v>
      </c>
      <c r="E772" s="34"/>
      <c r="G772" s="572"/>
    </row>
    <row r="773" spans="3:7" s="9" customFormat="1">
      <c r="D773" s="38" t="s">
        <v>91</v>
      </c>
      <c r="E773" s="39"/>
      <c r="F773" s="105"/>
      <c r="G773" s="572"/>
    </row>
    <row r="774" spans="3:7" s="9" customFormat="1">
      <c r="D774" s="402"/>
      <c r="E774" s="161"/>
      <c r="G774" s="572"/>
    </row>
    <row r="775" spans="3:7" s="9" customFormat="1">
      <c r="D775" s="332">
        <f>'Overall Assumptions'!$C$125</f>
        <v>3</v>
      </c>
      <c r="E775" s="131" t="str">
        <f>'Overall Assumptions'!$D$115</f>
        <v>weeks</v>
      </c>
      <c r="G775" s="572"/>
    </row>
    <row r="776" spans="3:7" s="9" customFormat="1">
      <c r="C776" s="105"/>
      <c r="D776" s="332">
        <f>D775*5</f>
        <v>15</v>
      </c>
      <c r="E776" s="43" t="str">
        <f>'Overall Assumptions'!$D$116</f>
        <v>days</v>
      </c>
      <c r="G776" s="572"/>
    </row>
    <row r="777" spans="3:7" s="9" customFormat="1">
      <c r="C777" s="105"/>
      <c r="D777" s="332"/>
      <c r="E777" s="43"/>
      <c r="G777" s="572"/>
    </row>
    <row r="778" spans="3:7" s="9" customFormat="1">
      <c r="C778" s="105"/>
      <c r="D778" s="268">
        <v>1</v>
      </c>
      <c r="E778" s="43" t="s">
        <v>259</v>
      </c>
      <c r="G778" s="572"/>
    </row>
    <row r="779" spans="3:7" s="9" customFormat="1">
      <c r="C779" s="105"/>
      <c r="D779" s="332"/>
      <c r="E779" s="43"/>
      <c r="G779" s="572"/>
    </row>
    <row r="780" spans="3:7" s="9" customFormat="1">
      <c r="C780" s="105"/>
      <c r="D780" s="332"/>
      <c r="E780" s="246"/>
      <c r="G780" s="572"/>
    </row>
    <row r="781" spans="3:7" s="9" customFormat="1">
      <c r="D781" s="614">
        <f>'Overall Assumptions'!$C$68</f>
        <v>225</v>
      </c>
      <c r="E781" s="246" t="str">
        <f>'Overall Assumptions'!$B$67</f>
        <v>Labour 1- APS Low (Entry lvl)</v>
      </c>
      <c r="G781" s="572"/>
    </row>
    <row r="782" spans="3:7" s="9" customFormat="1">
      <c r="D782" s="399">
        <f>'Overall Assumptions'!$C$72</f>
        <v>337.5</v>
      </c>
      <c r="E782" s="530" t="str">
        <f>'Overall Assumptions'!$B$71</f>
        <v>Labour 2 - APS High (Experienced)</v>
      </c>
      <c r="G782" s="572"/>
    </row>
    <row r="783" spans="3:7" s="9" customFormat="1">
      <c r="D783" s="112">
        <f>'Overall Assumptions'!$C$76</f>
        <v>487.5</v>
      </c>
      <c r="E783" s="45" t="str">
        <f>'Overall Assumptions'!$B$75</f>
        <v>Labour 3 - EL (Management)</v>
      </c>
      <c r="G783" s="572"/>
    </row>
    <row r="784" spans="3:7" s="9" customFormat="1">
      <c r="D784" s="33"/>
      <c r="E784" s="34"/>
      <c r="G784" s="572"/>
    </row>
    <row r="785" spans="3:10">
      <c r="C785" s="9"/>
      <c r="D785" s="247"/>
      <c r="E785" s="33"/>
      <c r="F785" s="9"/>
      <c r="G785" s="572"/>
      <c r="H785" s="9"/>
      <c r="I785" s="9"/>
      <c r="J785" s="9"/>
    </row>
    <row r="786" spans="3:10">
      <c r="C786" s="9"/>
      <c r="D786" s="33"/>
      <c r="E786" s="34"/>
      <c r="F786" s="9"/>
      <c r="G786" s="572"/>
      <c r="H786" s="9"/>
      <c r="I786" s="9"/>
      <c r="J786" s="9"/>
    </row>
    <row r="787" spans="3:10">
      <c r="C787" s="9"/>
      <c r="D787" s="33"/>
      <c r="E787" s="34"/>
      <c r="F787" s="9"/>
      <c r="G787" s="572"/>
      <c r="H787" s="9"/>
      <c r="I787" s="9"/>
      <c r="J787" s="9"/>
    </row>
    <row r="788" spans="3:10">
      <c r="C788" s="9"/>
      <c r="D788" s="33"/>
      <c r="E788" s="34"/>
      <c r="F788" s="9"/>
      <c r="G788" s="572"/>
      <c r="H788" s="9"/>
      <c r="I788" s="9"/>
      <c r="J788" s="9"/>
    </row>
    <row r="789" spans="3:10">
      <c r="C789" s="9"/>
      <c r="D789" s="175"/>
      <c r="E789" s="164" t="s">
        <v>155</v>
      </c>
      <c r="F789" s="255" t="s">
        <v>166</v>
      </c>
      <c r="G789" s="1090" t="s">
        <v>69</v>
      </c>
      <c r="H789" s="161"/>
      <c r="I789" s="9"/>
      <c r="J789" s="9"/>
    </row>
    <row r="790" spans="3:10">
      <c r="C790" s="9"/>
      <c r="D790" s="405" t="s">
        <v>3</v>
      </c>
      <c r="E790" s="615">
        <f>D776</f>
        <v>15</v>
      </c>
      <c r="F790" s="321">
        <f>D776*D782</f>
        <v>5062.5</v>
      </c>
      <c r="G790" s="1091" t="s">
        <v>182</v>
      </c>
      <c r="H790" s="162"/>
      <c r="I790" s="9"/>
      <c r="J790" s="9"/>
    </row>
    <row r="791" spans="3:10">
      <c r="H791" s="9"/>
    </row>
    <row r="794" spans="3:10" s="182" customFormat="1">
      <c r="D794" s="183"/>
      <c r="E794" s="184"/>
      <c r="G794" s="1131"/>
    </row>
    <row r="795" spans="3:10">
      <c r="C795" s="1" t="s">
        <v>139</v>
      </c>
    </row>
    <row r="796" spans="3:10">
      <c r="C796" s="199">
        <f>'Overall Assumptions'!$C$6</f>
        <v>100</v>
      </c>
      <c r="D796" s="200" t="s">
        <v>195</v>
      </c>
    </row>
    <row r="797" spans="3:10">
      <c r="C797" s="201">
        <f>C796*100</f>
        <v>10000</v>
      </c>
      <c r="D797" s="202" t="s">
        <v>196</v>
      </c>
    </row>
    <row r="799" spans="3:10">
      <c r="C799" s="198"/>
    </row>
    <row r="801" spans="3:6">
      <c r="C801" s="160"/>
    </row>
    <row r="802" spans="3:6">
      <c r="C802" t="s">
        <v>280</v>
      </c>
    </row>
    <row r="803" spans="3:6">
      <c r="C803" t="s">
        <v>284</v>
      </c>
    </row>
    <row r="804" spans="3:6">
      <c r="C804" t="s">
        <v>1032</v>
      </c>
      <c r="D804" s="1081">
        <v>234</v>
      </c>
    </row>
    <row r="805" spans="3:6">
      <c r="C805" t="s">
        <v>285</v>
      </c>
      <c r="D805" s="58">
        <f>C797*2.34</f>
        <v>23400</v>
      </c>
    </row>
    <row r="807" spans="3:6">
      <c r="C807" s="90" t="s">
        <v>281</v>
      </c>
      <c r="D807"/>
    </row>
    <row r="808" spans="3:6" ht="24" customHeight="1">
      <c r="C808" s="436" t="s">
        <v>282</v>
      </c>
    </row>
    <row r="809" spans="3:6">
      <c r="C809" t="s">
        <v>283</v>
      </c>
      <c r="D809" s="58">
        <f>3883+0.84*(C797)</f>
        <v>12283</v>
      </c>
    </row>
    <row r="810" spans="3:6">
      <c r="C810" t="s">
        <v>1033</v>
      </c>
      <c r="D810" s="58">
        <f>D809/100</f>
        <v>122.83</v>
      </c>
    </row>
    <row r="811" spans="3:6">
      <c r="C811" s="204"/>
    </row>
    <row r="813" spans="3:6">
      <c r="C813" s="206"/>
      <c r="F813" s="2"/>
    </row>
    <row r="814" spans="3:6" ht="15" customHeight="1">
      <c r="C814" s="2"/>
      <c r="D814" s="207"/>
      <c r="F814" s="2"/>
    </row>
    <row r="815" spans="3:6" ht="15" customHeight="1">
      <c r="C815" s="2"/>
      <c r="D815" s="207"/>
      <c r="F815" s="2"/>
    </row>
    <row r="816" spans="3:6" ht="15" customHeight="1">
      <c r="C816" s="2"/>
      <c r="D816" s="207"/>
      <c r="F816" s="2"/>
    </row>
    <row r="817" spans="3:6" ht="15" customHeight="1">
      <c r="C817" s="2"/>
      <c r="D817" s="207"/>
      <c r="F817" s="2"/>
    </row>
    <row r="818" spans="3:6" ht="15" customHeight="1">
      <c r="C818" s="206"/>
      <c r="D818" s="207"/>
      <c r="F818" s="2"/>
    </row>
    <row r="819" spans="3:6" ht="15" customHeight="1">
      <c r="D819" s="207"/>
    </row>
    <row r="820" spans="3:6" ht="15" customHeight="1">
      <c r="D820" s="207"/>
      <c r="E820" s="2"/>
      <c r="F820" s="2"/>
    </row>
    <row r="821" spans="3:6" ht="15" customHeight="1">
      <c r="D821" s="207"/>
      <c r="F821" s="2"/>
    </row>
    <row r="822" spans="3:6" ht="15" customHeight="1">
      <c r="D822" s="207"/>
      <c r="F822" s="2"/>
    </row>
    <row r="823" spans="3:6" ht="15" customHeight="1">
      <c r="D823" s="207"/>
    </row>
    <row r="824" spans="3:6" ht="15" customHeight="1">
      <c r="D824" s="207"/>
    </row>
    <row r="825" spans="3:6" ht="15" customHeight="1">
      <c r="D825" s="57"/>
    </row>
    <row r="826" spans="3:6">
      <c r="D826" s="16"/>
    </row>
    <row r="827" spans="3:6">
      <c r="C827" s="206"/>
      <c r="D827" s="208"/>
      <c r="E827" s="6"/>
    </row>
    <row r="828" spans="3:6">
      <c r="D828" s="207"/>
    </row>
    <row r="829" spans="3:6">
      <c r="D829" s="207"/>
      <c r="F829" s="2"/>
    </row>
    <row r="830" spans="3:6">
      <c r="D830" s="207"/>
      <c r="F830" s="2"/>
    </row>
    <row r="831" spans="3:6">
      <c r="D831" s="156"/>
      <c r="F831" s="2"/>
    </row>
    <row r="832" spans="3:6">
      <c r="C832" s="206"/>
      <c r="F832" s="2"/>
    </row>
    <row r="833" spans="3:10">
      <c r="C833" s="206"/>
      <c r="D833" s="207"/>
      <c r="F833" s="2"/>
    </row>
    <row r="834" spans="3:10">
      <c r="D834" s="207"/>
      <c r="G834" s="99"/>
    </row>
    <row r="835" spans="3:10">
      <c r="D835" s="16"/>
      <c r="G835" s="99"/>
      <c r="H835" s="16"/>
    </row>
    <row r="836" spans="3:10">
      <c r="D836" s="207"/>
      <c r="G836" s="1132"/>
    </row>
    <row r="837" spans="3:10">
      <c r="D837" s="207"/>
      <c r="G837" s="1133"/>
    </row>
    <row r="838" spans="3:10">
      <c r="G838" s="99"/>
    </row>
    <row r="839" spans="3:10">
      <c r="D839" s="57"/>
      <c r="G839" s="1102"/>
      <c r="H839" s="16"/>
    </row>
    <row r="840" spans="3:10">
      <c r="G840" s="1102"/>
      <c r="H840" s="16"/>
    </row>
    <row r="841" spans="3:10">
      <c r="D841" s="156"/>
      <c r="J841" s="16"/>
    </row>
    <row r="842" spans="3:10">
      <c r="D842" s="156"/>
      <c r="J842" s="16"/>
    </row>
    <row r="844" spans="3:10">
      <c r="D844" s="16"/>
    </row>
    <row r="845" spans="3:10">
      <c r="D845" s="16"/>
    </row>
    <row r="846" spans="3:10">
      <c r="D846" s="16"/>
    </row>
    <row r="847" spans="3:10">
      <c r="D847" s="16"/>
    </row>
    <row r="850" spans="2:42" s="24" customFormat="1">
      <c r="B850"/>
      <c r="C850" s="206"/>
      <c r="E850" s="16"/>
      <c r="F850"/>
      <c r="G850" s="359"/>
      <c r="H850"/>
      <c r="I850"/>
      <c r="J850"/>
      <c r="K850"/>
      <c r="L850"/>
      <c r="M850"/>
      <c r="N850"/>
      <c r="O850"/>
      <c r="P850"/>
      <c r="Q850" s="2791"/>
      <c r="R850" s="2791"/>
      <c r="S850" s="2791"/>
      <c r="T850"/>
      <c r="U850"/>
      <c r="V850"/>
      <c r="W850"/>
      <c r="X850"/>
      <c r="Y850"/>
      <c r="Z850"/>
      <c r="AA850"/>
      <c r="AB850"/>
      <c r="AC850"/>
      <c r="AD850"/>
      <c r="AE850"/>
      <c r="AF850"/>
      <c r="AG850"/>
      <c r="AH850"/>
      <c r="AI850"/>
      <c r="AJ850"/>
      <c r="AK850"/>
      <c r="AL850"/>
      <c r="AM850"/>
      <c r="AN850"/>
      <c r="AO850"/>
      <c r="AP850"/>
    </row>
    <row r="851" spans="2:42" s="24" customFormat="1">
      <c r="B851"/>
      <c r="C851" s="206"/>
      <c r="E851" s="16"/>
      <c r="F851"/>
      <c r="G851" s="359"/>
      <c r="H851"/>
      <c r="I851"/>
      <c r="J851"/>
      <c r="K851"/>
      <c r="L851"/>
      <c r="M851"/>
      <c r="N851"/>
      <c r="O851"/>
      <c r="P851"/>
      <c r="Q851" s="2791"/>
      <c r="R851" s="2791"/>
      <c r="S851" s="2791"/>
      <c r="T851"/>
      <c r="U851"/>
      <c r="V851"/>
      <c r="W851"/>
      <c r="X851"/>
      <c r="Y851"/>
      <c r="Z851"/>
      <c r="AA851"/>
      <c r="AB851"/>
      <c r="AC851"/>
      <c r="AD851"/>
      <c r="AE851"/>
      <c r="AF851"/>
      <c r="AG851"/>
      <c r="AH851"/>
      <c r="AI851"/>
      <c r="AJ851"/>
      <c r="AK851"/>
      <c r="AL851"/>
      <c r="AM851"/>
      <c r="AN851"/>
      <c r="AO851"/>
      <c r="AP851"/>
    </row>
    <row r="852" spans="2:42" s="24" customFormat="1">
      <c r="B852"/>
      <c r="C852" s="206"/>
      <c r="E852" s="16"/>
      <c r="F852"/>
      <c r="G852" s="359"/>
      <c r="H852"/>
      <c r="I852"/>
      <c r="J852"/>
      <c r="K852"/>
      <c r="L852"/>
      <c r="M852"/>
      <c r="N852"/>
      <c r="O852"/>
      <c r="P852"/>
      <c r="Q852" s="2791"/>
      <c r="R852" s="2791"/>
      <c r="S852" s="2791"/>
      <c r="T852"/>
      <c r="U852"/>
      <c r="V852"/>
      <c r="W852"/>
      <c r="X852"/>
      <c r="Y852"/>
      <c r="Z852"/>
      <c r="AA852"/>
      <c r="AB852"/>
      <c r="AC852"/>
      <c r="AD852"/>
      <c r="AE852"/>
      <c r="AF852"/>
      <c r="AG852"/>
      <c r="AH852"/>
      <c r="AI852"/>
      <c r="AJ852"/>
      <c r="AK852"/>
      <c r="AL852"/>
      <c r="AM852"/>
      <c r="AN852"/>
      <c r="AO852"/>
      <c r="AP852"/>
    </row>
    <row r="853" spans="2:42" s="24" customFormat="1">
      <c r="B853"/>
      <c r="C853" s="206"/>
      <c r="E853" s="16"/>
      <c r="F853"/>
      <c r="G853" s="359"/>
      <c r="H853"/>
      <c r="I853"/>
      <c r="J853"/>
      <c r="K853"/>
      <c r="L853"/>
      <c r="M853"/>
      <c r="N853"/>
      <c r="O853"/>
      <c r="P853"/>
      <c r="Q853" s="2791"/>
      <c r="R853" s="2791"/>
      <c r="S853" s="2791"/>
      <c r="T853"/>
      <c r="U853"/>
      <c r="V853"/>
      <c r="W853"/>
      <c r="X853"/>
      <c r="Y853"/>
      <c r="Z853"/>
      <c r="AA853"/>
      <c r="AB853"/>
      <c r="AC853"/>
      <c r="AD853"/>
      <c r="AE853"/>
      <c r="AF853"/>
      <c r="AG853"/>
      <c r="AH853"/>
      <c r="AI853"/>
      <c r="AJ853"/>
      <c r="AK853"/>
      <c r="AL853"/>
      <c r="AM853"/>
      <c r="AN853"/>
      <c r="AO853"/>
      <c r="AP853"/>
    </row>
    <row r="854" spans="2:42" s="24" customFormat="1">
      <c r="B854"/>
      <c r="C854" s="206"/>
      <c r="E854" s="16"/>
      <c r="F854"/>
      <c r="G854" s="359"/>
      <c r="H854"/>
      <c r="I854"/>
      <c r="J854"/>
      <c r="K854"/>
      <c r="L854"/>
      <c r="M854"/>
      <c r="N854"/>
      <c r="O854"/>
      <c r="P854"/>
      <c r="Q854" s="2791"/>
      <c r="R854" s="2791"/>
      <c r="S854" s="2791"/>
      <c r="T854"/>
      <c r="U854"/>
      <c r="V854"/>
      <c r="W854"/>
      <c r="X854"/>
      <c r="Y854"/>
      <c r="Z854"/>
      <c r="AA854"/>
      <c r="AB854"/>
      <c r="AC854"/>
      <c r="AD854"/>
      <c r="AE854"/>
      <c r="AF854"/>
      <c r="AG854"/>
      <c r="AH854"/>
      <c r="AI854"/>
      <c r="AJ854"/>
      <c r="AK854"/>
      <c r="AL854"/>
      <c r="AM854"/>
      <c r="AN854"/>
      <c r="AO854"/>
      <c r="AP854"/>
    </row>
    <row r="855" spans="2:42" s="24" customFormat="1">
      <c r="B855"/>
      <c r="C855" s="206"/>
      <c r="E855" s="16"/>
      <c r="F855"/>
      <c r="G855" s="359"/>
      <c r="H855"/>
      <c r="I855"/>
      <c r="J855"/>
      <c r="K855"/>
      <c r="L855"/>
      <c r="M855"/>
      <c r="N855"/>
      <c r="O855"/>
      <c r="P855"/>
      <c r="Q855" s="2791"/>
      <c r="R855" s="2791"/>
      <c r="S855" s="2791"/>
      <c r="T855"/>
      <c r="U855"/>
      <c r="V855"/>
      <c r="W855"/>
      <c r="X855"/>
      <c r="Y855"/>
      <c r="Z855"/>
      <c r="AA855"/>
      <c r="AB855"/>
      <c r="AC855"/>
      <c r="AD855"/>
      <c r="AE855"/>
      <c r="AF855"/>
      <c r="AG855"/>
      <c r="AH855"/>
      <c r="AI855"/>
      <c r="AJ855"/>
      <c r="AK855"/>
      <c r="AL855"/>
      <c r="AM855"/>
      <c r="AN855"/>
      <c r="AO855"/>
      <c r="AP855"/>
    </row>
    <row r="856" spans="2:42" s="24" customFormat="1">
      <c r="B856"/>
      <c r="C856" s="206"/>
      <c r="E856" s="16"/>
      <c r="F856"/>
      <c r="G856" s="359"/>
      <c r="H856"/>
      <c r="I856"/>
      <c r="J856"/>
      <c r="K856"/>
      <c r="L856"/>
      <c r="M856"/>
      <c r="N856"/>
      <c r="O856"/>
      <c r="P856"/>
      <c r="Q856" s="2791"/>
      <c r="R856" s="2791"/>
      <c r="S856" s="2791"/>
      <c r="T856"/>
      <c r="U856"/>
      <c r="V856"/>
      <c r="W856"/>
      <c r="X856"/>
      <c r="Y856"/>
      <c r="Z856"/>
      <c r="AA856"/>
      <c r="AB856"/>
      <c r="AC856"/>
      <c r="AD856"/>
      <c r="AE856"/>
      <c r="AF856"/>
      <c r="AG856"/>
      <c r="AH856"/>
      <c r="AI856"/>
      <c r="AJ856"/>
      <c r="AK856"/>
      <c r="AL856"/>
      <c r="AM856"/>
      <c r="AN856"/>
      <c r="AO856"/>
      <c r="AP856"/>
    </row>
  </sheetData>
  <mergeCells count="61">
    <mergeCell ref="Q17:S20"/>
    <mergeCell ref="Q21:Q22"/>
    <mergeCell ref="R21:R22"/>
    <mergeCell ref="S21:S22"/>
    <mergeCell ref="M741:N741"/>
    <mergeCell ref="K741:L741"/>
    <mergeCell ref="C79:C82"/>
    <mergeCell ref="D79:D82"/>
    <mergeCell ref="D83:D86"/>
    <mergeCell ref="D59:D62"/>
    <mergeCell ref="D63:D66"/>
    <mergeCell ref="C67:C70"/>
    <mergeCell ref="D67:D70"/>
    <mergeCell ref="X21:X22"/>
    <mergeCell ref="D75:D78"/>
    <mergeCell ref="D27:D30"/>
    <mergeCell ref="C47:C50"/>
    <mergeCell ref="D55:D58"/>
    <mergeCell ref="D31:D34"/>
    <mergeCell ref="C75:C78"/>
    <mergeCell ref="D47:D50"/>
    <mergeCell ref="D39:D42"/>
    <mergeCell ref="D43:D46"/>
    <mergeCell ref="C43:C46"/>
    <mergeCell ref="D35:D38"/>
    <mergeCell ref="C71:C74"/>
    <mergeCell ref="D71:D74"/>
    <mergeCell ref="C51:C54"/>
    <mergeCell ref="D51:D54"/>
    <mergeCell ref="AJ21:AJ22"/>
    <mergeCell ref="AK21:AK22"/>
    <mergeCell ref="C23:C26"/>
    <mergeCell ref="D23:D26"/>
    <mergeCell ref="AH19:AK20"/>
    <mergeCell ref="C21:C22"/>
    <mergeCell ref="D21:D22"/>
    <mergeCell ref="E21:E22"/>
    <mergeCell ref="F21:G21"/>
    <mergeCell ref="H21:I21"/>
    <mergeCell ref="L21:M21"/>
    <mergeCell ref="N21:N22"/>
    <mergeCell ref="O21:O22"/>
    <mergeCell ref="P21:P22"/>
    <mergeCell ref="L19:P20"/>
    <mergeCell ref="U19:U20"/>
    <mergeCell ref="U17:AC18"/>
    <mergeCell ref="B17:K20"/>
    <mergeCell ref="AD19:AE20"/>
    <mergeCell ref="AD21:AD22"/>
    <mergeCell ref="AE21:AE22"/>
    <mergeCell ref="L17:P18"/>
    <mergeCell ref="V19:Z20"/>
    <mergeCell ref="AA19:AB20"/>
    <mergeCell ref="AC19:AC22"/>
    <mergeCell ref="Y21:Y22"/>
    <mergeCell ref="Z21:Z22"/>
    <mergeCell ref="AA21:AA22"/>
    <mergeCell ref="AB21:AB22"/>
    <mergeCell ref="U21:U22"/>
    <mergeCell ref="V21:V22"/>
    <mergeCell ref="W21:W22"/>
  </mergeCells>
  <hyperlinks>
    <hyperlink ref="K648" r:id="rId1" xr:uid="{00000000-0004-0000-1D00-000000000000}"/>
    <hyperlink ref="H650" r:id="rId2" display="https://www.researchgate.net/profile/Peter_Caley/publication/248882734_Population_Dynamics_of_Feral_Pigs_Sus_Scrofa_in_a_Tropical_Riverine_Habitat_Complex/links/598913480f7e9b6c8539fdde/Population-Dynamics-of-Feral-Pigs-Sus-Scrofa-in-a-Tropical-Riverine-Habitat-Complex.pdf" xr:uid="{00000000-0004-0000-1D00-000001000000}"/>
    <hyperlink ref="I684" r:id="rId3" xr:uid="{00000000-0004-0000-1D00-000002000000}"/>
  </hyperlinks>
  <pageMargins left="0.7" right="0.7" top="0.75" bottom="0.75" header="0.3" footer="0.3"/>
  <pageSetup paperSize="9" orientation="portrait" horizontalDpi="0" verticalDpi="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B1:AC82"/>
  <sheetViews>
    <sheetView showGridLines="0" zoomScaleNormal="100" workbookViewId="0">
      <selection activeCell="H36" sqref="H36"/>
    </sheetView>
  </sheetViews>
  <sheetFormatPr baseColWidth="10" defaultColWidth="11" defaultRowHeight="16" outlineLevelRow="1"/>
  <cols>
    <col min="1" max="1" width="4.6640625" customWidth="1"/>
    <col min="2" max="2" width="17.5" customWidth="1"/>
    <col min="3" max="3" width="29" customWidth="1"/>
    <col min="4" max="4" width="16.83203125" customWidth="1"/>
    <col min="5" max="5" width="13.33203125" customWidth="1"/>
    <col min="6" max="8" width="14.33203125" customWidth="1"/>
    <col min="9" max="9" width="18.1640625" customWidth="1"/>
    <col min="10" max="10" width="22.1640625" customWidth="1"/>
    <col min="11" max="11" width="20.33203125" customWidth="1"/>
    <col min="12" max="12" width="23.5" style="2953" customWidth="1"/>
    <col min="13" max="13" width="14.33203125" customWidth="1"/>
    <col min="14" max="16" width="11.83203125" customWidth="1"/>
    <col min="17" max="17" width="12.1640625" customWidth="1"/>
    <col min="18" max="18" width="23.1640625" customWidth="1"/>
    <col min="19" max="19" width="11.1640625" customWidth="1"/>
    <col min="20" max="21" width="12.1640625" customWidth="1"/>
    <col min="22" max="25" width="13.5" customWidth="1"/>
  </cols>
  <sheetData>
    <row r="1" spans="2:29">
      <c r="B1" s="8" t="s">
        <v>1035</v>
      </c>
    </row>
    <row r="3" spans="2:29">
      <c r="B3" s="8" t="s">
        <v>844</v>
      </c>
      <c r="H3" s="692"/>
      <c r="I3" s="692"/>
      <c r="J3" s="692"/>
      <c r="K3" s="692"/>
      <c r="L3" s="692"/>
      <c r="M3" s="692"/>
    </row>
    <row r="4" spans="2:29" ht="17" thickBot="1">
      <c r="B4" t="s">
        <v>839</v>
      </c>
      <c r="C4" t="s">
        <v>845</v>
      </c>
      <c r="D4" s="1"/>
      <c r="E4" s="1"/>
      <c r="F4" s="1"/>
      <c r="G4" s="1"/>
      <c r="H4" s="1"/>
      <c r="I4" s="1"/>
      <c r="Q4" t="s">
        <v>1976</v>
      </c>
    </row>
    <row r="5" spans="2:29">
      <c r="C5" s="804" t="s">
        <v>838</v>
      </c>
      <c r="D5" s="805" t="s">
        <v>860</v>
      </c>
      <c r="E5" s="805"/>
      <c r="F5" s="805"/>
      <c r="G5" s="805"/>
      <c r="H5" s="805"/>
      <c r="I5" s="805"/>
      <c r="Q5" s="593"/>
      <c r="R5" s="401" t="s">
        <v>1941</v>
      </c>
      <c r="S5" s="274" t="s">
        <v>1942</v>
      </c>
    </row>
    <row r="6" spans="2:29">
      <c r="C6" s="807" t="s">
        <v>827</v>
      </c>
      <c r="D6" t="s">
        <v>828</v>
      </c>
      <c r="I6" s="79"/>
      <c r="Q6" s="591">
        <v>1</v>
      </c>
      <c r="R6" s="79" t="s">
        <v>1943</v>
      </c>
      <c r="S6" s="246" t="s">
        <v>1704</v>
      </c>
    </row>
    <row r="7" spans="2:29">
      <c r="C7" s="807" t="s">
        <v>827</v>
      </c>
      <c r="D7" s="2791" t="s">
        <v>830</v>
      </c>
      <c r="I7" s="79"/>
      <c r="Q7" s="591">
        <v>2</v>
      </c>
      <c r="R7" s="79" t="s">
        <v>1944</v>
      </c>
      <c r="S7" s="246" t="s">
        <v>1704</v>
      </c>
    </row>
    <row r="8" spans="2:29">
      <c r="C8" s="807"/>
      <c r="I8" s="79"/>
      <c r="Q8" s="591">
        <v>3</v>
      </c>
      <c r="R8" s="79" t="s">
        <v>1945</v>
      </c>
      <c r="S8" s="246" t="s">
        <v>1704</v>
      </c>
    </row>
    <row r="9" spans="2:29">
      <c r="C9" s="807" t="s">
        <v>827</v>
      </c>
      <c r="D9" t="s">
        <v>2390</v>
      </c>
      <c r="I9" s="79"/>
      <c r="Q9" s="591">
        <v>4</v>
      </c>
      <c r="R9" s="79" t="s">
        <v>1946</v>
      </c>
      <c r="S9" s="246" t="s">
        <v>1704</v>
      </c>
    </row>
    <row r="10" spans="2:29">
      <c r="C10" s="807" t="s">
        <v>827</v>
      </c>
      <c r="D10" t="s">
        <v>2386</v>
      </c>
      <c r="I10" s="79"/>
      <c r="Q10" s="591">
        <v>5</v>
      </c>
      <c r="R10" s="79" t="s">
        <v>1947</v>
      </c>
      <c r="S10" s="246" t="s">
        <v>1140</v>
      </c>
    </row>
    <row r="11" spans="2:29" ht="17" thickBot="1">
      <c r="C11" s="808"/>
      <c r="D11" s="574"/>
      <c r="E11" s="574"/>
      <c r="F11" s="574"/>
      <c r="G11" s="574"/>
      <c r="H11" s="574"/>
      <c r="I11" s="574"/>
      <c r="Q11" s="591">
        <v>6</v>
      </c>
      <c r="R11" s="79" t="s">
        <v>1948</v>
      </c>
      <c r="S11" s="246" t="s">
        <v>1140</v>
      </c>
      <c r="AC11" s="587">
        <v>0</v>
      </c>
    </row>
    <row r="12" spans="2:29">
      <c r="C12" s="360" t="s">
        <v>851</v>
      </c>
      <c r="Q12" s="591">
        <v>7</v>
      </c>
      <c r="R12" s="79" t="s">
        <v>1949</v>
      </c>
      <c r="S12" s="246" t="s">
        <v>1704</v>
      </c>
      <c r="AC12" s="587"/>
    </row>
    <row r="13" spans="2:29">
      <c r="Q13" s="591">
        <v>8</v>
      </c>
      <c r="R13" s="79" t="s">
        <v>1950</v>
      </c>
      <c r="S13" s="246" t="s">
        <v>1140</v>
      </c>
      <c r="AC13" s="587"/>
    </row>
    <row r="14" spans="2:29">
      <c r="B14" t="s">
        <v>942</v>
      </c>
      <c r="C14" s="359" t="s">
        <v>848</v>
      </c>
      <c r="Q14" s="591">
        <v>9</v>
      </c>
      <c r="R14" s="79" t="s">
        <v>1951</v>
      </c>
      <c r="S14" s="246" t="s">
        <v>1704</v>
      </c>
      <c r="AC14" s="587"/>
    </row>
    <row r="15" spans="2:29">
      <c r="Q15" s="591">
        <v>10</v>
      </c>
      <c r="R15" s="79" t="s">
        <v>1952</v>
      </c>
      <c r="S15" s="246" t="s">
        <v>1704</v>
      </c>
    </row>
    <row r="16" spans="2:29">
      <c r="B16" s="8" t="s">
        <v>730</v>
      </c>
      <c r="Q16" s="591">
        <v>12</v>
      </c>
      <c r="R16" s="79" t="s">
        <v>1953</v>
      </c>
      <c r="S16" s="246" t="s">
        <v>1140</v>
      </c>
    </row>
    <row r="17" spans="2:19" ht="17">
      <c r="B17" s="3" t="s">
        <v>847</v>
      </c>
      <c r="H17" s="562"/>
      <c r="I17" s="562"/>
      <c r="J17" s="562"/>
      <c r="K17" s="562"/>
      <c r="L17" s="562"/>
      <c r="M17" s="562"/>
      <c r="Q17" s="591">
        <v>14</v>
      </c>
      <c r="R17" s="79" t="s">
        <v>1954</v>
      </c>
      <c r="S17" s="246" t="s">
        <v>1140</v>
      </c>
    </row>
    <row r="18" spans="2:19" ht="17">
      <c r="C18" t="s">
        <v>1038</v>
      </c>
      <c r="H18" s="562"/>
      <c r="I18" s="562"/>
      <c r="J18" s="562"/>
      <c r="K18" s="562"/>
      <c r="L18" s="562"/>
      <c r="M18" s="562"/>
      <c r="Q18" s="591">
        <v>30</v>
      </c>
      <c r="R18" s="79" t="s">
        <v>1955</v>
      </c>
      <c r="S18" s="246" t="s">
        <v>1704</v>
      </c>
    </row>
    <row r="19" spans="2:19">
      <c r="C19" t="s">
        <v>843</v>
      </c>
      <c r="H19" s="692"/>
      <c r="I19" s="692"/>
      <c r="J19" s="2630" t="s">
        <v>1985</v>
      </c>
      <c r="K19" s="692"/>
      <c r="L19" s="692"/>
      <c r="M19" s="692"/>
      <c r="Q19" s="591">
        <v>11</v>
      </c>
      <c r="R19" s="79" t="s">
        <v>1956</v>
      </c>
      <c r="S19" s="246" t="s">
        <v>1140</v>
      </c>
    </row>
    <row r="20" spans="2:19" ht="17" thickBot="1">
      <c r="C20" t="s">
        <v>1977</v>
      </c>
      <c r="H20" s="692"/>
      <c r="I20" s="692"/>
      <c r="J20" s="692"/>
      <c r="K20" s="692"/>
      <c r="L20" s="692"/>
      <c r="M20" s="692"/>
      <c r="Q20" s="591">
        <v>13</v>
      </c>
      <c r="R20" s="79" t="s">
        <v>1957</v>
      </c>
      <c r="S20" s="246" t="s">
        <v>1140</v>
      </c>
    </row>
    <row r="21" spans="2:19" ht="17" thickBot="1">
      <c r="C21" t="s">
        <v>1940</v>
      </c>
      <c r="H21" s="692"/>
      <c r="I21" s="2635" t="s">
        <v>20</v>
      </c>
      <c r="J21" s="2635" t="s">
        <v>1990</v>
      </c>
      <c r="K21" s="2637" t="s">
        <v>1991</v>
      </c>
      <c r="L21" s="3588"/>
      <c r="N21" s="79"/>
      <c r="Q21" s="591">
        <v>32</v>
      </c>
      <c r="R21" s="79" t="s">
        <v>1958</v>
      </c>
      <c r="S21" s="246" t="s">
        <v>1140</v>
      </c>
    </row>
    <row r="22" spans="2:19">
      <c r="C22" t="s">
        <v>1979</v>
      </c>
      <c r="H22" s="692"/>
      <c r="I22" s="2640" t="s">
        <v>1988</v>
      </c>
      <c r="J22" s="2640" t="s">
        <v>1140</v>
      </c>
      <c r="K22" s="2641" t="s">
        <v>1986</v>
      </c>
      <c r="L22" s="3589"/>
      <c r="N22" s="79"/>
      <c r="Q22" s="591">
        <v>31</v>
      </c>
      <c r="R22" s="79" t="s">
        <v>1959</v>
      </c>
      <c r="S22" s="246" t="s">
        <v>1140</v>
      </c>
    </row>
    <row r="23" spans="2:19" ht="17" thickBot="1">
      <c r="C23" s="1394" t="s">
        <v>1978</v>
      </c>
      <c r="H23" s="692"/>
      <c r="I23" s="2636" t="s">
        <v>1989</v>
      </c>
      <c r="J23" s="2636" t="s">
        <v>1140</v>
      </c>
      <c r="K23" s="2639" t="s">
        <v>1987</v>
      </c>
      <c r="L23" s="3589"/>
      <c r="N23" s="79"/>
      <c r="Q23" s="591">
        <v>15</v>
      </c>
      <c r="R23" s="79" t="s">
        <v>1960</v>
      </c>
      <c r="S23" s="246" t="s">
        <v>1704</v>
      </c>
    </row>
    <row r="24" spans="2:19" s="2791" customFormat="1">
      <c r="C24" s="3189" t="s">
        <v>2200</v>
      </c>
      <c r="H24" s="692"/>
      <c r="I24" s="2633" t="s">
        <v>1988</v>
      </c>
      <c r="J24" s="2633" t="s">
        <v>1704</v>
      </c>
      <c r="K24" s="2638" t="s">
        <v>1986</v>
      </c>
      <c r="L24" s="3589"/>
      <c r="M24"/>
      <c r="N24" s="79"/>
      <c r="Q24" s="591">
        <v>16</v>
      </c>
      <c r="R24" s="79" t="s">
        <v>1961</v>
      </c>
      <c r="S24" s="246" t="s">
        <v>1140</v>
      </c>
    </row>
    <row r="25" spans="2:19" s="2791" customFormat="1" ht="18" thickBot="1">
      <c r="C25" s="1394" t="s">
        <v>2197</v>
      </c>
      <c r="H25" s="692"/>
      <c r="I25" s="2636" t="s">
        <v>1988</v>
      </c>
      <c r="J25" s="2634" t="s">
        <v>1704</v>
      </c>
      <c r="K25" s="2639" t="s">
        <v>1987</v>
      </c>
      <c r="L25" s="3589"/>
      <c r="M25"/>
      <c r="N25" s="79"/>
      <c r="Q25" s="591">
        <v>17</v>
      </c>
      <c r="R25" s="79" t="s">
        <v>1962</v>
      </c>
      <c r="S25" s="246" t="s">
        <v>1140</v>
      </c>
    </row>
    <row r="26" spans="2:19" s="2791" customFormat="1">
      <c r="C26" s="3189" t="s">
        <v>2201</v>
      </c>
      <c r="H26" s="692"/>
      <c r="I26" s="2633"/>
      <c r="J26" s="2633"/>
      <c r="K26" s="2638"/>
      <c r="L26" s="3589"/>
      <c r="N26" s="79"/>
      <c r="Q26" s="591">
        <v>18</v>
      </c>
      <c r="R26" s="79" t="s">
        <v>1963</v>
      </c>
      <c r="S26" s="246" t="s">
        <v>1140</v>
      </c>
    </row>
    <row r="27" spans="2:19" s="2791" customFormat="1">
      <c r="C27" s="3189" t="s">
        <v>2198</v>
      </c>
      <c r="H27" s="692"/>
      <c r="I27" s="2633"/>
      <c r="J27" s="2633"/>
      <c r="K27" s="2638"/>
      <c r="L27" s="3589"/>
      <c r="N27" s="79"/>
      <c r="Q27" s="591">
        <v>19</v>
      </c>
      <c r="R27" s="79" t="s">
        <v>1964</v>
      </c>
      <c r="S27" s="246" t="s">
        <v>1140</v>
      </c>
    </row>
    <row r="28" spans="2:19">
      <c r="H28" s="692"/>
      <c r="N28" s="79"/>
      <c r="Q28" s="591">
        <v>20</v>
      </c>
      <c r="R28" s="79" t="s">
        <v>1965</v>
      </c>
      <c r="S28" s="246" t="s">
        <v>1140</v>
      </c>
    </row>
    <row r="29" spans="2:19" ht="17">
      <c r="C29" t="s">
        <v>867</v>
      </c>
      <c r="H29" s="562"/>
      <c r="N29" s="79"/>
      <c r="Q29" s="591">
        <v>21</v>
      </c>
      <c r="R29" s="79" t="s">
        <v>1966</v>
      </c>
      <c r="S29" s="246" t="s">
        <v>1140</v>
      </c>
    </row>
    <row r="30" spans="2:19" ht="18" customHeight="1">
      <c r="C30" t="s">
        <v>805</v>
      </c>
      <c r="D30" s="31"/>
      <c r="H30" s="562"/>
      <c r="I30" s="562"/>
      <c r="J30" s="2632"/>
      <c r="K30" s="2631"/>
      <c r="L30" s="2631"/>
      <c r="M30" s="2631"/>
      <c r="Q30" s="591">
        <v>22</v>
      </c>
      <c r="R30" s="79" t="s">
        <v>1967</v>
      </c>
      <c r="S30" s="246" t="s">
        <v>1140</v>
      </c>
    </row>
    <row r="31" spans="2:19" ht="17">
      <c r="C31" t="s">
        <v>842</v>
      </c>
      <c r="D31" s="31"/>
      <c r="H31" s="562"/>
      <c r="I31" s="3187"/>
      <c r="J31" s="2631"/>
      <c r="K31" s="2631"/>
      <c r="L31" s="2631"/>
      <c r="M31" s="2631"/>
      <c r="Q31" s="591">
        <v>23</v>
      </c>
      <c r="R31" s="79" t="s">
        <v>748</v>
      </c>
      <c r="S31" s="246" t="s">
        <v>1140</v>
      </c>
    </row>
    <row r="32" spans="2:19" ht="17">
      <c r="D32" s="31"/>
      <c r="E32" s="2791"/>
      <c r="H32" s="562"/>
      <c r="J32" s="562"/>
      <c r="K32" s="562"/>
      <c r="L32" s="562"/>
      <c r="M32" s="562"/>
      <c r="Q32" s="591">
        <v>24</v>
      </c>
      <c r="R32" s="79" t="s">
        <v>1968</v>
      </c>
      <c r="S32" s="246" t="s">
        <v>1140</v>
      </c>
    </row>
    <row r="33" spans="2:29" ht="17">
      <c r="D33" s="31"/>
      <c r="E33" s="2791"/>
      <c r="H33" s="562"/>
      <c r="I33" s="3188"/>
      <c r="J33" s="562"/>
      <c r="K33" s="562"/>
      <c r="L33" s="562"/>
      <c r="M33" s="562"/>
      <c r="Q33" s="591">
        <v>25</v>
      </c>
      <c r="R33" s="79" t="s">
        <v>1969</v>
      </c>
      <c r="S33" s="246" t="s">
        <v>1704</v>
      </c>
    </row>
    <row r="34" spans="2:29" ht="17">
      <c r="B34" s="3" t="s">
        <v>846</v>
      </c>
      <c r="E34" s="2791"/>
      <c r="H34" s="562"/>
      <c r="I34" s="3187"/>
      <c r="J34" s="562"/>
      <c r="K34" s="562"/>
      <c r="L34" s="562"/>
      <c r="M34" s="562"/>
      <c r="Q34" s="591">
        <v>26</v>
      </c>
      <c r="R34" s="79" t="s">
        <v>1970</v>
      </c>
      <c r="S34" s="246" t="s">
        <v>1704</v>
      </c>
    </row>
    <row r="35" spans="2:29" ht="17">
      <c r="E35" s="2791"/>
      <c r="H35" s="562"/>
      <c r="J35" s="562"/>
      <c r="K35" s="562"/>
      <c r="L35" s="562"/>
      <c r="M35" s="562"/>
      <c r="Q35" s="591">
        <v>27</v>
      </c>
      <c r="R35" s="79" t="s">
        <v>1971</v>
      </c>
      <c r="S35" s="246" t="s">
        <v>1140</v>
      </c>
    </row>
    <row r="36" spans="2:29" ht="17">
      <c r="C36" s="693" t="s">
        <v>2199</v>
      </c>
      <c r="D36" s="31"/>
      <c r="E36" s="2791"/>
      <c r="H36" s="562"/>
      <c r="J36" s="562"/>
      <c r="K36" s="562"/>
      <c r="L36" s="562"/>
      <c r="M36" s="562"/>
      <c r="Q36" s="591">
        <v>28</v>
      </c>
      <c r="R36" s="79" t="s">
        <v>1972</v>
      </c>
      <c r="S36" s="246" t="s">
        <v>1140</v>
      </c>
    </row>
    <row r="37" spans="2:29">
      <c r="C37" s="693" t="s">
        <v>2202</v>
      </c>
      <c r="E37" s="2791"/>
      <c r="H37" s="692"/>
      <c r="J37" s="692"/>
      <c r="K37" s="692"/>
      <c r="L37" s="692"/>
      <c r="M37" s="692"/>
      <c r="Q37" s="591">
        <v>29</v>
      </c>
      <c r="R37" s="79" t="s">
        <v>1973</v>
      </c>
      <c r="S37" s="246" t="s">
        <v>1704</v>
      </c>
    </row>
    <row r="38" spans="2:29" ht="17">
      <c r="C38" t="s">
        <v>835</v>
      </c>
      <c r="E38" s="2791"/>
      <c r="H38" s="562"/>
      <c r="I38" s="3188"/>
      <c r="J38" s="562"/>
      <c r="K38" s="562"/>
      <c r="L38" s="562"/>
      <c r="M38" s="562"/>
      <c r="Q38" s="481">
        <v>99</v>
      </c>
      <c r="R38" s="439" t="s">
        <v>1974</v>
      </c>
      <c r="S38" s="162" t="s">
        <v>1975</v>
      </c>
    </row>
    <row r="39" spans="2:29">
      <c r="D39" t="s">
        <v>834</v>
      </c>
      <c r="E39" s="2791"/>
      <c r="H39" s="692"/>
      <c r="I39" s="692"/>
      <c r="J39" s="692"/>
      <c r="K39" s="692"/>
      <c r="L39" s="692"/>
      <c r="M39" s="692"/>
    </row>
    <row r="40" spans="2:29">
      <c r="C40" t="s">
        <v>836</v>
      </c>
      <c r="H40" s="692"/>
      <c r="I40" s="692"/>
      <c r="J40" s="692"/>
      <c r="K40" s="692"/>
      <c r="L40" s="692"/>
      <c r="M40" s="692"/>
    </row>
    <row r="41" spans="2:29">
      <c r="D41" t="s">
        <v>2370</v>
      </c>
      <c r="H41" s="692"/>
      <c r="I41" s="692"/>
      <c r="J41" s="692"/>
      <c r="K41" s="692"/>
      <c r="L41" s="692"/>
      <c r="M41" s="692"/>
    </row>
    <row r="42" spans="2:29">
      <c r="C42" s="1"/>
      <c r="H42" s="692"/>
      <c r="I42" s="692"/>
      <c r="J42" s="692"/>
      <c r="K42" s="692"/>
      <c r="L42" s="692"/>
      <c r="M42" s="692"/>
    </row>
    <row r="43" spans="2:29">
      <c r="H43" s="692"/>
      <c r="I43" s="692"/>
      <c r="J43" s="692"/>
      <c r="K43" s="692"/>
      <c r="L43" s="692"/>
      <c r="M43" s="692"/>
    </row>
    <row r="44" spans="2:29">
      <c r="H44" s="692"/>
      <c r="I44" s="692"/>
      <c r="J44" s="692"/>
      <c r="K44" s="692"/>
      <c r="L44" s="692"/>
      <c r="M44" s="692"/>
    </row>
    <row r="45" spans="2:29">
      <c r="B45" s="1"/>
      <c r="C45" s="360"/>
      <c r="AC45" s="587"/>
    </row>
    <row r="46" spans="2:29">
      <c r="B46" s="8" t="s">
        <v>1036</v>
      </c>
      <c r="C46" s="100"/>
      <c r="F46" s="1" t="s">
        <v>1047</v>
      </c>
      <c r="G46" s="3881" t="s">
        <v>1048</v>
      </c>
      <c r="H46" s="3881"/>
      <c r="I46" s="3881"/>
      <c r="K46" s="1" t="s">
        <v>1049</v>
      </c>
      <c r="L46" s="1"/>
      <c r="M46" s="1" t="s">
        <v>1050</v>
      </c>
      <c r="N46" s="1"/>
      <c r="O46" s="1"/>
      <c r="Q46" s="1" t="s">
        <v>820</v>
      </c>
      <c r="AC46" s="587"/>
    </row>
    <row r="47" spans="2:29">
      <c r="B47" t="s">
        <v>841</v>
      </c>
      <c r="Q47" t="s">
        <v>1053</v>
      </c>
      <c r="AC47" s="587"/>
    </row>
    <row r="48" spans="2:29">
      <c r="C48" t="s">
        <v>829</v>
      </c>
      <c r="K48" s="259">
        <f>'Overall Assumptions'!$C$186</f>
        <v>1241</v>
      </c>
      <c r="L48" s="259">
        <f>'Overall Assumptions'!$C$179</f>
        <v>208.4</v>
      </c>
      <c r="M48" s="259">
        <f>'Overall Assumptions'!$C$179</f>
        <v>208.4</v>
      </c>
      <c r="Y48" s="587"/>
    </row>
    <row r="49" spans="2:26">
      <c r="C49" s="360" t="s">
        <v>1052</v>
      </c>
      <c r="D49" s="1"/>
      <c r="E49" s="1"/>
      <c r="K49" s="3741" t="s">
        <v>825</v>
      </c>
      <c r="L49" s="3742"/>
      <c r="M49" s="3742"/>
      <c r="N49" s="3742"/>
      <c r="O49" s="3743"/>
      <c r="Y49" s="587"/>
    </row>
    <row r="50" spans="2:26">
      <c r="C50" s="4" t="s">
        <v>730</v>
      </c>
      <c r="D50" s="593" t="s">
        <v>832</v>
      </c>
      <c r="F50" s="593" t="s">
        <v>799</v>
      </c>
      <c r="G50" s="3741" t="s">
        <v>800</v>
      </c>
      <c r="H50" s="3742"/>
      <c r="I50" s="3743"/>
      <c r="J50" s="1270"/>
      <c r="K50" s="1019" t="s">
        <v>870</v>
      </c>
      <c r="L50" s="3488" t="s">
        <v>1105</v>
      </c>
      <c r="M50" s="3741" t="s">
        <v>869</v>
      </c>
      <c r="N50" s="3742"/>
      <c r="O50" s="3743"/>
      <c r="Q50">
        <v>0</v>
      </c>
      <c r="R50">
        <v>1</v>
      </c>
      <c r="S50">
        <v>2</v>
      </c>
      <c r="T50">
        <v>3</v>
      </c>
      <c r="Z50" s="587"/>
    </row>
    <row r="51" spans="2:26" ht="16" customHeight="1">
      <c r="C51" s="480" t="s">
        <v>819</v>
      </c>
      <c r="D51" s="3828" t="s">
        <v>801</v>
      </c>
      <c r="F51" s="3883" t="s">
        <v>850</v>
      </c>
      <c r="G51" s="3884"/>
      <c r="H51" s="3884"/>
      <c r="I51" s="3885"/>
      <c r="J51" s="1272"/>
      <c r="K51" s="593"/>
      <c r="L51" s="592"/>
      <c r="M51" s="3889"/>
      <c r="N51" s="3890"/>
      <c r="O51" s="3891"/>
      <c r="Q51" s="402" t="s">
        <v>821</v>
      </c>
      <c r="R51" s="255"/>
      <c r="S51" s="255"/>
      <c r="T51" s="161"/>
      <c r="Z51" s="587"/>
    </row>
    <row r="52" spans="2:26" ht="16" customHeight="1">
      <c r="C52" s="591"/>
      <c r="D52" s="3829"/>
      <c r="F52" s="593"/>
      <c r="G52" s="3889"/>
      <c r="H52" s="3890"/>
      <c r="I52" s="3891"/>
      <c r="J52" s="604"/>
      <c r="K52" s="274" t="s">
        <v>768</v>
      </c>
      <c r="L52" s="401"/>
      <c r="M52" s="3889" t="s">
        <v>767</v>
      </c>
      <c r="N52" s="3890"/>
      <c r="O52" s="3890"/>
      <c r="Q52" s="480" t="s">
        <v>3</v>
      </c>
      <c r="R52" s="161" t="s">
        <v>132</v>
      </c>
      <c r="S52" s="161" t="s">
        <v>4</v>
      </c>
      <c r="T52" s="161" t="s">
        <v>21</v>
      </c>
      <c r="Z52" s="587"/>
    </row>
    <row r="53" spans="2:26" ht="16" customHeight="1">
      <c r="C53" s="591"/>
      <c r="D53" s="3829"/>
      <c r="F53" s="591"/>
      <c r="G53" s="3896" t="s">
        <v>796</v>
      </c>
      <c r="H53" s="3896"/>
      <c r="I53" s="3897"/>
      <c r="J53" s="604"/>
      <c r="K53" s="769"/>
      <c r="L53" s="2454"/>
      <c r="M53" s="3895" t="s">
        <v>796</v>
      </c>
      <c r="N53" s="3896"/>
      <c r="O53" s="3897"/>
      <c r="Q53" s="1018"/>
      <c r="R53" s="604"/>
      <c r="S53" s="604"/>
      <c r="T53" s="246"/>
      <c r="Z53" s="587"/>
    </row>
    <row r="54" spans="2:26">
      <c r="B54" s="79"/>
      <c r="C54" s="481"/>
      <c r="D54" s="3830"/>
      <c r="F54" s="481"/>
      <c r="G54" s="439" t="s">
        <v>802</v>
      </c>
      <c r="H54" s="439" t="s">
        <v>803</v>
      </c>
      <c r="I54" s="162" t="s">
        <v>733</v>
      </c>
      <c r="J54" s="246"/>
      <c r="K54" s="770"/>
      <c r="L54" s="3590"/>
      <c r="M54" s="405" t="s">
        <v>802</v>
      </c>
      <c r="N54" s="439" t="s">
        <v>803</v>
      </c>
      <c r="O54" s="162" t="s">
        <v>733</v>
      </c>
      <c r="Q54" s="481"/>
      <c r="R54" s="162"/>
      <c r="S54" s="162"/>
      <c r="T54" s="162"/>
      <c r="Z54" s="587"/>
    </row>
    <row r="55" spans="2:26">
      <c r="B55" s="480" t="s">
        <v>862</v>
      </c>
      <c r="C55" s="246" t="s">
        <v>57</v>
      </c>
      <c r="D55" s="606"/>
      <c r="F55" s="1180">
        <f>'Invasive Large Herbivore'!$AB$23</f>
        <v>85.55624999999992</v>
      </c>
      <c r="G55" s="1181">
        <f>'Invasive Large Herbivore'!$AB$23</f>
        <v>85.55624999999992</v>
      </c>
      <c r="H55" s="1182">
        <f>'Invasive Large Herbivore'!$AB$23</f>
        <v>85.55624999999992</v>
      </c>
      <c r="I55" s="1183">
        <f>'Invasive Large Herbivore'!$AB$23</f>
        <v>85.55624999999992</v>
      </c>
      <c r="J55" s="1259"/>
      <c r="K55" s="3101"/>
      <c r="L55" s="3101"/>
      <c r="M55" s="3102"/>
      <c r="N55" s="3103"/>
      <c r="O55" s="2558"/>
      <c r="Q55" s="1208">
        <f ca="1">OFFSET('Invasive Large Herbivore'!$AC$23,Q$50+$U55,0)</f>
        <v>1</v>
      </c>
      <c r="R55" s="1208" t="str">
        <f ca="1">OFFSET('Invasive Large Herbivore'!$AC$23,R$50+$U55,0)</f>
        <v/>
      </c>
      <c r="S55" s="1208" t="str">
        <f ca="1">OFFSET('Invasive Large Herbivore'!$AC$23,S$50+$U55,0)</f>
        <v/>
      </c>
      <c r="T55" s="1208" t="str">
        <f ca="1">OFFSET('Invasive Large Herbivore'!$AC$23,T$50+$U55,0)</f>
        <v/>
      </c>
      <c r="U55" s="587">
        <v>0</v>
      </c>
      <c r="V55" s="578">
        <f t="shared" ref="V55:V64" ca="1" si="0">SUM(Q55:T55)</f>
        <v>1</v>
      </c>
      <c r="Z55" s="587"/>
    </row>
    <row r="56" spans="2:26" ht="16" customHeight="1">
      <c r="B56" s="591" t="s">
        <v>863</v>
      </c>
      <c r="C56" s="452" t="s">
        <v>984</v>
      </c>
      <c r="D56" s="606"/>
      <c r="F56" s="689">
        <f>'Invasive Large Herbivore'!$AB$27</f>
        <v>19.557999999999982</v>
      </c>
      <c r="G56" s="845"/>
      <c r="H56" s="846"/>
      <c r="I56" s="625"/>
      <c r="J56" s="1259"/>
      <c r="K56" s="3099">
        <f>'Invasive Large Herbivore'!$S$28</f>
        <v>0.99999999999999911</v>
      </c>
      <c r="L56" s="3099"/>
      <c r="M56" s="3002"/>
      <c r="N56" s="3002"/>
      <c r="O56" s="3002"/>
      <c r="Q56" s="751">
        <f ca="1">OFFSET('Invasive Large Herbivore'!$AC$23,Q$50+$U56,0)</f>
        <v>4.3869516310461203E-2</v>
      </c>
      <c r="R56" s="751">
        <f ca="1">OFFSET('Invasive Large Herbivore'!$AC$23,R$50+$U56,0)</f>
        <v>0.95613048368953879</v>
      </c>
      <c r="S56" s="751">
        <f ca="1">OFFSET('Invasive Large Herbivore'!$AC$23,S$50+$U56,0)</f>
        <v>0</v>
      </c>
      <c r="T56" s="751">
        <f ca="1">OFFSET('Invasive Large Herbivore'!$AC$23,T$50+$U56,0)</f>
        <v>0</v>
      </c>
      <c r="U56" s="587">
        <v>4</v>
      </c>
      <c r="V56" s="578">
        <f t="shared" ca="1" si="0"/>
        <v>1</v>
      </c>
      <c r="Z56" s="587"/>
    </row>
    <row r="57" spans="2:26" ht="16" customHeight="1">
      <c r="B57" s="591" t="s">
        <v>863</v>
      </c>
      <c r="C57" s="389" t="s">
        <v>1001</v>
      </c>
      <c r="D57" s="606"/>
      <c r="F57" s="691"/>
      <c r="G57" s="841">
        <f>'Invasive Large Herbivore'!$AB$31</f>
        <v>56.921695067264523</v>
      </c>
      <c r="H57" s="337">
        <f>'Invasive Large Herbivore'!$AB$35</f>
        <v>64.360260089686051</v>
      </c>
      <c r="I57" s="842">
        <f>'Invasive Large Herbivore'!$AB$39</f>
        <v>85.243390134529079</v>
      </c>
      <c r="J57" s="1259"/>
      <c r="K57" s="3110"/>
      <c r="L57" s="3110"/>
      <c r="M57" s="3111">
        <f>'Invasive Large Herbivore'!$S$32</f>
        <v>0.99999999999999911</v>
      </c>
      <c r="N57" s="3111">
        <f>'Invasive Large Herbivore'!$S$36</f>
        <v>0.99999999999999911</v>
      </c>
      <c r="O57" s="3111">
        <f>'Invasive Large Herbivore'!$S$40</f>
        <v>0.99999999999999911</v>
      </c>
      <c r="Q57" s="751">
        <f ca="1">OFFSET('Invasive Large Herbivore'!$AC$23,Q$50+$U57,0)</f>
        <v>0.45956785255615878</v>
      </c>
      <c r="R57" s="751">
        <f ca="1">OFFSET('Invasive Large Herbivore'!$AC$23,R$50+$U57,0)</f>
        <v>0.2238920307324877</v>
      </c>
      <c r="S57" s="751">
        <f ca="1">OFFSET('Invasive Large Herbivore'!$AC$23,S$50+$U57,0)</f>
        <v>0.31654011671135351</v>
      </c>
      <c r="T57" s="751">
        <f ca="1">OFFSET('Invasive Large Herbivore'!$AC$23,T$50+$U57,0)</f>
        <v>0</v>
      </c>
      <c r="U57" s="587">
        <v>8</v>
      </c>
      <c r="V57" s="578">
        <f t="shared" ca="1" si="0"/>
        <v>1</v>
      </c>
      <c r="Z57" s="587"/>
    </row>
    <row r="58" spans="2:26">
      <c r="B58" s="591" t="s">
        <v>862</v>
      </c>
      <c r="C58" s="452" t="s">
        <v>1040</v>
      </c>
      <c r="D58" s="606"/>
      <c r="F58" s="689">
        <f>'Invasive Large Herbivore'!$AB$43</f>
        <v>192.73473622807518</v>
      </c>
      <c r="G58" s="843"/>
      <c r="H58" s="690"/>
      <c r="I58" s="844"/>
      <c r="J58" s="1259"/>
      <c r="K58" s="1669">
        <f>'Invasive Large Herbivore'!$S$44</f>
        <v>0.34648898001025091</v>
      </c>
      <c r="L58" s="1669"/>
      <c r="M58" s="3002"/>
      <c r="N58" s="3002"/>
      <c r="O58" s="3002"/>
      <c r="Q58" s="751">
        <f ca="1">OFFSET('Invasive Large Herbivore'!$AC$23,Q$50+$U58,0)</f>
        <v>1.4306409069975013E-2</v>
      </c>
      <c r="R58" s="751">
        <f ca="1">OFFSET('Invasive Large Herbivore'!$AC$23,R$50+$U58,0)</f>
        <v>0.1039354505083655</v>
      </c>
      <c r="S58" s="751">
        <f ca="1">OFFSET('Invasive Large Herbivore'!$AC$23,S$50+$U58,0)</f>
        <v>0.7761493120699734</v>
      </c>
      <c r="T58" s="751">
        <f ca="1">OFFSET('Invasive Large Herbivore'!$AC$23,T$50+$U58,0)</f>
        <v>0.1056088283516861</v>
      </c>
      <c r="U58" s="587">
        <v>20</v>
      </c>
      <c r="V58" s="578">
        <f t="shared" ca="1" si="0"/>
        <v>1</v>
      </c>
      <c r="Z58" s="587"/>
    </row>
    <row r="59" spans="2:26">
      <c r="B59" s="591" t="s">
        <v>862</v>
      </c>
      <c r="C59" s="452" t="s">
        <v>1045</v>
      </c>
      <c r="D59" s="606"/>
      <c r="F59" s="689">
        <f>'Invasive Large Herbivore'!$AB$47</f>
        <v>110.96315999999993</v>
      </c>
      <c r="G59" s="843"/>
      <c r="H59" s="690"/>
      <c r="I59" s="844"/>
      <c r="J59" s="1259"/>
      <c r="K59" s="1669">
        <f>'Invasive Large Herbivore'!$S$48</f>
        <v>0.99999999999999911</v>
      </c>
      <c r="L59" s="1669"/>
      <c r="M59" s="3002"/>
      <c r="N59" s="3002"/>
      <c r="O59" s="3002"/>
      <c r="Q59" s="751">
        <f ca="1">OFFSET('Invasive Large Herbivore'!$AC$23,Q$50+$U59,0)</f>
        <v>4.2682274008779122E-2</v>
      </c>
      <c r="R59" s="751">
        <f ca="1">OFFSET('Invasive Large Herbivore'!$AC$23,R$50+$U59,0)</f>
        <v>0.93025468993492977</v>
      </c>
      <c r="S59" s="751">
        <f ca="1">OFFSET('Invasive Large Herbivore'!$AC$23,S$50+$U59,0)</f>
        <v>2.7063036056291109E-2</v>
      </c>
      <c r="T59" s="751">
        <f ca="1">OFFSET('Invasive Large Herbivore'!$AC$23,T$50+$U59,0)</f>
        <v>0</v>
      </c>
      <c r="U59" s="587">
        <v>24</v>
      </c>
      <c r="V59" s="578">
        <f t="shared" ca="1" si="0"/>
        <v>1</v>
      </c>
      <c r="Z59" s="587"/>
    </row>
    <row r="60" spans="2:26">
      <c r="B60" s="591" t="s">
        <v>862</v>
      </c>
      <c r="C60" s="452" t="s">
        <v>1041</v>
      </c>
      <c r="D60" s="606"/>
      <c r="F60" s="1512">
        <f>'Invasive Large Herbivore'!$AB$51</f>
        <v>16.516499999999986</v>
      </c>
      <c r="G60" s="843"/>
      <c r="H60" s="690"/>
      <c r="I60" s="844"/>
      <c r="J60" s="1259"/>
      <c r="K60" s="3110"/>
      <c r="L60" s="1669">
        <f>'Invasive Large Herbivore'!$S$52</f>
        <v>3.9999999999999964</v>
      </c>
      <c r="M60" s="1669"/>
      <c r="N60" s="1669"/>
      <c r="O60" s="1669"/>
      <c r="Q60" s="751">
        <f ca="1">OFFSET('Invasive Large Herbivore'!$AC$23,Q$50+$U60,0)</f>
        <v>0.50649350649350655</v>
      </c>
      <c r="R60" s="751">
        <f ca="1">OFFSET('Invasive Large Herbivore'!$AC$23,R$50+$U60,0)</f>
        <v>0.49350649350649334</v>
      </c>
      <c r="S60" s="751">
        <f ca="1">OFFSET('Invasive Large Herbivore'!$AC$23,S$50+$U60,0)</f>
        <v>0</v>
      </c>
      <c r="T60" s="751" t="str">
        <f ca="1">OFFSET('Invasive Large Herbivore'!$AC$23,T$50+$U60,0)</f>
        <v/>
      </c>
      <c r="U60" s="587">
        <v>28</v>
      </c>
      <c r="V60" s="578">
        <f t="shared" ca="1" si="0"/>
        <v>0.99999999999999989</v>
      </c>
      <c r="Z60" s="587"/>
    </row>
    <row r="61" spans="2:26">
      <c r="B61" s="591" t="s">
        <v>863</v>
      </c>
      <c r="C61" s="389" t="s">
        <v>1042</v>
      </c>
      <c r="D61" s="606"/>
      <c r="F61" s="691"/>
      <c r="G61" s="841">
        <f>'Invasive Large Herbivore'!$AB$55</f>
        <v>646.00509708520121</v>
      </c>
      <c r="H61" s="337">
        <f>'Invasive Large Herbivore'!$AB$59</f>
        <v>758.86394611360174</v>
      </c>
      <c r="I61" s="842">
        <f>'Invasive Large Herbivore'!$AB$63</f>
        <v>984.58164417040257</v>
      </c>
      <c r="J61" s="1259"/>
      <c r="K61" s="3110"/>
      <c r="L61" s="3110"/>
      <c r="M61" s="3111">
        <f>'Invasive Large Herbivore'!$S$56</f>
        <v>1.9999999999999982</v>
      </c>
      <c r="N61" s="3111">
        <f>'Invasive Large Herbivore'!$S$60</f>
        <v>1.9999999999999982</v>
      </c>
      <c r="O61" s="3111">
        <f>'Invasive Large Herbivore'!$S$64</f>
        <v>2.9999999999999973</v>
      </c>
      <c r="Q61" s="751">
        <f ca="1">OFFSET('Invasive Large Herbivore'!$AC$23,Q$50+$U61,0)</f>
        <v>0.54934127636950547</v>
      </c>
      <c r="R61" s="751">
        <f ca="1">OFFSET('Invasive Large Herbivore'!$AC$23,R$50+$U61,0)</f>
        <v>0.17841853420548043</v>
      </c>
      <c r="S61" s="751">
        <f ca="1">OFFSET('Invasive Large Herbivore'!$AC$23,S$50+$U61,0)</f>
        <v>0.27224018942501421</v>
      </c>
      <c r="T61" s="751">
        <f ca="1">OFFSET('Invasive Large Herbivore'!$AC$23,T$50+$U61,0)</f>
        <v>0</v>
      </c>
      <c r="U61" s="587">
        <v>32</v>
      </c>
      <c r="V61" s="578">
        <f t="shared" ca="1" si="0"/>
        <v>1</v>
      </c>
      <c r="Z61" s="587"/>
    </row>
    <row r="62" spans="2:26">
      <c r="B62" s="591" t="s">
        <v>862</v>
      </c>
      <c r="C62" s="452" t="s">
        <v>1043</v>
      </c>
      <c r="D62" s="606"/>
      <c r="F62" s="715">
        <f>'Invasive Large Herbivore'!$AB$67</f>
        <v>19.557999999999982</v>
      </c>
      <c r="G62" s="843"/>
      <c r="H62" s="690"/>
      <c r="I62" s="844"/>
      <c r="J62" s="1259"/>
      <c r="K62" s="3100">
        <f>'Invasive Large Herbivore'!$S$68</f>
        <v>0.99999999999999911</v>
      </c>
      <c r="L62" s="3100"/>
      <c r="M62" s="3112"/>
      <c r="N62" s="3113"/>
      <c r="O62" s="3114"/>
      <c r="Q62" s="751">
        <f ca="1">OFFSET('Invasive Large Herbivore'!$AC$23,Q$50+$U62,0)</f>
        <v>4.3869516310461203E-2</v>
      </c>
      <c r="R62" s="751">
        <f ca="1">OFFSET('Invasive Large Herbivore'!$AC$23,R$50+$U62,0)</f>
        <v>0.95613048368953879</v>
      </c>
      <c r="S62" s="751">
        <f ca="1">OFFSET('Invasive Large Herbivore'!$AC$23,S$50+$U62,0)</f>
        <v>0</v>
      </c>
      <c r="T62" s="751" t="str">
        <f ca="1">OFFSET('Invasive Large Herbivore'!$AC$23,T$50+$U62,0)</f>
        <v/>
      </c>
      <c r="U62" s="587">
        <v>44</v>
      </c>
      <c r="V62" s="578">
        <f t="shared" ca="1" si="0"/>
        <v>1</v>
      </c>
    </row>
    <row r="63" spans="2:26">
      <c r="B63" s="591" t="s">
        <v>863</v>
      </c>
      <c r="C63" s="389" t="s">
        <v>1044</v>
      </c>
      <c r="D63" s="606"/>
      <c r="F63" s="691"/>
      <c r="G63" s="841">
        <f>'Invasive Large Herbivore'!$AB$71</f>
        <v>56.921695067264523</v>
      </c>
      <c r="H63" s="337">
        <f>'Invasive Large Herbivore'!$AB$75</f>
        <v>64.360260089686051</v>
      </c>
      <c r="I63" s="842">
        <f>'Invasive Large Herbivore'!$AB$79</f>
        <v>85.243390134529079</v>
      </c>
      <c r="J63" s="1259"/>
      <c r="K63" s="3110"/>
      <c r="L63" s="3110"/>
      <c r="M63" s="3001">
        <f>'Invasive Large Herbivore'!$S$72</f>
        <v>0.99999999999999911</v>
      </c>
      <c r="N63" s="3001">
        <f>'Invasive Large Herbivore'!$S$76</f>
        <v>0.99999999999999911</v>
      </c>
      <c r="O63" s="3001">
        <f>'Invasive Large Herbivore'!$S$80</f>
        <v>0.99999999999999911</v>
      </c>
      <c r="Q63" s="751">
        <f ca="1">OFFSET('Invasive Large Herbivore'!$AC$23,Q$50+$U63,0)</f>
        <v>0.45956785255615878</v>
      </c>
      <c r="R63" s="751">
        <f ca="1">OFFSET('Invasive Large Herbivore'!$AC$23,R$50+$U63,0)</f>
        <v>0.2238920307324877</v>
      </c>
      <c r="S63" s="751">
        <f ca="1">OFFSET('Invasive Large Herbivore'!$AC$23,S$50+$U63,0)</f>
        <v>0.31654011671135351</v>
      </c>
      <c r="T63" s="751" t="str">
        <f ca="1">OFFSET('Invasive Large Herbivore'!$AC$23,T$50+$U63,0)</f>
        <v/>
      </c>
      <c r="U63" s="587">
        <v>48</v>
      </c>
      <c r="V63" s="578">
        <f t="shared" ca="1" si="0"/>
        <v>1</v>
      </c>
    </row>
    <row r="64" spans="2:26">
      <c r="B64" s="481" t="s">
        <v>862</v>
      </c>
      <c r="C64" s="162" t="s">
        <v>736</v>
      </c>
      <c r="D64" s="607"/>
      <c r="F64" s="988">
        <f>'Invasive Large Herbivore'!$AB$83</f>
        <v>85.55624999999992</v>
      </c>
      <c r="G64" s="385">
        <f>'Invasive Large Herbivore'!$AB$83</f>
        <v>85.55624999999992</v>
      </c>
      <c r="H64" s="179">
        <f>'Invasive Large Herbivore'!$AB$83</f>
        <v>85.55624999999992</v>
      </c>
      <c r="I64" s="847">
        <f>'Invasive Large Herbivore'!$AB$83</f>
        <v>85.55624999999992</v>
      </c>
      <c r="J64" s="1259"/>
      <c r="K64" s="3115"/>
      <c r="L64" s="3110"/>
      <c r="M64" s="3112"/>
      <c r="N64" s="3113"/>
      <c r="O64" s="3114"/>
      <c r="Q64" s="752">
        <f ca="1">OFFSET('Invasive Large Herbivore'!$AC$23,Q$50+$U64,0)</f>
        <v>1</v>
      </c>
      <c r="R64" s="752" t="str">
        <f ca="1">OFFSET('Invasive Large Herbivore'!$AC$23,R$50+$U64,0)</f>
        <v/>
      </c>
      <c r="S64" s="752" t="str">
        <f ca="1">OFFSET('Invasive Large Herbivore'!$AC$23,S$50+$U64,0)</f>
        <v/>
      </c>
      <c r="T64" s="752" t="str">
        <f ca="1">OFFSET('Invasive Large Herbivore'!$AC$23,T$50+$U64,0)</f>
        <v/>
      </c>
      <c r="U64" s="587">
        <v>60</v>
      </c>
      <c r="V64" s="578">
        <f t="shared" ca="1" si="0"/>
        <v>1</v>
      </c>
    </row>
    <row r="65" spans="2:26">
      <c r="C65" s="771" t="s">
        <v>833</v>
      </c>
      <c r="D65" s="778">
        <f>SUM(D55:D64)</f>
        <v>0</v>
      </c>
      <c r="E65" s="771" t="s">
        <v>826</v>
      </c>
      <c r="F65" s="848">
        <f>SUM(F55:F64)</f>
        <v>530.44289622807491</v>
      </c>
      <c r="G65" s="773">
        <f>SUM(G55:G64)</f>
        <v>930.96098721973021</v>
      </c>
      <c r="H65" s="773">
        <f>SUM(H55:H64)</f>
        <v>1058.6969662929737</v>
      </c>
      <c r="I65" s="849">
        <f>SUM(I55:I64)</f>
        <v>1326.1809244394606</v>
      </c>
      <c r="J65" s="1271" t="s">
        <v>2226</v>
      </c>
      <c r="K65" s="3116">
        <f>SUM(K55:K64)</f>
        <v>3.346488980010248</v>
      </c>
      <c r="L65" s="3116">
        <f>SUM(L55:L64)</f>
        <v>3.9999999999999964</v>
      </c>
      <c r="M65" s="3116">
        <f>SUM(M55:M64)</f>
        <v>3.9999999999999964</v>
      </c>
      <c r="N65" s="3116">
        <f>SUM(N55:N64)</f>
        <v>3.9999999999999964</v>
      </c>
      <c r="O65" s="3117">
        <f>SUM(O55:O64)</f>
        <v>4.9999999999999956</v>
      </c>
      <c r="Q65" s="609"/>
      <c r="R65" s="609"/>
      <c r="S65" s="609"/>
      <c r="T65" s="1"/>
      <c r="U65" s="1"/>
    </row>
    <row r="66" spans="2:26">
      <c r="B66" s="811"/>
      <c r="E66" s="16"/>
      <c r="F66" s="16"/>
      <c r="H66" s="1"/>
      <c r="Q66" s="543"/>
      <c r="R66" s="543"/>
      <c r="S66" s="543"/>
      <c r="T66" s="543"/>
      <c r="X66" s="609"/>
      <c r="Y66" s="609"/>
      <c r="Z66" s="609"/>
    </row>
    <row r="67" spans="2:26">
      <c r="B67" s="811"/>
      <c r="C67" s="16"/>
      <c r="D67" s="16"/>
      <c r="O67" s="543"/>
      <c r="R67" s="609"/>
      <c r="S67" s="609"/>
      <c r="T67" s="609"/>
      <c r="U67" s="609"/>
    </row>
    <row r="68" spans="2:26">
      <c r="B68" s="811"/>
      <c r="C68" s="28" t="s">
        <v>822</v>
      </c>
      <c r="D68" s="28"/>
      <c r="E68" s="3"/>
      <c r="F68" s="3"/>
      <c r="G68" s="3"/>
      <c r="H68" s="3"/>
      <c r="I68" s="3"/>
      <c r="J68" s="3"/>
      <c r="K68" s="3"/>
      <c r="L68" s="3"/>
      <c r="O68" s="543"/>
      <c r="R68" s="609"/>
      <c r="S68" s="609"/>
      <c r="T68" s="609"/>
      <c r="U68" s="609"/>
    </row>
    <row r="69" spans="2:26" ht="15" customHeight="1">
      <c r="B69" s="811"/>
      <c r="C69" s="246" t="s">
        <v>57</v>
      </c>
      <c r="D69" s="749"/>
      <c r="E69" s="1209"/>
      <c r="F69" s="1180">
        <f>'Invasive Large Herbivore'!$Z$23</f>
        <v>34.931249999999963</v>
      </c>
      <c r="G69" s="1181">
        <f>'Invasive Large Herbivore'!$Z$23</f>
        <v>34.931249999999963</v>
      </c>
      <c r="H69" s="1182">
        <f>'Invasive Large Herbivore'!$Z$23</f>
        <v>34.931249999999963</v>
      </c>
      <c r="I69" s="1183">
        <f>'Invasive Large Herbivore'!$Z$23</f>
        <v>34.931249999999963</v>
      </c>
      <c r="J69" s="768"/>
      <c r="K69" s="768"/>
      <c r="L69" s="768"/>
      <c r="O69" s="543"/>
      <c r="R69" s="609"/>
      <c r="S69" s="609"/>
      <c r="T69" s="609"/>
      <c r="U69" s="609"/>
    </row>
    <row r="70" spans="2:26">
      <c r="B70" s="811"/>
      <c r="C70" s="452" t="s">
        <v>984</v>
      </c>
      <c r="D70" s="606"/>
      <c r="E70" s="1209"/>
      <c r="F70" s="689">
        <f>'Invasive Large Herbivore'!$Z$27</f>
        <v>6.0195384615384553</v>
      </c>
      <c r="G70" s="845"/>
      <c r="H70" s="846"/>
      <c r="I70" s="625"/>
      <c r="J70" s="779"/>
      <c r="K70" s="779"/>
      <c r="L70" s="779"/>
      <c r="M70" s="620"/>
      <c r="O70" s="543"/>
      <c r="R70" s="609"/>
      <c r="S70" s="609"/>
      <c r="T70" s="609"/>
      <c r="U70" s="609"/>
    </row>
    <row r="71" spans="2:26" ht="16" customHeight="1">
      <c r="B71" s="811"/>
      <c r="C71" s="389" t="s">
        <v>1001</v>
      </c>
      <c r="D71" s="606"/>
      <c r="E71" s="1209"/>
      <c r="F71" s="691"/>
      <c r="G71" s="841">
        <f>'Invasive Large Herbivore'!$Z$31</f>
        <v>21.337838565022402</v>
      </c>
      <c r="H71" s="337">
        <f>'Invasive Large Herbivore'!$Z$35</f>
        <v>24.381784753363213</v>
      </c>
      <c r="I71" s="842">
        <f>'Invasive Large Herbivore'!$Z$39</f>
        <v>32.275677130044819</v>
      </c>
      <c r="J71" s="779"/>
      <c r="K71" s="779"/>
      <c r="L71" s="779"/>
      <c r="O71" s="543"/>
      <c r="R71" s="609"/>
      <c r="S71" s="609"/>
      <c r="T71" s="609"/>
      <c r="U71" s="609"/>
    </row>
    <row r="72" spans="2:26">
      <c r="B72" s="811"/>
      <c r="C72" s="452" t="s">
        <v>1040</v>
      </c>
      <c r="D72" s="606"/>
      <c r="E72" s="1209"/>
      <c r="F72" s="689">
        <f>'Invasive Large Herbivore'!$Z$43</f>
        <v>56.976781327161063</v>
      </c>
      <c r="G72" s="843"/>
      <c r="H72" s="690"/>
      <c r="I72" s="844"/>
      <c r="J72" s="779"/>
      <c r="K72" s="779"/>
      <c r="L72" s="779"/>
      <c r="M72" s="620"/>
      <c r="O72" s="543"/>
      <c r="R72" s="609"/>
      <c r="S72" s="609"/>
      <c r="T72" s="609"/>
      <c r="U72" s="609"/>
    </row>
    <row r="73" spans="2:26" outlineLevel="1">
      <c r="B73" s="811"/>
      <c r="C73" s="452" t="s">
        <v>1045</v>
      </c>
      <c r="D73" s="606"/>
      <c r="E73" s="1209"/>
      <c r="F73" s="689">
        <f>'Invasive Large Herbivore'!$Z$47</f>
        <v>34.130852307692287</v>
      </c>
      <c r="G73" s="843"/>
      <c r="H73" s="690"/>
      <c r="I73" s="844"/>
      <c r="J73" s="779"/>
      <c r="K73" s="779"/>
      <c r="L73" s="779"/>
      <c r="O73" s="543"/>
      <c r="R73" s="609"/>
      <c r="S73" s="609"/>
      <c r="T73" s="609"/>
      <c r="U73" s="609"/>
    </row>
    <row r="74" spans="2:26" outlineLevel="1">
      <c r="B74" s="811"/>
      <c r="C74" s="452" t="s">
        <v>1041</v>
      </c>
      <c r="D74" s="606"/>
      <c r="E74" s="1209"/>
      <c r="F74" s="841">
        <f>'Invasive Large Herbivore'!$Z$51</f>
        <v>6.3164999999999942</v>
      </c>
      <c r="G74" s="843"/>
      <c r="H74" s="690"/>
      <c r="I74" s="844"/>
      <c r="J74" s="779"/>
      <c r="K74" s="779"/>
      <c r="L74" s="779"/>
      <c r="O74" s="543"/>
      <c r="R74" s="609"/>
      <c r="S74" s="609"/>
      <c r="T74" s="609"/>
      <c r="U74" s="609"/>
    </row>
    <row r="75" spans="2:26" outlineLevel="1">
      <c r="B75" s="811"/>
      <c r="C75" s="389" t="s">
        <v>1042</v>
      </c>
      <c r="D75" s="606"/>
      <c r="E75" s="1209"/>
      <c r="F75" s="691"/>
      <c r="G75" s="841">
        <f>'Invasive Large Herbivore'!$Z$55</f>
        <v>251.52233923766792</v>
      </c>
      <c r="H75" s="337">
        <f>'Invasive Large Herbivore'!$Z$59</f>
        <v>295.54860231689065</v>
      </c>
      <c r="I75" s="842">
        <f>'Invasive Large Herbivore'!$Z$63</f>
        <v>383.60112847533594</v>
      </c>
      <c r="J75" s="779"/>
      <c r="K75" s="779"/>
      <c r="L75" s="779"/>
      <c r="O75" s="543"/>
      <c r="R75" s="609"/>
      <c r="S75" s="609"/>
      <c r="T75" s="609"/>
      <c r="U75" s="609"/>
    </row>
    <row r="76" spans="2:26" outlineLevel="1">
      <c r="B76" s="811"/>
      <c r="C76" s="452" t="s">
        <v>1043</v>
      </c>
      <c r="D76" s="606"/>
      <c r="E76" s="1209"/>
      <c r="F76" s="715">
        <f>'Invasive Large Herbivore'!$Z$67</f>
        <v>6.0195384615384553</v>
      </c>
      <c r="G76" s="843"/>
      <c r="H76" s="690"/>
      <c r="I76" s="844"/>
      <c r="J76" s="779"/>
      <c r="K76" s="779"/>
      <c r="L76" s="779"/>
      <c r="O76" s="543"/>
      <c r="R76" s="609"/>
      <c r="S76" s="609"/>
      <c r="T76" s="609"/>
      <c r="U76" s="609"/>
    </row>
    <row r="77" spans="2:26" outlineLevel="1">
      <c r="B77" s="811"/>
      <c r="C77" s="389" t="s">
        <v>1044</v>
      </c>
      <c r="D77" s="606"/>
      <c r="E77" s="1209"/>
      <c r="F77" s="691"/>
      <c r="G77" s="841">
        <f>'Invasive Large Herbivore'!$Z$71</f>
        <v>21.337838565022402</v>
      </c>
      <c r="H77" s="337">
        <f>'Invasive Large Herbivore'!$Z$75</f>
        <v>24.381784753363213</v>
      </c>
      <c r="I77" s="842">
        <f>'Invasive Large Herbivore'!$Z$79</f>
        <v>32.275677130044819</v>
      </c>
      <c r="J77" s="779"/>
      <c r="K77" s="779"/>
      <c r="L77" s="779"/>
      <c r="O77" s="543"/>
      <c r="R77" s="609"/>
      <c r="S77" s="609"/>
      <c r="T77" s="609"/>
      <c r="U77" s="609"/>
    </row>
    <row r="78" spans="2:26" outlineLevel="1">
      <c r="B78" s="811"/>
      <c r="C78" s="162" t="s">
        <v>736</v>
      </c>
      <c r="D78" s="607"/>
      <c r="E78" s="1209"/>
      <c r="F78" s="988">
        <f>'Invasive Large Herbivore'!$Z$83</f>
        <v>34.931249999999963</v>
      </c>
      <c r="G78" s="385">
        <f>'Invasive Large Herbivore'!$Z$83</f>
        <v>34.931249999999963</v>
      </c>
      <c r="H78" s="179">
        <f>'Invasive Large Herbivore'!$Z$83</f>
        <v>34.931249999999963</v>
      </c>
      <c r="I78" s="847">
        <f>'Invasive Large Herbivore'!$Z$83</f>
        <v>34.931249999999963</v>
      </c>
      <c r="J78" s="779"/>
      <c r="K78" s="779"/>
      <c r="L78" s="779"/>
      <c r="O78" s="543"/>
      <c r="R78" s="609"/>
      <c r="S78" s="609"/>
      <c r="T78" s="609"/>
      <c r="U78" s="609"/>
    </row>
    <row r="79" spans="2:26">
      <c r="B79" s="811"/>
      <c r="C79" s="764" t="s">
        <v>766</v>
      </c>
      <c r="D79" s="764"/>
      <c r="E79" s="812"/>
      <c r="F79" s="1213">
        <f>SUM(F69:F78)</f>
        <v>179.32571055793017</v>
      </c>
      <c r="G79" s="765">
        <f>SUM(G69:G78)</f>
        <v>364.06051636771269</v>
      </c>
      <c r="H79" s="765">
        <f>SUM(H69:H78)</f>
        <v>414.17467182361702</v>
      </c>
      <c r="I79" s="766">
        <f>SUM(I69:I78)</f>
        <v>518.01498273542552</v>
      </c>
      <c r="J79" s="779"/>
      <c r="K79" s="779"/>
      <c r="L79" s="779"/>
      <c r="O79" s="543"/>
      <c r="R79" s="609"/>
      <c r="S79" s="609"/>
      <c r="T79" s="609"/>
      <c r="U79" s="609"/>
    </row>
    <row r="82" spans="29:29">
      <c r="AC82" s="587"/>
    </row>
  </sheetData>
  <mergeCells count="11">
    <mergeCell ref="G46:I46"/>
    <mergeCell ref="K49:O49"/>
    <mergeCell ref="G50:I50"/>
    <mergeCell ref="M50:O50"/>
    <mergeCell ref="D51:D54"/>
    <mergeCell ref="M51:O51"/>
    <mergeCell ref="G52:I52"/>
    <mergeCell ref="M52:O52"/>
    <mergeCell ref="F51:I51"/>
    <mergeCell ref="G53:I53"/>
    <mergeCell ref="M53:O53"/>
  </mergeCells>
  <pageMargins left="0.7" right="0.7" top="0.75" bottom="0.75" header="0.3" footer="0.3"/>
  <pageSetup paperSize="9"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689"/>
  <sheetViews>
    <sheetView showGridLines="0" zoomScaleNormal="100" workbookViewId="0">
      <selection activeCell="H36" sqref="H36"/>
    </sheetView>
  </sheetViews>
  <sheetFormatPr baseColWidth="10" defaultColWidth="11" defaultRowHeight="16"/>
  <cols>
    <col min="1" max="1" width="2.6640625" customWidth="1"/>
    <col min="2" max="2" width="6.83203125" customWidth="1"/>
    <col min="3" max="3" width="28.5" customWidth="1"/>
    <col min="4" max="4" width="32.6640625" style="24" customWidth="1"/>
    <col min="5" max="5" width="16.83203125" style="16" customWidth="1"/>
    <col min="6" max="6" width="14.33203125" customWidth="1"/>
    <col min="7" max="7" width="12" style="359" customWidth="1"/>
    <col min="8" max="8" width="11.6640625" customWidth="1"/>
    <col min="9" max="9" width="18" customWidth="1"/>
    <col min="10" max="11" width="19.5" customWidth="1"/>
    <col min="12" max="12" width="12.1640625" customWidth="1"/>
    <col min="13" max="14" width="10.6640625" customWidth="1"/>
    <col min="15" max="15" width="13.6640625" customWidth="1"/>
    <col min="16" max="16" width="14.33203125" customWidth="1"/>
    <col min="17" max="19" width="14.33203125" style="2791" customWidth="1"/>
    <col min="20" max="20" width="3.1640625" customWidth="1"/>
    <col min="21" max="21" width="11.1640625" customWidth="1"/>
    <col min="22" max="24" width="11.6640625" customWidth="1"/>
    <col min="25" max="26" width="18.83203125" customWidth="1"/>
    <col min="27" max="27" width="21" customWidth="1"/>
    <col min="28" max="29" width="16.6640625" customWidth="1"/>
    <col min="30" max="31" width="22.6640625" customWidth="1"/>
    <col min="32" max="32" width="17.1640625" customWidth="1"/>
    <col min="33" max="34" width="9" customWidth="1"/>
    <col min="35" max="35" width="23.6640625" customWidth="1"/>
    <col min="36" max="36" width="25.33203125" customWidth="1"/>
    <col min="37" max="38" width="21.6640625" customWidth="1"/>
    <col min="39" max="39" width="14.33203125" customWidth="1"/>
    <col min="40" max="40" width="12.6640625" bestFit="1" customWidth="1"/>
    <col min="47" max="47" width="12.5" bestFit="1" customWidth="1"/>
  </cols>
  <sheetData>
    <row r="1" spans="2:35">
      <c r="B1" s="3" t="s">
        <v>19</v>
      </c>
      <c r="C1" s="24"/>
      <c r="D1" s="16" t="s">
        <v>334</v>
      </c>
      <c r="E1"/>
      <c r="F1" s="359"/>
      <c r="G1"/>
      <c r="H1" s="359"/>
    </row>
    <row r="2" spans="2:35" ht="16" customHeight="1">
      <c r="C2" s="24" t="s">
        <v>10</v>
      </c>
      <c r="D2" s="16" t="s">
        <v>11</v>
      </c>
      <c r="E2"/>
      <c r="F2" s="359"/>
      <c r="G2"/>
      <c r="H2" s="359"/>
      <c r="AB2" s="1008"/>
      <c r="AE2" s="1009"/>
    </row>
    <row r="3" spans="2:35" ht="16" customHeight="1">
      <c r="C3" s="24" t="s">
        <v>0</v>
      </c>
      <c r="D3" s="16" t="s">
        <v>6</v>
      </c>
      <c r="E3"/>
      <c r="F3" s="359"/>
      <c r="G3"/>
      <c r="H3" s="359"/>
      <c r="AB3" s="1008"/>
      <c r="AE3" s="1009"/>
    </row>
    <row r="4" spans="2:35" ht="16" customHeight="1">
      <c r="B4" s="3"/>
      <c r="C4" s="24" t="s">
        <v>1</v>
      </c>
      <c r="D4" s="16" t="s">
        <v>398</v>
      </c>
      <c r="E4"/>
      <c r="F4" s="359"/>
      <c r="G4"/>
      <c r="H4" s="359"/>
      <c r="AB4" s="1008"/>
      <c r="AE4" s="1009"/>
    </row>
    <row r="5" spans="2:35" ht="16" customHeight="1">
      <c r="B5" s="3" t="s">
        <v>20</v>
      </c>
      <c r="C5" s="24"/>
      <c r="D5" s="16"/>
      <c r="E5"/>
      <c r="F5" s="359"/>
      <c r="H5" s="1"/>
      <c r="I5" s="359"/>
      <c r="AC5" s="1008"/>
      <c r="AF5" s="1009"/>
    </row>
    <row r="6" spans="2:35">
      <c r="C6" s="24" t="s">
        <v>2</v>
      </c>
      <c r="D6" s="16" t="s">
        <v>5</v>
      </c>
      <c r="F6" s="359"/>
      <c r="I6" s="359"/>
      <c r="AC6" s="3831"/>
      <c r="AF6" s="3832"/>
    </row>
    <row r="7" spans="2:35">
      <c r="C7" s="24" t="s">
        <v>22</v>
      </c>
      <c r="D7" s="16" t="s">
        <v>333</v>
      </c>
      <c r="F7" s="359"/>
      <c r="I7" s="359"/>
      <c r="AC7" s="3831"/>
      <c r="AF7" s="3832"/>
    </row>
    <row r="8" spans="2:35">
      <c r="C8" s="24" t="s">
        <v>7</v>
      </c>
      <c r="D8" s="16" t="s">
        <v>29</v>
      </c>
      <c r="F8" s="359"/>
      <c r="I8" s="359"/>
      <c r="O8" s="15"/>
      <c r="AC8" s="3831"/>
      <c r="AF8" s="3832"/>
    </row>
    <row r="9" spans="2:35">
      <c r="C9" s="24" t="s">
        <v>8</v>
      </c>
      <c r="D9" s="16" t="s">
        <v>9</v>
      </c>
      <c r="F9" s="359"/>
      <c r="I9" s="359"/>
      <c r="AC9" s="3831"/>
      <c r="AF9" s="3832"/>
    </row>
    <row r="10" spans="2:35" ht="19">
      <c r="C10" s="24"/>
      <c r="D10" s="16"/>
      <c r="F10" s="359"/>
      <c r="I10" s="359"/>
      <c r="AC10" s="857"/>
      <c r="AF10" s="858"/>
    </row>
    <row r="11" spans="2:35" ht="19">
      <c r="B11" s="904" t="s">
        <v>140</v>
      </c>
      <c r="C11" s="113"/>
      <c r="D11" s="16"/>
      <c r="F11" s="359"/>
      <c r="I11" s="359"/>
      <c r="AA11" s="2953" t="s">
        <v>2305</v>
      </c>
      <c r="AB11" s="2953"/>
      <c r="AC11" s="3467"/>
      <c r="AF11" s="858"/>
    </row>
    <row r="12" spans="2:35" ht="19">
      <c r="C12" s="31" t="s">
        <v>960</v>
      </c>
      <c r="D12" s="16"/>
      <c r="F12" s="359"/>
      <c r="I12" s="359"/>
      <c r="AA12" s="204">
        <f>SUMIF(T23:T104,"L",AA23:AA104)-AA13-AA15</f>
        <v>234.32786233183833</v>
      </c>
      <c r="AB12" s="2953" t="s">
        <v>2303</v>
      </c>
      <c r="AC12" s="3467"/>
      <c r="AF12" s="858"/>
    </row>
    <row r="13" spans="2:35" ht="19">
      <c r="C13" s="955" t="s">
        <v>961</v>
      </c>
      <c r="D13" s="16"/>
      <c r="F13" s="359"/>
      <c r="I13" s="359"/>
      <c r="AA13" s="454">
        <v>0</v>
      </c>
      <c r="AB13" s="2953" t="s">
        <v>2304</v>
      </c>
      <c r="AC13" s="3467"/>
      <c r="AF13" s="858"/>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SUM(AA31,AA35,AA43,AA47,AA51,AA59,AA63)</f>
        <v>1775.7234690582945</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4048"/>
      <c r="X19" s="4048"/>
      <c r="Y19" s="4048"/>
      <c r="Z19" s="3812"/>
      <c r="AA19" s="3816" t="s">
        <v>910</v>
      </c>
      <c r="AB19" s="3817"/>
      <c r="AC19" s="3826"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780"/>
      <c r="AD20" s="3824"/>
      <c r="AE20" s="3825"/>
      <c r="AF20" s="903"/>
      <c r="AG20" s="903"/>
      <c r="AH20" s="3764"/>
      <c r="AI20" s="3765"/>
      <c r="AJ20" s="3765"/>
      <c r="AK20" s="3766"/>
    </row>
    <row r="21" spans="1:37" s="893" customFormat="1" ht="26" customHeight="1">
      <c r="B21" s="1186"/>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7" t="s">
        <v>818</v>
      </c>
      <c r="X21" s="3747" t="s">
        <v>817</v>
      </c>
      <c r="Y21" s="3783" t="s">
        <v>909</v>
      </c>
      <c r="Z21" s="3760" t="s">
        <v>812</v>
      </c>
      <c r="AA21" s="3826" t="s">
        <v>813</v>
      </c>
      <c r="AB21" s="3756" t="s">
        <v>814</v>
      </c>
      <c r="AC21" s="3780"/>
      <c r="AD21" s="3758" t="s">
        <v>210</v>
      </c>
      <c r="AE21" s="3760" t="s">
        <v>211</v>
      </c>
      <c r="AF21" s="894"/>
      <c r="AG21" s="894"/>
      <c r="AH21" s="909" t="s">
        <v>66</v>
      </c>
      <c r="AI21" s="895"/>
      <c r="AJ21" s="3748" t="s">
        <v>190</v>
      </c>
      <c r="AK21" s="3748" t="s">
        <v>181</v>
      </c>
    </row>
    <row r="22" spans="1:37" s="893" customFormat="1" ht="38" customHeight="1">
      <c r="B22" s="1010"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81"/>
      <c r="AD22" s="3759"/>
      <c r="AE22" s="3757"/>
      <c r="AF22" s="894"/>
      <c r="AG22" s="893" t="s">
        <v>732</v>
      </c>
      <c r="AH22" s="897" t="s">
        <v>17</v>
      </c>
      <c r="AI22" s="898" t="s">
        <v>18</v>
      </c>
      <c r="AJ22" s="3749"/>
      <c r="AK22" s="3749"/>
    </row>
    <row r="23" spans="1:37" ht="19" customHeight="1">
      <c r="B23" s="260">
        <v>1</v>
      </c>
      <c r="C23" s="3844" t="s">
        <v>201</v>
      </c>
      <c r="D23" s="3847" t="s">
        <v>131</v>
      </c>
      <c r="E23" s="12" t="s">
        <v>3</v>
      </c>
      <c r="F23" s="1162"/>
      <c r="G23" s="3591">
        <f>$E$119</f>
        <v>15</v>
      </c>
      <c r="H23" s="188">
        <f>F119</f>
        <v>5062.5</v>
      </c>
      <c r="I23" s="921" t="s">
        <v>407</v>
      </c>
      <c r="J23" s="377" t="str">
        <f>IF(K23=1,"Annual","Done every "&amp;K23&amp;" years")</f>
        <v>Annual</v>
      </c>
      <c r="K23" s="11">
        <f>D110</f>
        <v>1</v>
      </c>
      <c r="L23" s="1043">
        <f>$L$16/K23</f>
        <v>80</v>
      </c>
      <c r="M23" s="171">
        <f>$L$16/L23</f>
        <v>1</v>
      </c>
      <c r="N23" s="240">
        <f>$H23*(1-(1+$L$15)^-(L23*M23))/((1+$L$15)^M23-1)*(1+((1+$L$15)^M23-1))</f>
        <v>125914.53807358607</v>
      </c>
      <c r="O23" s="191">
        <f>N23/(1+$L$15)*($L$15)/(1-(1+$L$15)^-$L$16)</f>
        <v>5062.4999999999955</v>
      </c>
      <c r="P23" s="195">
        <f>SUM(O23:O26)</f>
        <v>5062.4999999999955</v>
      </c>
      <c r="Q23" s="3041"/>
      <c r="R23" s="3041"/>
      <c r="S23" s="3041"/>
      <c r="T23" s="1031" t="s">
        <v>808</v>
      </c>
      <c r="U23" s="583">
        <f>O23/$U$16</f>
        <v>50.624999999999957</v>
      </c>
      <c r="V23" s="583">
        <f>IF($T23="L",SUM($U23:U23)*V$16,"")</f>
        <v>15.187499999999986</v>
      </c>
      <c r="W23" s="1474"/>
      <c r="X23" s="583">
        <f>IF($U23="","",SUM($U23:W23)*X$16)</f>
        <v>19.743749999999981</v>
      </c>
      <c r="Y23" s="240">
        <f t="shared" ref="Y23:Y70" si="0">IF($U23="","",SUM(V23:X23))</f>
        <v>34.931249999999963</v>
      </c>
      <c r="Z23" s="240">
        <f>SUM(V23:X26)</f>
        <v>34.931249999999963</v>
      </c>
      <c r="AA23" s="191">
        <f t="shared" ref="AA23:AA70" si="1">IF($U23="","",SUM(U23,Y23))</f>
        <v>85.55624999999992</v>
      </c>
      <c r="AB23" s="195">
        <f>SUM(AA23:AA26)</f>
        <v>85.55624999999992</v>
      </c>
      <c r="AC23" s="1049">
        <f t="shared" ref="AC23:AC70" ca="1" si="2">IF(AA23="","",AA23/OFFSET($AB$23,AF23,0))</f>
        <v>1</v>
      </c>
      <c r="AD23" s="1062"/>
      <c r="AE23" s="1063"/>
      <c r="AF23" s="587">
        <v>0</v>
      </c>
      <c r="AG23" s="816">
        <f ca="1">SUM(AC23:AC26)-1</f>
        <v>0</v>
      </c>
      <c r="AH23" s="13">
        <f>$AH$16/K23</f>
        <v>5</v>
      </c>
      <c r="AI23" s="13">
        <f>$AH$16/AH23</f>
        <v>1</v>
      </c>
      <c r="AJ23" s="14">
        <f>$H23*(1-(1+$L$15)^-(AH23*AI23))/((1+$L$15)^AI23-1)*(1+((1+$L$15)^AI23-1))</f>
        <v>23438.844572800335</v>
      </c>
      <c r="AK23" s="191">
        <f>SUM(AJ23:AJ26)</f>
        <v>23438.844572800335</v>
      </c>
    </row>
    <row r="24" spans="1:37" ht="19" customHeight="1">
      <c r="B24" s="261"/>
      <c r="C24" s="3845"/>
      <c r="D24" s="3848"/>
      <c r="E24" s="12" t="s">
        <v>308</v>
      </c>
      <c r="F24" s="1172"/>
      <c r="G24" s="1172"/>
      <c r="H24" s="188"/>
      <c r="I24" s="921"/>
      <c r="J24" s="377"/>
      <c r="K24" s="11"/>
      <c r="L24" s="1044"/>
      <c r="M24" s="944"/>
      <c r="N24" s="241"/>
      <c r="O24" s="342"/>
      <c r="P24" s="193"/>
      <c r="Q24" s="3042">
        <v>0</v>
      </c>
      <c r="R24" s="3042">
        <v>0</v>
      </c>
      <c r="S24" s="3042">
        <v>0</v>
      </c>
      <c r="T24" s="1032" t="s">
        <v>809</v>
      </c>
      <c r="U24" s="585"/>
      <c r="V24" s="585" t="str">
        <f>IF($T24="L",SUM($U24:U24)*V$16,"")</f>
        <v/>
      </c>
      <c r="W24" s="1475"/>
      <c r="X24" s="585" t="str">
        <f>IF($U24="","",SUM($U24:W24)*X$16)</f>
        <v/>
      </c>
      <c r="Y24" s="242" t="str">
        <f t="shared" si="0"/>
        <v/>
      </c>
      <c r="Z24" s="242"/>
      <c r="AA24" s="342" t="str">
        <f t="shared" si="1"/>
        <v/>
      </c>
      <c r="AB24" s="193"/>
      <c r="AC24" s="1026" t="str">
        <f t="shared" ca="1" si="2"/>
        <v/>
      </c>
      <c r="AD24" s="589"/>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c r="P25" s="193"/>
      <c r="Q25" s="3042"/>
      <c r="R25" s="3042"/>
      <c r="S25" s="3042"/>
      <c r="T25" s="1032" t="s">
        <v>810</v>
      </c>
      <c r="U25" s="585"/>
      <c r="V25" s="585" t="str">
        <f>IF($T25="L",SUM($U25:U25)*V$16,"")</f>
        <v/>
      </c>
      <c r="W25" s="1475"/>
      <c r="X25" s="585" t="str">
        <f>IF($U25="","",SUM($U25:W25)*X$16)</f>
        <v/>
      </c>
      <c r="Y25" s="242" t="str">
        <f t="shared" si="0"/>
        <v/>
      </c>
      <c r="Z25" s="242"/>
      <c r="AA25" s="342" t="str">
        <f t="shared" si="1"/>
        <v/>
      </c>
      <c r="AB25" s="193"/>
      <c r="AC25" s="1026" t="str">
        <f t="shared" ca="1" si="2"/>
        <v/>
      </c>
      <c r="AD25" s="589"/>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c r="P26" s="196"/>
      <c r="Q26" s="3043"/>
      <c r="R26" s="3043"/>
      <c r="S26" s="3043"/>
      <c r="T26" s="1033" t="s">
        <v>811</v>
      </c>
      <c r="U26" s="891"/>
      <c r="V26" s="891" t="str">
        <f>IF($T26="L",SUM($U26:U26)*V$16,"")</f>
        <v/>
      </c>
      <c r="W26" s="1478"/>
      <c r="X26" s="891" t="str">
        <f>IF($U26="","",SUM($U26:W26)*X$16)</f>
        <v/>
      </c>
      <c r="Y26" s="244" t="str">
        <f t="shared" si="0"/>
        <v/>
      </c>
      <c r="Z26" s="244"/>
      <c r="AA26" s="343" t="str">
        <f t="shared" si="1"/>
        <v/>
      </c>
      <c r="AB26" s="196"/>
      <c r="AC26" s="1050" t="str">
        <f t="shared" ca="1" si="2"/>
        <v/>
      </c>
      <c r="AD26" s="1064"/>
      <c r="AE26" s="1065"/>
      <c r="AF26" s="587">
        <f>AF25</f>
        <v>0</v>
      </c>
      <c r="AG26" s="587"/>
      <c r="AH26" s="13"/>
      <c r="AI26" s="13"/>
      <c r="AJ26" s="189"/>
      <c r="AK26" s="342"/>
    </row>
    <row r="27" spans="1:37" ht="18" customHeight="1">
      <c r="A27" s="390"/>
      <c r="B27" s="1765">
        <v>2.1</v>
      </c>
      <c r="C27" s="859" t="s">
        <v>202</v>
      </c>
      <c r="D27" s="3851" t="s">
        <v>472</v>
      </c>
      <c r="E27" s="885" t="s">
        <v>3</v>
      </c>
      <c r="F27" s="1185"/>
      <c r="G27" s="1185">
        <f t="shared" ref="G27:G29" si="3">E267</f>
        <v>7.4541106128550076</v>
      </c>
      <c r="H27" s="882">
        <f>I267</f>
        <v>1677.1748878923768</v>
      </c>
      <c r="I27" s="886" t="s">
        <v>475</v>
      </c>
      <c r="J27" s="887" t="str">
        <f t="shared" ref="J27:J57" si="4">IF(K27=1,"Annual","Done every "&amp;K27&amp;" years")</f>
        <v>Annual</v>
      </c>
      <c r="K27" s="879">
        <f>M267</f>
        <v>1</v>
      </c>
      <c r="L27" s="636">
        <f t="shared" ref="L27:M57" si="5">$L$16/K27</f>
        <v>80</v>
      </c>
      <c r="M27" s="879">
        <f t="shared" si="5"/>
        <v>1</v>
      </c>
      <c r="N27" s="882">
        <f t="shared" ref="N27:N57" si="6">$H27*(1-(1+$L$15)^-(L27*M27))/((1+$L$15)^M27-1)*(1+((1+$L$15)^M27-1))</f>
        <v>41714.706425202392</v>
      </c>
      <c r="O27" s="637">
        <f t="shared" ref="O27:O70" si="7">N27/(1+$L$15)*($L$15)/(1-(1+$L$15)^-$L$16)</f>
        <v>1677.1748878923752</v>
      </c>
      <c r="P27" s="392">
        <f>SUM(O27:O30)</f>
        <v>4485.3577707620252</v>
      </c>
      <c r="Q27" s="3055"/>
      <c r="R27" s="3055"/>
      <c r="S27" s="3055"/>
      <c r="T27" s="1034" t="s">
        <v>808</v>
      </c>
      <c r="U27" s="642">
        <f t="shared" ref="U27:U57" si="8">O27/$U$16</f>
        <v>16.771748878923752</v>
      </c>
      <c r="V27" s="644">
        <f>IF($T27="L",SUM($U27:U27)*V$16,"")</f>
        <v>5.0315246636771258</v>
      </c>
      <c r="W27" s="644">
        <f>IF($U27="","",IF(OR($T27="L",$T27="T",$T27="C"),SUM($U27:V27)*W$16,""))</f>
        <v>2.1803273542600876</v>
      </c>
      <c r="X27" s="644">
        <f>IF($U27="","",SUM($U27:W27)*X$16)</f>
        <v>7.1950802690582885</v>
      </c>
      <c r="Y27" s="388">
        <f t="shared" si="0"/>
        <v>14.406932286995502</v>
      </c>
      <c r="Z27" s="392">
        <f>SUM(V27:X30)</f>
        <v>25.850354926635838</v>
      </c>
      <c r="AA27" s="734">
        <f t="shared" si="1"/>
        <v>31.178681165919254</v>
      </c>
      <c r="AB27" s="392">
        <f>SUM(AA27:AA30)</f>
        <v>70.703932634256077</v>
      </c>
      <c r="AC27" s="1027">
        <f t="shared" ca="1" si="2"/>
        <v>0.44097520469198304</v>
      </c>
      <c r="AD27" s="641"/>
      <c r="AE27" s="1066"/>
      <c r="AF27" s="587">
        <f>AF23+4</f>
        <v>4</v>
      </c>
      <c r="AG27" s="816">
        <f ca="1">SUM(AC27:AC30)-1</f>
        <v>0</v>
      </c>
      <c r="AH27" s="387">
        <f t="shared" ref="AH27:AH57" si="9">$AH$16/K27</f>
        <v>5</v>
      </c>
      <c r="AI27" s="387">
        <f t="shared" ref="AI27:AI57" si="10">$AH$16/AH27</f>
        <v>1</v>
      </c>
      <c r="AJ27" s="370">
        <f t="shared" ref="AJ27:AJ57" si="11">$H27*(1-(1+$L$15)^-(AH27*AI27))/((1+$L$15)^AI27-1)*(1+((1+$L$15)^AI27-1))</f>
        <v>7765.1440036964432</v>
      </c>
      <c r="AK27" s="980">
        <f>SUM(AJ27:AJ30)</f>
        <v>20766.736521934494</v>
      </c>
    </row>
    <row r="28" spans="1:37" ht="19" customHeight="1">
      <c r="A28" s="390"/>
      <c r="B28" s="710"/>
      <c r="C28" s="783" t="s">
        <v>749</v>
      </c>
      <c r="D28" s="3851"/>
      <c r="E28" s="373" t="s">
        <v>308</v>
      </c>
      <c r="F28" s="1176">
        <f>$D$254</f>
        <v>1</v>
      </c>
      <c r="G28" s="1176">
        <f t="shared" si="3"/>
        <v>3.7270553064275038</v>
      </c>
      <c r="H28" s="370">
        <f>I268</f>
        <v>1062.2107623318386</v>
      </c>
      <c r="I28" s="613" t="s">
        <v>797</v>
      </c>
      <c r="J28" s="375" t="str">
        <f t="shared" si="4"/>
        <v>Annual</v>
      </c>
      <c r="K28" s="371">
        <f>M268</f>
        <v>1</v>
      </c>
      <c r="L28" s="386">
        <f t="shared" si="5"/>
        <v>80</v>
      </c>
      <c r="M28" s="371">
        <f t="shared" si="5"/>
        <v>1</v>
      </c>
      <c r="N28" s="370">
        <f t="shared" si="6"/>
        <v>26419.314069294851</v>
      </c>
      <c r="O28" s="640">
        <f t="shared" si="7"/>
        <v>1062.2107623318377</v>
      </c>
      <c r="P28" s="392"/>
      <c r="Q28" s="3055">
        <f>1*(1-(1+$L$15)^-(L28*M28))/((1+$L$15)^M28-1)*(1+((1+$L$15)^M28-1))</f>
        <v>24.872007520708362</v>
      </c>
      <c r="R28" s="3055">
        <f>Q28/(1+$L$15)*($L$15)/(1-(1+$L$15)^-$L$16)</f>
        <v>0.99999999999999911</v>
      </c>
      <c r="S28" s="3055">
        <f>F28*R28</f>
        <v>0.99999999999999911</v>
      </c>
      <c r="T28" s="1034" t="s">
        <v>809</v>
      </c>
      <c r="U28" s="639">
        <f t="shared" si="8"/>
        <v>10.622107623318378</v>
      </c>
      <c r="V28" s="644" t="str">
        <f>IF($T28="L",SUM($U28:U28)*V$16,"")</f>
        <v/>
      </c>
      <c r="W28" s="644">
        <f>IF($U28="","",IF(OR($T28="L",$T28="T",$T28="C"),SUM($U28:V28)*W$16,""))</f>
        <v>1.0622107623318378</v>
      </c>
      <c r="X28" s="644">
        <f>IF($U28="","",SUM($U28:W28)*X$16)</f>
        <v>3.5052955156950643</v>
      </c>
      <c r="Y28" s="817">
        <f t="shared" si="0"/>
        <v>4.5675062780269018</v>
      </c>
      <c r="Z28" s="392"/>
      <c r="AA28" s="734">
        <f t="shared" si="1"/>
        <v>15.189613901345279</v>
      </c>
      <c r="AB28" s="392"/>
      <c r="AC28" s="1051">
        <f t="shared" ca="1" si="2"/>
        <v>0.2148340740807097</v>
      </c>
      <c r="AD28" s="641"/>
      <c r="AE28" s="1066"/>
      <c r="AF28" s="587">
        <f>AF27</f>
        <v>4</v>
      </c>
      <c r="AG28" s="587"/>
      <c r="AH28" s="387">
        <f t="shared" si="9"/>
        <v>5</v>
      </c>
      <c r="AI28" s="387">
        <f t="shared" si="10"/>
        <v>1</v>
      </c>
      <c r="AJ28" s="370">
        <f t="shared" si="11"/>
        <v>4917.9245356744141</v>
      </c>
      <c r="AK28" s="981"/>
    </row>
    <row r="29" spans="1:37" ht="19" customHeight="1">
      <c r="A29" s="390"/>
      <c r="B29" s="710"/>
      <c r="C29" s="783"/>
      <c r="D29" s="3851"/>
      <c r="E29" s="373" t="s">
        <v>4</v>
      </c>
      <c r="F29" s="1176"/>
      <c r="G29" s="1176">
        <f t="shared" si="3"/>
        <v>6</v>
      </c>
      <c r="H29" s="370">
        <f>I269</f>
        <v>1260</v>
      </c>
      <c r="I29" s="613" t="s">
        <v>70</v>
      </c>
      <c r="J29" s="375" t="str">
        <f t="shared" si="4"/>
        <v>Annual</v>
      </c>
      <c r="K29" s="371">
        <f>M269</f>
        <v>1</v>
      </c>
      <c r="L29" s="386">
        <f t="shared" si="5"/>
        <v>80</v>
      </c>
      <c r="M29" s="371">
        <f t="shared" si="5"/>
        <v>1</v>
      </c>
      <c r="N29" s="370">
        <f t="shared" si="6"/>
        <v>31338.729476092536</v>
      </c>
      <c r="O29" s="640">
        <f t="shared" si="7"/>
        <v>1259.9999999999991</v>
      </c>
      <c r="P29" s="393"/>
      <c r="Q29" s="3055"/>
      <c r="R29" s="3055"/>
      <c r="S29" s="3055"/>
      <c r="T29" s="1034" t="s">
        <v>810</v>
      </c>
      <c r="U29" s="639">
        <f t="shared" si="8"/>
        <v>12.599999999999991</v>
      </c>
      <c r="V29" s="644" t="str">
        <f>IF($T29="L",SUM($U29:U29)*V$16,"")</f>
        <v/>
      </c>
      <c r="W29" s="644">
        <f>IF($U29="","",IF(OR($T29="L",$T29="T",$T29="C"),SUM($U29:V29)*W$16,""))</f>
        <v>1.2599999999999991</v>
      </c>
      <c r="X29" s="644">
        <f>IF($U29="","",SUM($U29:W29)*X$16)</f>
        <v>4.1579999999999968</v>
      </c>
      <c r="Y29" s="817">
        <f t="shared" si="0"/>
        <v>5.4179999999999957</v>
      </c>
      <c r="Z29" s="393"/>
      <c r="AA29" s="735">
        <f t="shared" si="1"/>
        <v>18.017999999999986</v>
      </c>
      <c r="AB29" s="393"/>
      <c r="AC29" s="1051">
        <f t="shared" ca="1" si="2"/>
        <v>0.25483731001506216</v>
      </c>
      <c r="AD29" s="643"/>
      <c r="AE29" s="1066"/>
      <c r="AF29" s="587">
        <f>AF28</f>
        <v>4</v>
      </c>
      <c r="AG29" s="587"/>
      <c r="AH29" s="387">
        <f t="shared" si="9"/>
        <v>5</v>
      </c>
      <c r="AI29" s="387">
        <f t="shared" si="10"/>
        <v>1</v>
      </c>
      <c r="AJ29" s="370">
        <f t="shared" si="11"/>
        <v>5833.6679825636384</v>
      </c>
      <c r="AK29" s="982"/>
    </row>
    <row r="30" spans="1:37" ht="19" customHeight="1">
      <c r="A30" s="390"/>
      <c r="B30" s="710"/>
      <c r="C30" s="783"/>
      <c r="D30" s="3851"/>
      <c r="E30" s="373" t="s">
        <v>465</v>
      </c>
      <c r="F30" s="1176"/>
      <c r="G30" s="1176"/>
      <c r="H30" s="370">
        <f>I270</f>
        <v>2250</v>
      </c>
      <c r="I30" s="1086" t="str">
        <f>L270</f>
        <v>Cameras + sandpads</v>
      </c>
      <c r="J30" s="375" t="str">
        <f t="shared" si="4"/>
        <v>Done every 5 years</v>
      </c>
      <c r="K30" s="371">
        <f>M270</f>
        <v>5</v>
      </c>
      <c r="L30" s="386">
        <f t="shared" si="5"/>
        <v>16</v>
      </c>
      <c r="M30" s="371">
        <f t="shared" si="5"/>
        <v>5</v>
      </c>
      <c r="N30" s="370">
        <f t="shared" si="6"/>
        <v>12087.102236871087</v>
      </c>
      <c r="O30" s="640">
        <f t="shared" si="7"/>
        <v>485.97212053781305</v>
      </c>
      <c r="P30" s="393"/>
      <c r="Q30" s="3055"/>
      <c r="R30" s="3055"/>
      <c r="S30" s="3055"/>
      <c r="T30" s="1034" t="s">
        <v>811</v>
      </c>
      <c r="U30" s="639">
        <f t="shared" si="8"/>
        <v>4.8597212053781309</v>
      </c>
      <c r="V30" s="644" t="str">
        <f>IF($T30="L",SUM($U30:U30)*V$16,"")</f>
        <v/>
      </c>
      <c r="W30" s="644" t="str">
        <f>IF($U30="","",IF(OR($T30="L",$T30="T",$T30="C"),SUM($U30:V30)*W$16,""))</f>
        <v/>
      </c>
      <c r="X30" s="644">
        <f>IF($U30="","",SUM($U30:W30)*X$16)</f>
        <v>1.4579163616134392</v>
      </c>
      <c r="Y30" s="817">
        <f t="shared" si="0"/>
        <v>1.4579163616134392</v>
      </c>
      <c r="Z30" s="393"/>
      <c r="AA30" s="735">
        <f t="shared" si="1"/>
        <v>6.3176375669915696</v>
      </c>
      <c r="AB30" s="393"/>
      <c r="AC30" s="1051">
        <f t="shared" ca="1" si="2"/>
        <v>8.9353411212245243E-2</v>
      </c>
      <c r="AD30" s="643"/>
      <c r="AE30" s="1066"/>
      <c r="AF30" s="587">
        <f>AF29</f>
        <v>4</v>
      </c>
      <c r="AG30" s="587"/>
      <c r="AH30" s="387">
        <f t="shared" si="9"/>
        <v>1</v>
      </c>
      <c r="AI30" s="387">
        <f t="shared" si="10"/>
        <v>5</v>
      </c>
      <c r="AJ30" s="370">
        <f t="shared" si="11"/>
        <v>2250</v>
      </c>
      <c r="AK30" s="982"/>
    </row>
    <row r="31" spans="1:37" ht="18" customHeight="1">
      <c r="A31" s="676"/>
      <c r="B31" s="1766">
        <f>B27+0.1</f>
        <v>2.2000000000000002</v>
      </c>
      <c r="C31" s="786" t="s">
        <v>202</v>
      </c>
      <c r="D31" s="3852" t="s">
        <v>472</v>
      </c>
      <c r="E31" s="685" t="s">
        <v>3</v>
      </c>
      <c r="F31" s="1177"/>
      <c r="G31" s="1177">
        <f t="shared" ref="G31:G33" si="12">F267</f>
        <v>8.6499252615844551</v>
      </c>
      <c r="H31" s="665">
        <f>J267</f>
        <v>1946.2331838565024</v>
      </c>
      <c r="I31" s="818" t="str">
        <f>I27</f>
        <v xml:space="preserve">Labour to get tracking done, cameras, sandpads and collars. </v>
      </c>
      <c r="J31" s="666" t="str">
        <f t="shared" si="4"/>
        <v>Annual</v>
      </c>
      <c r="K31" s="667">
        <f>M267</f>
        <v>1</v>
      </c>
      <c r="L31" s="671">
        <f t="shared" si="5"/>
        <v>80</v>
      </c>
      <c r="M31" s="880">
        <f t="shared" si="5"/>
        <v>1</v>
      </c>
      <c r="N31" s="883">
        <f t="shared" si="6"/>
        <v>48406.726385931099</v>
      </c>
      <c r="O31" s="673">
        <f t="shared" si="7"/>
        <v>1946.2331838565008</v>
      </c>
      <c r="P31" s="716">
        <f>SUM(O31:O34)</f>
        <v>5344.8196541700954</v>
      </c>
      <c r="Q31" s="3056"/>
      <c r="R31" s="3056"/>
      <c r="S31" s="3056"/>
      <c r="T31" s="1035" t="s">
        <v>808</v>
      </c>
      <c r="U31" s="675">
        <f t="shared" si="8"/>
        <v>19.462331838565007</v>
      </c>
      <c r="V31" s="675">
        <f>IF($T31="L",SUM($U31:U31)*V$16,"")</f>
        <v>5.8386995515695022</v>
      </c>
      <c r="W31" s="675">
        <f>IF($U31="","",IF(OR($T31="L",$T31="T",$T31="C"),SUM($U31:V31)*W$16,""))</f>
        <v>2.530103139013451</v>
      </c>
      <c r="X31" s="675">
        <f>IF($U31="","",SUM($U31:W31)*X$16)</f>
        <v>8.3493403587443868</v>
      </c>
      <c r="Y31" s="670">
        <f t="shared" si="0"/>
        <v>16.718143049327338</v>
      </c>
      <c r="Z31" s="716">
        <f>SUM(V31:X34)</f>
        <v>30.700301114976643</v>
      </c>
      <c r="AA31" s="736">
        <f t="shared" si="1"/>
        <v>36.180474887892345</v>
      </c>
      <c r="AB31" s="716">
        <f>SUM(AA31:AA34)</f>
        <v>84.148497656677606</v>
      </c>
      <c r="AC31" s="1052">
        <f t="shared" ca="1" si="2"/>
        <v>0.42995984355546296</v>
      </c>
      <c r="AD31" s="674"/>
      <c r="AE31" s="1067"/>
      <c r="AF31" s="587">
        <v>8</v>
      </c>
      <c r="AG31" s="816">
        <f ca="1">SUM(AC31:AC34)-1</f>
        <v>0</v>
      </c>
      <c r="AH31" s="669">
        <f t="shared" si="9"/>
        <v>5</v>
      </c>
      <c r="AI31" s="669">
        <f t="shared" si="10"/>
        <v>1</v>
      </c>
      <c r="AJ31" s="665">
        <f t="shared" si="11"/>
        <v>9010.8557232274361</v>
      </c>
      <c r="AK31" s="983">
        <f>SUM(AJ31:AJ34)</f>
        <v>24745.954991356328</v>
      </c>
    </row>
    <row r="32" spans="1:37" ht="18" customHeight="1">
      <c r="A32" s="676"/>
      <c r="B32" s="712"/>
      <c r="C32" s="787" t="s">
        <v>779</v>
      </c>
      <c r="D32" s="3853"/>
      <c r="E32" s="685" t="s">
        <v>308</v>
      </c>
      <c r="F32" s="1177">
        <f>$E$254</f>
        <v>1</v>
      </c>
      <c r="G32" s="1177">
        <f t="shared" si="12"/>
        <v>4.3249626307922275</v>
      </c>
      <c r="H32" s="665">
        <f>J268</f>
        <v>1232.6143497757848</v>
      </c>
      <c r="I32" s="818" t="str">
        <f>I28</f>
        <v>Transport at site</v>
      </c>
      <c r="J32" s="666" t="str">
        <f t="shared" si="4"/>
        <v>Annual</v>
      </c>
      <c r="K32" s="667">
        <f>M268</f>
        <v>1</v>
      </c>
      <c r="L32" s="668">
        <f t="shared" si="5"/>
        <v>80</v>
      </c>
      <c r="M32" s="667">
        <f t="shared" si="5"/>
        <v>1</v>
      </c>
      <c r="N32" s="665">
        <f t="shared" si="6"/>
        <v>30657.593377756366</v>
      </c>
      <c r="O32" s="680">
        <f t="shared" si="7"/>
        <v>1232.6143497757837</v>
      </c>
      <c r="P32" s="720"/>
      <c r="Q32" s="3057">
        <f>1*(1-(1+$L$15)^-(L32*M32))/((1+$L$15)^M32-1)*(1+((1+$L$15)^M32-1))</f>
        <v>24.872007520708362</v>
      </c>
      <c r="R32" s="3057">
        <f>Q32/(1+$L$15)*($L$15)/(1-(1+$L$15)^-$L$16)</f>
        <v>0.99999999999999911</v>
      </c>
      <c r="S32" s="3057">
        <f>F32*R32</f>
        <v>0.99999999999999911</v>
      </c>
      <c r="T32" s="1036" t="s">
        <v>809</v>
      </c>
      <c r="U32" s="675">
        <f t="shared" si="8"/>
        <v>12.326143497757837</v>
      </c>
      <c r="V32" s="682" t="str">
        <f>IF($T32="L",SUM($U32:U32)*V$16,"")</f>
        <v/>
      </c>
      <c r="W32" s="682">
        <f>IF($U32="","",IF(OR($T32="L",$T32="T",$T32="C"),SUM($U32:V32)*W$16,""))</f>
        <v>1.2326143497757838</v>
      </c>
      <c r="X32" s="682">
        <f>IF($U32="","",SUM($U32:W32)*X$16)</f>
        <v>4.067627354260086</v>
      </c>
      <c r="Y32" s="679">
        <f t="shared" si="0"/>
        <v>5.3002417040358694</v>
      </c>
      <c r="Z32" s="720"/>
      <c r="AA32" s="737">
        <f t="shared" si="1"/>
        <v>17.626385201793706</v>
      </c>
      <c r="AB32" s="720"/>
      <c r="AC32" s="1052">
        <f t="shared" ca="1" si="2"/>
        <v>0.20946761609112297</v>
      </c>
      <c r="AD32" s="681"/>
      <c r="AE32" s="1067"/>
      <c r="AF32" s="587">
        <f>AF31</f>
        <v>8</v>
      </c>
      <c r="AG32" s="587"/>
      <c r="AH32" s="669">
        <f t="shared" si="9"/>
        <v>5</v>
      </c>
      <c r="AI32" s="669">
        <f t="shared" si="10"/>
        <v>1</v>
      </c>
      <c r="AJ32" s="665">
        <f t="shared" si="11"/>
        <v>5706.875291377376</v>
      </c>
      <c r="AK32" s="984"/>
    </row>
    <row r="33" spans="1:37" ht="18" customHeight="1">
      <c r="A33" s="676"/>
      <c r="B33" s="712"/>
      <c r="C33" s="787"/>
      <c r="D33" s="3853"/>
      <c r="E33" s="685" t="s">
        <v>4</v>
      </c>
      <c r="F33" s="1177"/>
      <c r="G33" s="1177">
        <f t="shared" si="12"/>
        <v>8</v>
      </c>
      <c r="H33" s="665">
        <f>J269</f>
        <v>1680</v>
      </c>
      <c r="I33" s="818" t="str">
        <f>I29</f>
        <v>Accomodation</v>
      </c>
      <c r="J33" s="666" t="str">
        <f t="shared" si="4"/>
        <v>Annual</v>
      </c>
      <c r="K33" s="667">
        <f>M269</f>
        <v>1</v>
      </c>
      <c r="L33" s="668">
        <f t="shared" si="5"/>
        <v>80</v>
      </c>
      <c r="M33" s="667">
        <f t="shared" si="5"/>
        <v>1</v>
      </c>
      <c r="N33" s="665">
        <f t="shared" si="6"/>
        <v>41784.972634790051</v>
      </c>
      <c r="O33" s="680">
        <f t="shared" si="7"/>
        <v>1679.9999999999986</v>
      </c>
      <c r="P33" s="721"/>
      <c r="Q33" s="3057"/>
      <c r="R33" s="3057"/>
      <c r="S33" s="3057"/>
      <c r="T33" s="1036" t="s">
        <v>810</v>
      </c>
      <c r="U33" s="675">
        <f t="shared" si="8"/>
        <v>16.799999999999986</v>
      </c>
      <c r="V33" s="684" t="str">
        <f>IF($T33="L",SUM($U33:U33)*V$16,"")</f>
        <v/>
      </c>
      <c r="W33" s="684">
        <f>IF($U33="","",IF(OR($T33="L",$T33="T",$T33="C"),SUM($U33:V33)*W$16,""))</f>
        <v>1.6799999999999988</v>
      </c>
      <c r="X33" s="684">
        <f>IF($U33="","",SUM($U33:W33)*X$16)</f>
        <v>5.543999999999996</v>
      </c>
      <c r="Y33" s="819">
        <f t="shared" si="0"/>
        <v>7.2239999999999949</v>
      </c>
      <c r="Z33" s="721"/>
      <c r="AA33" s="738">
        <f t="shared" si="1"/>
        <v>24.02399999999998</v>
      </c>
      <c r="AB33" s="721"/>
      <c r="AC33" s="1052">
        <f t="shared" ca="1" si="2"/>
        <v>0.28549529307126681</v>
      </c>
      <c r="AD33" s="683"/>
      <c r="AE33" s="1067"/>
      <c r="AF33" s="587">
        <f>AF32</f>
        <v>8</v>
      </c>
      <c r="AG33" s="587"/>
      <c r="AH33" s="669">
        <f t="shared" si="9"/>
        <v>5</v>
      </c>
      <c r="AI33" s="669">
        <f t="shared" si="10"/>
        <v>1</v>
      </c>
      <c r="AJ33" s="665">
        <f t="shared" si="11"/>
        <v>7778.2239767515175</v>
      </c>
      <c r="AK33" s="985"/>
    </row>
    <row r="34" spans="1:37" ht="18" customHeight="1">
      <c r="A34" s="676"/>
      <c r="B34" s="712"/>
      <c r="C34" s="787"/>
      <c r="D34" s="3853"/>
      <c r="E34" s="685" t="s">
        <v>465</v>
      </c>
      <c r="F34" s="1177"/>
      <c r="G34" s="1177"/>
      <c r="H34" s="665">
        <f>J270</f>
        <v>2250</v>
      </c>
      <c r="I34" s="818" t="str">
        <f>I30</f>
        <v>Cameras + sandpads</v>
      </c>
      <c r="J34" s="666" t="str">
        <f t="shared" si="4"/>
        <v>Done every 5 years</v>
      </c>
      <c r="K34" s="667">
        <f>M270</f>
        <v>5</v>
      </c>
      <c r="L34" s="668">
        <f t="shared" si="5"/>
        <v>16</v>
      </c>
      <c r="M34" s="667">
        <f t="shared" si="5"/>
        <v>5</v>
      </c>
      <c r="N34" s="665">
        <f t="shared" si="6"/>
        <v>12087.102236871087</v>
      </c>
      <c r="O34" s="680">
        <f t="shared" si="7"/>
        <v>485.97212053781305</v>
      </c>
      <c r="P34" s="721"/>
      <c r="Q34" s="3057"/>
      <c r="R34" s="3057"/>
      <c r="S34" s="3057"/>
      <c r="T34" s="1036" t="s">
        <v>811</v>
      </c>
      <c r="U34" s="675">
        <f t="shared" si="8"/>
        <v>4.8597212053781309</v>
      </c>
      <c r="V34" s="684" t="str">
        <f>IF($T34="L",SUM($U34:U34)*V$16,"")</f>
        <v/>
      </c>
      <c r="W34" s="684" t="str">
        <f>IF($U34="","",IF(OR($T34="L",$T34="T",$T34="C"),SUM($U34:V34)*W$16,""))</f>
        <v/>
      </c>
      <c r="X34" s="684">
        <f>IF($U34="","",SUM($U34:W34)*X$16)</f>
        <v>1.4579163616134392</v>
      </c>
      <c r="Y34" s="819">
        <f t="shared" si="0"/>
        <v>1.4579163616134392</v>
      </c>
      <c r="Z34" s="721"/>
      <c r="AA34" s="738">
        <f t="shared" si="1"/>
        <v>6.3176375669915696</v>
      </c>
      <c r="AB34" s="721"/>
      <c r="AC34" s="1052">
        <f t="shared" ca="1" si="2"/>
        <v>7.5077247282147208E-2</v>
      </c>
      <c r="AD34" s="683"/>
      <c r="AE34" s="1067"/>
      <c r="AF34" s="587">
        <f>AF33</f>
        <v>8</v>
      </c>
      <c r="AG34" s="587"/>
      <c r="AH34" s="669">
        <f t="shared" si="9"/>
        <v>1</v>
      </c>
      <c r="AI34" s="669">
        <f t="shared" si="10"/>
        <v>5</v>
      </c>
      <c r="AJ34" s="665">
        <f t="shared" si="11"/>
        <v>2250</v>
      </c>
      <c r="AK34" s="985"/>
    </row>
    <row r="35" spans="1:37" ht="18" customHeight="1">
      <c r="A35" s="656"/>
      <c r="B35" s="1767">
        <f>B31+0.1</f>
        <v>2.3000000000000003</v>
      </c>
      <c r="C35" s="784" t="s">
        <v>202</v>
      </c>
      <c r="D35" s="3863" t="s">
        <v>472</v>
      </c>
      <c r="E35" s="686" t="s">
        <v>3</v>
      </c>
      <c r="F35" s="1178"/>
      <c r="G35" s="1178">
        <f t="shared" ref="G35:G37" si="13">G267</f>
        <v>11.041554559043348</v>
      </c>
      <c r="H35" s="645">
        <f>K267</f>
        <v>2484.3497757847535</v>
      </c>
      <c r="I35" s="820" t="s">
        <v>475</v>
      </c>
      <c r="J35" s="646" t="str">
        <f t="shared" si="4"/>
        <v>Annual</v>
      </c>
      <c r="K35" s="647">
        <f>M267</f>
        <v>1</v>
      </c>
      <c r="L35" s="651">
        <f t="shared" si="5"/>
        <v>80</v>
      </c>
      <c r="M35" s="881">
        <f t="shared" si="5"/>
        <v>1</v>
      </c>
      <c r="N35" s="884">
        <f t="shared" si="6"/>
        <v>61790.76630738852</v>
      </c>
      <c r="O35" s="653">
        <f t="shared" si="7"/>
        <v>2484.3497757847513</v>
      </c>
      <c r="P35" s="717">
        <f>SUM(O35:O38)</f>
        <v>6643.7434209862377</v>
      </c>
      <c r="Q35" s="3058"/>
      <c r="R35" s="3058"/>
      <c r="S35" s="3058"/>
      <c r="T35" s="1037" t="s">
        <v>808</v>
      </c>
      <c r="U35" s="655">
        <f t="shared" si="8"/>
        <v>24.843497757847512</v>
      </c>
      <c r="V35" s="655">
        <f>IF($T35="L",SUM($U35:U35)*V$16,"")</f>
        <v>7.4530493273542531</v>
      </c>
      <c r="W35" s="655">
        <f>IF($U35="","",IF(OR($T35="L",$T35="T",$T35="C"),SUM($U35:V35)*W$16,""))</f>
        <v>3.2296547085201768</v>
      </c>
      <c r="X35" s="655">
        <f>IF($U35="","",SUM($U35:W35)*X$16)</f>
        <v>10.657860538116584</v>
      </c>
      <c r="Y35" s="650">
        <f t="shared" si="0"/>
        <v>21.340564573991013</v>
      </c>
      <c r="Z35" s="717">
        <f>SUM(V35:X38)</f>
        <v>38.594193491658253</v>
      </c>
      <c r="AA35" s="739">
        <f t="shared" si="1"/>
        <v>46.184062331838525</v>
      </c>
      <c r="AB35" s="717">
        <f>SUM(AA35:AA38)</f>
        <v>105.03162770152063</v>
      </c>
      <c r="AC35" s="1053">
        <f t="shared" ca="1" si="2"/>
        <v>0.43971576317073374</v>
      </c>
      <c r="AD35" s="654"/>
      <c r="AE35" s="1068"/>
      <c r="AF35" s="587">
        <v>12</v>
      </c>
      <c r="AG35" s="816">
        <f ca="1">SUM(AC35:AC38)-1</f>
        <v>0</v>
      </c>
      <c r="AH35" s="649">
        <f t="shared" si="9"/>
        <v>5</v>
      </c>
      <c r="AI35" s="649">
        <f t="shared" si="10"/>
        <v>1</v>
      </c>
      <c r="AJ35" s="645">
        <f t="shared" si="11"/>
        <v>11502.279162289422</v>
      </c>
      <c r="AK35" s="931">
        <f>SUM(AJ35:AJ38)</f>
        <v>30759.835936012121</v>
      </c>
    </row>
    <row r="36" spans="1:37" ht="19" customHeight="1">
      <c r="A36" s="656"/>
      <c r="B36" s="714"/>
      <c r="C36" s="785" t="s">
        <v>789</v>
      </c>
      <c r="D36" s="3864"/>
      <c r="E36" s="686" t="s">
        <v>308</v>
      </c>
      <c r="F36" s="1178">
        <f>$F$254</f>
        <v>1</v>
      </c>
      <c r="G36" s="1178">
        <f t="shared" si="13"/>
        <v>5.5207772795216741</v>
      </c>
      <c r="H36" s="645">
        <f>K268</f>
        <v>1573.4215246636772</v>
      </c>
      <c r="I36" s="820" t="s">
        <v>797</v>
      </c>
      <c r="J36" s="646" t="str">
        <f t="shared" si="4"/>
        <v>Annual</v>
      </c>
      <c r="K36" s="647">
        <f>M268</f>
        <v>1</v>
      </c>
      <c r="L36" s="648">
        <f t="shared" si="5"/>
        <v>80</v>
      </c>
      <c r="M36" s="647">
        <f t="shared" si="5"/>
        <v>1</v>
      </c>
      <c r="N36" s="645">
        <f t="shared" si="6"/>
        <v>39134.1519946794</v>
      </c>
      <c r="O36" s="660">
        <f t="shared" si="7"/>
        <v>1573.4215246636759</v>
      </c>
      <c r="P36" s="722"/>
      <c r="Q36" s="3059">
        <f>1*(1-(1+$L$15)^-(L36*M36))/((1+$L$15)^M36-1)*(1+((1+$L$15)^M36-1))</f>
        <v>24.872007520708362</v>
      </c>
      <c r="R36" s="3059">
        <f>Q36/(1+$L$15)*($L$15)/(1-(1+$L$15)^-$L$16)</f>
        <v>0.99999999999999911</v>
      </c>
      <c r="S36" s="3059">
        <f>F36*R36</f>
        <v>0.99999999999999911</v>
      </c>
      <c r="T36" s="1038" t="s">
        <v>809</v>
      </c>
      <c r="U36" s="655">
        <f t="shared" si="8"/>
        <v>15.734215246636758</v>
      </c>
      <c r="V36" s="662" t="str">
        <f>IF($T36="L",SUM($U36:U36)*V$16,"")</f>
        <v/>
      </c>
      <c r="W36" s="662">
        <f>IF($U36="","",IF(OR($T36="L",$T36="T",$T36="C"),SUM($U36:V36)*W$16,""))</f>
        <v>1.5734215246636758</v>
      </c>
      <c r="X36" s="662">
        <f>IF($U36="","",SUM($U36:W36)*X$16)</f>
        <v>5.1922910313901296</v>
      </c>
      <c r="Y36" s="659">
        <f t="shared" si="0"/>
        <v>6.7657125560538054</v>
      </c>
      <c r="Z36" s="722"/>
      <c r="AA36" s="740">
        <f t="shared" si="1"/>
        <v>22.499927802690564</v>
      </c>
      <c r="AB36" s="722"/>
      <c r="AC36" s="1053">
        <f t="shared" ca="1" si="2"/>
        <v>0.21422050000625492</v>
      </c>
      <c r="AD36" s="661"/>
      <c r="AE36" s="1068"/>
      <c r="AF36" s="587">
        <f>AF35</f>
        <v>12</v>
      </c>
      <c r="AG36" s="587"/>
      <c r="AH36" s="649">
        <f t="shared" si="9"/>
        <v>5</v>
      </c>
      <c r="AI36" s="649">
        <f t="shared" si="10"/>
        <v>1</v>
      </c>
      <c r="AJ36" s="645">
        <f t="shared" si="11"/>
        <v>7284.7768027832999</v>
      </c>
      <c r="AK36" s="932"/>
    </row>
    <row r="37" spans="1:37" ht="19" customHeight="1">
      <c r="A37" s="656"/>
      <c r="B37" s="714"/>
      <c r="C37" s="785"/>
      <c r="D37" s="3864"/>
      <c r="E37" s="686" t="s">
        <v>4</v>
      </c>
      <c r="F37" s="1178"/>
      <c r="G37" s="1178">
        <f t="shared" si="13"/>
        <v>10</v>
      </c>
      <c r="H37" s="645">
        <f>K269</f>
        <v>2100</v>
      </c>
      <c r="I37" s="820" t="s">
        <v>70</v>
      </c>
      <c r="J37" s="646" t="str">
        <f t="shared" si="4"/>
        <v>Annual</v>
      </c>
      <c r="K37" s="647">
        <f>M269</f>
        <v>1</v>
      </c>
      <c r="L37" s="648">
        <f t="shared" si="5"/>
        <v>80</v>
      </c>
      <c r="M37" s="647">
        <f t="shared" si="5"/>
        <v>1</v>
      </c>
      <c r="N37" s="645">
        <f t="shared" si="6"/>
        <v>52231.215793487558</v>
      </c>
      <c r="O37" s="660">
        <f t="shared" si="7"/>
        <v>2099.9999999999982</v>
      </c>
      <c r="P37" s="723"/>
      <c r="Q37" s="3059"/>
      <c r="R37" s="3059"/>
      <c r="S37" s="3059"/>
      <c r="T37" s="1038" t="s">
        <v>810</v>
      </c>
      <c r="U37" s="655">
        <f t="shared" si="8"/>
        <v>20.999999999999982</v>
      </c>
      <c r="V37" s="664" t="str">
        <f>IF($T37="L",SUM($U37:U37)*V$16,"")</f>
        <v/>
      </c>
      <c r="W37" s="664">
        <f>IF($U37="","",IF(OR($T37="L",$T37="T",$T37="C"),SUM($U37:V37)*W$16,""))</f>
        <v>2.0999999999999983</v>
      </c>
      <c r="X37" s="664">
        <f>IF($U37="","",SUM($U37:W37)*X$16)</f>
        <v>6.9299999999999935</v>
      </c>
      <c r="Y37" s="821">
        <f t="shared" si="0"/>
        <v>9.0299999999999923</v>
      </c>
      <c r="Z37" s="723"/>
      <c r="AA37" s="741">
        <f t="shared" si="1"/>
        <v>30.029999999999973</v>
      </c>
      <c r="AB37" s="723"/>
      <c r="AC37" s="1053">
        <f t="shared" ca="1" si="2"/>
        <v>0.2859138781066915</v>
      </c>
      <c r="AD37" s="663"/>
      <c r="AE37" s="1068"/>
      <c r="AF37" s="587">
        <f>AF36</f>
        <v>12</v>
      </c>
      <c r="AG37" s="587"/>
      <c r="AH37" s="649">
        <f t="shared" si="9"/>
        <v>5</v>
      </c>
      <c r="AI37" s="649">
        <f t="shared" si="10"/>
        <v>1</v>
      </c>
      <c r="AJ37" s="645">
        <f t="shared" si="11"/>
        <v>9722.7799709393985</v>
      </c>
      <c r="AK37" s="933"/>
    </row>
    <row r="38" spans="1:37" ht="19" customHeight="1">
      <c r="A38" s="656"/>
      <c r="B38" s="714"/>
      <c r="C38" s="785"/>
      <c r="D38" s="3864"/>
      <c r="E38" s="1083" t="s">
        <v>465</v>
      </c>
      <c r="F38" s="1178"/>
      <c r="G38" s="1178"/>
      <c r="H38" s="645">
        <f>K270</f>
        <v>2250</v>
      </c>
      <c r="I38" s="1087" t="s">
        <v>939</v>
      </c>
      <c r="J38" s="646" t="str">
        <f t="shared" si="4"/>
        <v>Done every 5 years</v>
      </c>
      <c r="K38" s="647">
        <f>M270</f>
        <v>5</v>
      </c>
      <c r="L38" s="648">
        <f t="shared" si="5"/>
        <v>16</v>
      </c>
      <c r="M38" s="647">
        <f t="shared" si="5"/>
        <v>5</v>
      </c>
      <c r="N38" s="645">
        <f t="shared" si="6"/>
        <v>12087.102236871087</v>
      </c>
      <c r="O38" s="660">
        <f t="shared" si="7"/>
        <v>485.97212053781305</v>
      </c>
      <c r="P38" s="723"/>
      <c r="Q38" s="3059"/>
      <c r="R38" s="3059"/>
      <c r="S38" s="3059"/>
      <c r="T38" s="1038" t="s">
        <v>811</v>
      </c>
      <c r="U38" s="655">
        <f t="shared" si="8"/>
        <v>4.8597212053781309</v>
      </c>
      <c r="V38" s="664" t="str">
        <f>IF($T38="L",SUM($U38:U38)*V$16,"")</f>
        <v/>
      </c>
      <c r="W38" s="664" t="str">
        <f>IF($U38="","",IF(OR($T38="L",$T38="T",$T38="C"),SUM($U38:V38)*W$16,""))</f>
        <v/>
      </c>
      <c r="X38" s="664">
        <f>IF($U38="","",SUM($U38:W38)*X$16)</f>
        <v>1.4579163616134392</v>
      </c>
      <c r="Y38" s="821">
        <f t="shared" si="0"/>
        <v>1.4579163616134392</v>
      </c>
      <c r="Z38" s="723"/>
      <c r="AA38" s="741">
        <f t="shared" si="1"/>
        <v>6.3176375669915696</v>
      </c>
      <c r="AB38" s="723"/>
      <c r="AC38" s="1053">
        <f t="shared" ca="1" si="2"/>
        <v>6.0149858716319823E-2</v>
      </c>
      <c r="AD38" s="663"/>
      <c r="AE38" s="1068"/>
      <c r="AF38" s="587">
        <f>AF37</f>
        <v>12</v>
      </c>
      <c r="AG38" s="587"/>
      <c r="AH38" s="649">
        <f t="shared" si="9"/>
        <v>1</v>
      </c>
      <c r="AI38" s="649">
        <f t="shared" si="10"/>
        <v>5</v>
      </c>
      <c r="AJ38" s="645">
        <f t="shared" si="11"/>
        <v>2250</v>
      </c>
      <c r="AK38" s="933"/>
    </row>
    <row r="39" spans="1:37" ht="19" customHeight="1">
      <c r="B39" s="26">
        <f>B23+2</f>
        <v>3</v>
      </c>
      <c r="C39" s="3898" t="s">
        <v>316</v>
      </c>
      <c r="D39" s="3901" t="s">
        <v>476</v>
      </c>
      <c r="E39" s="593" t="s">
        <v>3</v>
      </c>
      <c r="F39" s="1174"/>
      <c r="G39" s="1174">
        <f t="shared" ref="G39:G41" si="14">E376</f>
        <v>0.20512820512820515</v>
      </c>
      <c r="H39" s="150">
        <f>H376</f>
        <v>46.15384615384616</v>
      </c>
      <c r="I39" s="479" t="str">
        <f>I376</f>
        <v>Cost for labour</v>
      </c>
      <c r="J39" s="376" t="str">
        <f t="shared" si="4"/>
        <v>Annual</v>
      </c>
      <c r="K39" s="117">
        <f>$D$279</f>
        <v>1</v>
      </c>
      <c r="L39" s="379">
        <f t="shared" si="5"/>
        <v>80</v>
      </c>
      <c r="M39" s="272">
        <f t="shared" si="5"/>
        <v>1</v>
      </c>
      <c r="N39" s="150">
        <f t="shared" si="6"/>
        <v>1147.9388086480785</v>
      </c>
      <c r="O39" s="915">
        <f t="shared" si="7"/>
        <v>46.153846153846125</v>
      </c>
      <c r="P39" s="245">
        <f>SUM(O39:O42)</f>
        <v>5632.0809278385022</v>
      </c>
      <c r="Q39" s="3044"/>
      <c r="R39" s="3044"/>
      <c r="S39" s="3044"/>
      <c r="T39" s="1031" t="s">
        <v>808</v>
      </c>
      <c r="U39" s="916">
        <f t="shared" si="8"/>
        <v>0.46153846153846123</v>
      </c>
      <c r="V39" s="588">
        <f>IF($T39="L",SUM($U39:U39)*V$16,"")</f>
        <v>0.13846153846153836</v>
      </c>
      <c r="W39" s="588">
        <f>IF($U39="","",IF(OR($T39="L",$T39="T",$T39="C"),SUM($U39:V39)*W$16,""))</f>
        <v>5.999999999999997E-2</v>
      </c>
      <c r="X39" s="588">
        <f>IF($U39="","",SUM($U39:W39)*X$16)</f>
        <v>0.19799999999999987</v>
      </c>
      <c r="Y39" s="383">
        <f t="shared" si="0"/>
        <v>0.3964615384615382</v>
      </c>
      <c r="Z39" s="245">
        <f>SUM(V39:X42)</f>
        <v>22.104242783515502</v>
      </c>
      <c r="AA39" s="917">
        <f t="shared" si="1"/>
        <v>0.85799999999999943</v>
      </c>
      <c r="AB39" s="245">
        <f>SUM(AA39:AA42)</f>
        <v>78.42505206190053</v>
      </c>
      <c r="AC39" s="1054">
        <f t="shared" ca="1" si="2"/>
        <v>1.0940381643901034E-2</v>
      </c>
      <c r="AD39" s="1077">
        <f>C643</f>
        <v>175</v>
      </c>
      <c r="AE39" s="4047" t="s">
        <v>1031</v>
      </c>
      <c r="AF39" s="587">
        <f>AF35+4</f>
        <v>16</v>
      </c>
      <c r="AG39" s="816">
        <f ca="1">SUM(AC39:AC42)-1</f>
        <v>0</v>
      </c>
      <c r="AH39" s="13">
        <f t="shared" si="9"/>
        <v>5</v>
      </c>
      <c r="AI39" s="13">
        <f t="shared" si="10"/>
        <v>1</v>
      </c>
      <c r="AJ39" s="188">
        <f t="shared" si="11"/>
        <v>213.68747188877799</v>
      </c>
      <c r="AK39" s="191">
        <f>SUM(AJ39:AJ42)</f>
        <v>26075.944590427629</v>
      </c>
    </row>
    <row r="40" spans="1:37" ht="19" customHeight="1">
      <c r="B40" s="612"/>
      <c r="C40" s="3899"/>
      <c r="D40" s="3902"/>
      <c r="E40" s="593" t="s">
        <v>308</v>
      </c>
      <c r="F40" s="1174">
        <f>$D$338</f>
        <v>1</v>
      </c>
      <c r="G40" s="1174">
        <f t="shared" si="14"/>
        <v>0.20512820512820515</v>
      </c>
      <c r="H40" s="150">
        <f>H377</f>
        <v>1307.6923076923076</v>
      </c>
      <c r="I40" s="479" t="str">
        <f>I377</f>
        <v xml:space="preserve">Cost for all transport </v>
      </c>
      <c r="J40" s="376" t="str">
        <f t="shared" si="4"/>
        <v>Annual</v>
      </c>
      <c r="K40" s="117">
        <f>$K$39</f>
        <v>1</v>
      </c>
      <c r="L40" s="379">
        <f t="shared" si="5"/>
        <v>80</v>
      </c>
      <c r="M40" s="272">
        <f t="shared" si="5"/>
        <v>1</v>
      </c>
      <c r="N40" s="150">
        <f t="shared" si="6"/>
        <v>32524.932911695545</v>
      </c>
      <c r="O40" s="915">
        <f t="shared" si="7"/>
        <v>1307.6923076923063</v>
      </c>
      <c r="P40" s="382"/>
      <c r="Q40" s="3045">
        <f>1*(1-(1+$L$15)^-(L40*M40))/((1+$L$15)^M40-1)*(1+((1+$L$15)^M40-1))</f>
        <v>24.872007520708362</v>
      </c>
      <c r="R40" s="3045">
        <f>Q40/(1+$L$15)*($L$15)/(1-(1+$L$15)^-$L$16)</f>
        <v>0.99999999999999911</v>
      </c>
      <c r="S40" s="3045">
        <f>F40*R40</f>
        <v>0.99999999999999911</v>
      </c>
      <c r="T40" s="1032" t="s">
        <v>809</v>
      </c>
      <c r="U40" s="588">
        <f t="shared" si="8"/>
        <v>13.076923076923062</v>
      </c>
      <c r="V40" s="919" t="str">
        <f>IF($T40="L",SUM($U40:U40)*V$16,"")</f>
        <v/>
      </c>
      <c r="W40" s="919">
        <f>IF($U40="","",IF(OR($T40="L",$T40="T",$T40="C"),SUM($U40:V40)*W$16,""))</f>
        <v>1.3076923076923064</v>
      </c>
      <c r="X40" s="919">
        <f>IF($U40="","",SUM($U40:W40)*X$16)</f>
        <v>4.3153846153846107</v>
      </c>
      <c r="Y40" s="384">
        <f t="shared" si="0"/>
        <v>5.6230769230769173</v>
      </c>
      <c r="Z40" s="382"/>
      <c r="AA40" s="920">
        <f t="shared" si="1"/>
        <v>18.699999999999982</v>
      </c>
      <c r="AB40" s="382"/>
      <c r="AC40" s="1054">
        <f t="shared" ca="1" si="2"/>
        <v>0.23844421531579166</v>
      </c>
      <c r="AD40" s="369">
        <f>AD39-AB39</f>
        <v>96.57494793809947</v>
      </c>
      <c r="AE40" s="4047"/>
      <c r="AF40" s="587">
        <f>AF39</f>
        <v>16</v>
      </c>
      <c r="AG40" s="587"/>
      <c r="AH40" s="13">
        <f t="shared" si="9"/>
        <v>5</v>
      </c>
      <c r="AI40" s="13">
        <f t="shared" si="10"/>
        <v>1</v>
      </c>
      <c r="AJ40" s="188">
        <f t="shared" si="11"/>
        <v>6054.4783701820425</v>
      </c>
      <c r="AK40" s="342"/>
    </row>
    <row r="41" spans="1:37" ht="16" customHeight="1">
      <c r="B41" s="612"/>
      <c r="C41" s="3899"/>
      <c r="D41" s="3902"/>
      <c r="E41" s="593" t="s">
        <v>4</v>
      </c>
      <c r="F41" s="1174"/>
      <c r="G41" s="1174">
        <f t="shared" si="14"/>
        <v>0</v>
      </c>
      <c r="H41" s="150">
        <f>SUM(H378:H379)</f>
        <v>2500</v>
      </c>
      <c r="I41" s="479" t="s">
        <v>415</v>
      </c>
      <c r="J41" s="376" t="str">
        <f t="shared" si="4"/>
        <v>Annual</v>
      </c>
      <c r="K41" s="117">
        <f>$K$39</f>
        <v>1</v>
      </c>
      <c r="L41" s="379">
        <f t="shared" si="5"/>
        <v>80</v>
      </c>
      <c r="M41" s="272">
        <f t="shared" si="5"/>
        <v>1</v>
      </c>
      <c r="N41" s="150">
        <f t="shared" si="6"/>
        <v>62180.018801770901</v>
      </c>
      <c r="O41" s="915">
        <f t="shared" si="7"/>
        <v>2499.9999999999982</v>
      </c>
      <c r="P41" s="382"/>
      <c r="Q41" s="3045"/>
      <c r="R41" s="3045"/>
      <c r="S41" s="3045"/>
      <c r="T41" s="1032" t="s">
        <v>810</v>
      </c>
      <c r="U41" s="588">
        <f t="shared" si="8"/>
        <v>24.999999999999982</v>
      </c>
      <c r="V41" s="919" t="str">
        <f>IF($T41="L",SUM($U41:U41)*V$16,"")</f>
        <v/>
      </c>
      <c r="W41" s="919">
        <f>IF($U41="","",IF(OR($T41="L",$T41="T",$T41="C"),SUM($U41:V41)*W$16,""))</f>
        <v>2.4999999999999982</v>
      </c>
      <c r="X41" s="919">
        <f>IF($U41="","",SUM($U41:W41)*X$16)</f>
        <v>8.2499999999999929</v>
      </c>
      <c r="Y41" s="384">
        <f t="shared" si="0"/>
        <v>10.749999999999991</v>
      </c>
      <c r="Z41" s="382"/>
      <c r="AA41" s="920">
        <f t="shared" si="1"/>
        <v>35.749999999999972</v>
      </c>
      <c r="AB41" s="382"/>
      <c r="AC41" s="1054">
        <f t="shared" ca="1" si="2"/>
        <v>0.455849235162543</v>
      </c>
      <c r="AD41" s="1078"/>
      <c r="AE41" s="4047"/>
      <c r="AF41" s="587">
        <f>AF40</f>
        <v>16</v>
      </c>
      <c r="AG41" s="587"/>
      <c r="AH41" s="13">
        <f t="shared" si="9"/>
        <v>5</v>
      </c>
      <c r="AI41" s="13">
        <f t="shared" si="10"/>
        <v>1</v>
      </c>
      <c r="AJ41" s="188">
        <f t="shared" si="11"/>
        <v>11574.738060642139</v>
      </c>
      <c r="AK41" s="342"/>
    </row>
    <row r="42" spans="1:37" ht="19" customHeight="1">
      <c r="B42" s="612"/>
      <c r="C42" s="3900"/>
      <c r="D42" s="3903"/>
      <c r="E42" s="593" t="s">
        <v>21</v>
      </c>
      <c r="F42" s="1174"/>
      <c r="G42" s="1174"/>
      <c r="H42" s="150">
        <f>H380</f>
        <v>15000</v>
      </c>
      <c r="I42" s="479" t="str">
        <f>I380</f>
        <v>Sweating Rack</v>
      </c>
      <c r="J42" s="376" t="str">
        <f t="shared" si="4"/>
        <v>Done every 10 years</v>
      </c>
      <c r="K42" s="272">
        <f>D371</f>
        <v>10</v>
      </c>
      <c r="L42" s="379">
        <f t="shared" si="5"/>
        <v>8</v>
      </c>
      <c r="M42" s="272">
        <f t="shared" si="5"/>
        <v>10</v>
      </c>
      <c r="N42" s="150">
        <f t="shared" si="6"/>
        <v>44228.268672322942</v>
      </c>
      <c r="O42" s="915">
        <f t="shared" si="7"/>
        <v>1778.2347739923518</v>
      </c>
      <c r="P42" s="382"/>
      <c r="Q42" s="3045"/>
      <c r="R42" s="3045"/>
      <c r="S42" s="3045"/>
      <c r="T42" s="1033" t="s">
        <v>811</v>
      </c>
      <c r="U42" s="588">
        <f t="shared" si="8"/>
        <v>17.782347739923519</v>
      </c>
      <c r="V42" s="919" t="str">
        <f>IF($T42="L",SUM($U42:U42)*V$16,"")</f>
        <v/>
      </c>
      <c r="W42" s="919" t="str">
        <f>IF($U42="","",IF(OR($T42="L",$T42="T",$T42="C"),SUM($U42:V42)*W$16,""))</f>
        <v/>
      </c>
      <c r="X42" s="919">
        <f>IF($U42="","",SUM($U42:W42)*X$16)</f>
        <v>5.334704321977056</v>
      </c>
      <c r="Y42" s="384">
        <f t="shared" si="0"/>
        <v>5.334704321977056</v>
      </c>
      <c r="Z42" s="382"/>
      <c r="AA42" s="920">
        <f t="shared" si="1"/>
        <v>23.117052061900576</v>
      </c>
      <c r="AB42" s="382"/>
      <c r="AC42" s="1054">
        <f t="shared" ca="1" si="2"/>
        <v>0.29476616787776427</v>
      </c>
      <c r="AD42" s="1079"/>
      <c r="AE42" s="4047"/>
      <c r="AF42" s="587">
        <f>AF41</f>
        <v>16</v>
      </c>
      <c r="AG42" s="587"/>
      <c r="AH42" s="13">
        <f t="shared" si="9"/>
        <v>0.5</v>
      </c>
      <c r="AI42" s="13">
        <f t="shared" si="10"/>
        <v>10</v>
      </c>
      <c r="AJ42" s="188">
        <f t="shared" si="11"/>
        <v>8233.040687714667</v>
      </c>
      <c r="AK42" s="342"/>
    </row>
    <row r="43" spans="1:37" s="266" customFormat="1" ht="18" customHeight="1">
      <c r="B43" s="1953">
        <f>B39+1.1</f>
        <v>4.0999999999999996</v>
      </c>
      <c r="C43" s="3495" t="s">
        <v>268</v>
      </c>
      <c r="D43" s="3502" t="s">
        <v>400</v>
      </c>
      <c r="E43" s="1955" t="s">
        <v>3</v>
      </c>
      <c r="F43" s="1956"/>
      <c r="G43" s="1956">
        <f t="shared" ref="G43:G45" si="15">E495</f>
        <v>123.06925759840558</v>
      </c>
      <c r="H43" s="1957">
        <f>H495</f>
        <v>27690.582959641255</v>
      </c>
      <c r="I43" s="1990" t="str">
        <f>K495</f>
        <v>Cost for labour</v>
      </c>
      <c r="J43" s="1959" t="str">
        <f t="shared" si="4"/>
        <v>Annual</v>
      </c>
      <c r="K43" s="1960">
        <f>$L$495</f>
        <v>1</v>
      </c>
      <c r="L43" s="1961">
        <f t="shared" si="5"/>
        <v>80</v>
      </c>
      <c r="M43" s="1960">
        <f t="shared" si="5"/>
        <v>1</v>
      </c>
      <c r="N43" s="1957">
        <f t="shared" si="6"/>
        <v>688720.38762499602</v>
      </c>
      <c r="O43" s="1962">
        <f t="shared" si="7"/>
        <v>27690.582959641233</v>
      </c>
      <c r="P43" s="1963">
        <f>SUM(O43:O46)</f>
        <v>75126.18694140634</v>
      </c>
      <c r="Q43" s="3592"/>
      <c r="R43" s="3592"/>
      <c r="S43" s="3592"/>
      <c r="T43" s="1964" t="s">
        <v>808</v>
      </c>
      <c r="U43" s="1965">
        <f t="shared" si="8"/>
        <v>276.90582959641233</v>
      </c>
      <c r="V43" s="1965">
        <f>IF($T43="L",SUM($U43:U43)*V$16,"")</f>
        <v>83.0717488789237</v>
      </c>
      <c r="W43" s="1965">
        <f>IF($U43="","",IF(OR($T43="L",$T43="T",$T43="C"),SUM($U43:V43)*W$16,""))</f>
        <v>35.997757847533606</v>
      </c>
      <c r="X43" s="1965">
        <f>IF($U43="","",SUM($U43:W43)*X$16)</f>
        <v>118.79260089686088</v>
      </c>
      <c r="Y43" s="1966">
        <f t="shared" si="0"/>
        <v>237.8621076233182</v>
      </c>
      <c r="Z43" s="1963">
        <f>SUM(V43:X46)</f>
        <v>439.523499538718</v>
      </c>
      <c r="AA43" s="1967">
        <f t="shared" si="1"/>
        <v>514.76793721973058</v>
      </c>
      <c r="AB43" s="1963">
        <f>SUM(AA43:AA46)</f>
        <v>1190.7853689527815</v>
      </c>
      <c r="AC43" s="2687">
        <f t="shared" ca="1" si="2"/>
        <v>0.43229279653682312</v>
      </c>
      <c r="AD43" s="3593">
        <f>C636</f>
        <v>276.79999999999995</v>
      </c>
      <c r="AE43" s="4046" t="s">
        <v>1030</v>
      </c>
      <c r="AF43" s="1482">
        <f>AF39+4</f>
        <v>20</v>
      </c>
      <c r="AG43" s="1971">
        <f ca="1">SUM(AC43:AC46)-1</f>
        <v>0</v>
      </c>
      <c r="AH43" s="1972">
        <f t="shared" si="9"/>
        <v>5</v>
      </c>
      <c r="AI43" s="1972">
        <f t="shared" si="10"/>
        <v>1</v>
      </c>
      <c r="AJ43" s="1957">
        <f t="shared" si="11"/>
        <v>128204.49780173131</v>
      </c>
      <c r="AK43" s="1973">
        <f>SUM(AJ43:AJ46)</f>
        <v>347826.37413664529</v>
      </c>
    </row>
    <row r="44" spans="1:37" s="266" customFormat="1" ht="19" customHeight="1">
      <c r="B44" s="1974"/>
      <c r="C44" s="3496" t="s">
        <v>749</v>
      </c>
      <c r="D44" s="3503"/>
      <c r="E44" s="1955" t="s">
        <v>308</v>
      </c>
      <c r="F44" s="3594">
        <f>$D$482</f>
        <v>3</v>
      </c>
      <c r="G44" s="3594">
        <f t="shared" si="15"/>
        <v>61.534628799202792</v>
      </c>
      <c r="H44" s="1957">
        <f>H496</f>
        <v>17537.369207772797</v>
      </c>
      <c r="I44" s="1990" t="str">
        <f>K496</f>
        <v>Cost for ute hire for the whole activity</v>
      </c>
      <c r="J44" s="1959" t="str">
        <f t="shared" si="4"/>
        <v>Annual</v>
      </c>
      <c r="K44" s="1960">
        <f>$L$496</f>
        <v>1</v>
      </c>
      <c r="L44" s="1961">
        <f t="shared" si="5"/>
        <v>80</v>
      </c>
      <c r="M44" s="1960">
        <f t="shared" si="5"/>
        <v>1</v>
      </c>
      <c r="N44" s="1957">
        <f t="shared" si="6"/>
        <v>436189.57882916433</v>
      </c>
      <c r="O44" s="1962">
        <f t="shared" si="7"/>
        <v>17537.369207772783</v>
      </c>
      <c r="P44" s="1976"/>
      <c r="Q44" s="3595">
        <f>1*(1-(1+$L$15)^-(L44*M44))/((1+$L$15)^M44-1)*(1+((1+$L$15)^M44-1))</f>
        <v>24.872007520708362</v>
      </c>
      <c r="R44" s="3595">
        <f>Q44/(1+$L$15)*($L$15)/(1-(1+$L$15)^-$L$16)</f>
        <v>0.99999999999999911</v>
      </c>
      <c r="S44" s="3595">
        <f>F44*R44</f>
        <v>2.9999999999999973</v>
      </c>
      <c r="T44" s="1977" t="s">
        <v>809</v>
      </c>
      <c r="U44" s="1965">
        <f t="shared" si="8"/>
        <v>175.37369207772784</v>
      </c>
      <c r="V44" s="1978" t="str">
        <f>IF($T44="L",SUM($U44:U44)*V$16,"")</f>
        <v/>
      </c>
      <c r="W44" s="1978">
        <f>IF($U44="","",IF(OR($T44="L",$T44="T",$T44="C"),SUM($U44:V44)*W$16,""))</f>
        <v>17.537369207772784</v>
      </c>
      <c r="X44" s="1978">
        <f>IF($U44="","",SUM($U44:W44)*X$16)</f>
        <v>57.873318385650187</v>
      </c>
      <c r="Y44" s="1979">
        <f t="shared" si="0"/>
        <v>75.410687593422978</v>
      </c>
      <c r="Z44" s="1976"/>
      <c r="AA44" s="1980">
        <f t="shared" si="1"/>
        <v>250.78437967115082</v>
      </c>
      <c r="AB44" s="1976"/>
      <c r="AC44" s="2687">
        <f t="shared" ca="1" si="2"/>
        <v>0.21060418292819588</v>
      </c>
      <c r="AD44" s="3596">
        <f>AD43-AB43</f>
        <v>-913.98536895278153</v>
      </c>
      <c r="AE44" s="4046"/>
      <c r="AF44" s="1482">
        <f>AF43</f>
        <v>20</v>
      </c>
      <c r="AG44" s="1482"/>
      <c r="AH44" s="1972">
        <f t="shared" si="9"/>
        <v>5</v>
      </c>
      <c r="AI44" s="1972">
        <f t="shared" si="10"/>
        <v>1</v>
      </c>
      <c r="AJ44" s="1957">
        <f t="shared" si="11"/>
        <v>81196.181941096511</v>
      </c>
      <c r="AK44" s="1982"/>
    </row>
    <row r="45" spans="1:37" s="266" customFormat="1" ht="19" customHeight="1">
      <c r="B45" s="1974"/>
      <c r="C45" s="3496"/>
      <c r="D45" s="3503"/>
      <c r="E45" s="1955" t="s">
        <v>4</v>
      </c>
      <c r="F45" s="1956"/>
      <c r="G45" s="1956">
        <f t="shared" si="15"/>
        <v>122</v>
      </c>
      <c r="H45" s="1957">
        <f>SUM(H497:H498)</f>
        <v>28120</v>
      </c>
      <c r="I45" s="1990" t="s">
        <v>415</v>
      </c>
      <c r="J45" s="1959" t="str">
        <f t="shared" si="4"/>
        <v>Annual</v>
      </c>
      <c r="K45" s="1960">
        <f>$L$497</f>
        <v>1</v>
      </c>
      <c r="L45" s="1961">
        <f t="shared" si="5"/>
        <v>80</v>
      </c>
      <c r="M45" s="1960">
        <f t="shared" si="5"/>
        <v>1</v>
      </c>
      <c r="N45" s="1957">
        <f t="shared" si="6"/>
        <v>699400.85148231906</v>
      </c>
      <c r="O45" s="1962">
        <f t="shared" si="7"/>
        <v>28119.999999999971</v>
      </c>
      <c r="P45" s="1983"/>
      <c r="Q45" s="3595"/>
      <c r="R45" s="3595"/>
      <c r="S45" s="3595"/>
      <c r="T45" s="1977" t="s">
        <v>810</v>
      </c>
      <c r="U45" s="1965">
        <f t="shared" si="8"/>
        <v>281.1999999999997</v>
      </c>
      <c r="V45" s="1984" t="str">
        <f>IF($T45="L",SUM($U45:U45)*V$16,"")</f>
        <v/>
      </c>
      <c r="W45" s="1984">
        <f>IF($U45="","",IF(OR($T45="L",$T45="T",$T45="C"),SUM($U45:V45)*W$16,""))</f>
        <v>28.119999999999973</v>
      </c>
      <c r="X45" s="1984">
        <f>IF($U45="","",SUM($U45:W45)*X$16)</f>
        <v>92.795999999999893</v>
      </c>
      <c r="Y45" s="3597">
        <f t="shared" si="0"/>
        <v>120.91599999999987</v>
      </c>
      <c r="Z45" s="1983"/>
      <c r="AA45" s="1986">
        <f t="shared" si="1"/>
        <v>402.11599999999959</v>
      </c>
      <c r="AB45" s="1983"/>
      <c r="AC45" s="2687">
        <f t="shared" ca="1" si="2"/>
        <v>0.33768973862488294</v>
      </c>
      <c r="AD45" s="1287"/>
      <c r="AE45" s="4046"/>
      <c r="AF45" s="1482">
        <f>AF44</f>
        <v>20</v>
      </c>
      <c r="AG45" s="1482"/>
      <c r="AH45" s="1972">
        <f t="shared" si="9"/>
        <v>5</v>
      </c>
      <c r="AI45" s="1972">
        <f t="shared" si="10"/>
        <v>1</v>
      </c>
      <c r="AJ45" s="1957">
        <f t="shared" si="11"/>
        <v>130192.65370610279</v>
      </c>
      <c r="AK45" s="1988"/>
    </row>
    <row r="46" spans="1:37" s="266" customFormat="1" ht="16" customHeight="1">
      <c r="B46" s="1974"/>
      <c r="C46" s="3497"/>
      <c r="D46" s="3504"/>
      <c r="E46" s="1955" t="s">
        <v>21</v>
      </c>
      <c r="F46" s="1956"/>
      <c r="G46" s="1956"/>
      <c r="H46" s="1957">
        <f>H499</f>
        <v>15000</v>
      </c>
      <c r="I46" s="1990" t="str">
        <f>K499</f>
        <v>Sweating Rack</v>
      </c>
      <c r="J46" s="1959" t="str">
        <f t="shared" si="4"/>
        <v>Done every 10 years</v>
      </c>
      <c r="K46" s="802">
        <f>$L$499</f>
        <v>10</v>
      </c>
      <c r="L46" s="1991">
        <f t="shared" si="5"/>
        <v>8</v>
      </c>
      <c r="M46" s="159">
        <f t="shared" si="5"/>
        <v>10</v>
      </c>
      <c r="N46" s="1957">
        <f t="shared" si="6"/>
        <v>44228.268672322942</v>
      </c>
      <c r="O46" s="1962">
        <f t="shared" si="7"/>
        <v>1778.2347739923518</v>
      </c>
      <c r="P46" s="1992"/>
      <c r="Q46" s="3598"/>
      <c r="R46" s="3598"/>
      <c r="S46" s="3598"/>
      <c r="T46" s="1993" t="s">
        <v>811</v>
      </c>
      <c r="U46" s="1965">
        <f t="shared" si="8"/>
        <v>17.782347739923519</v>
      </c>
      <c r="V46" s="1984" t="str">
        <f>IF($T46="L",SUM($U46:U46)*V$16,"")</f>
        <v/>
      </c>
      <c r="W46" s="1984" t="str">
        <f>IF($U46="","",IF(OR($T46="L",$T46="T",$T46="C"),SUM($U46:V46)*W$16,""))</f>
        <v/>
      </c>
      <c r="X46" s="1984">
        <f>IF($U46="","",SUM($U46:W46)*X$16)</f>
        <v>5.334704321977056</v>
      </c>
      <c r="Y46" s="3597">
        <f t="shared" si="0"/>
        <v>5.334704321977056</v>
      </c>
      <c r="Z46" s="1992"/>
      <c r="AA46" s="1994">
        <f t="shared" si="1"/>
        <v>23.117052061900576</v>
      </c>
      <c r="AB46" s="1992"/>
      <c r="AC46" s="2687">
        <f t="shared" ca="1" si="2"/>
        <v>1.9413281910098144E-2</v>
      </c>
      <c r="AD46" s="3599"/>
      <c r="AE46" s="4046"/>
      <c r="AF46" s="1482">
        <f>AF45</f>
        <v>20</v>
      </c>
      <c r="AG46" s="1482"/>
      <c r="AH46" s="1955">
        <f t="shared" si="9"/>
        <v>0.5</v>
      </c>
      <c r="AI46" s="1955">
        <f t="shared" si="10"/>
        <v>10</v>
      </c>
      <c r="AJ46" s="1957">
        <f t="shared" si="11"/>
        <v>8233.040687714667</v>
      </c>
      <c r="AK46" s="1996"/>
    </row>
    <row r="47" spans="1:37" s="1997" customFormat="1" ht="18" customHeight="1">
      <c r="B47" s="1998">
        <f>B43+0.1</f>
        <v>4.1999999999999993</v>
      </c>
      <c r="C47" s="3489" t="s">
        <v>268</v>
      </c>
      <c r="D47" s="3492" t="s">
        <v>400</v>
      </c>
      <c r="E47" s="2000" t="s">
        <v>3</v>
      </c>
      <c r="F47" s="2001"/>
      <c r="G47" s="2001">
        <f t="shared" ref="G47:G49" si="16">F495</f>
        <v>127.05530642750374</v>
      </c>
      <c r="H47" s="2002">
        <f>I495</f>
        <v>28587.443946188341</v>
      </c>
      <c r="I47" s="2035" t="str">
        <f>K495</f>
        <v>Cost for labour</v>
      </c>
      <c r="J47" s="2004" t="str">
        <f t="shared" si="4"/>
        <v>Annual</v>
      </c>
      <c r="K47" s="2005">
        <f>$L$495</f>
        <v>1</v>
      </c>
      <c r="L47" s="2006">
        <f t="shared" si="5"/>
        <v>80</v>
      </c>
      <c r="M47" s="2005">
        <f t="shared" si="5"/>
        <v>1</v>
      </c>
      <c r="N47" s="2002">
        <f t="shared" si="6"/>
        <v>711027.12082742504</v>
      </c>
      <c r="O47" s="2007">
        <f t="shared" si="7"/>
        <v>28587.443946188312</v>
      </c>
      <c r="P47" s="2008">
        <f>SUM(O47:O50)</f>
        <v>77431.059886099916</v>
      </c>
      <c r="Q47" s="3604"/>
      <c r="R47" s="3604"/>
      <c r="S47" s="3604"/>
      <c r="T47" s="2009" t="s">
        <v>808</v>
      </c>
      <c r="U47" s="2010">
        <f t="shared" si="8"/>
        <v>285.87443946188313</v>
      </c>
      <c r="V47" s="2010">
        <f>IF($T47="L",SUM($U47:U47)*V$16,"")</f>
        <v>85.762331838564933</v>
      </c>
      <c r="W47" s="2010">
        <f>IF($U47="","",IF(OR($T47="L",$T47="T",$T47="C"),SUM($U47:V47)*W$16,""))</f>
        <v>37.16367713004481</v>
      </c>
      <c r="X47" s="2010">
        <f>IF($U47="","",SUM($U47:W47)*X$16)</f>
        <v>122.64013452914784</v>
      </c>
      <c r="Y47" s="2011">
        <f t="shared" si="0"/>
        <v>245.56614349775759</v>
      </c>
      <c r="Z47" s="2008">
        <f>SUM(V47:X50)</f>
        <v>453.28198683318737</v>
      </c>
      <c r="AA47" s="2012">
        <f t="shared" si="1"/>
        <v>531.44058295964078</v>
      </c>
      <c r="AB47" s="2008">
        <f>SUM(AA47:AA50)</f>
        <v>1227.5925856941865</v>
      </c>
      <c r="AC47" s="3512">
        <f t="shared" ca="1" si="2"/>
        <v>0.43291283211776532</v>
      </c>
      <c r="AD47" s="2014"/>
      <c r="AE47" s="2015"/>
      <c r="AF47" s="1483">
        <f>AF43+4</f>
        <v>24</v>
      </c>
      <c r="AG47" s="2016">
        <f ca="1">SUM(AC47:AC50)-1</f>
        <v>0</v>
      </c>
      <c r="AH47" s="2017">
        <f t="shared" si="9"/>
        <v>5</v>
      </c>
      <c r="AI47" s="2017">
        <f t="shared" si="10"/>
        <v>1</v>
      </c>
      <c r="AJ47" s="2002">
        <f t="shared" si="11"/>
        <v>132356.87020016796</v>
      </c>
      <c r="AK47" s="2018">
        <f>SUM(AJ47:AJ50)</f>
        <v>358497.69437580084</v>
      </c>
    </row>
    <row r="48" spans="1:37" s="1997" customFormat="1" ht="19" customHeight="1">
      <c r="B48" s="2019"/>
      <c r="C48" s="3490" t="s">
        <v>779</v>
      </c>
      <c r="D48" s="3493"/>
      <c r="E48" s="2000" t="s">
        <v>308</v>
      </c>
      <c r="F48" s="3605">
        <f>$E$482</f>
        <v>4</v>
      </c>
      <c r="G48" s="3605">
        <f t="shared" si="16"/>
        <v>63.527653213751869</v>
      </c>
      <c r="H48" s="2002">
        <f>I496</f>
        <v>18105.381165919283</v>
      </c>
      <c r="I48" s="2035" t="str">
        <f>K496</f>
        <v>Cost for ute hire for the whole activity</v>
      </c>
      <c r="J48" s="2004" t="str">
        <f t="shared" si="4"/>
        <v>Annual</v>
      </c>
      <c r="K48" s="2005">
        <f>$L$496</f>
        <v>1</v>
      </c>
      <c r="L48" s="2006">
        <f t="shared" si="5"/>
        <v>80</v>
      </c>
      <c r="M48" s="2005">
        <f t="shared" si="5"/>
        <v>1</v>
      </c>
      <c r="N48" s="2002">
        <f t="shared" si="6"/>
        <v>450317.17652403592</v>
      </c>
      <c r="O48" s="2007">
        <f t="shared" si="7"/>
        <v>18105.381165919269</v>
      </c>
      <c r="P48" s="2021"/>
      <c r="Q48" s="3606">
        <f>1*(1-(1+$L$15)^-(L48*M48))/((1+$L$15)^M48-1)*(1+((1+$L$15)^M48-1))</f>
        <v>24.872007520708362</v>
      </c>
      <c r="R48" s="3606">
        <f>Q48/(1+$L$15)*($L$15)/(1-(1+$L$15)^-$L$16)</f>
        <v>0.99999999999999911</v>
      </c>
      <c r="S48" s="3606">
        <f>F48*R48</f>
        <v>3.9999999999999964</v>
      </c>
      <c r="T48" s="2022" t="s">
        <v>809</v>
      </c>
      <c r="U48" s="2010">
        <f t="shared" si="8"/>
        <v>181.05381165919269</v>
      </c>
      <c r="V48" s="2023" t="str">
        <f>IF($T48="L",SUM($U48:U48)*V$16,"")</f>
        <v/>
      </c>
      <c r="W48" s="2023">
        <f>IF($U48="","",IF(OR($T48="L",$T48="T",$T48="C"),SUM($U48:V48)*W$16,""))</f>
        <v>18.105381165919269</v>
      </c>
      <c r="X48" s="2023">
        <f>IF($U48="","",SUM($U48:W48)*X$16)</f>
        <v>59.747757847533592</v>
      </c>
      <c r="Y48" s="2024">
        <f t="shared" si="0"/>
        <v>77.853139013452861</v>
      </c>
      <c r="Z48" s="2021"/>
      <c r="AA48" s="2025">
        <f t="shared" si="1"/>
        <v>258.90695067264556</v>
      </c>
      <c r="AB48" s="2021"/>
      <c r="AC48" s="3512">
        <f t="shared" ca="1" si="2"/>
        <v>0.21090625154455236</v>
      </c>
      <c r="AD48" s="2026"/>
      <c r="AE48" s="2015"/>
      <c r="AF48" s="1483">
        <f>AF47</f>
        <v>24</v>
      </c>
      <c r="AG48" s="1483"/>
      <c r="AH48" s="2017">
        <f t="shared" si="9"/>
        <v>5</v>
      </c>
      <c r="AI48" s="2017">
        <f t="shared" si="10"/>
        <v>1</v>
      </c>
      <c r="AJ48" s="2002">
        <f t="shared" si="11"/>
        <v>83826.017793439722</v>
      </c>
      <c r="AK48" s="2027"/>
    </row>
    <row r="49" spans="1:37" s="1997" customFormat="1" ht="19" customHeight="1">
      <c r="B49" s="2019"/>
      <c r="C49" s="3490"/>
      <c r="D49" s="3493"/>
      <c r="E49" s="2000" t="s">
        <v>4</v>
      </c>
      <c r="F49" s="2001"/>
      <c r="G49" s="2001">
        <f t="shared" si="16"/>
        <v>126</v>
      </c>
      <c r="H49" s="2002">
        <f>SUM(I497:I498)</f>
        <v>28960</v>
      </c>
      <c r="I49" s="2035" t="s">
        <v>415</v>
      </c>
      <c r="J49" s="2004" t="str">
        <f t="shared" si="4"/>
        <v>Annual</v>
      </c>
      <c r="K49" s="2005">
        <f>$L$497</f>
        <v>1</v>
      </c>
      <c r="L49" s="2006">
        <f t="shared" si="5"/>
        <v>80</v>
      </c>
      <c r="M49" s="2005">
        <f t="shared" si="5"/>
        <v>1</v>
      </c>
      <c r="N49" s="2002">
        <f t="shared" si="6"/>
        <v>720293.33779971406</v>
      </c>
      <c r="O49" s="2007">
        <f t="shared" si="7"/>
        <v>28959.999999999975</v>
      </c>
      <c r="P49" s="2028"/>
      <c r="Q49" s="3606"/>
      <c r="R49" s="3606"/>
      <c r="S49" s="3606"/>
      <c r="T49" s="2022" t="s">
        <v>810</v>
      </c>
      <c r="U49" s="2010">
        <f t="shared" si="8"/>
        <v>289.59999999999974</v>
      </c>
      <c r="V49" s="2029" t="str">
        <f>IF($T49="L",SUM($U49:U49)*V$16,"")</f>
        <v/>
      </c>
      <c r="W49" s="2029">
        <f>IF($U49="","",IF(OR($T49="L",$T49="T",$T49="C"),SUM($U49:V49)*W$16,""))</f>
        <v>28.959999999999976</v>
      </c>
      <c r="X49" s="2029">
        <f>IF($U49="","",SUM($U49:W49)*X$16)</f>
        <v>95.567999999999913</v>
      </c>
      <c r="Y49" s="3607">
        <f t="shared" si="0"/>
        <v>124.52799999999989</v>
      </c>
      <c r="Z49" s="2028"/>
      <c r="AA49" s="2031">
        <f t="shared" si="1"/>
        <v>414.12799999999964</v>
      </c>
      <c r="AB49" s="2028"/>
      <c r="AC49" s="3512">
        <f t="shared" ca="1" si="2"/>
        <v>0.33734970773370715</v>
      </c>
      <c r="AD49" s="2032"/>
      <c r="AE49" s="2015"/>
      <c r="AF49" s="1483">
        <f>AF48</f>
        <v>24</v>
      </c>
      <c r="AG49" s="1483"/>
      <c r="AH49" s="2017">
        <f t="shared" si="9"/>
        <v>5</v>
      </c>
      <c r="AI49" s="2017">
        <f t="shared" si="10"/>
        <v>1</v>
      </c>
      <c r="AJ49" s="2002">
        <f t="shared" si="11"/>
        <v>134081.76569447856</v>
      </c>
      <c r="AK49" s="2033"/>
    </row>
    <row r="50" spans="1:37" s="1997" customFormat="1" ht="16" customHeight="1">
      <c r="B50" s="2019"/>
      <c r="C50" s="3491"/>
      <c r="D50" s="3494"/>
      <c r="E50" s="2000" t="s">
        <v>21</v>
      </c>
      <c r="F50" s="2001"/>
      <c r="G50" s="2001"/>
      <c r="H50" s="2002">
        <f>I499</f>
        <v>15000</v>
      </c>
      <c r="I50" s="2035" t="str">
        <f>K499</f>
        <v>Sweating Rack</v>
      </c>
      <c r="J50" s="2004" t="str">
        <f t="shared" si="4"/>
        <v>Done every 10 years</v>
      </c>
      <c r="K50" s="2036">
        <f>$L$499</f>
        <v>10</v>
      </c>
      <c r="L50" s="2037">
        <f t="shared" si="5"/>
        <v>8</v>
      </c>
      <c r="M50" s="2038">
        <f t="shared" si="5"/>
        <v>10</v>
      </c>
      <c r="N50" s="2002">
        <f t="shared" si="6"/>
        <v>44228.268672322942</v>
      </c>
      <c r="O50" s="2007">
        <f t="shared" si="7"/>
        <v>1778.2347739923518</v>
      </c>
      <c r="P50" s="2039"/>
      <c r="Q50" s="3608"/>
      <c r="R50" s="3608"/>
      <c r="S50" s="3608"/>
      <c r="T50" s="2040" t="s">
        <v>811</v>
      </c>
      <c r="U50" s="2010">
        <f t="shared" si="8"/>
        <v>17.782347739923519</v>
      </c>
      <c r="V50" s="2029" t="str">
        <f>IF($T50="L",SUM($U50:U50)*V$16,"")</f>
        <v/>
      </c>
      <c r="W50" s="2029" t="str">
        <f>IF($U50="","",IF(OR($T50="L",$T50="T",$T50="C"),SUM($U50:V50)*W$16,""))</f>
        <v/>
      </c>
      <c r="X50" s="2029">
        <f>IF($U50="","",SUM($U50:W50)*X$16)</f>
        <v>5.334704321977056</v>
      </c>
      <c r="Y50" s="3607">
        <f t="shared" si="0"/>
        <v>5.334704321977056</v>
      </c>
      <c r="Z50" s="2039"/>
      <c r="AA50" s="2041">
        <f t="shared" si="1"/>
        <v>23.117052061900576</v>
      </c>
      <c r="AB50" s="2039"/>
      <c r="AC50" s="3512">
        <f t="shared" ca="1" si="2"/>
        <v>1.883120860397524E-2</v>
      </c>
      <c r="AD50" s="2042"/>
      <c r="AE50" s="2015"/>
      <c r="AF50" s="1483">
        <f>AF49</f>
        <v>24</v>
      </c>
      <c r="AG50" s="1483"/>
      <c r="AH50" s="2000">
        <f t="shared" si="9"/>
        <v>0.5</v>
      </c>
      <c r="AI50" s="2000">
        <f t="shared" si="10"/>
        <v>10</v>
      </c>
      <c r="AJ50" s="2002">
        <f t="shared" si="11"/>
        <v>8233.040687714667</v>
      </c>
      <c r="AK50" s="2043"/>
    </row>
    <row r="51" spans="1:37" s="2044" customFormat="1" ht="18" customHeight="1">
      <c r="B51" s="2045">
        <f>B47+0.1</f>
        <v>4.2999999999999989</v>
      </c>
      <c r="C51" s="2046" t="s">
        <v>268</v>
      </c>
      <c r="D51" s="3505" t="s">
        <v>400</v>
      </c>
      <c r="E51" s="2047" t="s">
        <v>3</v>
      </c>
      <c r="F51" s="2048"/>
      <c r="G51" s="2048">
        <f t="shared" ref="G51:G53" si="17">G495</f>
        <v>135.02740408570006</v>
      </c>
      <c r="H51" s="2049">
        <f>J495</f>
        <v>30381.165919282514</v>
      </c>
      <c r="I51" s="2080" t="s">
        <v>486</v>
      </c>
      <c r="J51" s="2051" t="str">
        <f t="shared" si="4"/>
        <v>Annual</v>
      </c>
      <c r="K51" s="2052">
        <f>$L$495</f>
        <v>1</v>
      </c>
      <c r="L51" s="2053">
        <f t="shared" si="5"/>
        <v>80</v>
      </c>
      <c r="M51" s="2052">
        <f t="shared" si="5"/>
        <v>1</v>
      </c>
      <c r="N51" s="2049">
        <f t="shared" si="6"/>
        <v>755640.5872322832</v>
      </c>
      <c r="O51" s="2054">
        <f t="shared" si="7"/>
        <v>30381.165919282488</v>
      </c>
      <c r="P51" s="2055">
        <f>SUM(O51:O54)</f>
        <v>82040.805775487053</v>
      </c>
      <c r="Q51" s="3600"/>
      <c r="R51" s="3600"/>
      <c r="S51" s="3600"/>
      <c r="T51" s="2056" t="s">
        <v>808</v>
      </c>
      <c r="U51" s="2057">
        <f t="shared" si="8"/>
        <v>303.81165919282489</v>
      </c>
      <c r="V51" s="2057">
        <f>IF($T51="L",SUM($U51:U51)*V$16,"")</f>
        <v>91.14349775784747</v>
      </c>
      <c r="W51" s="2057">
        <f>IF($U51="","",IF(OR($T51="L",$T51="T",$T51="C"),SUM($U51:V51)*W$16,""))</f>
        <v>39.49551569506724</v>
      </c>
      <c r="X51" s="2058">
        <f>IF($U51="","",SUM($U51:W51)*X$16)</f>
        <v>130.33520179372186</v>
      </c>
      <c r="Y51" s="2059">
        <f t="shared" si="0"/>
        <v>260.97421524663656</v>
      </c>
      <c r="Z51" s="2055">
        <f>SUM(V51:X54)</f>
        <v>480.79896142212613</v>
      </c>
      <c r="AA51" s="2058">
        <f t="shared" si="1"/>
        <v>564.7858744394614</v>
      </c>
      <c r="AB51" s="2055">
        <f>SUM(AA51:AA54)</f>
        <v>1301.2070191769965</v>
      </c>
      <c r="AC51" s="3601">
        <f t="shared" ca="1" si="2"/>
        <v>0.43404766967571706</v>
      </c>
      <c r="AD51" s="2061"/>
      <c r="AE51" s="2062"/>
      <c r="AF51" s="2063">
        <f>AF47+4</f>
        <v>28</v>
      </c>
      <c r="AG51" s="2064">
        <f ca="1">SUM(AC51:AC54)-1</f>
        <v>0</v>
      </c>
      <c r="AH51" s="2065">
        <f t="shared" si="9"/>
        <v>5</v>
      </c>
      <c r="AI51" s="2065">
        <f t="shared" si="10"/>
        <v>1</v>
      </c>
      <c r="AJ51" s="2049">
        <f t="shared" si="11"/>
        <v>140661.61499704127</v>
      </c>
      <c r="AK51" s="2059">
        <f>SUM(AJ51:AJ54)</f>
        <v>379840.33485411206</v>
      </c>
    </row>
    <row r="52" spans="1:37" s="2044" customFormat="1" ht="19" customHeight="1">
      <c r="B52" s="2045"/>
      <c r="C52" s="2067" t="s">
        <v>789</v>
      </c>
      <c r="D52" s="3506"/>
      <c r="E52" s="2047" t="s">
        <v>308</v>
      </c>
      <c r="F52" s="2048">
        <f>$F$482</f>
        <v>4</v>
      </c>
      <c r="G52" s="2048">
        <f t="shared" si="17"/>
        <v>67.513702042850028</v>
      </c>
      <c r="H52" s="2049">
        <f>J496</f>
        <v>19241.405082212259</v>
      </c>
      <c r="I52" s="2080" t="s">
        <v>53</v>
      </c>
      <c r="J52" s="2051" t="str">
        <f t="shared" si="4"/>
        <v>Annual</v>
      </c>
      <c r="K52" s="2052">
        <f>$L$496</f>
        <v>1</v>
      </c>
      <c r="L52" s="2053">
        <f t="shared" si="5"/>
        <v>80</v>
      </c>
      <c r="M52" s="2052">
        <f t="shared" si="5"/>
        <v>1</v>
      </c>
      <c r="N52" s="2049">
        <f t="shared" si="6"/>
        <v>478572.37191377935</v>
      </c>
      <c r="O52" s="2054">
        <f t="shared" si="7"/>
        <v>19241.405082212241</v>
      </c>
      <c r="P52" s="2068"/>
      <c r="Q52" s="3602">
        <f>1*(1-(1+$L$15)^-(L52*M52))/((1+$L$15)^M52-1)*(1+((1+$L$15)^M52-1))</f>
        <v>24.872007520708362</v>
      </c>
      <c r="R52" s="3602">
        <f>Q52/(1+$L$15)*($L$15)/(1-(1+$L$15)^-$L$16)</f>
        <v>0.99999999999999911</v>
      </c>
      <c r="S52" s="3602">
        <f>F52*R52</f>
        <v>3.9999999999999964</v>
      </c>
      <c r="T52" s="2069" t="s">
        <v>809</v>
      </c>
      <c r="U52" s="2057">
        <f t="shared" si="8"/>
        <v>192.41405082212242</v>
      </c>
      <c r="V52" s="2070" t="str">
        <f>IF($T52="L",SUM($U52:U52)*V$16,"")</f>
        <v/>
      </c>
      <c r="W52" s="2070">
        <f>IF($U52="","",IF(OR($T52="L",$T52="T",$T52="C"),SUM($U52:V52)*W$16,""))</f>
        <v>19.241405082212243</v>
      </c>
      <c r="X52" s="2071">
        <f>IF($U52="","",SUM($U52:W52)*X$16)</f>
        <v>63.496636771300402</v>
      </c>
      <c r="Y52" s="2072">
        <f t="shared" si="0"/>
        <v>82.738041853512641</v>
      </c>
      <c r="Z52" s="2068"/>
      <c r="AA52" s="2071">
        <f t="shared" si="1"/>
        <v>275.15209267563506</v>
      </c>
      <c r="AB52" s="2068"/>
      <c r="AC52" s="3601">
        <f t="shared" ca="1" si="2"/>
        <v>0.21145912112406731</v>
      </c>
      <c r="AD52" s="2073"/>
      <c r="AE52" s="2062"/>
      <c r="AF52" s="2063">
        <f>AF51</f>
        <v>28</v>
      </c>
      <c r="AG52" s="2063"/>
      <c r="AH52" s="2065">
        <f t="shared" si="9"/>
        <v>5</v>
      </c>
      <c r="AI52" s="2065">
        <f t="shared" si="10"/>
        <v>1</v>
      </c>
      <c r="AJ52" s="2049">
        <f t="shared" si="11"/>
        <v>89085.689498126128</v>
      </c>
      <c r="AK52" s="2072"/>
    </row>
    <row r="53" spans="1:37" s="2044" customFormat="1" ht="19" customHeight="1">
      <c r="B53" s="2045"/>
      <c r="C53" s="2067"/>
      <c r="D53" s="3506"/>
      <c r="E53" s="2047" t="s">
        <v>4</v>
      </c>
      <c r="F53" s="2048"/>
      <c r="G53" s="2048">
        <f t="shared" si="17"/>
        <v>134</v>
      </c>
      <c r="H53" s="2049">
        <f>J497+J498</f>
        <v>30640</v>
      </c>
      <c r="I53" s="2080" t="s">
        <v>415</v>
      </c>
      <c r="J53" s="2051" t="str">
        <f t="shared" si="4"/>
        <v>Annual</v>
      </c>
      <c r="K53" s="2052">
        <f>$L$497</f>
        <v>1</v>
      </c>
      <c r="L53" s="2053">
        <f t="shared" si="5"/>
        <v>80</v>
      </c>
      <c r="M53" s="2052">
        <f t="shared" si="5"/>
        <v>1</v>
      </c>
      <c r="N53" s="2049">
        <f t="shared" si="6"/>
        <v>762078.31043450418</v>
      </c>
      <c r="O53" s="2054">
        <f t="shared" si="7"/>
        <v>30639.999999999971</v>
      </c>
      <c r="P53" s="2074"/>
      <c r="Q53" s="3602"/>
      <c r="R53" s="3602"/>
      <c r="S53" s="3602"/>
      <c r="T53" s="2069" t="s">
        <v>810</v>
      </c>
      <c r="U53" s="2057">
        <f t="shared" si="8"/>
        <v>306.39999999999969</v>
      </c>
      <c r="V53" s="2075" t="str">
        <f>IF($T53="L",SUM($U53:U53)*V$16,"")</f>
        <v/>
      </c>
      <c r="W53" s="2075">
        <f>IF($U53="","",IF(OR($T53="L",$T53="T",$T53="C"),SUM($U53:V53)*W$16,""))</f>
        <v>30.639999999999972</v>
      </c>
      <c r="X53" s="2076">
        <f>IF($U53="","",SUM($U53:W53)*X$16)</f>
        <v>101.1119999999999</v>
      </c>
      <c r="Y53" s="2077">
        <f t="shared" si="0"/>
        <v>131.75199999999987</v>
      </c>
      <c r="Z53" s="2074"/>
      <c r="AA53" s="2076">
        <f t="shared" si="1"/>
        <v>438.15199999999959</v>
      </c>
      <c r="AB53" s="2074"/>
      <c r="AC53" s="3601">
        <f t="shared" ca="1" si="2"/>
        <v>0.33672735663317233</v>
      </c>
      <c r="AD53" s="2078"/>
      <c r="AE53" s="2062"/>
      <c r="AF53" s="2063">
        <f>AF52</f>
        <v>28</v>
      </c>
      <c r="AG53" s="2063"/>
      <c r="AH53" s="2065">
        <f t="shared" si="9"/>
        <v>5</v>
      </c>
      <c r="AI53" s="2065">
        <f t="shared" si="10"/>
        <v>1</v>
      </c>
      <c r="AJ53" s="2049">
        <f t="shared" si="11"/>
        <v>141859.98967123005</v>
      </c>
      <c r="AK53" s="2077"/>
    </row>
    <row r="54" spans="1:37" s="2044" customFormat="1" ht="16" customHeight="1">
      <c r="B54" s="2066"/>
      <c r="C54" s="2079"/>
      <c r="D54" s="3507"/>
      <c r="E54" s="2047" t="s">
        <v>21</v>
      </c>
      <c r="F54" s="2048"/>
      <c r="G54" s="2048"/>
      <c r="H54" s="2049">
        <f>J499</f>
        <v>15000</v>
      </c>
      <c r="I54" s="2080" t="s">
        <v>406</v>
      </c>
      <c r="J54" s="2051" t="str">
        <f t="shared" si="4"/>
        <v>Done every 10 years</v>
      </c>
      <c r="K54" s="2081">
        <f>$L$499</f>
        <v>10</v>
      </c>
      <c r="L54" s="2082">
        <f t="shared" si="5"/>
        <v>8</v>
      </c>
      <c r="M54" s="2083">
        <f t="shared" si="5"/>
        <v>10</v>
      </c>
      <c r="N54" s="2049">
        <f t="shared" si="6"/>
        <v>44228.268672322942</v>
      </c>
      <c r="O54" s="2054">
        <f t="shared" si="7"/>
        <v>1778.2347739923518</v>
      </c>
      <c r="P54" s="2084"/>
      <c r="Q54" s="3603"/>
      <c r="R54" s="3603"/>
      <c r="S54" s="3603"/>
      <c r="T54" s="2085" t="s">
        <v>811</v>
      </c>
      <c r="U54" s="2057">
        <f t="shared" si="8"/>
        <v>17.782347739923519</v>
      </c>
      <c r="V54" s="2075" t="str">
        <f>IF($T54="L",SUM($U54:U54)*V$16,"")</f>
        <v/>
      </c>
      <c r="W54" s="2075" t="str">
        <f>IF($U54="","",IF(OR($T54="L",$T54="T",$T54="C"),SUM($U54:V54)*W$16,""))</f>
        <v/>
      </c>
      <c r="X54" s="2076">
        <f>IF($U54="","",SUM($U54:W54)*X$16)</f>
        <v>5.334704321977056</v>
      </c>
      <c r="Y54" s="2086">
        <f t="shared" si="0"/>
        <v>5.334704321977056</v>
      </c>
      <c r="Z54" s="2084"/>
      <c r="AA54" s="2087">
        <f t="shared" si="1"/>
        <v>23.117052061900576</v>
      </c>
      <c r="AB54" s="2084"/>
      <c r="AC54" s="3601">
        <f t="shared" ca="1" si="2"/>
        <v>1.7765852567043432E-2</v>
      </c>
      <c r="AD54" s="2088"/>
      <c r="AE54" s="2062"/>
      <c r="AF54" s="2063">
        <f>AF53</f>
        <v>28</v>
      </c>
      <c r="AG54" s="2063"/>
      <c r="AH54" s="2047">
        <f t="shared" si="9"/>
        <v>0.5</v>
      </c>
      <c r="AI54" s="2047">
        <f t="shared" si="10"/>
        <v>10</v>
      </c>
      <c r="AJ54" s="2049">
        <f t="shared" si="11"/>
        <v>8233.040687714667</v>
      </c>
      <c r="AK54" s="2086"/>
    </row>
    <row r="55" spans="1:37" ht="19" customHeight="1">
      <c r="A55" s="390"/>
      <c r="B55" s="1768">
        <f>B43+1</f>
        <v>5.0999999999999996</v>
      </c>
      <c r="C55" s="3859" t="s">
        <v>203</v>
      </c>
      <c r="D55" s="3850" t="s">
        <v>975</v>
      </c>
      <c r="E55" s="373" t="s">
        <v>3</v>
      </c>
      <c r="F55" s="1176"/>
      <c r="G55" s="1176">
        <f t="shared" ref="G55:G57" si="18">E594</f>
        <v>7.4541106128550076</v>
      </c>
      <c r="H55" s="370">
        <f>H594</f>
        <v>1677.1748878923768</v>
      </c>
      <c r="I55" s="613" t="s">
        <v>474</v>
      </c>
      <c r="J55" s="375" t="str">
        <f t="shared" si="4"/>
        <v>Annual</v>
      </c>
      <c r="K55" s="374">
        <v>1</v>
      </c>
      <c r="L55" s="386">
        <f t="shared" si="5"/>
        <v>80</v>
      </c>
      <c r="M55" s="371">
        <f t="shared" si="5"/>
        <v>1</v>
      </c>
      <c r="N55" s="370">
        <f t="shared" si="6"/>
        <v>41714.706425202392</v>
      </c>
      <c r="O55" s="640">
        <f t="shared" si="7"/>
        <v>1677.1748878923752</v>
      </c>
      <c r="P55" s="392">
        <f>SUM(O55:O58)</f>
        <v>3999.385650224212</v>
      </c>
      <c r="Q55" s="3055"/>
      <c r="R55" s="3055"/>
      <c r="S55" s="3055"/>
      <c r="T55" s="1039" t="s">
        <v>808</v>
      </c>
      <c r="U55" s="639">
        <f t="shared" si="8"/>
        <v>16.771748878923752</v>
      </c>
      <c r="V55" s="639">
        <f>IF($T55="L",SUM($U55:U55)*V$16,"")</f>
        <v>5.0315246636771258</v>
      </c>
      <c r="W55" s="639">
        <f>IF($U55="","",IF(OR($T55="L",$T55="T",$T55="C"),SUM($U55:V55)*W$16,""))</f>
        <v>2.1803273542600876</v>
      </c>
      <c r="X55" s="639">
        <f>IF($U55="","",SUM($U55:W55)*X$16)</f>
        <v>7.1950802690582885</v>
      </c>
      <c r="Y55" s="388">
        <f t="shared" si="0"/>
        <v>14.406932286995502</v>
      </c>
      <c r="Z55" s="392">
        <f>SUM(V55:X58)</f>
        <v>24.392438565022399</v>
      </c>
      <c r="AA55" s="734">
        <f t="shared" si="1"/>
        <v>31.178681165919254</v>
      </c>
      <c r="AB55" s="391">
        <f>SUM(AA55:AA58)</f>
        <v>64.386295067264513</v>
      </c>
      <c r="AC55" s="1055">
        <f t="shared" ca="1" si="2"/>
        <v>0.48424406363725098</v>
      </c>
      <c r="AD55" s="638"/>
      <c r="AE55" s="1069"/>
      <c r="AF55" s="587">
        <f>AF51+4</f>
        <v>32</v>
      </c>
      <c r="AG55" s="816">
        <f ca="1">SUM(AC55:AC58)-1</f>
        <v>0</v>
      </c>
      <c r="AH55" s="387">
        <f t="shared" si="9"/>
        <v>5</v>
      </c>
      <c r="AI55" s="387">
        <f t="shared" si="10"/>
        <v>1</v>
      </c>
      <c r="AJ55" s="370">
        <f t="shared" si="11"/>
        <v>7765.1440036964432</v>
      </c>
      <c r="AK55" s="981">
        <f>SUM(AJ55:AJ58)</f>
        <v>18516.736521934494</v>
      </c>
    </row>
    <row r="56" spans="1:37" ht="19" customHeight="1">
      <c r="A56" s="390"/>
      <c r="B56" s="1765"/>
      <c r="C56" s="3860"/>
      <c r="D56" s="3851"/>
      <c r="E56" s="373" t="s">
        <v>308</v>
      </c>
      <c r="F56" s="1176">
        <f>$D$580</f>
        <v>1</v>
      </c>
      <c r="G56" s="1176">
        <f t="shared" si="18"/>
        <v>3.7270553064275038</v>
      </c>
      <c r="H56" s="370">
        <f>H595</f>
        <v>1062.2107623318386</v>
      </c>
      <c r="I56" s="613" t="s">
        <v>65</v>
      </c>
      <c r="J56" s="375" t="str">
        <f t="shared" si="4"/>
        <v>Annual</v>
      </c>
      <c r="K56" s="374">
        <v>1</v>
      </c>
      <c r="L56" s="386">
        <f t="shared" si="5"/>
        <v>80</v>
      </c>
      <c r="M56" s="371">
        <f t="shared" si="5"/>
        <v>1</v>
      </c>
      <c r="N56" s="370">
        <f t="shared" si="6"/>
        <v>26419.314069294851</v>
      </c>
      <c r="O56" s="640">
        <f t="shared" si="7"/>
        <v>1062.2107623318377</v>
      </c>
      <c r="P56" s="392"/>
      <c r="Q56" s="3055">
        <f>1*(1-(1+$L$15)^-(L56*M56))/((1+$L$15)^M56-1)*(1+((1+$L$15)^M56-1))</f>
        <v>24.872007520708362</v>
      </c>
      <c r="R56" s="3055">
        <f>Q56/(1+$L$15)*($L$15)/(1-(1+$L$15)^-$L$16)</f>
        <v>0.99999999999999911</v>
      </c>
      <c r="S56" s="3055">
        <f>F56*R56</f>
        <v>0.99999999999999911</v>
      </c>
      <c r="T56" s="1034" t="s">
        <v>809</v>
      </c>
      <c r="U56" s="639">
        <f t="shared" si="8"/>
        <v>10.622107623318378</v>
      </c>
      <c r="V56" s="642" t="str">
        <f>IF($T56="L",SUM($U56:U56)*V$16,"")</f>
        <v/>
      </c>
      <c r="W56" s="642">
        <f>IF($U56="","",IF(OR($T56="L",$T56="T",$T56="C"),SUM($U56:V56)*W$16,""))</f>
        <v>1.0622107623318378</v>
      </c>
      <c r="X56" s="642">
        <f>IF($U56="","",SUM($U56:W56)*X$16)</f>
        <v>3.5052955156950643</v>
      </c>
      <c r="Y56" s="388">
        <f t="shared" si="0"/>
        <v>4.5675062780269018</v>
      </c>
      <c r="Z56" s="392"/>
      <c r="AA56" s="734">
        <f t="shared" si="1"/>
        <v>15.189613901345279</v>
      </c>
      <c r="AB56" s="391"/>
      <c r="AC56" s="1055">
        <f t="shared" ca="1" si="2"/>
        <v>0.2359137745925069</v>
      </c>
      <c r="AD56" s="641"/>
      <c r="AE56" s="1069"/>
      <c r="AF56" s="587">
        <f>AF55</f>
        <v>32</v>
      </c>
      <c r="AG56" s="587"/>
      <c r="AH56" s="387">
        <f t="shared" si="9"/>
        <v>5</v>
      </c>
      <c r="AI56" s="387">
        <f t="shared" si="10"/>
        <v>1</v>
      </c>
      <c r="AJ56" s="370">
        <f t="shared" si="11"/>
        <v>4917.9245356744141</v>
      </c>
      <c r="AK56" s="981"/>
    </row>
    <row r="57" spans="1:37" ht="19" customHeight="1">
      <c r="A57" s="390"/>
      <c r="B57" s="1765"/>
      <c r="C57" s="3860"/>
      <c r="D57" s="3851"/>
      <c r="E57" s="373" t="s">
        <v>4</v>
      </c>
      <c r="F57" s="1176"/>
      <c r="G57" s="1176">
        <f t="shared" si="18"/>
        <v>6</v>
      </c>
      <c r="H57" s="370">
        <f>H596</f>
        <v>1260</v>
      </c>
      <c r="I57" s="613" t="s">
        <v>70</v>
      </c>
      <c r="J57" s="375" t="str">
        <f t="shared" si="4"/>
        <v>Annual</v>
      </c>
      <c r="K57" s="374">
        <v>1</v>
      </c>
      <c r="L57" s="386">
        <f t="shared" si="5"/>
        <v>80</v>
      </c>
      <c r="M57" s="371">
        <f t="shared" si="5"/>
        <v>1</v>
      </c>
      <c r="N57" s="370">
        <f t="shared" si="6"/>
        <v>31338.729476092536</v>
      </c>
      <c r="O57" s="640">
        <f t="shared" si="7"/>
        <v>1259.9999999999991</v>
      </c>
      <c r="P57" s="392"/>
      <c r="Q57" s="3055"/>
      <c r="R57" s="3055"/>
      <c r="S57" s="3055"/>
      <c r="T57" s="1034" t="s">
        <v>810</v>
      </c>
      <c r="U57" s="639">
        <f t="shared" si="8"/>
        <v>12.599999999999991</v>
      </c>
      <c r="V57" s="642" t="str">
        <f>IF($T57="L",SUM($U57:U57)*V$16,"")</f>
        <v/>
      </c>
      <c r="W57" s="642">
        <f>IF($U57="","",IF(OR($T57="L",$T57="T",$T57="C"),SUM($U57:V57)*W$16,""))</f>
        <v>1.2599999999999991</v>
      </c>
      <c r="X57" s="642">
        <f>IF($U57="","",SUM($U57:W57)*X$16)</f>
        <v>4.1579999999999968</v>
      </c>
      <c r="Y57" s="388">
        <f t="shared" si="0"/>
        <v>5.4179999999999957</v>
      </c>
      <c r="Z57" s="392"/>
      <c r="AA57" s="734">
        <f t="shared" si="1"/>
        <v>18.017999999999986</v>
      </c>
      <c r="AB57" s="391"/>
      <c r="AC57" s="1055">
        <f t="shared" ca="1" si="2"/>
        <v>0.27984216177024224</v>
      </c>
      <c r="AD57" s="641"/>
      <c r="AE57" s="1069"/>
      <c r="AF57" s="587">
        <f>AF56</f>
        <v>32</v>
      </c>
      <c r="AG57" s="587"/>
      <c r="AH57" s="387">
        <f t="shared" si="9"/>
        <v>5</v>
      </c>
      <c r="AI57" s="387">
        <f t="shared" si="10"/>
        <v>1</v>
      </c>
      <c r="AJ57" s="370">
        <f t="shared" si="11"/>
        <v>5833.6679825636384</v>
      </c>
      <c r="AK57" s="981"/>
    </row>
    <row r="58" spans="1:37" ht="19" customHeight="1">
      <c r="A58" s="390"/>
      <c r="B58" s="1765"/>
      <c r="C58" s="3861"/>
      <c r="D58" s="3862"/>
      <c r="E58" s="373" t="s">
        <v>21</v>
      </c>
      <c r="F58" s="1176"/>
      <c r="G58" s="1176"/>
      <c r="H58" s="370"/>
      <c r="I58" s="613"/>
      <c r="J58" s="375"/>
      <c r="K58" s="374"/>
      <c r="L58" s="386"/>
      <c r="M58" s="371"/>
      <c r="N58" s="370"/>
      <c r="O58" s="699">
        <f t="shared" si="7"/>
        <v>0</v>
      </c>
      <c r="P58" s="396"/>
      <c r="Q58" s="3060"/>
      <c r="R58" s="3060"/>
      <c r="S58" s="3060"/>
      <c r="T58" s="1040" t="s">
        <v>811</v>
      </c>
      <c r="U58" s="700"/>
      <c r="V58" s="700" t="str">
        <f>IF($T58="L",SUM($U58:U58)*V$16,"")</f>
        <v/>
      </c>
      <c r="W58" s="700" t="str">
        <f>IF($U58="","",IF(OR($T58="L",$T58="T",$T58="C"),SUM($U58:V58)*W$16,""))</f>
        <v/>
      </c>
      <c r="X58" s="700" t="str">
        <f>IF($U58="","",SUM($U58:W58)*X$16)</f>
        <v/>
      </c>
      <c r="Y58" s="699" t="str">
        <f t="shared" si="0"/>
        <v/>
      </c>
      <c r="Z58" s="396"/>
      <c r="AA58" s="743" t="str">
        <f t="shared" si="1"/>
        <v/>
      </c>
      <c r="AB58" s="395"/>
      <c r="AC58" s="1056" t="str">
        <f t="shared" ca="1" si="2"/>
        <v/>
      </c>
      <c r="AD58" s="822"/>
      <c r="AE58" s="1069"/>
      <c r="AF58" s="587">
        <f>AF57</f>
        <v>32</v>
      </c>
      <c r="AG58" s="587"/>
      <c r="AH58" s="387"/>
      <c r="AI58" s="387"/>
      <c r="AJ58" s="370"/>
      <c r="AK58" s="882"/>
    </row>
    <row r="59" spans="1:37" ht="19" customHeight="1">
      <c r="A59" s="676"/>
      <c r="B59" s="1766">
        <f>B55+0.1</f>
        <v>5.1999999999999993</v>
      </c>
      <c r="C59" s="3875" t="s">
        <v>203</v>
      </c>
      <c r="D59" s="3852" t="s">
        <v>473</v>
      </c>
      <c r="E59" s="685" t="s">
        <v>3</v>
      </c>
      <c r="F59" s="1177"/>
      <c r="G59" s="1177">
        <f t="shared" ref="G59:G61" si="19">F594</f>
        <v>8.6499252615844551</v>
      </c>
      <c r="H59" s="665">
        <f>I594</f>
        <v>1946.2331838565024</v>
      </c>
      <c r="I59" s="818" t="s">
        <v>474</v>
      </c>
      <c r="J59" s="666" t="str">
        <f>IF(K59=1,"Annual","Done every "&amp;K59&amp;" years")</f>
        <v>Annual</v>
      </c>
      <c r="K59" s="701">
        <v>1</v>
      </c>
      <c r="L59" s="668">
        <f t="shared" ref="L59:M61" si="20">$L$16/K59</f>
        <v>80</v>
      </c>
      <c r="M59" s="667">
        <f t="shared" si="20"/>
        <v>1</v>
      </c>
      <c r="N59" s="665">
        <f>$H59*(1-(1+$L$15)^-(L59*M59))/((1+$L$15)^M59-1)*(1+((1+$L$15)^M59-1))</f>
        <v>48406.726385931099</v>
      </c>
      <c r="O59" s="680">
        <f t="shared" si="7"/>
        <v>1946.2331838565008</v>
      </c>
      <c r="P59" s="720">
        <f>SUM(O59:O62)</f>
        <v>4858.8475336322826</v>
      </c>
      <c r="Q59" s="3057"/>
      <c r="R59" s="3057"/>
      <c r="S59" s="3057"/>
      <c r="T59" s="1035" t="s">
        <v>808</v>
      </c>
      <c r="U59" s="675">
        <f>O59/$U$16</f>
        <v>19.462331838565007</v>
      </c>
      <c r="V59" s="675">
        <f>IF($T59="L",SUM($U59:U59)*V$16,"")</f>
        <v>5.8386995515695022</v>
      </c>
      <c r="W59" s="675">
        <f>IF($U59="","",IF(OR($T59="L",$T59="T",$T59="C"),SUM($U59:V59)*W$16,""))</f>
        <v>2.530103139013451</v>
      </c>
      <c r="X59" s="675">
        <f>IF($U59="","",SUM($U59:W59)*X$16)</f>
        <v>8.3493403587443868</v>
      </c>
      <c r="Y59" s="679">
        <f t="shared" si="0"/>
        <v>16.718143049327338</v>
      </c>
      <c r="Z59" s="720">
        <f>SUM(V59:X62)</f>
        <v>29.242384753363204</v>
      </c>
      <c r="AA59" s="737">
        <f t="shared" si="1"/>
        <v>36.180474887892345</v>
      </c>
      <c r="AB59" s="678">
        <f>SUM(AA59:AA62)</f>
        <v>77.830860089686041</v>
      </c>
      <c r="AC59" s="1057">
        <f t="shared" ca="1" si="2"/>
        <v>0.46486027324124218</v>
      </c>
      <c r="AD59" s="674"/>
      <c r="AE59" s="1070"/>
      <c r="AF59" s="587">
        <f>AF55+4</f>
        <v>36</v>
      </c>
      <c r="AG59" s="816">
        <f ca="1">SUM(AC59:AC62)-1</f>
        <v>0</v>
      </c>
      <c r="AH59" s="669">
        <f>$AH$16/K59</f>
        <v>5</v>
      </c>
      <c r="AI59" s="669">
        <f>$AH$16/AH59</f>
        <v>1</v>
      </c>
      <c r="AJ59" s="665">
        <f>$H59*(1-(1+$L$15)^-(AH59*AI59))/((1+$L$15)^AI59-1)*(1+((1+$L$15)^AI59-1))</f>
        <v>9010.8557232274361</v>
      </c>
      <c r="AK59" s="984">
        <f>SUM(AJ59:AJ62)</f>
        <v>22495.954991356328</v>
      </c>
    </row>
    <row r="60" spans="1:37" ht="19" customHeight="1">
      <c r="A60" s="676"/>
      <c r="B60" s="1769"/>
      <c r="C60" s="3876"/>
      <c r="D60" s="3853"/>
      <c r="E60" s="685" t="s">
        <v>308</v>
      </c>
      <c r="F60" s="1177">
        <f>$E$580</f>
        <v>1</v>
      </c>
      <c r="G60" s="1177">
        <f t="shared" si="19"/>
        <v>4.3249626307922275</v>
      </c>
      <c r="H60" s="665">
        <f>I595</f>
        <v>1232.6143497757848</v>
      </c>
      <c r="I60" s="818" t="s">
        <v>65</v>
      </c>
      <c r="J60" s="666" t="str">
        <f>IF(K60=1,"Annual","Done every "&amp;K60&amp;" years")</f>
        <v>Annual</v>
      </c>
      <c r="K60" s="701">
        <v>1</v>
      </c>
      <c r="L60" s="668">
        <f t="shared" si="20"/>
        <v>80</v>
      </c>
      <c r="M60" s="667">
        <f t="shared" si="20"/>
        <v>1</v>
      </c>
      <c r="N60" s="665">
        <f>$H60*(1-(1+$L$15)^-(L60*M60))/((1+$L$15)^M60-1)*(1+((1+$L$15)^M60-1))</f>
        <v>30657.593377756366</v>
      </c>
      <c r="O60" s="680">
        <f t="shared" si="7"/>
        <v>1232.6143497757837</v>
      </c>
      <c r="P60" s="720"/>
      <c r="Q60" s="3057">
        <f>1*(1-(1+$L$15)^-(L60*M60))/((1+$L$15)^M60-1)*(1+((1+$L$15)^M60-1))</f>
        <v>24.872007520708362</v>
      </c>
      <c r="R60" s="3057">
        <f>Q60/(1+$L$15)*($L$15)/(1-(1+$L$15)^-$L$16)</f>
        <v>0.99999999999999911</v>
      </c>
      <c r="S60" s="3057">
        <f>F60*R60</f>
        <v>0.99999999999999911</v>
      </c>
      <c r="T60" s="1036" t="s">
        <v>809</v>
      </c>
      <c r="U60" s="675">
        <f>O60/$U$16</f>
        <v>12.326143497757837</v>
      </c>
      <c r="V60" s="682" t="str">
        <f>IF($T60="L",SUM($U60:U60)*V$16,"")</f>
        <v/>
      </c>
      <c r="W60" s="682">
        <f>IF($U60="","",IF(OR($T60="L",$T60="T",$T60="C"),SUM($U60:V60)*W$16,""))</f>
        <v>1.2326143497757838</v>
      </c>
      <c r="X60" s="682">
        <f>IF($U60="","",SUM($U60:W60)*X$16)</f>
        <v>4.067627354260086</v>
      </c>
      <c r="Y60" s="679">
        <f t="shared" si="0"/>
        <v>5.3002417040358694</v>
      </c>
      <c r="Z60" s="720"/>
      <c r="AA60" s="737">
        <f t="shared" si="1"/>
        <v>17.626385201793706</v>
      </c>
      <c r="AB60" s="678"/>
      <c r="AC60" s="1057">
        <f t="shared" ca="1" si="2"/>
        <v>0.22647038952778464</v>
      </c>
      <c r="AD60" s="681"/>
      <c r="AE60" s="1070"/>
      <c r="AF60" s="587">
        <f>AF59</f>
        <v>36</v>
      </c>
      <c r="AG60" s="587"/>
      <c r="AH60" s="669">
        <f>$AH$16/K60</f>
        <v>5</v>
      </c>
      <c r="AI60" s="669">
        <f>$AH$16/AH60</f>
        <v>1</v>
      </c>
      <c r="AJ60" s="665">
        <f>$H60*(1-(1+$L$15)^-(AH60*AI60))/((1+$L$15)^AI60-1)*(1+((1+$L$15)^AI60-1))</f>
        <v>5706.875291377376</v>
      </c>
      <c r="AK60" s="984"/>
    </row>
    <row r="61" spans="1:37" ht="19" customHeight="1">
      <c r="A61" s="676"/>
      <c r="B61" s="1769"/>
      <c r="C61" s="3876"/>
      <c r="D61" s="3853"/>
      <c r="E61" s="685" t="s">
        <v>4</v>
      </c>
      <c r="F61" s="1177"/>
      <c r="G61" s="1177">
        <f t="shared" si="19"/>
        <v>8</v>
      </c>
      <c r="H61" s="665">
        <f>I596</f>
        <v>1680</v>
      </c>
      <c r="I61" s="818" t="s">
        <v>70</v>
      </c>
      <c r="J61" s="666" t="str">
        <f>IF(K61=1,"Annual","Done every "&amp;K61&amp;" years")</f>
        <v>Annual</v>
      </c>
      <c r="K61" s="701">
        <v>1</v>
      </c>
      <c r="L61" s="668">
        <f t="shared" si="20"/>
        <v>80</v>
      </c>
      <c r="M61" s="667">
        <f t="shared" si="20"/>
        <v>1</v>
      </c>
      <c r="N61" s="665">
        <f>$H61*(1-(1+$L$15)^-(L61*M61))/((1+$L$15)^M61-1)*(1+((1+$L$15)^M61-1))</f>
        <v>41784.972634790051</v>
      </c>
      <c r="O61" s="680">
        <f t="shared" si="7"/>
        <v>1679.9999999999986</v>
      </c>
      <c r="P61" s="720"/>
      <c r="Q61" s="3057"/>
      <c r="R61" s="3057"/>
      <c r="S61" s="3057"/>
      <c r="T61" s="1036" t="s">
        <v>810</v>
      </c>
      <c r="U61" s="675">
        <f>O61/$U$16</f>
        <v>16.799999999999986</v>
      </c>
      <c r="V61" s="682" t="str">
        <f>IF($T61="L",SUM($U61:U61)*V$16,"")</f>
        <v/>
      </c>
      <c r="W61" s="682">
        <f>IF($U61="","",IF(OR($T61="L",$T61="T",$T61="C"),SUM($U61:V61)*W$16,""))</f>
        <v>1.6799999999999988</v>
      </c>
      <c r="X61" s="682">
        <f>IF($U61="","",SUM($U61:W61)*X$16)</f>
        <v>5.543999999999996</v>
      </c>
      <c r="Y61" s="679">
        <f t="shared" si="0"/>
        <v>7.2239999999999949</v>
      </c>
      <c r="Z61" s="720"/>
      <c r="AA61" s="737">
        <f t="shared" si="1"/>
        <v>24.02399999999998</v>
      </c>
      <c r="AB61" s="678"/>
      <c r="AC61" s="1057">
        <f t="shared" ca="1" si="2"/>
        <v>0.30866933723097301</v>
      </c>
      <c r="AD61" s="681"/>
      <c r="AE61" s="1070"/>
      <c r="AF61" s="587">
        <f>AF60</f>
        <v>36</v>
      </c>
      <c r="AG61" s="587"/>
      <c r="AH61" s="669">
        <f>$AH$16/K61</f>
        <v>5</v>
      </c>
      <c r="AI61" s="669">
        <f>$AH$16/AH61</f>
        <v>1</v>
      </c>
      <c r="AJ61" s="665">
        <f>$H61*(1-(1+$L$15)^-(AH61*AI61))/((1+$L$15)^AI61-1)*(1+((1+$L$15)^AI61-1))</f>
        <v>7778.2239767515175</v>
      </c>
      <c r="AK61" s="984"/>
    </row>
    <row r="62" spans="1:37" ht="19" customHeight="1">
      <c r="A62" s="676"/>
      <c r="B62" s="1769"/>
      <c r="C62" s="3877"/>
      <c r="D62" s="3854"/>
      <c r="E62" s="685" t="s">
        <v>21</v>
      </c>
      <c r="F62" s="1177"/>
      <c r="G62" s="1177"/>
      <c r="H62" s="665"/>
      <c r="I62" s="818"/>
      <c r="J62" s="666"/>
      <c r="K62" s="701"/>
      <c r="L62" s="668"/>
      <c r="M62" s="667"/>
      <c r="N62" s="665"/>
      <c r="O62" s="703">
        <f t="shared" si="7"/>
        <v>0</v>
      </c>
      <c r="P62" s="718"/>
      <c r="Q62" s="3061"/>
      <c r="R62" s="3061"/>
      <c r="S62" s="3061"/>
      <c r="T62" s="1041" t="s">
        <v>811</v>
      </c>
      <c r="U62" s="704"/>
      <c r="V62" s="704" t="str">
        <f>IF($T62="L",SUM($U62:U62)*V$16,"")</f>
        <v/>
      </c>
      <c r="W62" s="704" t="str">
        <f>IF($U62="","",IF(OR($T62="L",$T62="T",$T62="C"),SUM($U62:V62)*W$16,""))</f>
        <v/>
      </c>
      <c r="X62" s="704" t="str">
        <f>IF($U62="","",SUM($U62:W62)*X$16)</f>
        <v/>
      </c>
      <c r="Y62" s="703" t="str">
        <f t="shared" si="0"/>
        <v/>
      </c>
      <c r="Z62" s="718"/>
      <c r="AA62" s="744" t="str">
        <f t="shared" si="1"/>
        <v/>
      </c>
      <c r="AB62" s="672"/>
      <c r="AC62" s="1058" t="str">
        <f t="shared" ca="1" si="2"/>
        <v/>
      </c>
      <c r="AD62" s="823"/>
      <c r="AE62" s="1070"/>
      <c r="AF62" s="587">
        <f>AF61</f>
        <v>36</v>
      </c>
      <c r="AG62" s="587"/>
      <c r="AH62" s="669"/>
      <c r="AI62" s="669"/>
      <c r="AJ62" s="665"/>
      <c r="AK62" s="883"/>
    </row>
    <row r="63" spans="1:37" ht="19" customHeight="1">
      <c r="A63" s="656"/>
      <c r="B63" s="1770">
        <f>B59+0.1</f>
        <v>5.2999999999999989</v>
      </c>
      <c r="C63" s="3878" t="s">
        <v>203</v>
      </c>
      <c r="D63" s="3863" t="s">
        <v>473</v>
      </c>
      <c r="E63" s="686" t="s">
        <v>3</v>
      </c>
      <c r="F63" s="1178"/>
      <c r="G63" s="1178">
        <f t="shared" ref="G63:G65" si="21">G594</f>
        <v>11.041554559043348</v>
      </c>
      <c r="H63" s="645">
        <f>J594</f>
        <v>2484.3497757847535</v>
      </c>
      <c r="I63" s="820" t="s">
        <v>474</v>
      </c>
      <c r="J63" s="646" t="str">
        <f>IF(K63=1,"Annual","Done every "&amp;K63&amp;" years")</f>
        <v>Annual</v>
      </c>
      <c r="K63" s="705">
        <v>1</v>
      </c>
      <c r="L63" s="648">
        <f t="shared" ref="L63:M65" si="22">$L$16/K63</f>
        <v>80</v>
      </c>
      <c r="M63" s="647">
        <f t="shared" si="22"/>
        <v>1</v>
      </c>
      <c r="N63" s="645">
        <f>$H63*(1-(1+$L$15)^-(L63*M63))/((1+$L$15)^M63-1)*(1+((1+$L$15)^M63-1))</f>
        <v>61790.76630738852</v>
      </c>
      <c r="O63" s="660">
        <f t="shared" si="7"/>
        <v>2484.3497757847513</v>
      </c>
      <c r="P63" s="722">
        <f>SUM(O63:O66)</f>
        <v>6157.7713004484249</v>
      </c>
      <c r="Q63" s="3059"/>
      <c r="R63" s="3059"/>
      <c r="S63" s="3059"/>
      <c r="T63" s="1037" t="s">
        <v>808</v>
      </c>
      <c r="U63" s="655">
        <f>O63/$U$16</f>
        <v>24.843497757847512</v>
      </c>
      <c r="V63" s="655">
        <f>IF($T63="L",SUM($U63:U63)*V$16,"")</f>
        <v>7.4530493273542531</v>
      </c>
      <c r="W63" s="655">
        <f>IF($U63="","",IF(OR($T63="L",$T63="T",$T63="C"),SUM($U63:V63)*W$16,""))</f>
        <v>3.2296547085201768</v>
      </c>
      <c r="X63" s="655">
        <f>IF($U63="","",SUM($U63:W63)*X$16)</f>
        <v>10.657860538116584</v>
      </c>
      <c r="Y63" s="659">
        <f t="shared" si="0"/>
        <v>21.340564573991013</v>
      </c>
      <c r="Z63" s="722">
        <f>SUM(V63:X66)</f>
        <v>37.13627713004481</v>
      </c>
      <c r="AA63" s="740">
        <f t="shared" si="1"/>
        <v>46.184062331838525</v>
      </c>
      <c r="AB63" s="658">
        <f>SUM(AA63:AA66)</f>
        <v>98.71399013452907</v>
      </c>
      <c r="AC63" s="1059">
        <f t="shared" ca="1" si="2"/>
        <v>0.46785731453969309</v>
      </c>
      <c r="AD63" s="654"/>
      <c r="AE63" s="1071"/>
      <c r="AF63" s="587">
        <f>AF59+4</f>
        <v>40</v>
      </c>
      <c r="AG63" s="816">
        <f ca="1">SUM(AC63:AC66)-1</f>
        <v>0</v>
      </c>
      <c r="AH63" s="649">
        <f>$AH$16/K63</f>
        <v>5</v>
      </c>
      <c r="AI63" s="649">
        <f>$AH$16/AH63</f>
        <v>1</v>
      </c>
      <c r="AJ63" s="645">
        <f>$H63*(1-(1+$L$15)^-(AH63*AI63))/((1+$L$15)^AI63-1)*(1+((1+$L$15)^AI63-1))</f>
        <v>11502.279162289422</v>
      </c>
      <c r="AK63" s="932">
        <f>SUM(AJ63:AJ66)</f>
        <v>28509.835936012121</v>
      </c>
    </row>
    <row r="64" spans="1:37" ht="19" customHeight="1">
      <c r="A64" s="656"/>
      <c r="B64" s="1770"/>
      <c r="C64" s="3879"/>
      <c r="D64" s="3864"/>
      <c r="E64" s="686" t="s">
        <v>308</v>
      </c>
      <c r="F64" s="1178">
        <f>$F$580</f>
        <v>1</v>
      </c>
      <c r="G64" s="1178">
        <f t="shared" si="21"/>
        <v>5.5207772795216741</v>
      </c>
      <c r="H64" s="645">
        <f>J595</f>
        <v>1573.4215246636772</v>
      </c>
      <c r="I64" s="820" t="s">
        <v>65</v>
      </c>
      <c r="J64" s="646" t="str">
        <f>IF(K64=1,"Annual","Done every "&amp;K64&amp;" years")</f>
        <v>Annual</v>
      </c>
      <c r="K64" s="705">
        <v>1</v>
      </c>
      <c r="L64" s="648">
        <f t="shared" si="22"/>
        <v>80</v>
      </c>
      <c r="M64" s="647">
        <f t="shared" si="22"/>
        <v>1</v>
      </c>
      <c r="N64" s="645">
        <f>$H64*(1-(1+$L$15)^-(L64*M64))/((1+$L$15)^M64-1)*(1+((1+$L$15)^M64-1))</f>
        <v>39134.1519946794</v>
      </c>
      <c r="O64" s="660">
        <f t="shared" si="7"/>
        <v>1573.4215246636759</v>
      </c>
      <c r="P64" s="722"/>
      <c r="Q64" s="3059">
        <f t="shared" ref="Q64" si="23">1*(1-(1+$L$15)^-(L64*M64))/((1+$L$15)^M64-1)*(1+((1+$L$15)^M64-1))</f>
        <v>24.872007520708362</v>
      </c>
      <c r="R64" s="3059">
        <f t="shared" ref="R64" si="24">Q64/(1+$L$15)*($L$15)/(1-(1+$L$15)^-$L$16)</f>
        <v>0.99999999999999911</v>
      </c>
      <c r="S64" s="3059">
        <f t="shared" ref="S64" si="25">F64*R64</f>
        <v>0.99999999999999911</v>
      </c>
      <c r="T64" s="1038" t="s">
        <v>809</v>
      </c>
      <c r="U64" s="655">
        <f>O64/$U$16</f>
        <v>15.734215246636758</v>
      </c>
      <c r="V64" s="662" t="str">
        <f>IF($T64="L",SUM($U64:U64)*V$16,"")</f>
        <v/>
      </c>
      <c r="W64" s="662">
        <f>IF($U64="","",IF(OR($T64="L",$T64="T",$T64="C"),SUM($U64:V64)*W$16,""))</f>
        <v>1.5734215246636758</v>
      </c>
      <c r="X64" s="662">
        <f>IF($U64="","",SUM($U64:W64)*X$16)</f>
        <v>5.1922910313901296</v>
      </c>
      <c r="Y64" s="659">
        <f t="shared" si="0"/>
        <v>6.7657125560538054</v>
      </c>
      <c r="Z64" s="722"/>
      <c r="AA64" s="740">
        <f t="shared" si="1"/>
        <v>22.499927802690564</v>
      </c>
      <c r="AB64" s="658"/>
      <c r="AC64" s="1059">
        <f t="shared" ca="1" si="2"/>
        <v>0.22793048657061971</v>
      </c>
      <c r="AD64" s="661"/>
      <c r="AE64" s="1071"/>
      <c r="AF64" s="587">
        <f>AF63</f>
        <v>40</v>
      </c>
      <c r="AG64" s="587"/>
      <c r="AH64" s="649">
        <f>$AH$16/K64</f>
        <v>5</v>
      </c>
      <c r="AI64" s="649">
        <f>$AH$16/AH64</f>
        <v>1</v>
      </c>
      <c r="AJ64" s="645">
        <f>$H64*(1-(1+$L$15)^-(AH64*AI64))/((1+$L$15)^AI64-1)*(1+((1+$L$15)^AI64-1))</f>
        <v>7284.7768027832999</v>
      </c>
      <c r="AK64" s="932"/>
    </row>
    <row r="65" spans="1:37" ht="19" customHeight="1">
      <c r="A65" s="656"/>
      <c r="B65" s="1770"/>
      <c r="C65" s="3879"/>
      <c r="D65" s="3864"/>
      <c r="E65" s="686" t="s">
        <v>4</v>
      </c>
      <c r="F65" s="1178"/>
      <c r="G65" s="1178">
        <f t="shared" si="21"/>
        <v>10</v>
      </c>
      <c r="H65" s="645">
        <f>J596</f>
        <v>2100</v>
      </c>
      <c r="I65" s="820" t="s">
        <v>70</v>
      </c>
      <c r="J65" s="646" t="str">
        <f>IF(K65=1,"Annual","Done every "&amp;K65&amp;" years")</f>
        <v>Annual</v>
      </c>
      <c r="K65" s="705">
        <v>1</v>
      </c>
      <c r="L65" s="648">
        <f t="shared" si="22"/>
        <v>80</v>
      </c>
      <c r="M65" s="647">
        <f t="shared" si="22"/>
        <v>1</v>
      </c>
      <c r="N65" s="645">
        <f>$H65*(1-(1+$L$15)^-(L65*M65))/((1+$L$15)^M65-1)*(1+((1+$L$15)^M65-1))</f>
        <v>52231.215793487558</v>
      </c>
      <c r="O65" s="660">
        <f t="shared" si="7"/>
        <v>2099.9999999999982</v>
      </c>
      <c r="P65" s="722"/>
      <c r="Q65" s="3059"/>
      <c r="R65" s="3059"/>
      <c r="S65" s="3059"/>
      <c r="T65" s="1038" t="s">
        <v>810</v>
      </c>
      <c r="U65" s="655">
        <f>O65/$U$16</f>
        <v>20.999999999999982</v>
      </c>
      <c r="V65" s="662" t="str">
        <f>IF($T65="L",SUM($U65:U65)*V$16,"")</f>
        <v/>
      </c>
      <c r="W65" s="662">
        <f>IF($U65="","",IF(OR($T65="L",$T65="T",$T65="C"),SUM($U65:V65)*W$16,""))</f>
        <v>2.0999999999999983</v>
      </c>
      <c r="X65" s="662">
        <f>IF($U65="","",SUM($U65:W65)*X$16)</f>
        <v>6.9299999999999935</v>
      </c>
      <c r="Y65" s="659">
        <f t="shared" si="0"/>
        <v>9.0299999999999923</v>
      </c>
      <c r="Z65" s="722"/>
      <c r="AA65" s="740">
        <f t="shared" si="1"/>
        <v>30.029999999999973</v>
      </c>
      <c r="AB65" s="658"/>
      <c r="AC65" s="1059">
        <f t="shared" ca="1" si="2"/>
        <v>0.30421219888968715</v>
      </c>
      <c r="AD65" s="661"/>
      <c r="AE65" s="1071"/>
      <c r="AF65" s="587">
        <f>AF64</f>
        <v>40</v>
      </c>
      <c r="AG65" s="587"/>
      <c r="AH65" s="649">
        <f>$AH$16/K65</f>
        <v>5</v>
      </c>
      <c r="AI65" s="649">
        <f>$AH$16/AH65</f>
        <v>1</v>
      </c>
      <c r="AJ65" s="645">
        <f>$H65*(1-(1+$L$15)^-(AH65*AI65))/((1+$L$15)^AI65-1)*(1+((1+$L$15)^AI65-1))</f>
        <v>9722.7799709393985</v>
      </c>
      <c r="AK65" s="932"/>
    </row>
    <row r="66" spans="1:37" ht="19" customHeight="1">
      <c r="A66" s="656"/>
      <c r="B66" s="714"/>
      <c r="C66" s="3880"/>
      <c r="D66" s="3865"/>
      <c r="E66" s="686" t="s">
        <v>21</v>
      </c>
      <c r="F66" s="1178"/>
      <c r="G66" s="1178"/>
      <c r="H66" s="645"/>
      <c r="I66" s="820"/>
      <c r="J66" s="646"/>
      <c r="K66" s="705"/>
      <c r="L66" s="648"/>
      <c r="M66" s="647"/>
      <c r="N66" s="645"/>
      <c r="O66" s="707">
        <f t="shared" si="7"/>
        <v>0</v>
      </c>
      <c r="P66" s="719"/>
      <c r="Q66" s="3062"/>
      <c r="R66" s="3062"/>
      <c r="S66" s="3062"/>
      <c r="T66" s="1042" t="s">
        <v>811</v>
      </c>
      <c r="U66" s="708"/>
      <c r="V66" s="708" t="str">
        <f>IF($T66="L",SUM($U66:U66)*V$16,"")</f>
        <v/>
      </c>
      <c r="W66" s="708" t="str">
        <f>IF($U66="","",IF(OR($T66="L",$T66="T",$T66="C"),SUM($U66:V66)*W$16,""))</f>
        <v/>
      </c>
      <c r="X66" s="708" t="str">
        <f>IF($U66="","",SUM($U66:W66)*X$16)</f>
        <v/>
      </c>
      <c r="Y66" s="707" t="str">
        <f t="shared" si="0"/>
        <v/>
      </c>
      <c r="Z66" s="719"/>
      <c r="AA66" s="745" t="str">
        <f t="shared" si="1"/>
        <v/>
      </c>
      <c r="AB66" s="652"/>
      <c r="AC66" s="1060" t="str">
        <f t="shared" ca="1" si="2"/>
        <v/>
      </c>
      <c r="AD66" s="824"/>
      <c r="AE66" s="1071"/>
      <c r="AF66" s="587">
        <f>AF65</f>
        <v>40</v>
      </c>
      <c r="AG66" s="587"/>
      <c r="AH66" s="649"/>
      <c r="AI66" s="649"/>
      <c r="AJ66" s="645"/>
      <c r="AK66" s="884"/>
    </row>
    <row r="67" spans="1:37" ht="19" customHeight="1">
      <c r="B67" s="1771">
        <f>B39+3</f>
        <v>6</v>
      </c>
      <c r="C67" s="862" t="s">
        <v>397</v>
      </c>
      <c r="D67" s="3847" t="s">
        <v>192</v>
      </c>
      <c r="E67" s="12" t="s">
        <v>3</v>
      </c>
      <c r="F67" s="1172"/>
      <c r="G67" s="1172">
        <f>$E$621</f>
        <v>15</v>
      </c>
      <c r="H67" s="188">
        <f>F621</f>
        <v>5062.5</v>
      </c>
      <c r="I67" s="921" t="str">
        <f>G621</f>
        <v>Cost for reporting, analysis and feedback</v>
      </c>
      <c r="J67" s="377" t="str">
        <f>IF(K67=1,"Annual","Done every "&amp;K67&amp;" years")</f>
        <v>Annual</v>
      </c>
      <c r="K67" s="586">
        <f>D609</f>
        <v>1</v>
      </c>
      <c r="L67" s="158">
        <f>$L$16/K67</f>
        <v>80</v>
      </c>
      <c r="M67" s="586">
        <f>$L$16/L67</f>
        <v>1</v>
      </c>
      <c r="N67" s="188">
        <f>$H67*(1-(1+$L$15)^-(L67*M67))/((1+$L$15)^M67-1)*(1+((1+$L$15)^M67-1))</f>
        <v>125914.53807358607</v>
      </c>
      <c r="O67" s="242">
        <f t="shared" si="7"/>
        <v>5062.4999999999955</v>
      </c>
      <c r="P67" s="192">
        <f>SUM(O67:O70)</f>
        <v>5062.4999999999955</v>
      </c>
      <c r="Q67" s="3046"/>
      <c r="R67" s="3046"/>
      <c r="S67" s="3046"/>
      <c r="T67" s="1039" t="s">
        <v>808</v>
      </c>
      <c r="U67" s="583">
        <f>O67/$U$16</f>
        <v>50.624999999999957</v>
      </c>
      <c r="V67" s="583">
        <f>IF($T67="L",SUM($U67:U67)*V$16,"")</f>
        <v>15.187499999999986</v>
      </c>
      <c r="W67" s="1474"/>
      <c r="X67" s="583">
        <f>IF($U67="","",SUM($U67:W67)*X$16)</f>
        <v>19.743749999999981</v>
      </c>
      <c r="Y67" s="240">
        <f t="shared" si="0"/>
        <v>34.931249999999963</v>
      </c>
      <c r="Z67" s="192">
        <f>SUM(V67:X70)</f>
        <v>34.931249999999963</v>
      </c>
      <c r="AA67" s="742">
        <f t="shared" si="1"/>
        <v>85.55624999999992</v>
      </c>
      <c r="AB67" s="192">
        <f>SUM(AA67:AA70)</f>
        <v>85.55624999999992</v>
      </c>
      <c r="AC67" s="1049">
        <f t="shared" ca="1" si="2"/>
        <v>1</v>
      </c>
      <c r="AD67" s="589"/>
      <c r="AE67" s="573"/>
      <c r="AF67" s="587">
        <f>AF63+4</f>
        <v>44</v>
      </c>
      <c r="AG67" s="816">
        <f ca="1">SUM(AC67:AC70)-1</f>
        <v>0</v>
      </c>
      <c r="AH67" s="13">
        <f>$AH$16/K67</f>
        <v>5</v>
      </c>
      <c r="AI67" s="13">
        <f>$AH$16/AH67</f>
        <v>1</v>
      </c>
      <c r="AJ67" s="188">
        <f>$H67*(1-(1+$L$15)^-(AH67*AI67))/((1+$L$15)^AI67-1)*(1+((1+$L$15)^AI67-1))</f>
        <v>23438.844572800335</v>
      </c>
      <c r="AK67" s="191">
        <f>SUM(AJ67:AJ70)</f>
        <v>23438.844572800335</v>
      </c>
    </row>
    <row r="68" spans="1:37" ht="19" customHeight="1">
      <c r="B68" s="261"/>
      <c r="C68" s="863"/>
      <c r="D68" s="3848"/>
      <c r="E68" s="12" t="s">
        <v>308</v>
      </c>
      <c r="F68" s="1172"/>
      <c r="G68" s="1172"/>
      <c r="H68" s="188"/>
      <c r="I68" s="921"/>
      <c r="J68" s="377"/>
      <c r="K68" s="586"/>
      <c r="L68" s="158"/>
      <c r="M68" s="586"/>
      <c r="N68" s="188"/>
      <c r="O68" s="242">
        <f t="shared" si="7"/>
        <v>0</v>
      </c>
      <c r="P68" s="194"/>
      <c r="Q68" s="3047">
        <v>0</v>
      </c>
      <c r="R68" s="3047">
        <v>0</v>
      </c>
      <c r="S68" s="3047">
        <v>0</v>
      </c>
      <c r="T68" s="1034" t="s">
        <v>809</v>
      </c>
      <c r="U68" s="585"/>
      <c r="V68" s="585" t="str">
        <f>IF($T68="L",SUM($U68:U68)*V$16,"")</f>
        <v/>
      </c>
      <c r="W68" s="1475"/>
      <c r="X68" s="585" t="str">
        <f>IF($U68="","",SUM($U68:W68)*X$16)</f>
        <v/>
      </c>
      <c r="Y68" s="242" t="str">
        <f t="shared" si="0"/>
        <v/>
      </c>
      <c r="Z68" s="194"/>
      <c r="AA68" s="733" t="str">
        <f t="shared" si="1"/>
        <v/>
      </c>
      <c r="AB68" s="194"/>
      <c r="AC68" s="1026" t="str">
        <f t="shared" ca="1" si="2"/>
        <v/>
      </c>
      <c r="AD68" s="589"/>
      <c r="AE68" s="1072"/>
      <c r="AF68" s="587">
        <f>AF67</f>
        <v>44</v>
      </c>
      <c r="AG68" s="587"/>
      <c r="AH68" s="13"/>
      <c r="AI68" s="13"/>
      <c r="AJ68" s="209"/>
      <c r="AK68" s="342"/>
    </row>
    <row r="69" spans="1:37" ht="19" customHeight="1">
      <c r="B69" s="261"/>
      <c r="C69" s="863"/>
      <c r="D69" s="3848"/>
      <c r="E69" s="12" t="s">
        <v>4</v>
      </c>
      <c r="F69" s="1172"/>
      <c r="G69" s="1172"/>
      <c r="H69" s="188"/>
      <c r="I69" s="921"/>
      <c r="J69" s="377"/>
      <c r="K69" s="586"/>
      <c r="L69" s="158"/>
      <c r="M69" s="586"/>
      <c r="N69" s="188"/>
      <c r="O69" s="241">
        <f t="shared" si="7"/>
        <v>0</v>
      </c>
      <c r="P69" s="210"/>
      <c r="Q69" s="3047"/>
      <c r="R69" s="3047"/>
      <c r="S69" s="3047"/>
      <c r="T69" s="1034" t="s">
        <v>810</v>
      </c>
      <c r="U69" s="584"/>
      <c r="V69" s="584" t="str">
        <f>IF($T69="L",SUM($U69:U69)*V$16,"")</f>
        <v/>
      </c>
      <c r="W69" s="1476"/>
      <c r="X69" s="584" t="str">
        <f>IF($U69="","",SUM($U69:W69)*X$16)</f>
        <v/>
      </c>
      <c r="Y69" s="611" t="str">
        <f t="shared" si="0"/>
        <v/>
      </c>
      <c r="Z69" s="210"/>
      <c r="AA69" s="746" t="str">
        <f t="shared" si="1"/>
        <v/>
      </c>
      <c r="AB69" s="210"/>
      <c r="AC69" s="1028" t="str">
        <f t="shared" ca="1" si="2"/>
        <v/>
      </c>
      <c r="AD69" s="815"/>
      <c r="AE69" s="1072"/>
      <c r="AF69" s="587">
        <f>AF68</f>
        <v>44</v>
      </c>
      <c r="AG69" s="587"/>
      <c r="AH69" s="13"/>
      <c r="AI69" s="13"/>
      <c r="AJ69" s="188"/>
      <c r="AK69" s="477"/>
    </row>
    <row r="70" spans="1:37" ht="19" customHeight="1" thickBot="1">
      <c r="B70" s="261"/>
      <c r="C70" s="922"/>
      <c r="D70" s="3849"/>
      <c r="E70" s="12" t="s">
        <v>21</v>
      </c>
      <c r="F70" s="1172"/>
      <c r="G70" s="1172"/>
      <c r="H70" s="188"/>
      <c r="I70" s="921"/>
      <c r="J70" s="377"/>
      <c r="K70" s="11"/>
      <c r="L70" s="1046"/>
      <c r="M70" s="1047"/>
      <c r="N70" s="1048"/>
      <c r="O70" s="726">
        <f t="shared" si="7"/>
        <v>0</v>
      </c>
      <c r="P70" s="725"/>
      <c r="Q70" s="3048"/>
      <c r="R70" s="3048"/>
      <c r="S70" s="3048"/>
      <c r="T70" s="1040" t="s">
        <v>811</v>
      </c>
      <c r="U70" s="724"/>
      <c r="V70" s="724" t="str">
        <f>IF($T70="L",SUM($U70:U70)*V$16,"")</f>
        <v/>
      </c>
      <c r="W70" s="1477"/>
      <c r="X70" s="724" t="str">
        <f>IF($U70="","",SUM($U70:W70)*X$16)</f>
        <v/>
      </c>
      <c r="Y70" s="726" t="str">
        <f t="shared" si="0"/>
        <v/>
      </c>
      <c r="Z70" s="725"/>
      <c r="AA70" s="747" t="str">
        <f t="shared" si="1"/>
        <v/>
      </c>
      <c r="AB70" s="725"/>
      <c r="AC70" s="1061" t="str">
        <f t="shared" ca="1" si="2"/>
        <v/>
      </c>
      <c r="AD70" s="1073"/>
      <c r="AE70" s="1074"/>
      <c r="AF70" s="587">
        <f>AF69</f>
        <v>44</v>
      </c>
      <c r="AG70" s="587"/>
      <c r="AH70" s="13"/>
      <c r="AI70" s="13"/>
      <c r="AJ70" s="188"/>
      <c r="AK70" s="478"/>
    </row>
    <row r="71" spans="1:37" ht="19">
      <c r="B71" s="470"/>
      <c r="C71" s="946"/>
      <c r="D71" s="947"/>
      <c r="E71" s="947"/>
      <c r="F71" s="1134"/>
      <c r="G71" s="1134"/>
      <c r="H71" s="255"/>
      <c r="I71" s="1134"/>
      <c r="J71" s="255"/>
      <c r="K71" s="383"/>
      <c r="L71" s="79"/>
      <c r="M71" s="929"/>
      <c r="N71" s="929"/>
      <c r="O71" s="543"/>
      <c r="P71" s="384"/>
      <c r="Q71" s="384"/>
      <c r="R71" s="384"/>
      <c r="S71" s="384"/>
      <c r="T71" s="5"/>
      <c r="U71" s="384"/>
      <c r="V71" s="384"/>
      <c r="W71" s="384"/>
      <c r="X71" s="384"/>
      <c r="Y71" s="384"/>
      <c r="Z71" s="384"/>
      <c r="AA71" s="384"/>
      <c r="AB71" s="384"/>
      <c r="AC71" s="5"/>
      <c r="AD71" s="384"/>
      <c r="AE71" s="543"/>
      <c r="AF71" s="5"/>
      <c r="AG71" s="5"/>
    </row>
    <row r="72" spans="1:37" s="79" customFormat="1" ht="19">
      <c r="B72" s="66"/>
      <c r="C72" s="927"/>
      <c r="D72" s="928"/>
      <c r="E72" s="928"/>
      <c r="F72" s="1135"/>
      <c r="G72" s="1135"/>
      <c r="I72" s="1135"/>
      <c r="K72" s="384"/>
      <c r="M72" s="929"/>
      <c r="N72" s="929"/>
      <c r="O72" s="543"/>
      <c r="P72" s="384"/>
      <c r="Q72" s="384"/>
      <c r="R72" s="384"/>
      <c r="S72" s="384"/>
      <c r="T72" s="948"/>
      <c r="U72" s="384"/>
      <c r="V72" s="384"/>
      <c r="W72" s="384"/>
      <c r="X72" s="384"/>
      <c r="Y72" s="384"/>
      <c r="Z72" s="384"/>
      <c r="AA72" s="384"/>
      <c r="AB72" s="384"/>
      <c r="AC72" s="948"/>
      <c r="AD72" s="384"/>
      <c r="AE72" s="543"/>
      <c r="AF72" s="948"/>
      <c r="AG72" s="948"/>
    </row>
    <row r="73" spans="1:37" ht="19">
      <c r="B73" s="66"/>
      <c r="C73" s="927"/>
      <c r="D73" s="928"/>
      <c r="E73" s="928"/>
      <c r="F73" s="1135"/>
      <c r="G73" s="1135"/>
      <c r="H73" s="79"/>
      <c r="I73" s="1135"/>
      <c r="J73" s="79"/>
      <c r="K73" s="384"/>
      <c r="L73" s="79"/>
      <c r="M73" s="929"/>
      <c r="N73" s="929"/>
      <c r="O73" s="543"/>
      <c r="P73" s="384"/>
      <c r="Q73" s="384"/>
      <c r="R73" s="384"/>
      <c r="S73" s="384"/>
      <c r="T73" s="5"/>
      <c r="U73" s="384"/>
      <c r="V73" s="384"/>
      <c r="W73" s="384"/>
      <c r="X73" s="384"/>
      <c r="Y73" s="384"/>
      <c r="Z73" s="384"/>
      <c r="AA73" s="384"/>
      <c r="AB73" s="384"/>
      <c r="AC73" s="5"/>
      <c r="AD73" s="384"/>
      <c r="AE73" s="543"/>
      <c r="AF73" s="5"/>
      <c r="AG73" s="5"/>
    </row>
    <row r="74" spans="1:37" ht="19">
      <c r="B74" s="66"/>
      <c r="C74" s="927"/>
      <c r="D74" s="928"/>
      <c r="E74" s="928"/>
      <c r="F74" s="1135"/>
      <c r="G74" s="1135"/>
      <c r="H74" s="79"/>
      <c r="I74" s="1135"/>
      <c r="J74" s="79"/>
      <c r="K74" s="384"/>
      <c r="L74" s="79"/>
      <c r="M74" s="929"/>
      <c r="N74" s="929"/>
      <c r="O74" s="543"/>
      <c r="P74" s="384"/>
      <c r="Q74" s="384"/>
      <c r="R74" s="384"/>
      <c r="S74" s="384"/>
      <c r="T74" s="5"/>
      <c r="U74" s="384"/>
      <c r="V74" s="384"/>
      <c r="W74" s="384"/>
      <c r="X74" s="384"/>
      <c r="Y74" s="384"/>
      <c r="Z74" s="384"/>
      <c r="AA74" s="384"/>
      <c r="AB74" s="384"/>
      <c r="AC74" s="5"/>
      <c r="AD74" s="384"/>
      <c r="AE74" s="543"/>
      <c r="AF74" s="5"/>
      <c r="AG74" s="5"/>
    </row>
    <row r="75" spans="1:37" ht="19">
      <c r="B75" s="66"/>
      <c r="C75" s="927"/>
      <c r="D75" s="928"/>
      <c r="E75" s="928"/>
      <c r="F75" s="1135"/>
      <c r="G75" s="1135"/>
      <c r="H75" s="79"/>
      <c r="I75" s="1135"/>
      <c r="J75" s="79"/>
      <c r="K75" s="384"/>
      <c r="L75" s="79"/>
      <c r="M75" s="929"/>
      <c r="N75" s="929"/>
      <c r="O75" s="543"/>
      <c r="P75" s="384"/>
      <c r="Q75" s="384"/>
      <c r="R75" s="384"/>
      <c r="S75" s="384"/>
      <c r="T75" s="5"/>
      <c r="U75" s="384"/>
      <c r="V75" s="384"/>
      <c r="W75" s="384"/>
      <c r="X75" s="384"/>
      <c r="Y75" s="384"/>
      <c r="Z75" s="384"/>
      <c r="AA75" s="384"/>
      <c r="AB75" s="384"/>
      <c r="AC75" s="5"/>
      <c r="AD75" s="384"/>
      <c r="AE75" s="543"/>
      <c r="AF75" s="5"/>
      <c r="AG75" s="5"/>
    </row>
    <row r="76" spans="1:37" ht="19">
      <c r="B76" s="66"/>
      <c r="C76" s="927"/>
      <c r="D76" s="928"/>
      <c r="E76" s="928"/>
      <c r="F76" s="1135"/>
      <c r="G76" s="1135"/>
      <c r="H76" s="79"/>
      <c r="I76" s="1135"/>
      <c r="J76" s="79"/>
      <c r="K76" s="384"/>
      <c r="L76" s="79"/>
      <c r="M76" s="929"/>
      <c r="N76" s="929"/>
      <c r="O76" s="543"/>
      <c r="P76" s="384"/>
      <c r="Q76" s="384"/>
      <c r="R76" s="384"/>
      <c r="S76" s="384"/>
      <c r="T76" s="5"/>
      <c r="U76" s="384"/>
      <c r="V76" s="384"/>
      <c r="W76" s="384"/>
      <c r="X76" s="384"/>
      <c r="Y76" s="384"/>
      <c r="Z76" s="384"/>
      <c r="AA76" s="384"/>
      <c r="AB76" s="384"/>
      <c r="AC76" s="5"/>
      <c r="AD76" s="384"/>
      <c r="AE76" s="543"/>
      <c r="AF76" s="5"/>
      <c r="AG76" s="5"/>
    </row>
    <row r="77" spans="1:37" ht="19">
      <c r="B77" s="66"/>
      <c r="C77" s="927"/>
      <c r="D77" s="928"/>
      <c r="E77" s="928"/>
      <c r="F77" s="1135"/>
      <c r="G77" s="1135"/>
      <c r="H77" s="79"/>
      <c r="I77" s="1135"/>
      <c r="J77" s="79"/>
      <c r="K77" s="384"/>
      <c r="L77" s="79"/>
      <c r="M77" s="929"/>
      <c r="N77" s="929"/>
      <c r="O77" s="543"/>
      <c r="P77" s="384"/>
      <c r="Q77" s="384"/>
      <c r="R77" s="384"/>
      <c r="S77" s="384"/>
      <c r="T77" s="5"/>
      <c r="U77" s="384"/>
      <c r="V77" s="384"/>
      <c r="W77" s="384"/>
      <c r="X77" s="384"/>
      <c r="Y77" s="384"/>
      <c r="Z77" s="384"/>
      <c r="AA77" s="384"/>
      <c r="AB77" s="384"/>
      <c r="AC77" s="5"/>
      <c r="AD77" s="384"/>
      <c r="AE77" s="543"/>
      <c r="AF77" s="5"/>
      <c r="AG77" s="5"/>
    </row>
    <row r="78" spans="1:37" ht="19">
      <c r="B78" s="66"/>
      <c r="C78" s="927"/>
      <c r="D78" s="928"/>
      <c r="E78" s="928"/>
      <c r="F78" s="1135"/>
      <c r="G78" s="1135"/>
      <c r="H78" s="79"/>
      <c r="I78" s="1135"/>
      <c r="J78" s="79"/>
      <c r="K78" s="384"/>
      <c r="L78" s="79"/>
      <c r="M78" s="929"/>
      <c r="N78" s="929"/>
      <c r="O78" s="543"/>
      <c r="P78" s="384"/>
      <c r="Q78" s="384"/>
      <c r="R78" s="384"/>
      <c r="S78" s="384"/>
      <c r="T78" s="5"/>
      <c r="U78" s="384"/>
      <c r="V78" s="384"/>
      <c r="W78" s="384"/>
      <c r="X78" s="384"/>
      <c r="Y78" s="384"/>
      <c r="Z78" s="384"/>
      <c r="AA78" s="384"/>
      <c r="AB78" s="384"/>
      <c r="AC78" s="5"/>
      <c r="AD78" s="384"/>
      <c r="AE78" s="543"/>
      <c r="AF78" s="5"/>
      <c r="AG78" s="5"/>
    </row>
    <row r="79" spans="1:37" ht="19">
      <c r="B79" s="66"/>
      <c r="C79" s="927"/>
      <c r="D79" s="928"/>
      <c r="E79" s="928"/>
      <c r="F79" s="1135"/>
      <c r="G79" s="1135"/>
      <c r="H79" s="79"/>
      <c r="I79" s="1135"/>
      <c r="J79" s="79"/>
      <c r="K79" s="384"/>
      <c r="L79" s="79"/>
      <c r="M79" s="929"/>
      <c r="N79" s="929"/>
      <c r="O79" s="543"/>
      <c r="P79" s="384"/>
      <c r="Q79" s="384"/>
      <c r="R79" s="384"/>
      <c r="S79" s="384"/>
      <c r="T79" s="5"/>
      <c r="U79" s="384"/>
      <c r="V79" s="384"/>
      <c r="W79" s="384"/>
      <c r="X79" s="384"/>
      <c r="Y79" s="384"/>
      <c r="Z79" s="384"/>
      <c r="AA79" s="384"/>
      <c r="AB79" s="384"/>
      <c r="AC79" s="5"/>
      <c r="AD79" s="384"/>
      <c r="AE79" s="543"/>
      <c r="AF79" s="5"/>
      <c r="AG79" s="5"/>
    </row>
    <row r="80" spans="1:37" ht="19">
      <c r="B80" s="66"/>
      <c r="C80" s="927"/>
      <c r="D80" s="928"/>
      <c r="E80" s="928"/>
      <c r="F80" s="1135"/>
      <c r="G80" s="1135"/>
      <c r="H80" s="79"/>
      <c r="I80" s="1135"/>
      <c r="J80" s="79"/>
      <c r="K80" s="384"/>
      <c r="L80" s="79"/>
      <c r="M80" s="929"/>
      <c r="N80" s="929"/>
      <c r="O80" s="543"/>
      <c r="P80" s="384"/>
      <c r="Q80" s="384"/>
      <c r="R80" s="384"/>
      <c r="S80" s="384"/>
      <c r="T80" s="5"/>
      <c r="U80" s="384"/>
      <c r="V80" s="384"/>
      <c r="W80" s="384"/>
      <c r="X80" s="384"/>
      <c r="Y80" s="384"/>
      <c r="Z80" s="384"/>
      <c r="AA80" s="384"/>
      <c r="AB80" s="384"/>
      <c r="AC80" s="5"/>
      <c r="AD80" s="384"/>
      <c r="AE80" s="543"/>
      <c r="AF80" s="5"/>
      <c r="AG80" s="5"/>
    </row>
    <row r="81" spans="2:33" ht="19">
      <c r="B81" s="66"/>
      <c r="C81" s="927"/>
      <c r="D81" s="928"/>
      <c r="E81" s="928"/>
      <c r="F81" s="1135"/>
      <c r="G81" s="1135"/>
      <c r="H81" s="79"/>
      <c r="I81" s="1135"/>
      <c r="J81" s="79"/>
      <c r="K81" s="384"/>
      <c r="L81" s="79"/>
      <c r="M81" s="929"/>
      <c r="N81" s="929"/>
      <c r="O81" s="543"/>
      <c r="P81" s="384"/>
      <c r="Q81" s="384"/>
      <c r="R81" s="384"/>
      <c r="S81" s="384"/>
      <c r="T81" s="5"/>
      <c r="U81" s="384"/>
      <c r="V81" s="384"/>
      <c r="W81" s="384"/>
      <c r="X81" s="384"/>
      <c r="Y81" s="384"/>
      <c r="Z81" s="384"/>
      <c r="AA81" s="384"/>
      <c r="AB81" s="384"/>
      <c r="AC81" s="5"/>
      <c r="AD81" s="384"/>
      <c r="AE81" s="543"/>
      <c r="AF81" s="5"/>
      <c r="AG81" s="5"/>
    </row>
    <row r="82" spans="2:33" ht="19">
      <c r="B82" s="66"/>
      <c r="C82" s="927"/>
      <c r="D82" s="928"/>
      <c r="E82" s="928"/>
      <c r="F82" s="1135"/>
      <c r="G82" s="1135"/>
      <c r="H82" s="79"/>
      <c r="I82" s="1135"/>
      <c r="J82" s="79"/>
      <c r="K82" s="384"/>
      <c r="L82" s="79"/>
      <c r="M82" s="929"/>
      <c r="N82" s="929"/>
      <c r="O82" s="543"/>
      <c r="P82" s="384"/>
      <c r="Q82" s="384"/>
      <c r="R82" s="384"/>
      <c r="S82" s="384"/>
      <c r="T82" s="5"/>
      <c r="U82" s="384"/>
      <c r="V82" s="384"/>
      <c r="W82" s="384"/>
      <c r="X82" s="384"/>
      <c r="Y82" s="384"/>
      <c r="Z82" s="384"/>
      <c r="AA82" s="384"/>
      <c r="AB82" s="384"/>
      <c r="AC82" s="5"/>
      <c r="AD82" s="384"/>
      <c r="AE82" s="543"/>
      <c r="AF82" s="5"/>
      <c r="AG82" s="5"/>
    </row>
    <row r="83" spans="2:33" ht="19">
      <c r="B83" s="66"/>
      <c r="C83" s="927"/>
      <c r="D83" s="928"/>
      <c r="E83" s="928"/>
      <c r="F83" s="1135"/>
      <c r="G83" s="1135"/>
      <c r="H83" s="79"/>
      <c r="I83" s="1135"/>
      <c r="J83" s="79"/>
      <c r="K83" s="384"/>
      <c r="L83" s="79"/>
      <c r="M83" s="929"/>
      <c r="N83" s="929"/>
      <c r="O83" s="543"/>
      <c r="P83" s="384"/>
      <c r="Q83" s="384"/>
      <c r="R83" s="384"/>
      <c r="S83" s="384"/>
      <c r="T83" s="5"/>
      <c r="U83" s="384"/>
      <c r="V83" s="384"/>
      <c r="W83" s="384"/>
      <c r="X83" s="384"/>
      <c r="Y83" s="384"/>
      <c r="Z83" s="384"/>
      <c r="AA83" s="384"/>
      <c r="AB83" s="384"/>
      <c r="AC83" s="5"/>
      <c r="AD83" s="384"/>
      <c r="AE83" s="543"/>
      <c r="AF83" s="5"/>
      <c r="AG83" s="5"/>
    </row>
    <row r="84" spans="2:33" ht="19">
      <c r="B84" s="66"/>
      <c r="C84" s="927"/>
      <c r="D84" s="928"/>
      <c r="E84" s="928"/>
      <c r="F84" s="1135"/>
      <c r="G84" s="1135"/>
      <c r="H84" s="79"/>
      <c r="I84" s="1135"/>
      <c r="J84" s="79"/>
      <c r="K84" s="384"/>
      <c r="L84" s="79"/>
      <c r="M84" s="929"/>
      <c r="N84" s="929"/>
      <c r="O84" s="543"/>
      <c r="P84" s="384"/>
      <c r="Q84" s="384"/>
      <c r="R84" s="384"/>
      <c r="S84" s="384"/>
      <c r="T84" s="5"/>
      <c r="U84" s="384"/>
      <c r="V84" s="384"/>
      <c r="W84" s="384"/>
      <c r="X84" s="384"/>
      <c r="Y84" s="384"/>
      <c r="Z84" s="384"/>
      <c r="AA84" s="384"/>
      <c r="AB84" s="384"/>
      <c r="AC84" s="5"/>
      <c r="AD84" s="384"/>
      <c r="AE84" s="543"/>
      <c r="AF84" s="5"/>
      <c r="AG84" s="5"/>
    </row>
    <row r="85" spans="2:33" ht="19">
      <c r="B85" s="66"/>
      <c r="C85" s="927"/>
      <c r="D85" s="928"/>
      <c r="E85" s="928"/>
      <c r="F85" s="1135"/>
      <c r="G85" s="1135"/>
      <c r="H85" s="79"/>
      <c r="I85" s="1135"/>
      <c r="J85" s="79"/>
      <c r="K85" s="384"/>
      <c r="L85" s="79"/>
      <c r="M85" s="929"/>
      <c r="N85" s="929"/>
      <c r="O85" s="543"/>
      <c r="P85" s="384"/>
      <c r="Q85" s="384"/>
      <c r="R85" s="384"/>
      <c r="S85" s="384"/>
      <c r="T85" s="5"/>
      <c r="U85" s="384"/>
      <c r="V85" s="384"/>
      <c r="W85" s="384"/>
      <c r="X85" s="384"/>
      <c r="Y85" s="384"/>
      <c r="Z85" s="384"/>
      <c r="AA85" s="384"/>
      <c r="AB85" s="384"/>
      <c r="AC85" s="5"/>
      <c r="AD85" s="384"/>
      <c r="AE85" s="543"/>
      <c r="AF85" s="5"/>
      <c r="AG85" s="5"/>
    </row>
    <row r="86" spans="2:33" ht="19">
      <c r="B86" s="66"/>
      <c r="C86" s="927"/>
      <c r="D86" s="928"/>
      <c r="E86" s="928"/>
      <c r="F86" s="1135"/>
      <c r="G86" s="1135"/>
      <c r="H86" s="79"/>
      <c r="I86" s="1135"/>
      <c r="J86" s="79"/>
      <c r="K86" s="384"/>
      <c r="L86" s="79"/>
      <c r="M86" s="929"/>
      <c r="N86" s="929"/>
      <c r="O86" s="543"/>
      <c r="P86" s="384"/>
      <c r="Q86" s="384"/>
      <c r="R86" s="384"/>
      <c r="S86" s="384"/>
      <c r="T86" s="5"/>
      <c r="U86" s="384"/>
      <c r="V86" s="384"/>
      <c r="W86" s="384"/>
      <c r="X86" s="384"/>
      <c r="Y86" s="384"/>
      <c r="Z86" s="384"/>
      <c r="AA86" s="384"/>
      <c r="AB86" s="384"/>
      <c r="AC86" s="5"/>
      <c r="AD86" s="384"/>
      <c r="AE86" s="543"/>
      <c r="AF86" s="5"/>
      <c r="AG86" s="5"/>
    </row>
    <row r="87" spans="2:33" ht="19">
      <c r="B87" s="66"/>
      <c r="C87" s="927"/>
      <c r="D87" s="928"/>
      <c r="E87" s="928"/>
      <c r="F87" s="1135"/>
      <c r="G87" s="1135"/>
      <c r="H87" s="79"/>
      <c r="I87" s="1135"/>
      <c r="J87" s="79"/>
      <c r="K87" s="384"/>
      <c r="L87" s="79"/>
      <c r="M87" s="929"/>
      <c r="N87" s="929"/>
      <c r="O87" s="543"/>
      <c r="P87" s="384"/>
      <c r="Q87" s="384"/>
      <c r="R87" s="384"/>
      <c r="S87" s="384"/>
      <c r="T87" s="5"/>
      <c r="U87" s="384"/>
      <c r="V87" s="384"/>
      <c r="W87" s="384"/>
      <c r="X87" s="384"/>
      <c r="Y87" s="384"/>
      <c r="Z87" s="384"/>
      <c r="AA87" s="384"/>
      <c r="AB87" s="384"/>
      <c r="AC87" s="5"/>
      <c r="AD87" s="384"/>
      <c r="AE87" s="543"/>
      <c r="AF87" s="5"/>
      <c r="AG87" s="5"/>
    </row>
    <row r="88" spans="2:33" ht="19">
      <c r="B88" s="66"/>
      <c r="C88" s="927"/>
      <c r="D88" s="928"/>
      <c r="E88" s="928"/>
      <c r="F88" s="1135"/>
      <c r="G88" s="1135"/>
      <c r="H88" s="79"/>
      <c r="I88" s="1135"/>
      <c r="J88" s="79"/>
      <c r="K88" s="384"/>
      <c r="L88" s="79"/>
      <c r="M88" s="929"/>
      <c r="N88" s="929"/>
      <c r="O88" s="543"/>
      <c r="P88" s="384"/>
      <c r="Q88" s="384"/>
      <c r="R88" s="384"/>
      <c r="S88" s="384"/>
      <c r="T88" s="5"/>
      <c r="U88" s="384"/>
      <c r="V88" s="384"/>
      <c r="W88" s="384"/>
      <c r="X88" s="384"/>
      <c r="Y88" s="384"/>
      <c r="Z88" s="384"/>
      <c r="AA88" s="384"/>
      <c r="AB88" s="384"/>
      <c r="AC88" s="5"/>
      <c r="AD88" s="384"/>
      <c r="AE88" s="543"/>
      <c r="AF88" s="5"/>
      <c r="AG88" s="5"/>
    </row>
    <row r="89" spans="2:33" ht="19">
      <c r="B89" s="66"/>
      <c r="C89" s="927"/>
      <c r="D89" s="928"/>
      <c r="E89" s="928"/>
      <c r="F89" s="1135"/>
      <c r="G89" s="1135"/>
      <c r="H89" s="79"/>
      <c r="I89" s="1135"/>
      <c r="J89" s="79"/>
      <c r="K89" s="384"/>
      <c r="L89" s="79"/>
      <c r="M89" s="929"/>
      <c r="N89" s="929"/>
      <c r="O89" s="543"/>
      <c r="P89" s="384"/>
      <c r="Q89" s="384"/>
      <c r="R89" s="384"/>
      <c r="S89" s="384"/>
      <c r="T89" s="5"/>
      <c r="U89" s="384"/>
      <c r="V89" s="384"/>
      <c r="W89" s="384"/>
      <c r="X89" s="384"/>
      <c r="Y89" s="384"/>
      <c r="Z89" s="384"/>
      <c r="AA89" s="384"/>
      <c r="AB89" s="384"/>
      <c r="AC89" s="5"/>
      <c r="AD89" s="384"/>
      <c r="AE89" s="543"/>
      <c r="AF89" s="5"/>
      <c r="AG89" s="5"/>
    </row>
    <row r="90" spans="2:33" ht="19">
      <c r="B90" s="66"/>
      <c r="C90" s="927"/>
      <c r="D90" s="928"/>
      <c r="E90" s="928"/>
      <c r="F90" s="1135"/>
      <c r="G90" s="1135"/>
      <c r="H90" s="79"/>
      <c r="I90" s="1135"/>
      <c r="J90" s="79"/>
      <c r="K90" s="384"/>
      <c r="L90" s="79"/>
      <c r="M90" s="929"/>
      <c r="N90" s="929"/>
      <c r="O90" s="543"/>
      <c r="P90" s="384"/>
      <c r="Q90" s="384"/>
      <c r="R90" s="384"/>
      <c r="S90" s="384"/>
      <c r="T90" s="5"/>
      <c r="U90" s="384"/>
      <c r="V90" s="384"/>
      <c r="W90" s="384"/>
      <c r="X90" s="384"/>
      <c r="Y90" s="384"/>
      <c r="Z90" s="384"/>
      <c r="AA90" s="384"/>
      <c r="AB90" s="384"/>
      <c r="AC90" s="5"/>
      <c r="AD90" s="384"/>
      <c r="AE90" s="543"/>
      <c r="AF90" s="5"/>
      <c r="AG90" s="5"/>
    </row>
    <row r="91" spans="2:33" ht="19">
      <c r="B91" s="66"/>
      <c r="C91" s="927"/>
      <c r="D91" s="928"/>
      <c r="E91" s="928"/>
      <c r="F91" s="1135"/>
      <c r="G91" s="1135"/>
      <c r="H91" s="79"/>
      <c r="I91" s="1135"/>
      <c r="J91" s="79"/>
      <c r="K91" s="384"/>
      <c r="L91" s="79"/>
      <c r="M91" s="929"/>
      <c r="N91" s="929"/>
      <c r="O91" s="543"/>
      <c r="P91" s="384"/>
      <c r="Q91" s="384"/>
      <c r="R91" s="384"/>
      <c r="S91" s="384"/>
      <c r="T91" s="5"/>
      <c r="U91" s="384"/>
      <c r="V91" s="384"/>
      <c r="W91" s="384"/>
      <c r="X91" s="384"/>
      <c r="Y91" s="384"/>
      <c r="Z91" s="384"/>
      <c r="AA91" s="384"/>
      <c r="AB91" s="384"/>
      <c r="AC91" s="5"/>
      <c r="AD91" s="384"/>
      <c r="AE91" s="543"/>
      <c r="AF91" s="5"/>
      <c r="AG91" s="5"/>
    </row>
    <row r="92" spans="2:33" ht="19">
      <c r="B92" s="66"/>
      <c r="C92" s="927"/>
      <c r="D92" s="928"/>
      <c r="E92" s="928"/>
      <c r="F92" s="1135"/>
      <c r="G92" s="1135"/>
      <c r="H92" s="79"/>
      <c r="I92" s="1135"/>
      <c r="J92" s="79"/>
      <c r="K92" s="384"/>
      <c r="L92" s="79"/>
      <c r="M92" s="929"/>
      <c r="N92" s="929"/>
      <c r="O92" s="543"/>
      <c r="P92" s="384"/>
      <c r="Q92" s="384"/>
      <c r="R92" s="384"/>
      <c r="S92" s="384"/>
      <c r="T92" s="5"/>
      <c r="U92" s="384"/>
      <c r="V92" s="384"/>
      <c r="W92" s="384"/>
      <c r="X92" s="384"/>
      <c r="Y92" s="384"/>
      <c r="Z92" s="384"/>
      <c r="AA92" s="384"/>
      <c r="AB92" s="384"/>
      <c r="AC92" s="5"/>
      <c r="AD92" s="384"/>
      <c r="AE92" s="543"/>
      <c r="AF92" s="5"/>
      <c r="AG92" s="5"/>
    </row>
    <row r="93" spans="2:33" ht="19">
      <c r="B93" s="66"/>
      <c r="C93" s="927"/>
      <c r="D93" s="928"/>
      <c r="E93" s="928"/>
      <c r="F93" s="1135"/>
      <c r="G93" s="1135"/>
      <c r="H93" s="79"/>
      <c r="I93" s="1135"/>
      <c r="J93" s="79"/>
      <c r="K93" s="384"/>
      <c r="L93" s="79"/>
      <c r="M93" s="929"/>
      <c r="N93" s="929"/>
      <c r="O93" s="543"/>
      <c r="P93" s="384"/>
      <c r="Q93" s="384"/>
      <c r="R93" s="384"/>
      <c r="S93" s="384"/>
      <c r="T93" s="5"/>
      <c r="U93" s="384"/>
      <c r="V93" s="384"/>
      <c r="W93" s="384"/>
      <c r="X93" s="384"/>
      <c r="Y93" s="384"/>
      <c r="Z93" s="384"/>
      <c r="AA93" s="384"/>
      <c r="AB93" s="384"/>
      <c r="AC93" s="5"/>
      <c r="AD93" s="384"/>
      <c r="AE93" s="543"/>
      <c r="AF93" s="5"/>
      <c r="AG93" s="5"/>
    </row>
    <row r="94" spans="2:33" ht="19">
      <c r="B94" s="66"/>
      <c r="C94" s="927"/>
      <c r="D94" s="928"/>
      <c r="E94" s="928"/>
      <c r="F94" s="1135"/>
      <c r="G94" s="1135"/>
      <c r="H94" s="79"/>
      <c r="I94" s="1135"/>
      <c r="J94" s="79"/>
      <c r="K94" s="384"/>
      <c r="L94" s="79"/>
      <c r="M94" s="929"/>
      <c r="N94" s="929"/>
      <c r="O94" s="543"/>
      <c r="P94" s="384"/>
      <c r="Q94" s="384"/>
      <c r="R94" s="384"/>
      <c r="S94" s="384"/>
      <c r="T94" s="5"/>
      <c r="U94" s="384"/>
      <c r="V94" s="384"/>
      <c r="W94" s="384"/>
      <c r="X94" s="384"/>
      <c r="Y94" s="384"/>
      <c r="Z94" s="384"/>
      <c r="AA94" s="384"/>
      <c r="AB94" s="384"/>
      <c r="AC94" s="5"/>
      <c r="AD94" s="384"/>
      <c r="AE94" s="543"/>
      <c r="AF94" s="5"/>
      <c r="AG94" s="5"/>
    </row>
    <row r="95" spans="2:33" ht="19">
      <c r="B95" s="66"/>
      <c r="C95" s="927"/>
      <c r="D95" s="928"/>
      <c r="E95" s="928"/>
      <c r="F95" s="1135"/>
      <c r="G95" s="1135"/>
      <c r="H95" s="79"/>
      <c r="I95" s="1135"/>
      <c r="J95" s="79"/>
      <c r="K95" s="384"/>
      <c r="L95" s="79"/>
      <c r="M95" s="929"/>
      <c r="N95" s="929"/>
      <c r="O95" s="543"/>
      <c r="P95" s="384"/>
      <c r="Q95" s="384"/>
      <c r="R95" s="384"/>
      <c r="S95" s="384"/>
      <c r="T95" s="5"/>
      <c r="U95" s="384"/>
      <c r="V95" s="384"/>
      <c r="W95" s="384"/>
      <c r="X95" s="384"/>
      <c r="Y95" s="384"/>
      <c r="Z95" s="384"/>
      <c r="AA95" s="384"/>
      <c r="AB95" s="384"/>
      <c r="AC95" s="5"/>
      <c r="AD95" s="384"/>
      <c r="AE95" s="543"/>
      <c r="AF95" s="5"/>
      <c r="AG95" s="5"/>
    </row>
    <row r="96" spans="2:33" ht="19">
      <c r="B96" s="66"/>
      <c r="C96" s="927"/>
      <c r="D96" s="928"/>
      <c r="E96" s="928"/>
      <c r="F96" s="1135"/>
      <c r="G96" s="1135"/>
      <c r="H96" s="79"/>
      <c r="I96" s="1135"/>
      <c r="J96" s="79"/>
      <c r="K96" s="384"/>
      <c r="L96" s="79"/>
      <c r="M96" s="929"/>
      <c r="N96" s="929"/>
      <c r="O96" s="543"/>
      <c r="P96" s="384"/>
      <c r="Q96" s="384"/>
      <c r="R96" s="384"/>
      <c r="S96" s="384"/>
      <c r="T96" s="5"/>
      <c r="U96" s="384"/>
      <c r="V96" s="384"/>
      <c r="W96" s="384"/>
      <c r="X96" s="384"/>
      <c r="Y96" s="384"/>
      <c r="Z96" s="384"/>
      <c r="AA96" s="384"/>
      <c r="AB96" s="384"/>
      <c r="AC96" s="5"/>
      <c r="AD96" s="384"/>
      <c r="AE96" s="543"/>
      <c r="AF96" s="5"/>
      <c r="AG96" s="5"/>
    </row>
    <row r="97" spans="2:36" ht="19">
      <c r="B97" s="66"/>
      <c r="C97" s="927"/>
      <c r="D97" s="928"/>
      <c r="E97" s="928"/>
      <c r="F97" s="1135"/>
      <c r="G97" s="1135"/>
      <c r="H97" s="79"/>
      <c r="I97" s="1135"/>
      <c r="J97" s="79"/>
      <c r="K97" s="384"/>
      <c r="L97" s="79"/>
      <c r="M97" s="929"/>
      <c r="N97" s="929"/>
      <c r="O97" s="543"/>
      <c r="P97" s="384"/>
      <c r="Q97" s="384"/>
      <c r="R97" s="384"/>
      <c r="S97" s="384"/>
      <c r="T97" s="5"/>
      <c r="U97" s="384"/>
      <c r="V97" s="384"/>
      <c r="W97" s="384"/>
      <c r="X97" s="384"/>
      <c r="Y97" s="384"/>
      <c r="Z97" s="384"/>
      <c r="AA97" s="384"/>
      <c r="AB97" s="384"/>
      <c r="AC97" s="5"/>
      <c r="AD97" s="384"/>
      <c r="AE97" s="543"/>
      <c r="AF97" s="5"/>
      <c r="AG97" s="5"/>
    </row>
    <row r="98" spans="2:36" ht="19">
      <c r="B98" s="66"/>
      <c r="C98" s="927"/>
      <c r="D98" s="928"/>
      <c r="E98" s="928"/>
      <c r="F98" s="1135"/>
      <c r="G98" s="1135"/>
      <c r="H98" s="79"/>
      <c r="I98" s="1135"/>
      <c r="J98" s="79"/>
      <c r="K98" s="384"/>
      <c r="L98" s="79"/>
      <c r="M98" s="929"/>
      <c r="N98" s="929"/>
      <c r="O98" s="543"/>
      <c r="P98" s="384"/>
      <c r="Q98" s="384"/>
      <c r="R98" s="384"/>
      <c r="S98" s="384"/>
      <c r="T98" s="5"/>
      <c r="U98" s="384"/>
      <c r="V98" s="384"/>
      <c r="W98" s="384"/>
      <c r="X98" s="384"/>
      <c r="Y98" s="384"/>
      <c r="Z98" s="384"/>
      <c r="AA98" s="384"/>
      <c r="AB98" s="384"/>
      <c r="AC98" s="5"/>
      <c r="AD98" s="384"/>
      <c r="AE98" s="543"/>
      <c r="AF98" s="5"/>
      <c r="AG98" s="5"/>
    </row>
    <row r="99" spans="2:36" ht="19">
      <c r="B99" s="66"/>
      <c r="C99" s="927"/>
      <c r="D99" s="928"/>
      <c r="E99" s="928"/>
      <c r="F99" s="1135"/>
      <c r="G99" s="1135"/>
      <c r="H99" s="79"/>
      <c r="I99" s="1135"/>
      <c r="J99" s="79"/>
      <c r="K99" s="384"/>
      <c r="L99" s="79"/>
      <c r="M99" s="929"/>
      <c r="N99" s="929"/>
      <c r="O99" s="543"/>
      <c r="P99" s="384"/>
      <c r="Q99" s="384"/>
      <c r="R99" s="384"/>
      <c r="S99" s="384"/>
      <c r="T99" s="5"/>
      <c r="U99" s="384"/>
      <c r="V99" s="384"/>
      <c r="W99" s="384"/>
      <c r="X99" s="384"/>
      <c r="Y99" s="384"/>
      <c r="Z99" s="384"/>
      <c r="AA99" s="384"/>
      <c r="AB99" s="384"/>
      <c r="AC99" s="5"/>
      <c r="AD99" s="384"/>
      <c r="AE99" s="543"/>
      <c r="AF99" s="5"/>
      <c r="AG99" s="5"/>
    </row>
    <row r="100" spans="2:36" s="7" customFormat="1">
      <c r="D100" s="35"/>
      <c r="E100" s="36"/>
      <c r="G100" s="1089"/>
      <c r="AI100"/>
      <c r="AJ100"/>
    </row>
    <row r="102" spans="2:36">
      <c r="C102" s="8" t="s">
        <v>57</v>
      </c>
    </row>
    <row r="103" spans="2:36">
      <c r="D103" s="16" t="s">
        <v>1055</v>
      </c>
    </row>
    <row r="104" spans="2:36">
      <c r="D104" s="38" t="s">
        <v>91</v>
      </c>
      <c r="E104" s="39"/>
      <c r="F104" s="24"/>
    </row>
    <row r="105" spans="2:36">
      <c r="D105" s="402" t="s">
        <v>237</v>
      </c>
      <c r="E105" s="161"/>
    </row>
    <row r="106" spans="2:36">
      <c r="D106" s="404">
        <f>'Overall Assumptions'!$C$6</f>
        <v>100</v>
      </c>
      <c r="E106" s="452" t="s">
        <v>80</v>
      </c>
    </row>
    <row r="107" spans="2:36">
      <c r="D107" s="332">
        <f>'Overall Assumptions'!$C$115</f>
        <v>3</v>
      </c>
      <c r="E107" s="131" t="str">
        <f>'Overall Assumptions'!$D$115</f>
        <v>weeks</v>
      </c>
    </row>
    <row r="108" spans="2:36">
      <c r="C108" s="24"/>
      <c r="D108" s="332">
        <f>'Overall Assumptions'!$C$116</f>
        <v>15</v>
      </c>
      <c r="E108" s="131" t="str">
        <f>'Overall Assumptions'!$D$116</f>
        <v>days</v>
      </c>
    </row>
    <row r="109" spans="2:36">
      <c r="C109" s="24"/>
      <c r="D109" s="332"/>
      <c r="E109" s="43"/>
    </row>
    <row r="110" spans="2:36">
      <c r="C110" s="24"/>
      <c r="D110" s="268">
        <v>1</v>
      </c>
      <c r="E110" s="43" t="s">
        <v>245</v>
      </c>
    </row>
    <row r="111" spans="2:36">
      <c r="C111" s="24"/>
      <c r="D111" s="332"/>
      <c r="E111" s="43"/>
    </row>
    <row r="112" spans="2:36">
      <c r="C112" s="24"/>
      <c r="D112" s="332"/>
      <c r="E112" s="43"/>
    </row>
    <row r="113" spans="3:36">
      <c r="C113" s="24"/>
      <c r="D113" s="332" t="str">
        <f>'Overall Assumptions'!$D$76</f>
        <v>Daily rate (AUD) for labour assuming 7.5 hours/day</v>
      </c>
      <c r="E113" s="246"/>
    </row>
    <row r="114" spans="3:36">
      <c r="D114" s="614">
        <f>'Overall Assumptions'!$C$68</f>
        <v>225</v>
      </c>
      <c r="E114" s="246" t="str">
        <f>'Overall Assumptions'!$B$67</f>
        <v>Labour 1- APS Low (Entry lvl)</v>
      </c>
    </row>
    <row r="115" spans="3:36">
      <c r="D115" s="399">
        <f>'Overall Assumptions'!$C$72</f>
        <v>337.5</v>
      </c>
      <c r="E115" s="530" t="str">
        <f>'Overall Assumptions'!$B$71</f>
        <v>Labour 2 - APS High (Experienced)</v>
      </c>
    </row>
    <row r="116" spans="3:36">
      <c r="D116" s="112">
        <f>'Overall Assumptions'!$C$76</f>
        <v>487.5</v>
      </c>
      <c r="E116" s="45" t="str">
        <f>'Overall Assumptions'!$B$75</f>
        <v>Labour 3 - EL (Management)</v>
      </c>
    </row>
    <row r="117" spans="3:36">
      <c r="D117" s="33"/>
    </row>
    <row r="118" spans="3:36">
      <c r="D118" s="33"/>
      <c r="E118" s="16" t="s">
        <v>155</v>
      </c>
      <c r="F118" t="s">
        <v>166</v>
      </c>
      <c r="G118" s="359" t="s">
        <v>69</v>
      </c>
    </row>
    <row r="119" spans="3:36">
      <c r="D119" t="s">
        <v>3</v>
      </c>
      <c r="E119" s="620">
        <f>D108</f>
        <v>15</v>
      </c>
      <c r="F119" s="123">
        <f>D108*D115</f>
        <v>5062.5</v>
      </c>
      <c r="G119" s="99" t="s">
        <v>162</v>
      </c>
    </row>
    <row r="121" spans="3:36" s="7" customFormat="1">
      <c r="D121" s="35"/>
      <c r="E121" s="36"/>
      <c r="G121" s="1089"/>
      <c r="AI121"/>
      <c r="AJ121"/>
    </row>
    <row r="122" spans="3:36">
      <c r="C122" s="8" t="s">
        <v>58</v>
      </c>
      <c r="D122" s="16" t="s">
        <v>163</v>
      </c>
    </row>
    <row r="123" spans="3:36">
      <c r="D123" t="s">
        <v>168</v>
      </c>
    </row>
    <row r="124" spans="3:36">
      <c r="D124" t="s">
        <v>401</v>
      </c>
      <c r="E124"/>
    </row>
    <row r="125" spans="3:36">
      <c r="D125"/>
      <c r="E125"/>
    </row>
    <row r="126" spans="3:36">
      <c r="D126" s="455" t="s">
        <v>873</v>
      </c>
      <c r="E126"/>
    </row>
    <row r="127" spans="3:36" ht="17">
      <c r="D127" s="456" t="s">
        <v>874</v>
      </c>
      <c r="E127"/>
    </row>
    <row r="128" spans="3:36">
      <c r="D128" s="455" t="s">
        <v>442</v>
      </c>
      <c r="E128"/>
    </row>
    <row r="129" spans="4:5" ht="17">
      <c r="D129" s="457" t="s">
        <v>448</v>
      </c>
      <c r="E129"/>
    </row>
    <row r="130" spans="4:5">
      <c r="D130" s="455" t="s">
        <v>443</v>
      </c>
      <c r="E130"/>
    </row>
    <row r="131" spans="4:5" ht="17">
      <c r="D131" s="457" t="s">
        <v>903</v>
      </c>
      <c r="E131"/>
    </row>
    <row r="132" spans="4:5">
      <c r="E132"/>
    </row>
    <row r="133" spans="4:5">
      <c r="D133" s="868" t="s">
        <v>904</v>
      </c>
      <c r="E133"/>
    </row>
    <row r="134" spans="4:5" ht="17">
      <c r="D134" s="456" t="s">
        <v>444</v>
      </c>
      <c r="E134"/>
    </row>
    <row r="135" spans="4:5">
      <c r="D135"/>
      <c r="E135"/>
    </row>
    <row r="136" spans="4:5">
      <c r="D136"/>
      <c r="E136"/>
    </row>
    <row r="137" spans="4:5">
      <c r="D137" s="592" t="s">
        <v>179</v>
      </c>
      <c r="E137" s="274"/>
    </row>
    <row r="138" spans="4:5">
      <c r="D138" s="974">
        <f>'Overall Assumptions'!$C$6</f>
        <v>100</v>
      </c>
      <c r="E138" s="246" t="s">
        <v>451</v>
      </c>
    </row>
    <row r="139" spans="4:5">
      <c r="D139" s="408">
        <f>'Overall Assumptions'!$C$120</f>
        <v>0.3</v>
      </c>
      <c r="E139" s="483" t="str">
        <f>'Overall Assumptions'!$D$120</f>
        <v>Percentage of field that needs to be surveyed (ground)</v>
      </c>
    </row>
    <row r="140" spans="4:5">
      <c r="D140" s="332">
        <f>D138*D139</f>
        <v>30</v>
      </c>
      <c r="E140" s="483" t="s">
        <v>450</v>
      </c>
    </row>
    <row r="141" spans="4:5">
      <c r="D141" s="447">
        <v>1</v>
      </c>
      <c r="E141" s="483" t="s">
        <v>246</v>
      </c>
    </row>
    <row r="142" spans="4:5">
      <c r="D142" s="482">
        <f>'Overall Assumptions'!$C$132</f>
        <v>0.5</v>
      </c>
      <c r="E142" s="43" t="s">
        <v>79</v>
      </c>
    </row>
    <row r="143" spans="4:5">
      <c r="D143" s="54">
        <f>D140/D142</f>
        <v>60</v>
      </c>
      <c r="E143" s="483" t="s">
        <v>972</v>
      </c>
    </row>
    <row r="144" spans="4:5">
      <c r="D144" s="42">
        <f>'Overall Assumptions'!$C$53</f>
        <v>4.46</v>
      </c>
      <c r="E144" s="631" t="s">
        <v>780</v>
      </c>
    </row>
    <row r="145" spans="3:11">
      <c r="D145" s="42">
        <f>'Overall Assumptions'!$C$54</f>
        <v>3.3449999999999998</v>
      </c>
      <c r="E145" s="631" t="s">
        <v>781</v>
      </c>
    </row>
    <row r="146" spans="3:11">
      <c r="D146" s="125">
        <f>'Overall Assumptions'!$C$55</f>
        <v>2.23</v>
      </c>
      <c r="E146" s="635" t="s">
        <v>782</v>
      </c>
    </row>
    <row r="148" spans="3:11">
      <c r="D148" s="25"/>
    </row>
    <row r="149" spans="3:11">
      <c r="C149" t="s">
        <v>21</v>
      </c>
      <c r="D149" s="151" t="s">
        <v>179</v>
      </c>
      <c r="E149" s="164"/>
      <c r="F149" s="255"/>
      <c r="G149" s="1090"/>
      <c r="H149" s="161"/>
    </row>
    <row r="150" spans="3:11">
      <c r="D150" s="444">
        <f>10/60</f>
        <v>0.16666666666666666</v>
      </c>
      <c r="E150" s="443" t="s">
        <v>447</v>
      </c>
      <c r="F150" s="465"/>
      <c r="G150" s="1097"/>
      <c r="H150" s="466"/>
    </row>
    <row r="151" spans="3:11">
      <c r="D151" s="332">
        <f>D140/D142</f>
        <v>60</v>
      </c>
      <c r="E151" s="16" t="s">
        <v>253</v>
      </c>
      <c r="H151" s="246"/>
    </row>
    <row r="152" spans="3:11">
      <c r="D152" s="154">
        <f>D150*D151</f>
        <v>10</v>
      </c>
      <c r="E152" s="333" t="s">
        <v>985</v>
      </c>
      <c r="F152" s="439"/>
      <c r="G152" s="1098"/>
      <c r="H152" s="162"/>
      <c r="I152" t="s">
        <v>404</v>
      </c>
      <c r="J152" t="s">
        <v>405</v>
      </c>
    </row>
    <row r="153" spans="3:11">
      <c r="D153" s="152"/>
      <c r="H153" s="246"/>
    </row>
    <row r="154" spans="3:11">
      <c r="D154" s="442">
        <v>750</v>
      </c>
      <c r="E154" s="624" t="s">
        <v>178</v>
      </c>
      <c r="F154" s="266"/>
      <c r="H154" s="246"/>
      <c r="I154">
        <v>750</v>
      </c>
      <c r="J154">
        <v>600</v>
      </c>
      <c r="K154" t="s">
        <v>402</v>
      </c>
    </row>
    <row r="155" spans="3:11">
      <c r="D155" s="398">
        <v>10</v>
      </c>
      <c r="E155" s="624" t="s">
        <v>417</v>
      </c>
      <c r="F155" s="266"/>
      <c r="H155" s="246"/>
      <c r="J155">
        <v>420</v>
      </c>
      <c r="K155" t="s">
        <v>403</v>
      </c>
    </row>
    <row r="156" spans="3:11">
      <c r="D156" s="398">
        <v>0.5</v>
      </c>
      <c r="E156" s="624" t="s">
        <v>445</v>
      </c>
      <c r="F156" s="266"/>
      <c r="H156" s="246"/>
    </row>
    <row r="157" spans="3:11">
      <c r="D157" s="332">
        <f>$D$140/D155</f>
        <v>3</v>
      </c>
      <c r="E157" s="16" t="s">
        <v>449</v>
      </c>
      <c r="H157" s="246"/>
    </row>
    <row r="158" spans="3:11">
      <c r="D158" s="332">
        <f>D157*D156</f>
        <v>1.5</v>
      </c>
      <c r="E158" s="16" t="s">
        <v>452</v>
      </c>
      <c r="H158" s="246"/>
    </row>
    <row r="159" spans="3:11">
      <c r="D159" s="152"/>
      <c r="H159" s="246"/>
    </row>
    <row r="160" spans="3:11">
      <c r="D160" s="442">
        <v>0</v>
      </c>
      <c r="E160" s="826" t="s">
        <v>322</v>
      </c>
      <c r="F160" s="266"/>
      <c r="H160" s="246"/>
    </row>
    <row r="161" spans="4:8">
      <c r="D161" s="398">
        <v>10</v>
      </c>
      <c r="E161" s="624" t="s">
        <v>417</v>
      </c>
      <c r="F161" s="266"/>
      <c r="H161" s="246"/>
    </row>
    <row r="162" spans="4:8">
      <c r="D162" s="398">
        <v>0.5</v>
      </c>
      <c r="E162" s="624" t="s">
        <v>858</v>
      </c>
      <c r="F162" s="266"/>
      <c r="H162" s="246"/>
    </row>
    <row r="163" spans="4:8">
      <c r="D163" s="332">
        <v>2</v>
      </c>
      <c r="E163" s="16" t="s">
        <v>941</v>
      </c>
      <c r="H163" s="246"/>
    </row>
    <row r="164" spans="4:8">
      <c r="D164" s="332">
        <f>$D$140/D161</f>
        <v>3</v>
      </c>
      <c r="E164" s="16" t="s">
        <v>449</v>
      </c>
      <c r="H164" s="246"/>
    </row>
    <row r="165" spans="4:8">
      <c r="D165" s="332">
        <f>D164*D162*D163</f>
        <v>3</v>
      </c>
      <c r="E165" s="16" t="s">
        <v>457</v>
      </c>
      <c r="H165" s="246"/>
    </row>
    <row r="166" spans="4:8">
      <c r="D166" s="924" t="s">
        <v>940</v>
      </c>
      <c r="H166" s="246"/>
    </row>
    <row r="167" spans="4:8">
      <c r="D167" s="332" t="s">
        <v>458</v>
      </c>
      <c r="E167" s="827"/>
      <c r="F167" s="828"/>
      <c r="H167" s="246"/>
    </row>
    <row r="168" spans="4:8">
      <c r="D168" s="418">
        <v>3000</v>
      </c>
      <c r="E168" s="624" t="s">
        <v>416</v>
      </c>
      <c r="F168" s="266"/>
      <c r="H168" s="246"/>
    </row>
    <row r="169" spans="4:8">
      <c r="D169" s="459">
        <v>750</v>
      </c>
      <c r="E169" s="624" t="s">
        <v>418</v>
      </c>
      <c r="F169" s="266"/>
      <c r="H169" s="246"/>
    </row>
    <row r="170" spans="4:8">
      <c r="D170" s="332">
        <v>2250</v>
      </c>
      <c r="E170" t="s">
        <v>419</v>
      </c>
      <c r="H170" s="246"/>
    </row>
    <row r="171" spans="4:8">
      <c r="D171" s="398">
        <v>25</v>
      </c>
      <c r="E171" s="624" t="s">
        <v>417</v>
      </c>
      <c r="F171" s="266"/>
      <c r="H171" s="246"/>
    </row>
    <row r="172" spans="4:8">
      <c r="D172" s="398">
        <v>3</v>
      </c>
      <c r="E172" s="624" t="s">
        <v>446</v>
      </c>
      <c r="F172" s="266"/>
      <c r="H172" s="246"/>
    </row>
    <row r="173" spans="4:8">
      <c r="D173" s="332">
        <f>ROUNDUP($D$140/D171,0)</f>
        <v>2</v>
      </c>
      <c r="E173" s="16" t="s">
        <v>449</v>
      </c>
      <c r="H173" s="246"/>
    </row>
    <row r="174" spans="4:8">
      <c r="D174" s="163">
        <f>D173*D172</f>
        <v>6</v>
      </c>
      <c r="E174" s="333" t="s">
        <v>452</v>
      </c>
      <c r="F174" s="439"/>
      <c r="G174" s="1098"/>
      <c r="H174" s="162"/>
    </row>
    <row r="175" spans="4:8">
      <c r="D175"/>
    </row>
    <row r="176" spans="4:8">
      <c r="D176" s="462">
        <v>5</v>
      </c>
      <c r="E176" s="463" t="s">
        <v>453</v>
      </c>
      <c r="F176" s="464"/>
      <c r="G176" s="1136"/>
      <c r="H176" s="274"/>
    </row>
    <row r="177" spans="4:12">
      <c r="D177"/>
      <c r="E177"/>
    </row>
    <row r="178" spans="4:12">
      <c r="D178"/>
      <c r="E178"/>
    </row>
    <row r="179" spans="4:12">
      <c r="D179" s="24" t="s">
        <v>454</v>
      </c>
      <c r="E179" s="61">
        <f>D140</f>
        <v>30</v>
      </c>
      <c r="F179" s="16" t="s">
        <v>455</v>
      </c>
    </row>
    <row r="180" spans="4:12">
      <c r="D180" s="61"/>
    </row>
    <row r="181" spans="4:12">
      <c r="D181" s="445" t="s">
        <v>456</v>
      </c>
      <c r="E181" s="164" t="s">
        <v>462</v>
      </c>
      <c r="F181" s="255" t="s">
        <v>460</v>
      </c>
      <c r="G181" s="1090"/>
      <c r="H181" s="161"/>
    </row>
    <row r="182" spans="4:12">
      <c r="D182" s="404"/>
      <c r="E182">
        <f>D152</f>
        <v>10</v>
      </c>
      <c r="H182" s="246" t="s">
        <v>461</v>
      </c>
    </row>
    <row r="183" spans="4:12">
      <c r="D183" s="446">
        <f>D157</f>
        <v>3</v>
      </c>
      <c r="E183">
        <f>D158</f>
        <v>1.5</v>
      </c>
      <c r="F183" s="461">
        <f>D157*D154</f>
        <v>2250</v>
      </c>
      <c r="H183" s="43" t="s">
        <v>311</v>
      </c>
    </row>
    <row r="184" spans="4:12">
      <c r="D184" s="446">
        <f>D164</f>
        <v>3</v>
      </c>
      <c r="E184">
        <f>D165</f>
        <v>3</v>
      </c>
      <c r="F184" s="461">
        <f>D184*D160</f>
        <v>0</v>
      </c>
      <c r="H184" s="43" t="s">
        <v>403</v>
      </c>
    </row>
    <row r="185" spans="4:12">
      <c r="D185" s="446"/>
      <c r="E185"/>
      <c r="F185" s="461"/>
      <c r="G185" s="1137"/>
      <c r="H185" s="43"/>
      <c r="K185" s="3881"/>
      <c r="L185" s="3881"/>
    </row>
    <row r="186" spans="4:12">
      <c r="D186" s="331"/>
      <c r="H186" s="246"/>
      <c r="K186" s="790"/>
      <c r="L186" s="790"/>
    </row>
    <row r="187" spans="4:12">
      <c r="D187" s="404" t="s">
        <v>463</v>
      </c>
      <c r="E187">
        <f>SUM(E182:E185)</f>
        <v>14.5</v>
      </c>
      <c r="F187" s="454">
        <f>SUM(F182:F185)</f>
        <v>2250</v>
      </c>
      <c r="G187" s="1138"/>
      <c r="H187" s="246"/>
      <c r="K187" s="790"/>
      <c r="L187" s="790"/>
    </row>
    <row r="188" spans="4:12">
      <c r="D188" s="405"/>
      <c r="E188" s="333"/>
      <c r="F188" s="439"/>
      <c r="G188" s="1098"/>
      <c r="H188" s="162"/>
      <c r="K188" s="790"/>
      <c r="L188" s="790"/>
    </row>
    <row r="189" spans="4:12">
      <c r="D189"/>
      <c r="K189" s="790"/>
      <c r="L189" s="790"/>
    </row>
    <row r="190" spans="4:12">
      <c r="D190"/>
      <c r="K190" s="790"/>
      <c r="L190" s="790"/>
    </row>
    <row r="191" spans="4:12">
      <c r="D191" s="825"/>
      <c r="E191" s="825"/>
    </row>
    <row r="192" spans="4:12">
      <c r="D192"/>
      <c r="E192"/>
      <c r="F192" s="432"/>
      <c r="G192" s="1099"/>
    </row>
    <row r="193" spans="3:10" ht="19">
      <c r="C193" t="s">
        <v>50</v>
      </c>
      <c r="D193" s="37" t="s">
        <v>81</v>
      </c>
      <c r="E193" s="24"/>
      <c r="F193" s="1"/>
      <c r="G193" s="1100"/>
      <c r="H193" s="3"/>
      <c r="I193" s="3"/>
      <c r="J193" s="3"/>
    </row>
    <row r="194" spans="3:10">
      <c r="F194" s="1"/>
      <c r="G194" s="1100"/>
      <c r="H194" s="3"/>
      <c r="I194" s="3"/>
      <c r="J194" s="3"/>
    </row>
    <row r="195" spans="3:10">
      <c r="D195" s="160" t="s">
        <v>408</v>
      </c>
    </row>
    <row r="197" spans="3:10">
      <c r="D197" s="50"/>
    </row>
    <row r="198" spans="3:10">
      <c r="D198" s="51" t="s">
        <v>82</v>
      </c>
      <c r="E198" s="39"/>
    </row>
    <row r="199" spans="3:10" ht="19">
      <c r="D199" s="52">
        <f>'Overall Assumptions'!$C$68</f>
        <v>225</v>
      </c>
      <c r="E199" s="53" t="s">
        <v>99</v>
      </c>
    </row>
    <row r="200" spans="3:10">
      <c r="D200" s="54">
        <f>'Overall Assumptions'!$C$130</f>
        <v>2</v>
      </c>
      <c r="E200" s="43" t="s">
        <v>84</v>
      </c>
    </row>
    <row r="201" spans="3:10">
      <c r="D201" s="152"/>
      <c r="E201" s="43"/>
    </row>
    <row r="202" spans="3:10">
      <c r="D202" s="616">
        <f t="shared" ref="D202:E204" si="26">D144</f>
        <v>4.46</v>
      </c>
      <c r="E202" s="829" t="str">
        <f t="shared" si="26"/>
        <v>Effective walking speed - low resistance (km/h)</v>
      </c>
    </row>
    <row r="203" spans="3:10">
      <c r="D203" s="616">
        <f t="shared" si="26"/>
        <v>3.3449999999999998</v>
      </c>
      <c r="E203" s="829" t="str">
        <f t="shared" si="26"/>
        <v>Effective walking speed - moderate resistance (km/h)</v>
      </c>
    </row>
    <row r="204" spans="3:10">
      <c r="D204" s="616">
        <f t="shared" si="26"/>
        <v>2.23</v>
      </c>
      <c r="E204" s="829" t="str">
        <f t="shared" si="26"/>
        <v>Effective walking speed - high resistance (km/h)</v>
      </c>
    </row>
    <row r="205" spans="3:10">
      <c r="D205" s="616"/>
      <c r="E205" s="829"/>
    </row>
    <row r="206" spans="3:10">
      <c r="D206" s="467">
        <f>D143</f>
        <v>60</v>
      </c>
      <c r="E206" s="467" t="str">
        <f>E143</f>
        <v>Effective distance to be walked along</v>
      </c>
    </row>
    <row r="207" spans="3:10">
      <c r="D207" s="467"/>
      <c r="E207" s="43"/>
    </row>
    <row r="208" spans="3:10">
      <c r="D208" s="468">
        <f>E187/7.5</f>
        <v>1.9333333333333333</v>
      </c>
      <c r="E208" s="43" t="s">
        <v>464</v>
      </c>
    </row>
    <row r="209" spans="3:10">
      <c r="D209" s="54">
        <f>'Overall Assumptions'!$C$10</f>
        <v>0</v>
      </c>
      <c r="E209" s="43" t="s">
        <v>85</v>
      </c>
    </row>
    <row r="210" spans="3:10">
      <c r="D210" s="54">
        <f>'Overall Assumptions'!$C$90</f>
        <v>80</v>
      </c>
      <c r="E210" s="43" t="s">
        <v>86</v>
      </c>
    </row>
    <row r="211" spans="3:10">
      <c r="D211" s="56">
        <f>'Overall Assumptions'!$C$81</f>
        <v>210</v>
      </c>
      <c r="E211" s="45" t="s">
        <v>87</v>
      </c>
      <c r="J211" s="578"/>
    </row>
    <row r="212" spans="3:10">
      <c r="D212" s="57"/>
    </row>
    <row r="213" spans="3:10">
      <c r="C213" s="21"/>
      <c r="D213" s="77">
        <f>2*D209/D210/7.5</f>
        <v>0</v>
      </c>
      <c r="E213" s="59" t="s">
        <v>95</v>
      </c>
      <c r="J213" s="90"/>
    </row>
    <row r="214" spans="3:10">
      <c r="C214" s="21"/>
      <c r="D214" s="77"/>
      <c r="E214" s="60" t="s">
        <v>488</v>
      </c>
    </row>
    <row r="215" spans="3:10">
      <c r="C215" s="21"/>
      <c r="E215" s="16" t="s">
        <v>778</v>
      </c>
      <c r="J215" s="90"/>
    </row>
    <row r="216" spans="3:10">
      <c r="C216" s="21"/>
      <c r="E216" s="59"/>
      <c r="J216" s="90"/>
    </row>
    <row r="217" spans="3:10">
      <c r="C217" s="21"/>
      <c r="D217" s="58">
        <f>D202</f>
        <v>4.46</v>
      </c>
      <c r="E217" s="77">
        <f>D203</f>
        <v>3.3449999999999998</v>
      </c>
      <c r="F217" s="90">
        <f>D204</f>
        <v>2.23</v>
      </c>
      <c r="J217" s="90"/>
    </row>
    <row r="218" spans="3:10">
      <c r="C218" s="21"/>
      <c r="D218" s="630" t="s">
        <v>735</v>
      </c>
      <c r="E218" s="1" t="s">
        <v>218</v>
      </c>
      <c r="F218" s="1" t="s">
        <v>733</v>
      </c>
      <c r="J218" s="90"/>
    </row>
    <row r="219" spans="3:10" ht="18" customHeight="1">
      <c r="C219" s="21"/>
      <c r="D219" s="77">
        <f>$D206/D217/7.5</f>
        <v>1.7937219730941705</v>
      </c>
      <c r="E219" s="77">
        <f>$D206/E217/7.5</f>
        <v>2.391629297458894</v>
      </c>
      <c r="F219" s="77">
        <f>$D206/F217/7.5</f>
        <v>3.5874439461883409</v>
      </c>
      <c r="G219" s="693" t="s">
        <v>96</v>
      </c>
    </row>
    <row r="220" spans="3:10" ht="18" customHeight="1">
      <c r="C220" s="21"/>
      <c r="D220" s="77">
        <f>$D208</f>
        <v>1.9333333333333333</v>
      </c>
      <c r="E220" s="77">
        <f>$D208</f>
        <v>1.9333333333333333</v>
      </c>
      <c r="F220" s="77">
        <f>$D208</f>
        <v>1.9333333333333333</v>
      </c>
      <c r="G220" s="693" t="s">
        <v>786</v>
      </c>
    </row>
    <row r="221" spans="3:10" ht="18" customHeight="1">
      <c r="C221" s="21"/>
      <c r="D221" s="77">
        <f>SUM(D219:D220)</f>
        <v>3.7270553064275038</v>
      </c>
      <c r="E221" s="77">
        <f>SUM(E219:E220)</f>
        <v>4.3249626307922275</v>
      </c>
      <c r="F221" s="77">
        <f>SUM(F219:F220)</f>
        <v>5.5207772795216741</v>
      </c>
      <c r="G221" s="693" t="s">
        <v>171</v>
      </c>
    </row>
    <row r="222" spans="3:10" ht="18" customHeight="1">
      <c r="C222" s="21"/>
      <c r="D222" s="16"/>
      <c r="E222"/>
    </row>
    <row r="223" spans="3:10" ht="18" customHeight="1">
      <c r="C223" s="21"/>
      <c r="D223" s="77">
        <f>D221*$D200</f>
        <v>7.4541106128550076</v>
      </c>
      <c r="E223" s="77">
        <f>E221*$D200</f>
        <v>8.6499252615844551</v>
      </c>
      <c r="F223" s="77">
        <f>F221*$D200</f>
        <v>11.041554559043348</v>
      </c>
      <c r="G223" s="99" t="s">
        <v>787</v>
      </c>
    </row>
    <row r="224" spans="3:10">
      <c r="C224" s="21"/>
      <c r="D224" s="16"/>
      <c r="E224"/>
      <c r="G224" s="99"/>
    </row>
    <row r="225" spans="3:11">
      <c r="C225" s="21"/>
      <c r="D225" s="63">
        <f>$D199*$D200*D219</f>
        <v>807.17488789237666</v>
      </c>
      <c r="E225" s="63">
        <f>$D199*$D200*E219</f>
        <v>1076.2331838565024</v>
      </c>
      <c r="F225" s="63">
        <f>$D199*$D200*F219</f>
        <v>1614.3497757847533</v>
      </c>
      <c r="G225" s="99" t="s">
        <v>37</v>
      </c>
      <c r="J225" s="90"/>
    </row>
    <row r="226" spans="3:11">
      <c r="C226" s="21"/>
      <c r="D226" s="63">
        <f>$D199*$D200*D220</f>
        <v>870</v>
      </c>
      <c r="E226" s="63">
        <f>$D199*$D200*E220</f>
        <v>870</v>
      </c>
      <c r="F226" s="63">
        <f>$D199*$D200*F220</f>
        <v>870</v>
      </c>
      <c r="G226" s="99" t="s">
        <v>412</v>
      </c>
      <c r="J226" s="259"/>
      <c r="K226" s="16"/>
    </row>
    <row r="227" spans="3:11">
      <c r="C227" s="21"/>
      <c r="D227" s="64">
        <f>SUM(D225:D226)</f>
        <v>1677.1748878923768</v>
      </c>
      <c r="E227" s="905">
        <f>SUM(E225:E226)</f>
        <v>1946.2331838565024</v>
      </c>
      <c r="F227" s="905">
        <f>SUM(F225:F226)</f>
        <v>2484.3497757847535</v>
      </c>
      <c r="G227" s="1101" t="s">
        <v>486</v>
      </c>
      <c r="J227" s="259"/>
      <c r="K227" s="16"/>
    </row>
    <row r="228" spans="3:11">
      <c r="F228" s="16"/>
      <c r="G228" s="99"/>
    </row>
    <row r="229" spans="3:11">
      <c r="J229" s="65"/>
      <c r="K229" s="24"/>
    </row>
    <row r="230" spans="3:11">
      <c r="D230" s="65"/>
      <c r="E230" s="24"/>
      <c r="J230" s="65"/>
      <c r="K230" s="24"/>
    </row>
    <row r="231" spans="3:11" ht="19">
      <c r="C231" t="s">
        <v>64</v>
      </c>
      <c r="D231" s="37" t="s">
        <v>89</v>
      </c>
    </row>
    <row r="232" spans="3:11">
      <c r="C232" t="s">
        <v>54</v>
      </c>
    </row>
    <row r="234" spans="3:11">
      <c r="D234" s="16"/>
    </row>
    <row r="235" spans="3:11">
      <c r="D235" s="67" t="s">
        <v>91</v>
      </c>
      <c r="E235" s="41"/>
    </row>
    <row r="236" spans="3:11">
      <c r="D236" s="52">
        <f>'Overall Assumptions'!$C$93</f>
        <v>285</v>
      </c>
      <c r="E236" s="41" t="s">
        <v>93</v>
      </c>
    </row>
    <row r="237" spans="3:11">
      <c r="D237" s="54">
        <f>'Overall Assumptions'!$C$10</f>
        <v>0</v>
      </c>
      <c r="E237" s="43" t="s">
        <v>85</v>
      </c>
    </row>
    <row r="238" spans="3:11">
      <c r="D238" s="54">
        <f>'Overall Assumptions'!$C$90</f>
        <v>80</v>
      </c>
      <c r="E238" s="43" t="s">
        <v>86</v>
      </c>
    </row>
    <row r="239" spans="3:11">
      <c r="D239" s="616"/>
      <c r="E239" s="43"/>
    </row>
    <row r="240" spans="3:11">
      <c r="D240" s="56"/>
      <c r="E240" s="45"/>
      <c r="J240" s="578"/>
    </row>
    <row r="241" spans="4:11">
      <c r="D241" s="75"/>
    </row>
    <row r="242" spans="4:11">
      <c r="D242" s="46">
        <f>D213</f>
        <v>0</v>
      </c>
      <c r="E242" s="46">
        <f>D242</f>
        <v>0</v>
      </c>
      <c r="F242" s="46">
        <f>E242</f>
        <v>0</v>
      </c>
      <c r="G242" s="693"/>
      <c r="J242" s="532"/>
      <c r="K242" s="59"/>
    </row>
    <row r="243" spans="4:11">
      <c r="D243" s="46">
        <f t="shared" ref="D243:F244" si="27">D219</f>
        <v>1.7937219730941705</v>
      </c>
      <c r="E243" s="46">
        <f t="shared" si="27"/>
        <v>2.391629297458894</v>
      </c>
      <c r="F243" s="46">
        <f t="shared" si="27"/>
        <v>3.5874439461883409</v>
      </c>
      <c r="G243" s="693" t="s">
        <v>98</v>
      </c>
      <c r="K243" s="59"/>
    </row>
    <row r="244" spans="4:11">
      <c r="D244" s="46">
        <f t="shared" si="27"/>
        <v>1.9333333333333333</v>
      </c>
      <c r="E244" s="46">
        <f t="shared" si="27"/>
        <v>1.9333333333333333</v>
      </c>
      <c r="F244" s="46">
        <f t="shared" si="27"/>
        <v>1.9333333333333333</v>
      </c>
      <c r="G244" s="693" t="str">
        <f>G220</f>
        <v>3rd term is the days required to do all activities (for one person)</v>
      </c>
      <c r="K244" s="59"/>
    </row>
    <row r="245" spans="4:11">
      <c r="D245" s="46"/>
      <c r="E245" s="46"/>
      <c r="F245" s="46"/>
      <c r="G245" s="693"/>
      <c r="K245" s="59"/>
    </row>
    <row r="246" spans="4:11">
      <c r="D246" s="46">
        <f>SUM(D242:D244)</f>
        <v>3.7270553064275038</v>
      </c>
      <c r="E246" s="46">
        <f>SUM(E242:E244)</f>
        <v>4.3249626307922275</v>
      </c>
      <c r="F246" s="46">
        <f>SUM(F242:F244)</f>
        <v>5.5207772795216741</v>
      </c>
      <c r="G246" s="693" t="s">
        <v>135</v>
      </c>
      <c r="J246" s="90"/>
    </row>
    <row r="247" spans="4:11">
      <c r="D247" s="46"/>
      <c r="E247" s="59"/>
      <c r="J247" s="90"/>
    </row>
    <row r="248" spans="4:11">
      <c r="D248" s="63"/>
      <c r="E248" s="63"/>
      <c r="F248" s="63"/>
      <c r="G248" s="99"/>
      <c r="J248" s="259"/>
      <c r="K248" s="16"/>
    </row>
    <row r="249" spans="4:11">
      <c r="D249" s="63">
        <f t="shared" ref="D249:F250" si="28">$D$236*D243</f>
        <v>511.21076233183857</v>
      </c>
      <c r="E249" s="63">
        <f t="shared" si="28"/>
        <v>681.61434977578483</v>
      </c>
      <c r="F249" s="63">
        <f t="shared" si="28"/>
        <v>1022.4215246636771</v>
      </c>
      <c r="G249" s="99" t="s">
        <v>52</v>
      </c>
      <c r="J249" s="259"/>
      <c r="K249" s="16"/>
    </row>
    <row r="250" spans="4:11">
      <c r="D250" s="63">
        <f t="shared" si="28"/>
        <v>551</v>
      </c>
      <c r="E250" s="63">
        <f t="shared" si="28"/>
        <v>551</v>
      </c>
      <c r="F250" s="63">
        <f t="shared" si="28"/>
        <v>551</v>
      </c>
      <c r="G250" s="99" t="s">
        <v>52</v>
      </c>
      <c r="J250" s="259"/>
      <c r="K250" s="16"/>
    </row>
    <row r="251" spans="4:11">
      <c r="D251" s="68">
        <f>SUM(D248:D250)</f>
        <v>1062.2107623318386</v>
      </c>
      <c r="E251" s="906">
        <f>SUM(E248:E250)</f>
        <v>1232.6143497757848</v>
      </c>
      <c r="F251" s="906">
        <f>SUM(F248:F250)</f>
        <v>1573.4215246636772</v>
      </c>
      <c r="G251" s="1101" t="s">
        <v>53</v>
      </c>
      <c r="J251" s="65"/>
      <c r="K251" s="24"/>
    </row>
    <row r="252" spans="4:11">
      <c r="D252" s="432"/>
      <c r="J252" s="65"/>
      <c r="K252" s="24"/>
    </row>
    <row r="253" spans="4:11">
      <c r="D253" s="46">
        <f>D246</f>
        <v>3.7270553064275038</v>
      </c>
      <c r="E253" s="46">
        <f>E246</f>
        <v>4.3249626307922275</v>
      </c>
      <c r="F253" s="46">
        <f>F246</f>
        <v>5.5207772795216741</v>
      </c>
      <c r="G253" s="359" t="s">
        <v>795</v>
      </c>
      <c r="J253" s="65"/>
      <c r="K253" s="24"/>
    </row>
    <row r="254" spans="4:11">
      <c r="D254" s="75">
        <f>ROUNDUP((D246/21),0)</f>
        <v>1</v>
      </c>
      <c r="E254" s="75">
        <f>ROUNDUP((E246/21),0)</f>
        <v>1</v>
      </c>
      <c r="F254" s="75">
        <f>ROUNDUP((F246/21),0)</f>
        <v>1</v>
      </c>
      <c r="G254" s="99" t="s">
        <v>739</v>
      </c>
      <c r="J254" s="65"/>
      <c r="K254" s="24"/>
    </row>
    <row r="255" spans="4:11">
      <c r="D255" s="432"/>
      <c r="J255" s="65"/>
      <c r="K255" s="24"/>
    </row>
    <row r="256" spans="4:11">
      <c r="D256" s="65"/>
      <c r="E256" s="24"/>
      <c r="J256" s="65"/>
      <c r="K256" s="24"/>
    </row>
    <row r="257" spans="3:13">
      <c r="C257" t="s">
        <v>70</v>
      </c>
      <c r="D257" s="58"/>
      <c r="E257" s="59" t="s">
        <v>156</v>
      </c>
      <c r="J257" s="65"/>
      <c r="K257" s="24"/>
    </row>
    <row r="258" spans="3:13">
      <c r="D258" s="160" t="s">
        <v>238</v>
      </c>
      <c r="E258" s="59"/>
      <c r="J258" s="65"/>
      <c r="K258" s="24"/>
    </row>
    <row r="259" spans="3:13">
      <c r="D259" s="58"/>
      <c r="E259" s="59"/>
      <c r="J259" s="65"/>
      <c r="K259" s="24"/>
    </row>
    <row r="260" spans="3:13">
      <c r="D260" s="25">
        <f>D221</f>
        <v>3.7270553064275038</v>
      </c>
      <c r="E260" s="25">
        <f>E221</f>
        <v>4.3249626307922275</v>
      </c>
      <c r="F260" s="25">
        <f>F221</f>
        <v>5.5207772795216741</v>
      </c>
      <c r="G260" s="99" t="s">
        <v>157</v>
      </c>
      <c r="J260" s="65"/>
      <c r="K260" s="24"/>
    </row>
    <row r="261" spans="3:13">
      <c r="D261" s="61">
        <f>FLOOR(D260,1)</f>
        <v>3</v>
      </c>
      <c r="E261" s="61">
        <f>FLOOR(E260,1)</f>
        <v>4</v>
      </c>
      <c r="F261" s="61">
        <f>FLOOR(F260,1)</f>
        <v>5</v>
      </c>
      <c r="G261" s="99" t="s">
        <v>73</v>
      </c>
      <c r="J261" s="65"/>
      <c r="K261" s="24"/>
    </row>
    <row r="262" spans="3:13">
      <c r="D262" s="65"/>
      <c r="G262" s="1102"/>
      <c r="J262" s="65"/>
      <c r="K262" s="24"/>
    </row>
    <row r="263" spans="3:13">
      <c r="D263" s="65">
        <f>D261*$D200</f>
        <v>6</v>
      </c>
      <c r="E263" s="65">
        <f>E261*$D200</f>
        <v>8</v>
      </c>
      <c r="F263" s="65">
        <f>F261*$D200</f>
        <v>10</v>
      </c>
      <c r="G263" s="1102" t="s">
        <v>88</v>
      </c>
      <c r="J263" s="65"/>
      <c r="K263" s="24"/>
    </row>
    <row r="264" spans="3:13">
      <c r="D264" s="102">
        <f>D263*$D211</f>
        <v>1260</v>
      </c>
      <c r="E264" s="102">
        <f>E263*$D211</f>
        <v>1680</v>
      </c>
      <c r="F264" s="102">
        <f>F263*$D211</f>
        <v>2100</v>
      </c>
      <c r="G264" s="1101" t="s">
        <v>74</v>
      </c>
      <c r="J264" s="259"/>
      <c r="K264" s="16"/>
    </row>
    <row r="265" spans="3:13">
      <c r="D265" s="825"/>
      <c r="E265" s="1" t="s">
        <v>788</v>
      </c>
      <c r="F265" s="1" t="s">
        <v>779</v>
      </c>
      <c r="G265" s="1" t="s">
        <v>789</v>
      </c>
      <c r="I265" s="1" t="s">
        <v>788</v>
      </c>
      <c r="J265" s="1" t="s">
        <v>779</v>
      </c>
      <c r="K265" s="1" t="s">
        <v>789</v>
      </c>
    </row>
    <row r="266" spans="3:13">
      <c r="D266" s="617" t="s">
        <v>172</v>
      </c>
      <c r="E266" s="618" t="s">
        <v>155</v>
      </c>
      <c r="F266" s="618" t="s">
        <v>155</v>
      </c>
      <c r="G266" s="618" t="s">
        <v>155</v>
      </c>
      <c r="I266" s="618" t="s">
        <v>166</v>
      </c>
      <c r="J266" s="618" t="s">
        <v>166</v>
      </c>
      <c r="K266" s="618" t="s">
        <v>166</v>
      </c>
      <c r="L266" s="619" t="s">
        <v>69</v>
      </c>
    </row>
    <row r="267" spans="3:13">
      <c r="D267" s="404" t="s">
        <v>3</v>
      </c>
      <c r="E267" s="90">
        <f>D223</f>
        <v>7.4541106128550076</v>
      </c>
      <c r="F267" s="90">
        <f t="shared" ref="F267:G267" si="29">E223</f>
        <v>8.6499252615844551</v>
      </c>
      <c r="G267" s="90">
        <f t="shared" si="29"/>
        <v>11.041554559043348</v>
      </c>
      <c r="I267" s="432">
        <f>D227</f>
        <v>1677.1748878923768</v>
      </c>
      <c r="J267" s="432">
        <f>E227</f>
        <v>1946.2331838565024</v>
      </c>
      <c r="K267" s="432">
        <f>F227</f>
        <v>2484.3497757847535</v>
      </c>
      <c r="L267" s="830" t="str">
        <f>G227</f>
        <v>Cost for labour</v>
      </c>
      <c r="M267">
        <v>1</v>
      </c>
    </row>
    <row r="268" spans="3:13">
      <c r="D268" s="404" t="s">
        <v>490</v>
      </c>
      <c r="E268" s="90">
        <f>D246</f>
        <v>3.7270553064275038</v>
      </c>
      <c r="F268" s="90">
        <f t="shared" ref="F268:G268" si="30">E246</f>
        <v>4.3249626307922275</v>
      </c>
      <c r="G268" s="90">
        <f t="shared" si="30"/>
        <v>5.5207772795216741</v>
      </c>
      <c r="I268" s="432">
        <f>D251</f>
        <v>1062.2107623318386</v>
      </c>
      <c r="J268" s="432">
        <f>E251</f>
        <v>1232.6143497757848</v>
      </c>
      <c r="K268" s="432">
        <f>F251</f>
        <v>1573.4215246636772</v>
      </c>
      <c r="L268" s="830" t="str">
        <f>G251</f>
        <v>Cost for ute hire for the whole activity</v>
      </c>
      <c r="M268">
        <v>1</v>
      </c>
    </row>
    <row r="269" spans="3:13">
      <c r="D269" s="404" t="s">
        <v>169</v>
      </c>
      <c r="E269" s="90">
        <f>D263</f>
        <v>6</v>
      </c>
      <c r="F269" s="90">
        <f t="shared" ref="F269:G269" si="31">E263</f>
        <v>8</v>
      </c>
      <c r="G269" s="90">
        <f t="shared" si="31"/>
        <v>10</v>
      </c>
      <c r="I269" s="432">
        <f>D264</f>
        <v>1260</v>
      </c>
      <c r="J269" s="432">
        <f>E264</f>
        <v>1680</v>
      </c>
      <c r="K269" s="432">
        <f>F264</f>
        <v>2100</v>
      </c>
      <c r="L269" s="830" t="str">
        <f>G264</f>
        <v>Accomodation + Food Cost</v>
      </c>
      <c r="M269">
        <v>1</v>
      </c>
    </row>
    <row r="270" spans="3:13">
      <c r="D270" s="404" t="s">
        <v>465</v>
      </c>
      <c r="E270" s="90"/>
      <c r="F270" s="531"/>
      <c r="I270" s="432">
        <f>F187</f>
        <v>2250</v>
      </c>
      <c r="J270" s="259">
        <f>I270</f>
        <v>2250</v>
      </c>
      <c r="K270" s="259">
        <f>J270</f>
        <v>2250</v>
      </c>
      <c r="L270" s="830" t="s">
        <v>939</v>
      </c>
      <c r="M270" s="558">
        <f>$D$176</f>
        <v>5</v>
      </c>
    </row>
    <row r="271" spans="3:13">
      <c r="D271" s="404"/>
      <c r="E271" s="90"/>
      <c r="F271" s="531"/>
      <c r="I271" s="432"/>
      <c r="J271" s="259"/>
      <c r="K271" s="259"/>
      <c r="L271" s="830"/>
      <c r="M271">
        <v>1</v>
      </c>
    </row>
    <row r="272" spans="3:13">
      <c r="D272" s="405"/>
      <c r="E272" s="439"/>
      <c r="F272" s="439"/>
      <c r="G272" s="1098"/>
      <c r="I272" s="622">
        <f>SUM(I267:I271)</f>
        <v>6249.3856502242152</v>
      </c>
      <c r="J272" s="622">
        <f>SUM(J267:J271)</f>
        <v>7108.8475336322872</v>
      </c>
      <c r="K272" s="622">
        <f>SUM(K267:K271)</f>
        <v>8407.7713004484303</v>
      </c>
      <c r="L272" s="623" t="s">
        <v>165</v>
      </c>
    </row>
    <row r="273" spans="3:36">
      <c r="D273"/>
      <c r="E273"/>
      <c r="F273" s="432"/>
      <c r="G273" s="1099"/>
    </row>
    <row r="274" spans="3:36">
      <c r="D274" s="432"/>
      <c r="E274" s="24"/>
    </row>
    <row r="275" spans="3:36" s="7" customFormat="1">
      <c r="D275" s="69"/>
      <c r="E275" s="36"/>
      <c r="G275" s="1089"/>
      <c r="AI275"/>
      <c r="AJ275"/>
    </row>
    <row r="276" spans="3:36">
      <c r="C276" t="s">
        <v>266</v>
      </c>
      <c r="D276" s="16"/>
    </row>
    <row r="277" spans="3:36">
      <c r="C277" t="s">
        <v>49</v>
      </c>
    </row>
    <row r="278" spans="3:36" ht="28">
      <c r="D278" s="345" t="s">
        <v>101</v>
      </c>
      <c r="E278"/>
      <c r="H278" s="432"/>
      <c r="I278" s="432"/>
    </row>
    <row r="279" spans="3:36">
      <c r="D279" s="266">
        <v>1</v>
      </c>
      <c r="E279" t="s">
        <v>263</v>
      </c>
      <c r="H279" s="432"/>
      <c r="I279" s="432"/>
    </row>
    <row r="280" spans="3:36" ht="35">
      <c r="D280" s="17"/>
    </row>
    <row r="281" spans="3:36">
      <c r="D281" s="25"/>
    </row>
    <row r="282" spans="3:36">
      <c r="D282" s="85" t="s">
        <v>91</v>
      </c>
      <c r="E282" s="41"/>
    </row>
    <row r="283" spans="3:36">
      <c r="D283" s="86">
        <f>'Overall Assumptions'!$C$68</f>
        <v>225</v>
      </c>
      <c r="E283" s="80" t="s">
        <v>102</v>
      </c>
      <c r="F283" s="60"/>
    </row>
    <row r="284" spans="3:36">
      <c r="D284" s="84">
        <f>'Overall Assumptions'!$C$81</f>
        <v>210</v>
      </c>
      <c r="E284" s="43" t="s">
        <v>87</v>
      </c>
    </row>
    <row r="285" spans="3:36">
      <c r="D285" s="84">
        <f>'Overall Assumptions'!$C$131</f>
        <v>1</v>
      </c>
      <c r="E285" s="81" t="s">
        <v>84</v>
      </c>
    </row>
    <row r="286" spans="3:36">
      <c r="D286" s="84">
        <f>'Overall Assumptions'!$C$6</f>
        <v>100</v>
      </c>
      <c r="E286" s="81" t="s">
        <v>80</v>
      </c>
    </row>
    <row r="287" spans="3:36">
      <c r="D287" s="412">
        <f>'Overall Assumptions'!$C$132</f>
        <v>0.5</v>
      </c>
      <c r="E287" s="82" t="s">
        <v>105</v>
      </c>
    </row>
    <row r="288" spans="3:36">
      <c r="D288" s="84">
        <f>'Overall Assumptions'!$C$11</f>
        <v>0</v>
      </c>
      <c r="E288" s="82" t="s">
        <v>106</v>
      </c>
    </row>
    <row r="289" spans="4:8">
      <c r="D289" s="84">
        <f>'Overall Assumptions'!$C$97</f>
        <v>250</v>
      </c>
      <c r="E289" s="81" t="s">
        <v>103</v>
      </c>
    </row>
    <row r="290" spans="4:8">
      <c r="D290" s="84">
        <f>'Overall Assumptions'!$C$7</f>
        <v>50</v>
      </c>
      <c r="E290" s="81" t="s">
        <v>107</v>
      </c>
    </row>
    <row r="291" spans="4:8">
      <c r="D291" s="54">
        <f>'Overall Assumptions'!$C$98</f>
        <v>130</v>
      </c>
      <c r="E291" s="82" t="s">
        <v>104</v>
      </c>
      <c r="F291" s="831"/>
    </row>
    <row r="292" spans="4:8">
      <c r="D292" s="56">
        <f>'Overall Assumptions'!$C$99</f>
        <v>400</v>
      </c>
      <c r="E292" s="45" t="s">
        <v>47</v>
      </c>
    </row>
    <row r="293" spans="4:8">
      <c r="D293" s="75">
        <f>D286/D287</f>
        <v>200</v>
      </c>
      <c r="E293" s="76" t="s">
        <v>981</v>
      </c>
    </row>
    <row r="294" spans="4:8" ht="18">
      <c r="D294" s="18" t="s">
        <v>108</v>
      </c>
    </row>
    <row r="295" spans="4:8">
      <c r="D295" s="25">
        <f>2*D288/D289/7.5</f>
        <v>0</v>
      </c>
      <c r="E295" s="16" t="s">
        <v>112</v>
      </c>
    </row>
    <row r="296" spans="4:8">
      <c r="D296" s="23" t="s">
        <v>109</v>
      </c>
    </row>
    <row r="297" spans="4:8">
      <c r="D297" s="77">
        <f>D286/D287/D291/7.5</f>
        <v>0.20512820512820515</v>
      </c>
      <c r="E297" s="16" t="s">
        <v>113</v>
      </c>
    </row>
    <row r="298" spans="4:8">
      <c r="D298" s="23" t="s">
        <v>110</v>
      </c>
    </row>
    <row r="299" spans="4:8">
      <c r="D299" s="46">
        <f>FLOOR(D286/D287/D292,1)</f>
        <v>0</v>
      </c>
      <c r="E299" s="16" t="s">
        <v>111</v>
      </c>
      <c r="F299" s="70"/>
      <c r="G299" s="99"/>
      <c r="H299" s="16"/>
    </row>
    <row r="300" spans="4:8">
      <c r="D300" s="25" t="str">
        <f>IF(D293&gt;D292,"YES","NO")</f>
        <v>NO</v>
      </c>
      <c r="E300" s="16" t="s">
        <v>48</v>
      </c>
    </row>
    <row r="301" spans="4:8">
      <c r="D301" s="46">
        <f>2*D290/D289*D299/7.5</f>
        <v>0</v>
      </c>
      <c r="E301" s="16" t="s">
        <v>114</v>
      </c>
    </row>
    <row r="303" spans="4:8">
      <c r="D303" s="25">
        <f>SUM(D295,D297,D301)</f>
        <v>0.20512820512820515</v>
      </c>
      <c r="E303" s="16" t="s">
        <v>115</v>
      </c>
    </row>
    <row r="304" spans="4:8">
      <c r="D304" s="23"/>
    </row>
    <row r="305" spans="3:6">
      <c r="D305" s="77">
        <f>D285*D303</f>
        <v>0.20512820512820515</v>
      </c>
      <c r="E305" s="16" t="s">
        <v>88</v>
      </c>
    </row>
    <row r="306" spans="3:6">
      <c r="D306" s="62">
        <f>D283*D285*D295</f>
        <v>0</v>
      </c>
      <c r="E306" s="16" t="s">
        <v>489</v>
      </c>
    </row>
    <row r="307" spans="3:6">
      <c r="D307" s="62">
        <f>D283*D285*D297</f>
        <v>46.15384615384616</v>
      </c>
      <c r="E307" s="16" t="s">
        <v>39</v>
      </c>
    </row>
    <row r="308" spans="3:6">
      <c r="D308" s="62">
        <f>D283*D285*D301</f>
        <v>0</v>
      </c>
      <c r="E308" s="16" t="s">
        <v>118</v>
      </c>
    </row>
    <row r="310" spans="3:6">
      <c r="D310" s="64">
        <f>SUM(D306:D308)</f>
        <v>46.15384615384616</v>
      </c>
      <c r="E310" s="39" t="s">
        <v>486</v>
      </c>
    </row>
    <row r="311" spans="3:6">
      <c r="D311" s="65"/>
      <c r="E311" s="24"/>
    </row>
    <row r="312" spans="3:6">
      <c r="C312" t="s">
        <v>55</v>
      </c>
      <c r="D312" s="6" t="s">
        <v>119</v>
      </c>
    </row>
    <row r="313" spans="3:6">
      <c r="D313" s="25"/>
    </row>
    <row r="314" spans="3:6">
      <c r="D314" s="25"/>
    </row>
    <row r="315" spans="3:6">
      <c r="D315" s="25"/>
    </row>
    <row r="317" spans="3:6">
      <c r="D317" s="85" t="s">
        <v>91</v>
      </c>
      <c r="E317" s="41"/>
    </row>
    <row r="318" spans="3:6">
      <c r="D318" s="86">
        <f>'Overall Assumptions'!C96</f>
        <v>850</v>
      </c>
      <c r="E318" s="80" t="s">
        <v>120</v>
      </c>
    </row>
    <row r="319" spans="3:6">
      <c r="D319" s="23" t="s">
        <v>121</v>
      </c>
      <c r="E319" s="21"/>
      <c r="F319" s="21"/>
    </row>
    <row r="320" spans="3:6">
      <c r="D320" s="23" t="s">
        <v>123</v>
      </c>
      <c r="E320" s="21"/>
      <c r="F320" s="21"/>
    </row>
    <row r="321" spans="3:10">
      <c r="D321" s="22">
        <f>D295</f>
        <v>0</v>
      </c>
      <c r="E321" s="16" t="s">
        <v>112</v>
      </c>
      <c r="F321" s="21"/>
    </row>
    <row r="322" spans="3:10">
      <c r="D322" s="23" t="s">
        <v>122</v>
      </c>
      <c r="E322" s="21"/>
      <c r="F322" s="21"/>
    </row>
    <row r="323" spans="3:10">
      <c r="D323" s="23" t="s">
        <v>124</v>
      </c>
      <c r="E323" s="21"/>
      <c r="F323" s="21"/>
    </row>
    <row r="324" spans="3:10">
      <c r="D324" s="22">
        <f>D297</f>
        <v>0.20512820512820515</v>
      </c>
      <c r="E324" s="16" t="s">
        <v>113</v>
      </c>
      <c r="F324" s="21"/>
    </row>
    <row r="325" spans="3:10">
      <c r="D325" s="23" t="s">
        <v>125</v>
      </c>
      <c r="E325" s="21"/>
      <c r="F325" s="21"/>
    </row>
    <row r="326" spans="3:10">
      <c r="D326" s="23" t="s">
        <v>126</v>
      </c>
      <c r="E326" s="21"/>
      <c r="F326" s="21"/>
    </row>
    <row r="327" spans="3:10">
      <c r="D327" s="22">
        <f>D299</f>
        <v>0</v>
      </c>
      <c r="E327" s="21" t="s">
        <v>111</v>
      </c>
      <c r="F327" s="21"/>
    </row>
    <row r="328" spans="3:10">
      <c r="D328" s="22" t="str">
        <f>D300</f>
        <v>NO</v>
      </c>
      <c r="E328" s="21" t="s">
        <v>48</v>
      </c>
      <c r="F328" s="21"/>
    </row>
    <row r="329" spans="3:10">
      <c r="D329" s="22">
        <f>D301</f>
        <v>0</v>
      </c>
      <c r="E329" s="21" t="s">
        <v>114</v>
      </c>
      <c r="F329" s="21"/>
    </row>
    <row r="330" spans="3:10">
      <c r="F330" s="21"/>
      <c r="J330" s="21"/>
    </row>
    <row r="331" spans="3:10">
      <c r="D331" s="20">
        <f>SUM(D321,D324,D329)</f>
        <v>0.20512820512820515</v>
      </c>
      <c r="E331" s="21" t="s">
        <v>177</v>
      </c>
      <c r="F331" s="21"/>
    </row>
    <row r="332" spans="3:10">
      <c r="D332" s="20">
        <f>D331*7.5</f>
        <v>1.5384615384615385</v>
      </c>
      <c r="E332" s="21" t="s">
        <v>973</v>
      </c>
      <c r="F332" s="21"/>
    </row>
    <row r="333" spans="3:10">
      <c r="D333" s="20"/>
      <c r="E333" s="21"/>
      <c r="F333" s="21"/>
    </row>
    <row r="334" spans="3:10">
      <c r="C334" s="90"/>
      <c r="D334" s="89">
        <f>D318*D321</f>
        <v>0</v>
      </c>
      <c r="E334" s="21" t="s">
        <v>489</v>
      </c>
      <c r="F334" s="21"/>
    </row>
    <row r="335" spans="3:10">
      <c r="D335" s="73">
        <f>D324*D318*7.5</f>
        <v>1307.6923076923076</v>
      </c>
      <c r="E335" s="16" t="s">
        <v>56</v>
      </c>
    </row>
    <row r="336" spans="3:10">
      <c r="D336" s="73">
        <f>D329*D318*7.5</f>
        <v>0</v>
      </c>
      <c r="E336" s="21" t="s">
        <v>127</v>
      </c>
    </row>
    <row r="337" spans="3:6">
      <c r="D337" s="74">
        <f>SUM(D334:D336)</f>
        <v>1307.6923076923076</v>
      </c>
      <c r="E337" s="47" t="s">
        <v>413</v>
      </c>
    </row>
    <row r="338" spans="3:6">
      <c r="D338">
        <f>ROUNDUP(D332/21,0)</f>
        <v>1</v>
      </c>
      <c r="E338" t="s">
        <v>739</v>
      </c>
    </row>
    <row r="339" spans="3:6">
      <c r="D339" s="532">
        <f>D332</f>
        <v>1.5384615384615385</v>
      </c>
      <c r="E339" t="s">
        <v>793</v>
      </c>
      <c r="F339" s="532"/>
    </row>
    <row r="340" spans="3:6">
      <c r="C340" t="s">
        <v>70</v>
      </c>
      <c r="D340" s="23" t="s">
        <v>161</v>
      </c>
    </row>
    <row r="344" spans="3:6">
      <c r="D344" s="46">
        <f>D303</f>
        <v>0.20512820512820515</v>
      </c>
      <c r="E344" s="16" t="s">
        <v>115</v>
      </c>
    </row>
    <row r="345" spans="3:6">
      <c r="D345" s="23" t="str">
        <f>IF(D303&gt;1,"YES","NO")</f>
        <v>NO</v>
      </c>
      <c r="E345" s="16" t="s">
        <v>72</v>
      </c>
    </row>
    <row r="346" spans="3:6">
      <c r="D346" s="23">
        <f>FLOOR(D303,1)</f>
        <v>0</v>
      </c>
      <c r="E346" s="16" t="s">
        <v>116</v>
      </c>
    </row>
    <row r="347" spans="3:6">
      <c r="D347" s="65"/>
      <c r="E347" s="24"/>
    </row>
    <row r="348" spans="3:6">
      <c r="D348" s="400">
        <f>D284*D285*D346</f>
        <v>0</v>
      </c>
      <c r="E348" s="41" t="s">
        <v>117</v>
      </c>
    </row>
    <row r="349" spans="3:6">
      <c r="D349" s="65"/>
    </row>
    <row r="350" spans="3:6">
      <c r="D350" s="65"/>
    </row>
    <row r="351" spans="3:6">
      <c r="D351" s="65"/>
    </row>
    <row r="352" spans="3:6">
      <c r="C352" s="1" t="s">
        <v>4</v>
      </c>
      <c r="D352" s="23" t="s">
        <v>128</v>
      </c>
    </row>
    <row r="353" spans="4:6">
      <c r="D353" s="93"/>
    </row>
    <row r="354" spans="4:6">
      <c r="D354" s="93"/>
    </row>
    <row r="355" spans="4:6">
      <c r="D355" s="94" t="s">
        <v>91</v>
      </c>
      <c r="E355" s="41"/>
    </row>
    <row r="356" spans="4:6">
      <c r="D356" s="98">
        <f>'Overall Assumptions'!$C$6</f>
        <v>100</v>
      </c>
      <c r="E356" s="43" t="s">
        <v>23</v>
      </c>
    </row>
    <row r="357" spans="4:6">
      <c r="D357" s="264">
        <v>50</v>
      </c>
      <c r="E357" s="153" t="s">
        <v>130</v>
      </c>
    </row>
    <row r="358" spans="4:6">
      <c r="D358" s="265">
        <v>0.5</v>
      </c>
      <c r="E358" s="202" t="s">
        <v>129</v>
      </c>
    </row>
    <row r="359" spans="4:6">
      <c r="D359" s="93"/>
    </row>
    <row r="360" spans="4:6">
      <c r="D360" s="71">
        <f>D356*D357</f>
        <v>5000</v>
      </c>
      <c r="E360" s="16" t="s">
        <v>41</v>
      </c>
    </row>
    <row r="361" spans="4:6">
      <c r="D361" s="74">
        <f>D358*D360</f>
        <v>2500</v>
      </c>
      <c r="E361" s="39" t="s">
        <v>67</v>
      </c>
    </row>
    <row r="362" spans="4:6">
      <c r="D362" s="344">
        <v>1</v>
      </c>
      <c r="E362" s="16" t="s">
        <v>263</v>
      </c>
    </row>
    <row r="363" spans="4:6">
      <c r="D363" t="s">
        <v>466</v>
      </c>
      <c r="E363" s="24"/>
    </row>
    <row r="364" spans="4:6">
      <c r="D364" s="469" t="s">
        <v>179</v>
      </c>
      <c r="E364" s="470"/>
      <c r="F364" s="161"/>
    </row>
    <row r="365" spans="4:6">
      <c r="D365" s="471">
        <v>1.6</v>
      </c>
      <c r="E365" s="624" t="s">
        <v>467</v>
      </c>
      <c r="F365" s="246"/>
    </row>
    <row r="366" spans="4:6">
      <c r="D366" s="56">
        <f>'Overall Assumptions'!$C$10</f>
        <v>0</v>
      </c>
      <c r="E366" s="333" t="s">
        <v>85</v>
      </c>
      <c r="F366" s="162"/>
    </row>
    <row r="367" spans="4:6">
      <c r="D367" s="25"/>
    </row>
    <row r="368" spans="4:6">
      <c r="D368" s="441">
        <f>D365*D366*2</f>
        <v>0</v>
      </c>
      <c r="E368" s="16" t="s">
        <v>974</v>
      </c>
    </row>
    <row r="369" spans="3:9">
      <c r="D369" s="367"/>
    </row>
    <row r="370" spans="3:9">
      <c r="C370" t="s">
        <v>21</v>
      </c>
      <c r="D370" s="441">
        <v>15000</v>
      </c>
      <c r="E370" s="16" t="s">
        <v>406</v>
      </c>
    </row>
    <row r="371" spans="3:9">
      <c r="D371" s="344">
        <v>10</v>
      </c>
      <c r="E371" s="16" t="s">
        <v>414</v>
      </c>
    </row>
    <row r="372" spans="3:9">
      <c r="D372" s="367"/>
    </row>
    <row r="373" spans="3:9">
      <c r="D373" s="367"/>
    </row>
    <row r="374" spans="3:9">
      <c r="D374" s="438"/>
      <c r="E374" s="333"/>
      <c r="F374" s="439"/>
    </row>
    <row r="375" spans="3:9">
      <c r="D375" s="832" t="s">
        <v>172</v>
      </c>
      <c r="E375" s="1" t="s">
        <v>155</v>
      </c>
      <c r="F375" s="1" t="s">
        <v>173</v>
      </c>
      <c r="G375" s="1103" t="s">
        <v>174</v>
      </c>
      <c r="H375" s="618" t="s">
        <v>166</v>
      </c>
      <c r="I375" s="619" t="s">
        <v>69</v>
      </c>
    </row>
    <row r="376" spans="3:9">
      <c r="D376" s="404" t="s">
        <v>3</v>
      </c>
      <c r="E376" s="90">
        <f>D305</f>
        <v>0.20512820512820515</v>
      </c>
      <c r="F376" s="531"/>
      <c r="H376" s="432">
        <f>D310</f>
        <v>46.15384615384616</v>
      </c>
      <c r="I376" s="432" t="str">
        <f>E310</f>
        <v>Cost for labour</v>
      </c>
    </row>
    <row r="377" spans="3:9">
      <c r="D377" s="404" t="s">
        <v>490</v>
      </c>
      <c r="E377" s="90">
        <f>D331</f>
        <v>0.20512820512820515</v>
      </c>
      <c r="F377" s="531"/>
      <c r="G377" s="1104"/>
      <c r="H377" s="432">
        <f>D337</f>
        <v>1307.6923076923076</v>
      </c>
      <c r="I377" s="432" t="str">
        <f>E337</f>
        <v xml:space="preserve">Cost for all transport </v>
      </c>
    </row>
    <row r="378" spans="3:9">
      <c r="D378" s="404" t="s">
        <v>169</v>
      </c>
      <c r="E378" s="90">
        <f>D346</f>
        <v>0</v>
      </c>
      <c r="F378" s="531"/>
      <c r="G378" s="1104"/>
      <c r="H378" s="432">
        <f>D348</f>
        <v>0</v>
      </c>
      <c r="I378" s="432" t="str">
        <f>E348</f>
        <v>cost for accommodation and meals</v>
      </c>
    </row>
    <row r="379" spans="3:9">
      <c r="D379" s="404" t="s">
        <v>176</v>
      </c>
      <c r="E379" s="90"/>
      <c r="F379" s="531"/>
      <c r="H379" s="432">
        <f>SUM(D361,D368)</f>
        <v>2500</v>
      </c>
      <c r="I379" s="432" t="str">
        <f>E398</f>
        <v>Consumables cost</v>
      </c>
    </row>
    <row r="380" spans="3:9">
      <c r="D380" s="404" t="s">
        <v>21</v>
      </c>
      <c r="E380" s="90"/>
      <c r="F380" s="531"/>
      <c r="H380" s="432">
        <f>D370</f>
        <v>15000</v>
      </c>
      <c r="I380" s="432" t="str">
        <f>E370</f>
        <v>Sweating Rack</v>
      </c>
    </row>
    <row r="381" spans="3:9">
      <c r="D381" s="405"/>
      <c r="E381" s="439"/>
      <c r="F381" s="439"/>
      <c r="G381" s="1098"/>
      <c r="H381" s="622">
        <f>SUM(H376:H380)</f>
        <v>18853.846153846152</v>
      </c>
      <c r="I381" s="623" t="s">
        <v>165</v>
      </c>
    </row>
    <row r="382" spans="3:9">
      <c r="D382"/>
      <c r="E382"/>
      <c r="H382" s="432"/>
      <c r="I382" s="432"/>
    </row>
    <row r="384" spans="3:9">
      <c r="D384" s="25"/>
    </row>
    <row r="385" spans="3:36" s="7" customFormat="1">
      <c r="D385" s="69"/>
      <c r="E385" s="36"/>
      <c r="G385" s="1089"/>
      <c r="AI385"/>
      <c r="AJ385"/>
    </row>
    <row r="386" spans="3:36" s="7" customFormat="1">
      <c r="D386" s="103"/>
      <c r="E386" s="103"/>
      <c r="G386" s="1089"/>
      <c r="AI386"/>
      <c r="AJ386"/>
    </row>
    <row r="387" spans="3:36">
      <c r="D387"/>
      <c r="F387" s="16"/>
    </row>
    <row r="388" spans="3:36">
      <c r="C388" s="198" t="s">
        <v>226</v>
      </c>
      <c r="D388" s="16" t="s">
        <v>956</v>
      </c>
    </row>
    <row r="389" spans="3:36">
      <c r="C389" s="1" t="s">
        <v>4</v>
      </c>
      <c r="D389" s="23" t="s">
        <v>128</v>
      </c>
    </row>
    <row r="390" spans="3:36">
      <c r="D390" s="93"/>
    </row>
    <row r="391" spans="3:36">
      <c r="D391" s="93"/>
    </row>
    <row r="392" spans="3:36">
      <c r="D392" s="94" t="s">
        <v>91</v>
      </c>
      <c r="E392" s="41"/>
    </row>
    <row r="393" spans="3:36">
      <c r="D393" s="98">
        <f>'Overall Assumptions'!$C$6</f>
        <v>100</v>
      </c>
      <c r="E393" s="43" t="s">
        <v>23</v>
      </c>
    </row>
    <row r="394" spans="3:36">
      <c r="D394" s="264">
        <v>50</v>
      </c>
      <c r="E394" s="43" t="s">
        <v>130</v>
      </c>
    </row>
    <row r="395" spans="3:36">
      <c r="D395" s="265">
        <v>0.5</v>
      </c>
      <c r="E395" s="45" t="s">
        <v>129</v>
      </c>
    </row>
    <row r="396" spans="3:36">
      <c r="D396" s="93"/>
    </row>
    <row r="397" spans="3:36">
      <c r="D397" s="71">
        <f>D393*D394</f>
        <v>5000</v>
      </c>
      <c r="E397" s="16" t="s">
        <v>41</v>
      </c>
    </row>
    <row r="398" spans="3:36">
      <c r="D398" s="74">
        <f>D395*D397</f>
        <v>2500</v>
      </c>
      <c r="E398" s="39" t="s">
        <v>67</v>
      </c>
    </row>
    <row r="399" spans="3:36">
      <c r="D399" s="344">
        <v>1</v>
      </c>
      <c r="E399" s="16" t="s">
        <v>263</v>
      </c>
    </row>
    <row r="400" spans="3:36">
      <c r="D400" t="s">
        <v>466</v>
      </c>
      <c r="E400" s="24"/>
    </row>
    <row r="401" spans="3:7">
      <c r="D401" s="469" t="s">
        <v>179</v>
      </c>
      <c r="E401" s="470"/>
      <c r="F401" s="161"/>
    </row>
    <row r="402" spans="3:7">
      <c r="D402" s="471">
        <v>1.6</v>
      </c>
      <c r="E402" s="624" t="s">
        <v>467</v>
      </c>
      <c r="F402" s="246"/>
    </row>
    <row r="403" spans="3:7">
      <c r="D403" s="56" t="s">
        <v>958</v>
      </c>
      <c r="E403" s="333"/>
      <c r="F403" s="162"/>
    </row>
    <row r="404" spans="3:7">
      <c r="D404" s="25"/>
    </row>
    <row r="405" spans="3:7">
      <c r="D405" s="441"/>
    </row>
    <row r="406" spans="3:7">
      <c r="D406" s="25"/>
    </row>
    <row r="407" spans="3:7">
      <c r="C407" s="1" t="s">
        <v>42</v>
      </c>
      <c r="D407" s="951">
        <v>15000</v>
      </c>
      <c r="E407" s="954" t="s">
        <v>406</v>
      </c>
    </row>
    <row r="408" spans="3:7">
      <c r="D408" s="952">
        <v>10</v>
      </c>
      <c r="E408" s="953" t="s">
        <v>414</v>
      </c>
    </row>
    <row r="409" spans="3:7">
      <c r="D409"/>
    </row>
    <row r="410" spans="3:7">
      <c r="C410" s="1" t="s">
        <v>3</v>
      </c>
    </row>
    <row r="412" spans="3:7" ht="19">
      <c r="C412" t="s">
        <v>92</v>
      </c>
      <c r="D412" s="37" t="s">
        <v>90</v>
      </c>
    </row>
    <row r="415" spans="3:7">
      <c r="D415" s="67" t="s">
        <v>91</v>
      </c>
      <c r="E415" s="164"/>
      <c r="F415" s="255"/>
      <c r="G415" s="1139"/>
    </row>
    <row r="416" spans="3:7">
      <c r="D416" s="42">
        <f>'Overall Assumptions'!$C$132</f>
        <v>0.5</v>
      </c>
      <c r="E416" s="16" t="s">
        <v>79</v>
      </c>
      <c r="G416" s="1140"/>
    </row>
    <row r="417" spans="3:10">
      <c r="D417" s="42"/>
      <c r="G417" s="1141"/>
      <c r="H417" s="6"/>
    </row>
    <row r="418" spans="3:10">
      <c r="D418" s="252"/>
      <c r="E418" s="24"/>
      <c r="G418" s="1141"/>
      <c r="H418" s="6"/>
    </row>
    <row r="419" spans="3:10">
      <c r="D419" s="42">
        <f>'Overall Assumptions'!$C$53</f>
        <v>4.46</v>
      </c>
      <c r="E419" s="46" t="s">
        <v>780</v>
      </c>
      <c r="G419" s="1141"/>
      <c r="H419" s="6"/>
    </row>
    <row r="420" spans="3:10">
      <c r="D420" s="42">
        <f>'Overall Assumptions'!$C$54</f>
        <v>3.3449999999999998</v>
      </c>
      <c r="E420" s="46" t="s">
        <v>781</v>
      </c>
      <c r="G420" s="1141"/>
      <c r="H420" s="6"/>
    </row>
    <row r="421" spans="3:10">
      <c r="D421" s="125">
        <f>'Overall Assumptions'!$C$55</f>
        <v>2.23</v>
      </c>
      <c r="E421" s="695" t="s">
        <v>782</v>
      </c>
      <c r="F421" s="439"/>
      <c r="G421" s="1142"/>
      <c r="H421" s="6"/>
    </row>
    <row r="422" spans="3:10">
      <c r="G422" s="1100"/>
      <c r="H422" s="3"/>
      <c r="I422" s="3"/>
    </row>
    <row r="423" spans="3:10">
      <c r="D423" s="46"/>
      <c r="G423" s="1100"/>
      <c r="H423" s="3"/>
      <c r="I423" s="3"/>
    </row>
    <row r="424" spans="3:10">
      <c r="D424" s="46"/>
      <c r="G424" s="1100"/>
      <c r="H424" s="3"/>
      <c r="I424" s="3"/>
    </row>
    <row r="425" spans="3:10">
      <c r="D425" s="48"/>
      <c r="E425" s="24"/>
      <c r="G425" s="1100"/>
      <c r="H425" s="3"/>
      <c r="I425" s="3"/>
    </row>
    <row r="426" spans="3:10" ht="19">
      <c r="C426" t="s">
        <v>50</v>
      </c>
      <c r="D426" s="37" t="s">
        <v>959</v>
      </c>
      <c r="E426" s="24"/>
      <c r="F426" s="1"/>
      <c r="G426" s="1100"/>
      <c r="H426" s="3"/>
      <c r="I426" s="3"/>
      <c r="J426" s="3"/>
    </row>
    <row r="427" spans="3:10">
      <c r="F427" s="1"/>
      <c r="G427" s="1100"/>
      <c r="H427" s="3"/>
      <c r="I427" s="3"/>
      <c r="J427" s="3"/>
    </row>
    <row r="428" spans="3:10">
      <c r="D428" s="49"/>
    </row>
    <row r="429" spans="3:10">
      <c r="D429" s="160" t="s">
        <v>240</v>
      </c>
      <c r="G429" s="1143"/>
    </row>
    <row r="430" spans="3:10">
      <c r="D430" s="50"/>
    </row>
    <row r="431" spans="3:10">
      <c r="D431" s="51" t="s">
        <v>82</v>
      </c>
      <c r="E431" s="39"/>
    </row>
    <row r="432" spans="3:10" ht="19">
      <c r="D432" s="52">
        <f>'Overall Assumptions'!$C$68</f>
        <v>225</v>
      </c>
      <c r="E432" s="53" t="s">
        <v>99</v>
      </c>
    </row>
    <row r="433" spans="3:10">
      <c r="D433" s="54">
        <f>'Overall Assumptions'!$C$130</f>
        <v>2</v>
      </c>
      <c r="E433" s="43" t="s">
        <v>84</v>
      </c>
    </row>
    <row r="434" spans="3:10">
      <c r="D434" s="616"/>
      <c r="E434" s="43"/>
    </row>
    <row r="435" spans="3:10">
      <c r="D435" s="54">
        <f>'Overall Assumptions'!$C$6</f>
        <v>100</v>
      </c>
      <c r="E435" s="43" t="s">
        <v>80</v>
      </c>
    </row>
    <row r="436" spans="3:10">
      <c r="D436" s="440">
        <f>D416</f>
        <v>0.5</v>
      </c>
      <c r="E436" s="43" t="s">
        <v>584</v>
      </c>
    </row>
    <row r="437" spans="3:10">
      <c r="D437" s="54">
        <f>D435/D436</f>
        <v>200</v>
      </c>
      <c r="E437" s="43" t="s">
        <v>790</v>
      </c>
    </row>
    <row r="438" spans="3:10">
      <c r="D438" s="876">
        <v>5</v>
      </c>
      <c r="E438" s="43" t="s">
        <v>912</v>
      </c>
      <c r="G438" s="359" t="s">
        <v>957</v>
      </c>
    </row>
    <row r="439" spans="3:10">
      <c r="D439" s="54">
        <f>'Overall Assumptions'!$C$90</f>
        <v>80</v>
      </c>
      <c r="E439" s="43" t="s">
        <v>86</v>
      </c>
    </row>
    <row r="440" spans="3:10">
      <c r="D440" s="56">
        <f>'Overall Assumptions'!$C$81</f>
        <v>210</v>
      </c>
      <c r="E440" s="45" t="s">
        <v>87</v>
      </c>
      <c r="J440" s="578"/>
    </row>
    <row r="441" spans="3:10">
      <c r="D441" s="75"/>
      <c r="E441" s="76"/>
      <c r="F441" s="79"/>
      <c r="G441" s="1119"/>
      <c r="J441" s="578"/>
    </row>
    <row r="442" spans="3:10">
      <c r="D442" s="833">
        <f>D419</f>
        <v>4.46</v>
      </c>
      <c r="E442" s="870">
        <f>D420</f>
        <v>3.3449999999999998</v>
      </c>
      <c r="F442" s="128">
        <f>D421</f>
        <v>2.23</v>
      </c>
      <c r="G442" s="1119" t="s">
        <v>792</v>
      </c>
      <c r="J442" s="578"/>
    </row>
    <row r="443" spans="3:10">
      <c r="D443" s="869" t="s">
        <v>788</v>
      </c>
      <c r="E443" s="76" t="s">
        <v>791</v>
      </c>
      <c r="F443" s="79" t="s">
        <v>789</v>
      </c>
      <c r="G443" s="1119"/>
    </row>
    <row r="444" spans="3:10">
      <c r="C444" s="21"/>
      <c r="D444" s="58"/>
      <c r="G444" s="693"/>
      <c r="J444" s="90"/>
    </row>
    <row r="445" spans="3:10">
      <c r="C445" s="21"/>
      <c r="D445" s="58"/>
      <c r="G445" s="1123"/>
    </row>
    <row r="446" spans="3:10">
      <c r="C446" s="21"/>
      <c r="D446" s="77">
        <f>$D437/D442/7.5</f>
        <v>5.9790732436472345</v>
      </c>
      <c r="E446" s="77">
        <f>$D437/E442/7.5</f>
        <v>7.9720976581963141</v>
      </c>
      <c r="F446" s="77">
        <f>$D437/F442/7.5</f>
        <v>11.958146487294469</v>
      </c>
      <c r="G446" s="693" t="s">
        <v>242</v>
      </c>
      <c r="J446" s="90"/>
    </row>
    <row r="447" spans="3:10" ht="18" customHeight="1">
      <c r="C447" s="21"/>
      <c r="D447" s="58"/>
      <c r="E447" s="59"/>
      <c r="F447" s="19"/>
    </row>
    <row r="448" spans="3:10" ht="18" customHeight="1">
      <c r="C448" s="21"/>
      <c r="D448" s="908">
        <f>D438</f>
        <v>5</v>
      </c>
      <c r="F448" s="19"/>
      <c r="G448" s="99" t="s">
        <v>469</v>
      </c>
    </row>
    <row r="449" spans="3:11">
      <c r="D449" s="16">
        <f>D397</f>
        <v>5000</v>
      </c>
      <c r="G449" s="99" t="str">
        <f>E397</f>
        <v>Total items/kgs needed</v>
      </c>
    </row>
    <row r="450" spans="3:11">
      <c r="D450" s="46">
        <f>D449*D448/60</f>
        <v>416.66666666666669</v>
      </c>
      <c r="G450" s="99" t="s">
        <v>239</v>
      </c>
      <c r="I450" s="16"/>
      <c r="J450" s="1"/>
    </row>
    <row r="451" spans="3:11">
      <c r="D451" s="46"/>
      <c r="G451" s="99"/>
      <c r="I451" s="16"/>
      <c r="J451" s="1"/>
    </row>
    <row r="452" spans="3:11">
      <c r="D452" s="77">
        <f>D450/7.5</f>
        <v>55.555555555555557</v>
      </c>
      <c r="E452" s="77">
        <f>D452</f>
        <v>55.555555555555557</v>
      </c>
      <c r="F452" s="90">
        <f>E452</f>
        <v>55.555555555555557</v>
      </c>
      <c r="G452" s="693" t="s">
        <v>241</v>
      </c>
      <c r="I452" s="30"/>
    </row>
    <row r="453" spans="3:11" ht="18" customHeight="1">
      <c r="C453" s="21"/>
      <c r="D453" s="58"/>
      <c r="E453" s="59"/>
      <c r="F453" s="19"/>
    </row>
    <row r="454" spans="3:11" ht="18" customHeight="1">
      <c r="C454" s="21"/>
      <c r="D454" s="77">
        <f>D444+D446+D452</f>
        <v>61.534628799202792</v>
      </c>
      <c r="E454" s="77">
        <f>E444+E446+E452</f>
        <v>63.527653213751869</v>
      </c>
      <c r="F454" s="77">
        <f>F444+F446+F452</f>
        <v>67.513702042850028</v>
      </c>
      <c r="G454" s="99" t="s">
        <v>157</v>
      </c>
    </row>
    <row r="455" spans="3:11">
      <c r="C455" s="21"/>
      <c r="G455" s="99"/>
    </row>
    <row r="456" spans="3:11">
      <c r="C456" s="21"/>
      <c r="D456" s="77">
        <f>D454*$D433</f>
        <v>123.06925759840558</v>
      </c>
      <c r="E456" s="77">
        <f>E454*$D433</f>
        <v>127.05530642750374</v>
      </c>
      <c r="F456" s="77">
        <f>F454*$D433</f>
        <v>135.02740408570006</v>
      </c>
      <c r="G456" s="99" t="s">
        <v>566</v>
      </c>
      <c r="J456" s="90"/>
    </row>
    <row r="457" spans="3:11">
      <c r="C457" s="21"/>
      <c r="D457" s="77"/>
      <c r="J457" s="90"/>
    </row>
    <row r="458" spans="3:11">
      <c r="C458" s="21"/>
      <c r="D458" s="64">
        <f>D456*$D432</f>
        <v>27690.582959641255</v>
      </c>
      <c r="E458" s="905">
        <f>E456*$D432</f>
        <v>28587.443946188341</v>
      </c>
      <c r="F458" s="905">
        <f>F456*$D432</f>
        <v>30381.165919282514</v>
      </c>
      <c r="G458" s="1101" t="s">
        <v>486</v>
      </c>
      <c r="J458" s="259"/>
      <c r="K458" s="16"/>
    </row>
    <row r="459" spans="3:11">
      <c r="C459" s="21"/>
      <c r="D459" s="63"/>
      <c r="J459" s="259"/>
      <c r="K459" s="16"/>
    </row>
    <row r="460" spans="3:11">
      <c r="D460" s="63"/>
    </row>
    <row r="461" spans="3:11">
      <c r="H461" s="259"/>
      <c r="J461" s="65"/>
      <c r="K461" s="24"/>
    </row>
    <row r="462" spans="3:11">
      <c r="D462" s="65"/>
      <c r="E462" s="24"/>
      <c r="J462" s="65"/>
      <c r="K462" s="24"/>
    </row>
    <row r="463" spans="3:11">
      <c r="E463" s="24"/>
    </row>
    <row r="464" spans="3:11" ht="19">
      <c r="C464" t="s">
        <v>132</v>
      </c>
      <c r="D464" s="37" t="s">
        <v>89</v>
      </c>
    </row>
    <row r="465" spans="3:11">
      <c r="C465" t="s">
        <v>54</v>
      </c>
    </row>
    <row r="466" spans="3:11">
      <c r="D466" s="160" t="s">
        <v>243</v>
      </c>
    </row>
    <row r="467" spans="3:11">
      <c r="D467" s="16"/>
    </row>
    <row r="468" spans="3:11">
      <c r="D468" s="67" t="s">
        <v>91</v>
      </c>
      <c r="E468" s="41"/>
    </row>
    <row r="469" spans="3:11">
      <c r="D469" s="52">
        <f>'Overall Assumptions'!$C$93</f>
        <v>285</v>
      </c>
      <c r="E469" s="41" t="s">
        <v>93</v>
      </c>
    </row>
    <row r="470" spans="3:11">
      <c r="D470" s="54"/>
      <c r="E470" s="43"/>
    </row>
    <row r="471" spans="3:11">
      <c r="D471" s="54">
        <f>'Overall Assumptions'!$C$90</f>
        <v>80</v>
      </c>
      <c r="E471" s="43" t="s">
        <v>86</v>
      </c>
    </row>
    <row r="472" spans="3:11">
      <c r="D472" s="616"/>
      <c r="E472" s="43"/>
    </row>
    <row r="473" spans="3:11">
      <c r="D473" s="56">
        <f>$D$435</f>
        <v>100</v>
      </c>
      <c r="E473" s="45" t="s">
        <v>80</v>
      </c>
      <c r="J473" s="578"/>
    </row>
    <row r="474" spans="3:11">
      <c r="D474" s="75"/>
    </row>
    <row r="475" spans="3:11">
      <c r="D475" s="46">
        <f>2*D470/D471/7.5</f>
        <v>0</v>
      </c>
      <c r="G475" s="693" t="s">
        <v>97</v>
      </c>
      <c r="J475" s="532"/>
      <c r="K475" s="59"/>
    </row>
    <row r="476" spans="3:11">
      <c r="D476" s="46">
        <f>D446</f>
        <v>5.9790732436472345</v>
      </c>
      <c r="E476" s="46">
        <f>E446</f>
        <v>7.9720976581963141</v>
      </c>
      <c r="F476" s="46">
        <f>F446</f>
        <v>11.958146487294469</v>
      </c>
      <c r="G476" s="693" t="s">
        <v>98</v>
      </c>
      <c r="K476" s="59"/>
    </row>
    <row r="477" spans="3:11">
      <c r="D477" s="46">
        <f>D452</f>
        <v>55.555555555555557</v>
      </c>
      <c r="E477" s="46">
        <f>E452</f>
        <v>55.555555555555557</v>
      </c>
      <c r="F477" s="46">
        <f>F452</f>
        <v>55.555555555555557</v>
      </c>
      <c r="G477" s="693" t="s">
        <v>913</v>
      </c>
      <c r="K477" s="59"/>
    </row>
    <row r="478" spans="3:11">
      <c r="D478" s="46">
        <f>SUM(D475:D477)</f>
        <v>61.534628799202792</v>
      </c>
      <c r="E478" s="46">
        <f>SUM(E475:E477)</f>
        <v>63.527653213751869</v>
      </c>
      <c r="F478" s="46">
        <f>SUM(F475:F477)</f>
        <v>67.513702042850028</v>
      </c>
      <c r="G478" s="693" t="s">
        <v>135</v>
      </c>
      <c r="J478" s="90"/>
    </row>
    <row r="479" spans="3:11">
      <c r="D479" s="63"/>
      <c r="J479" s="259"/>
      <c r="K479" s="16"/>
    </row>
    <row r="480" spans="3:11">
      <c r="D480" s="63"/>
      <c r="J480" s="259"/>
      <c r="K480" s="16"/>
    </row>
    <row r="481" spans="3:12">
      <c r="D481" s="68">
        <f>D478*$D469</f>
        <v>17537.369207772797</v>
      </c>
      <c r="E481" s="906">
        <f>E478*$D469</f>
        <v>18105.381165919283</v>
      </c>
      <c r="F481" s="906">
        <f>F478*$D469</f>
        <v>19241.405082212259</v>
      </c>
      <c r="G481" s="1126" t="s">
        <v>53</v>
      </c>
      <c r="J481" s="65"/>
      <c r="K481" s="24"/>
    </row>
    <row r="482" spans="3:12">
      <c r="D482">
        <f>ROUNDUP(D478/21,0)</f>
        <v>3</v>
      </c>
      <c r="E482">
        <f>ROUNDUP(E478/21,0)</f>
        <v>4</v>
      </c>
      <c r="F482">
        <f>ROUNDUP(F478/21,0)</f>
        <v>4</v>
      </c>
      <c r="G482" s="359" t="s">
        <v>739</v>
      </c>
      <c r="J482" s="65"/>
      <c r="K482" s="24"/>
    </row>
    <row r="483" spans="3:12">
      <c r="D483" s="532">
        <f>D478</f>
        <v>61.534628799202792</v>
      </c>
      <c r="E483" s="532">
        <f>E478</f>
        <v>63.527653213751869</v>
      </c>
      <c r="F483" s="532">
        <f>F478</f>
        <v>67.513702042850028</v>
      </c>
      <c r="G483" s="359" t="s">
        <v>793</v>
      </c>
      <c r="J483" s="65"/>
      <c r="K483" s="24"/>
    </row>
    <row r="484" spans="3:12">
      <c r="D484"/>
      <c r="E484"/>
      <c r="J484" s="65"/>
      <c r="K484" s="24"/>
    </row>
    <row r="485" spans="3:12">
      <c r="C485" t="s">
        <v>70</v>
      </c>
      <c r="D485" s="58"/>
      <c r="E485" s="59" t="s">
        <v>156</v>
      </c>
      <c r="J485" s="65"/>
      <c r="K485" s="24"/>
    </row>
    <row r="486" spans="3:12">
      <c r="D486" s="58"/>
      <c r="E486" s="59"/>
      <c r="J486" s="65"/>
      <c r="K486" s="24"/>
    </row>
    <row r="487" spans="3:12">
      <c r="D487" s="58"/>
      <c r="E487" s="59"/>
      <c r="J487" s="65"/>
      <c r="K487" s="24"/>
    </row>
    <row r="488" spans="3:12">
      <c r="D488" s="25">
        <f>D454</f>
        <v>61.534628799202792</v>
      </c>
      <c r="E488" s="25">
        <f>E454</f>
        <v>63.527653213751869</v>
      </c>
      <c r="F488" s="25">
        <f>F454</f>
        <v>67.513702042850028</v>
      </c>
      <c r="G488" s="99" t="s">
        <v>157</v>
      </c>
      <c r="J488" s="65"/>
      <c r="K488" s="24"/>
    </row>
    <row r="489" spans="3:12">
      <c r="D489" s="61">
        <f>FLOOR(D488,1)</f>
        <v>61</v>
      </c>
      <c r="E489" s="61">
        <f>FLOOR(E488,1)</f>
        <v>63</v>
      </c>
      <c r="F489" s="61">
        <f>FLOOR(F488,1)</f>
        <v>67</v>
      </c>
      <c r="G489" s="99" t="s">
        <v>73</v>
      </c>
      <c r="J489" s="65"/>
      <c r="K489" s="24"/>
    </row>
    <row r="490" spans="3:12">
      <c r="D490" s="146">
        <f>D489*$D433</f>
        <v>122</v>
      </c>
      <c r="E490" s="146">
        <f>E489*$D433</f>
        <v>126</v>
      </c>
      <c r="F490" s="146">
        <f>F489*$D433</f>
        <v>134</v>
      </c>
      <c r="G490" s="1102" t="s">
        <v>175</v>
      </c>
      <c r="J490" s="65"/>
      <c r="K490" s="24"/>
    </row>
    <row r="491" spans="3:12">
      <c r="D491" s="65"/>
      <c r="E491" s="65"/>
      <c r="F491" s="65"/>
      <c r="G491" s="1102" t="s">
        <v>88</v>
      </c>
      <c r="J491" s="65"/>
      <c r="K491" s="24"/>
    </row>
    <row r="492" spans="3:12">
      <c r="D492" s="102">
        <f>D490*$D440</f>
        <v>25620</v>
      </c>
      <c r="E492" s="907">
        <f>E490*$D440</f>
        <v>26460</v>
      </c>
      <c r="F492" s="907">
        <f>F490*$D440</f>
        <v>28140</v>
      </c>
      <c r="G492" s="1101" t="s">
        <v>74</v>
      </c>
      <c r="J492" s="259"/>
      <c r="K492" s="16"/>
    </row>
    <row r="493" spans="3:12">
      <c r="D493" s="65"/>
      <c r="E493" s="1" t="s">
        <v>788</v>
      </c>
      <c r="F493" s="1" t="s">
        <v>779</v>
      </c>
      <c r="G493" s="1" t="s">
        <v>789</v>
      </c>
      <c r="H493" s="1" t="s">
        <v>788</v>
      </c>
      <c r="I493" s="1" t="s">
        <v>779</v>
      </c>
      <c r="J493" s="1" t="s">
        <v>789</v>
      </c>
      <c r="K493" s="24"/>
    </row>
    <row r="494" spans="3:12">
      <c r="C494" s="198"/>
      <c r="D494" s="617" t="s">
        <v>172</v>
      </c>
      <c r="E494" s="618" t="s">
        <v>155</v>
      </c>
      <c r="F494" s="618" t="s">
        <v>155</v>
      </c>
      <c r="G494" s="618" t="s">
        <v>155</v>
      </c>
      <c r="H494" s="618" t="s">
        <v>166</v>
      </c>
      <c r="I494" s="255"/>
      <c r="J494" s="255"/>
      <c r="K494" s="619" t="s">
        <v>69</v>
      </c>
    </row>
    <row r="495" spans="3:12">
      <c r="C495" s="198"/>
      <c r="D495" s="404" t="s">
        <v>3</v>
      </c>
      <c r="E495" s="128">
        <f>D456</f>
        <v>123.06925759840558</v>
      </c>
      <c r="F495" s="128">
        <f t="shared" ref="F495:G495" si="32">E456</f>
        <v>127.05530642750374</v>
      </c>
      <c r="G495" s="128">
        <f t="shared" si="32"/>
        <v>135.02740408570006</v>
      </c>
      <c r="H495" s="92">
        <f>D458</f>
        <v>27690.582959641255</v>
      </c>
      <c r="I495" s="92">
        <f>E458</f>
        <v>28587.443946188341</v>
      </c>
      <c r="J495" s="92">
        <f>F458</f>
        <v>30381.165919282514</v>
      </c>
      <c r="K495" s="830" t="str">
        <f>G458</f>
        <v>Cost for labour</v>
      </c>
      <c r="L495">
        <v>1</v>
      </c>
    </row>
    <row r="496" spans="3:12">
      <c r="C496" s="198"/>
      <c r="D496" s="404" t="s">
        <v>490</v>
      </c>
      <c r="E496" s="128">
        <f>D478</f>
        <v>61.534628799202792</v>
      </c>
      <c r="F496" s="128">
        <f t="shared" ref="F496:G496" si="33">E478</f>
        <v>63.527653213751869</v>
      </c>
      <c r="G496" s="128">
        <f t="shared" si="33"/>
        <v>67.513702042850028</v>
      </c>
      <c r="H496" s="92">
        <f>D481</f>
        <v>17537.369207772797</v>
      </c>
      <c r="I496" s="92">
        <f>E481</f>
        <v>18105.381165919283</v>
      </c>
      <c r="J496" s="92">
        <f>F481</f>
        <v>19241.405082212259</v>
      </c>
      <c r="K496" s="830" t="str">
        <f>G481</f>
        <v>Cost for ute hire for the whole activity</v>
      </c>
      <c r="L496">
        <v>1</v>
      </c>
    </row>
    <row r="497" spans="3:36">
      <c r="C497" s="198"/>
      <c r="D497" s="404" t="s">
        <v>169</v>
      </c>
      <c r="E497" s="128">
        <f>D490</f>
        <v>122</v>
      </c>
      <c r="F497" s="128">
        <f t="shared" ref="F497:G497" si="34">E490</f>
        <v>126</v>
      </c>
      <c r="G497" s="128">
        <f t="shared" si="34"/>
        <v>134</v>
      </c>
      <c r="H497" s="92">
        <f>D492</f>
        <v>25620</v>
      </c>
      <c r="I497" s="92">
        <f>E492</f>
        <v>26460</v>
      </c>
      <c r="J497" s="92">
        <f>F492</f>
        <v>28140</v>
      </c>
      <c r="K497" s="830" t="str">
        <f>G492</f>
        <v>Accomodation + Food Cost</v>
      </c>
      <c r="L497">
        <v>1</v>
      </c>
    </row>
    <row r="498" spans="3:36">
      <c r="D498" s="404" t="s">
        <v>176</v>
      </c>
      <c r="E498" s="128"/>
      <c r="F498" s="336"/>
      <c r="G498" s="1119"/>
      <c r="H498" s="92">
        <f>SUM(D398,D405)</f>
        <v>2500</v>
      </c>
      <c r="I498" s="92">
        <f>H498</f>
        <v>2500</v>
      </c>
      <c r="J498" s="92">
        <f>I498</f>
        <v>2500</v>
      </c>
      <c r="K498" s="830" t="str">
        <f>E398</f>
        <v>Consumables cost</v>
      </c>
      <c r="L498">
        <v>1</v>
      </c>
    </row>
    <row r="499" spans="3:36">
      <c r="D499" s="404" t="s">
        <v>21</v>
      </c>
      <c r="E499" s="128"/>
      <c r="F499" s="336"/>
      <c r="G499" s="1119"/>
      <c r="H499" s="92">
        <f>D407</f>
        <v>15000</v>
      </c>
      <c r="I499" s="92">
        <f>H499</f>
        <v>15000</v>
      </c>
      <c r="J499" s="92">
        <f>I499</f>
        <v>15000</v>
      </c>
      <c r="K499" s="830" t="str">
        <f>E407</f>
        <v>Sweating Rack</v>
      </c>
      <c r="L499">
        <v>10</v>
      </c>
    </row>
    <row r="500" spans="3:36">
      <c r="C500" s="198"/>
      <c r="D500" s="405"/>
      <c r="E500" s="439"/>
      <c r="F500" s="439"/>
      <c r="G500" s="1098"/>
      <c r="H500" s="622">
        <f>SUM(H495:H499)</f>
        <v>88347.952167414056</v>
      </c>
      <c r="I500" s="622">
        <f>SUM(I495:I499)</f>
        <v>90652.825112107617</v>
      </c>
      <c r="J500" s="622">
        <f>SUM(J495:J499)</f>
        <v>95262.571001494769</v>
      </c>
      <c r="K500" s="623" t="s">
        <v>165</v>
      </c>
    </row>
    <row r="502" spans="3:36">
      <c r="D502" s="65"/>
      <c r="E502" s="24"/>
    </row>
    <row r="503" spans="3:36">
      <c r="E503" s="24"/>
    </row>
    <row r="504" spans="3:36">
      <c r="D504" s="432"/>
      <c r="E504" s="24"/>
    </row>
    <row r="505" spans="3:36">
      <c r="D505" s="93"/>
    </row>
    <row r="506" spans="3:36">
      <c r="D506" s="25"/>
    </row>
    <row r="507" spans="3:36" s="7" customFormat="1">
      <c r="D507" s="69"/>
      <c r="E507" s="36"/>
      <c r="G507" s="1089"/>
      <c r="AI507"/>
      <c r="AJ507"/>
    </row>
    <row r="508" spans="3:36">
      <c r="D508"/>
      <c r="F508" s="16"/>
    </row>
    <row r="509" spans="3:36">
      <c r="D509" s="25"/>
    </row>
    <row r="510" spans="3:36" s="7" customFormat="1">
      <c r="D510" s="69"/>
      <c r="E510" s="36"/>
      <c r="G510" s="1089"/>
      <c r="AI510"/>
      <c r="AJ510"/>
    </row>
    <row r="511" spans="3:36">
      <c r="D511" s="25"/>
    </row>
    <row r="512" spans="3:36">
      <c r="C512" s="1" t="s">
        <v>164</v>
      </c>
      <c r="D512" s="16" t="s">
        <v>421</v>
      </c>
    </row>
    <row r="513" spans="3:10">
      <c r="D513" t="s">
        <v>168</v>
      </c>
    </row>
    <row r="514" spans="3:10">
      <c r="D514" t="s">
        <v>422</v>
      </c>
    </row>
    <row r="515" spans="3:10">
      <c r="E515"/>
    </row>
    <row r="516" spans="3:10">
      <c r="D516" s="402" t="s">
        <v>91</v>
      </c>
      <c r="E516" s="161"/>
      <c r="F516" s="161"/>
    </row>
    <row r="517" spans="3:10">
      <c r="D517" s="348">
        <f>'Overall Assumptions'!$C$123</f>
        <v>0.3</v>
      </c>
      <c r="E517" s="448" t="s">
        <v>420</v>
      </c>
      <c r="F517" s="452"/>
    </row>
    <row r="518" spans="3:10">
      <c r="D518" s="447">
        <v>5</v>
      </c>
      <c r="E518" s="449" t="s">
        <v>423</v>
      </c>
      <c r="F518" s="452"/>
    </row>
    <row r="519" spans="3:10">
      <c r="D519" s="450"/>
      <c r="E519" s="451"/>
      <c r="F519" s="453"/>
    </row>
    <row r="520" spans="3:10">
      <c r="D520" s="25"/>
    </row>
    <row r="521" spans="3:10">
      <c r="D521" s="834">
        <f>'Overall Assumptions'!C53</f>
        <v>4.46</v>
      </c>
      <c r="E521" s="835" t="str">
        <f>'Overall Assumptions'!D53</f>
        <v>Effective walking speed - low resistance (km/h)</v>
      </c>
      <c r="F521" s="532"/>
    </row>
    <row r="522" spans="3:10">
      <c r="D522" s="252">
        <f>'Overall Assumptions'!C54</f>
        <v>3.3449999999999998</v>
      </c>
      <c r="E522" s="631" t="str">
        <f>'Overall Assumptions'!D54</f>
        <v>Effective walking speed - moderate resistance (km/h)</v>
      </c>
      <c r="F522" s="532"/>
      <c r="G522" s="1100"/>
      <c r="H522" s="3"/>
      <c r="I522" s="3"/>
    </row>
    <row r="523" spans="3:10">
      <c r="D523" s="697">
        <f>'Overall Assumptions'!C55</f>
        <v>2.23</v>
      </c>
      <c r="E523" s="635" t="str">
        <f>'Overall Assumptions'!D55</f>
        <v>Effective walking speed - high resistance (km/h)</v>
      </c>
      <c r="F523" s="696"/>
      <c r="G523" s="1100"/>
      <c r="H523" s="3"/>
      <c r="I523" s="3"/>
      <c r="J523" s="6"/>
    </row>
    <row r="524" spans="3:10" ht="19">
      <c r="C524" t="s">
        <v>50</v>
      </c>
      <c r="D524" s="37" t="s">
        <v>81</v>
      </c>
      <c r="E524" s="24"/>
      <c r="F524" s="1"/>
      <c r="G524" s="1100"/>
      <c r="H524" s="3"/>
      <c r="I524" s="3"/>
      <c r="J524" s="3"/>
    </row>
    <row r="525" spans="3:10">
      <c r="F525" s="1"/>
      <c r="G525" s="1100"/>
      <c r="H525" s="3"/>
      <c r="I525" s="3"/>
      <c r="J525" s="3"/>
    </row>
    <row r="526" spans="3:10">
      <c r="D526" s="160" t="s">
        <v>408</v>
      </c>
    </row>
    <row r="528" spans="3:10">
      <c r="D528" s="50"/>
    </row>
    <row r="529" spans="4:10">
      <c r="D529" s="51" t="s">
        <v>82</v>
      </c>
      <c r="E529" s="39"/>
    </row>
    <row r="530" spans="4:10" ht="19">
      <c r="D530" s="52">
        <f>'Overall Assumptions'!$C$68</f>
        <v>225</v>
      </c>
      <c r="E530" s="53" t="s">
        <v>99</v>
      </c>
    </row>
    <row r="531" spans="4:10">
      <c r="D531" s="54">
        <v>2</v>
      </c>
      <c r="E531" s="43" t="s">
        <v>84</v>
      </c>
    </row>
    <row r="532" spans="4:10">
      <c r="D532" s="616"/>
      <c r="E532" s="43"/>
    </row>
    <row r="533" spans="4:10">
      <c r="D533" s="54">
        <f>'Overall Assumptions'!$C$6</f>
        <v>100</v>
      </c>
      <c r="E533" s="43" t="s">
        <v>80</v>
      </c>
    </row>
    <row r="534" spans="4:10">
      <c r="D534" s="440">
        <f>'Overall Assumptions'!$C$132</f>
        <v>0.5</v>
      </c>
      <c r="E534" s="43" t="s">
        <v>411</v>
      </c>
    </row>
    <row r="535" spans="4:10">
      <c r="D535" s="126">
        <f>D517</f>
        <v>0.3</v>
      </c>
      <c r="E535" s="43" t="s">
        <v>170</v>
      </c>
    </row>
    <row r="536" spans="4:10">
      <c r="D536" s="130">
        <f>D533*D535</f>
        <v>30</v>
      </c>
      <c r="E536" s="131" t="s">
        <v>410</v>
      </c>
    </row>
    <row r="537" spans="4:10">
      <c r="D537" s="130">
        <f>D536/D534</f>
        <v>60</v>
      </c>
      <c r="E537" s="131" t="s">
        <v>409</v>
      </c>
    </row>
    <row r="538" spans="4:10">
      <c r="D538" s="975">
        <f>SUM(E182,E183,E184)</f>
        <v>14.5</v>
      </c>
      <c r="E538" s="131" t="s">
        <v>468</v>
      </c>
    </row>
    <row r="539" spans="4:10">
      <c r="D539" s="54"/>
      <c r="E539" s="43"/>
    </row>
    <row r="540" spans="4:10">
      <c r="D540" s="54">
        <f>'Overall Assumptions'!$C$90</f>
        <v>80</v>
      </c>
      <c r="E540" s="43" t="s">
        <v>86</v>
      </c>
    </row>
    <row r="541" spans="4:10">
      <c r="D541" s="56">
        <f>SUM('Overall Assumptions'!$C$79:$C$80)</f>
        <v>210</v>
      </c>
      <c r="E541" s="45" t="s">
        <v>87</v>
      </c>
      <c r="J541" s="578"/>
    </row>
    <row r="542" spans="4:10">
      <c r="D542" s="57"/>
    </row>
    <row r="543" spans="4:10">
      <c r="D543" s="836">
        <f>D521</f>
        <v>4.46</v>
      </c>
      <c r="E543" s="837">
        <f>D522</f>
        <v>3.3449999999999998</v>
      </c>
      <c r="F543" s="539">
        <f>D523</f>
        <v>2.23</v>
      </c>
    </row>
    <row r="544" spans="4:10">
      <c r="D544" s="57" t="s">
        <v>788</v>
      </c>
      <c r="E544" s="153" t="s">
        <v>791</v>
      </c>
      <c r="F544" s="1" t="s">
        <v>789</v>
      </c>
    </row>
    <row r="545" spans="3:11">
      <c r="C545" s="21"/>
      <c r="D545" s="77"/>
      <c r="G545" s="693"/>
      <c r="J545" s="90"/>
    </row>
    <row r="546" spans="3:11">
      <c r="C546" s="21"/>
      <c r="D546" s="77"/>
      <c r="G546" s="1123"/>
    </row>
    <row r="547" spans="3:11">
      <c r="C547" s="21"/>
      <c r="D547" s="77">
        <f>$D537/D543/7.5</f>
        <v>1.7937219730941705</v>
      </c>
      <c r="E547" s="77">
        <f>$D537/E543/7.5</f>
        <v>2.391629297458894</v>
      </c>
      <c r="F547" s="77">
        <f>$D537/F543/7.5</f>
        <v>3.5874439461883409</v>
      </c>
      <c r="G547" s="693" t="s">
        <v>96</v>
      </c>
      <c r="J547" s="90"/>
    </row>
    <row r="548" spans="3:11" ht="18" customHeight="1">
      <c r="C548" s="21"/>
      <c r="D548" s="77"/>
      <c r="F548" s="19"/>
      <c r="G548" s="693" t="s">
        <v>83</v>
      </c>
    </row>
    <row r="549" spans="3:11" ht="18" customHeight="1">
      <c r="C549" s="21"/>
      <c r="D549" s="77">
        <f>$D538/7.5</f>
        <v>1.9333333333333333</v>
      </c>
      <c r="E549" s="77">
        <f>$D538/7.5</f>
        <v>1.9333333333333333</v>
      </c>
      <c r="F549" s="77">
        <f>$D538/7.5</f>
        <v>1.9333333333333333</v>
      </c>
      <c r="G549" s="693" t="s">
        <v>470</v>
      </c>
    </row>
    <row r="550" spans="3:11" ht="18" customHeight="1">
      <c r="C550" s="21"/>
      <c r="D550" s="77"/>
      <c r="F550" s="19"/>
      <c r="G550" s="693"/>
    </row>
    <row r="551" spans="3:11" ht="18" customHeight="1">
      <c r="C551" s="21"/>
      <c r="D551" s="77">
        <f>SUM(D545:D549)</f>
        <v>3.7270553064275038</v>
      </c>
      <c r="E551" s="77">
        <f>SUM(E545:E549)</f>
        <v>4.3249626307922275</v>
      </c>
      <c r="F551" s="77">
        <f>SUM(F545:F549)</f>
        <v>5.5207772795216741</v>
      </c>
      <c r="G551" s="693" t="s">
        <v>171</v>
      </c>
    </row>
    <row r="552" spans="3:11" ht="18" customHeight="1">
      <c r="C552" s="21"/>
      <c r="D552" s="77"/>
      <c r="F552" s="19"/>
      <c r="G552" s="693"/>
    </row>
    <row r="553" spans="3:11">
      <c r="C553" s="21"/>
      <c r="D553" s="16"/>
      <c r="G553" s="99" t="s">
        <v>88</v>
      </c>
    </row>
    <row r="554" spans="3:11">
      <c r="C554" s="21"/>
      <c r="D554" s="77">
        <f>D551*$D531</f>
        <v>7.4541106128550076</v>
      </c>
      <c r="E554" s="77">
        <f>E551*$D531</f>
        <v>8.6499252615844551</v>
      </c>
      <c r="F554" s="77">
        <f>F551*$D531</f>
        <v>11.041554559043348</v>
      </c>
      <c r="G554" s="99" t="s">
        <v>133</v>
      </c>
      <c r="J554" s="90"/>
    </row>
    <row r="555" spans="3:11">
      <c r="C555" s="21"/>
      <c r="D555" s="62"/>
      <c r="G555" s="99"/>
      <c r="J555" s="259"/>
      <c r="K555" s="16"/>
    </row>
    <row r="556" spans="3:11">
      <c r="C556" s="21"/>
      <c r="D556" s="63">
        <f>$D530*$D531*D547</f>
        <v>807.17488789237666</v>
      </c>
      <c r="E556" s="63">
        <f>$D530*$D531*E547</f>
        <v>1076.2331838565024</v>
      </c>
      <c r="F556" s="63">
        <f>$D530*$D531*F547</f>
        <v>1614.3497757847533</v>
      </c>
      <c r="G556" s="99" t="s">
        <v>37</v>
      </c>
      <c r="J556" s="259"/>
      <c r="K556" s="16"/>
    </row>
    <row r="557" spans="3:11">
      <c r="D557" s="77">
        <f>$D530*D549*$D531</f>
        <v>870</v>
      </c>
      <c r="E557" s="77">
        <f>$D530*E549*$D531</f>
        <v>870</v>
      </c>
      <c r="F557" s="77">
        <f>$D530*F549*$D531</f>
        <v>870</v>
      </c>
      <c r="G557" s="99" t="s">
        <v>471</v>
      </c>
    </row>
    <row r="558" spans="3:11">
      <c r="D558" s="64">
        <f>SUM(D555:D557)</f>
        <v>1677.1748878923768</v>
      </c>
      <c r="E558" s="64">
        <f>SUM(E555:E557)</f>
        <v>1946.2331838565024</v>
      </c>
      <c r="F558" s="64">
        <f>SUM(F555:F557)</f>
        <v>2484.3497757847535</v>
      </c>
      <c r="G558" s="1101" t="s">
        <v>486</v>
      </c>
      <c r="J558" s="65"/>
      <c r="K558" s="24"/>
    </row>
    <row r="559" spans="3:11">
      <c r="D559" s="65"/>
      <c r="E559" s="24"/>
      <c r="J559" s="65"/>
      <c r="K559" s="24"/>
    </row>
    <row r="560" spans="3:11" ht="19">
      <c r="C560" t="s">
        <v>64</v>
      </c>
      <c r="D560" s="37" t="s">
        <v>89</v>
      </c>
    </row>
    <row r="561" spans="3:11">
      <c r="C561" t="s">
        <v>54</v>
      </c>
    </row>
    <row r="563" spans="3:11">
      <c r="D563" s="16"/>
    </row>
    <row r="564" spans="3:11">
      <c r="D564" s="67" t="s">
        <v>91</v>
      </c>
      <c r="E564" s="41"/>
    </row>
    <row r="565" spans="3:11">
      <c r="D565" s="52">
        <f>'Overall Assumptions'!$C$93</f>
        <v>285</v>
      </c>
      <c r="E565" s="41" t="s">
        <v>93</v>
      </c>
    </row>
    <row r="566" spans="3:11">
      <c r="D566" s="54"/>
      <c r="E566" s="43" t="s">
        <v>85</v>
      </c>
    </row>
    <row r="567" spans="3:11">
      <c r="D567" s="54">
        <f>'Overall Assumptions'!$C$90</f>
        <v>80</v>
      </c>
      <c r="E567" s="43" t="s">
        <v>86</v>
      </c>
    </row>
    <row r="568" spans="3:11">
      <c r="D568" s="616"/>
      <c r="E568" s="43" t="s">
        <v>94</v>
      </c>
    </row>
    <row r="569" spans="3:11">
      <c r="D569" s="56">
        <f>D536</f>
        <v>30</v>
      </c>
      <c r="E569" s="45" t="str">
        <f>E536</f>
        <v>Minimised area due to smaller pre-action planning area (km2)</v>
      </c>
      <c r="J569" s="578"/>
    </row>
    <row r="570" spans="3:11">
      <c r="D570" s="75"/>
    </row>
    <row r="571" spans="3:11">
      <c r="D571" s="46"/>
      <c r="G571" s="693"/>
      <c r="J571" s="532"/>
      <c r="K571" s="59"/>
    </row>
    <row r="572" spans="3:11">
      <c r="D572" s="46">
        <f>D547</f>
        <v>1.7937219730941705</v>
      </c>
      <c r="E572" s="46">
        <f>E547</f>
        <v>2.391629297458894</v>
      </c>
      <c r="F572" s="46">
        <f>F547</f>
        <v>3.5874439461883409</v>
      </c>
      <c r="G572" s="693" t="s">
        <v>98</v>
      </c>
      <c r="K572" s="59"/>
    </row>
    <row r="573" spans="3:11">
      <c r="D573" s="46">
        <f>D549</f>
        <v>1.9333333333333333</v>
      </c>
      <c r="E573" s="46">
        <f>E549</f>
        <v>1.9333333333333333</v>
      </c>
      <c r="F573" s="46">
        <f>F549</f>
        <v>1.9333333333333333</v>
      </c>
      <c r="G573" s="693" t="str">
        <f>G549</f>
        <v>3rd term is the days required  for tracking, maintaining cameras and sand pads (days)</v>
      </c>
      <c r="K573" s="59"/>
    </row>
    <row r="574" spans="3:11">
      <c r="D574" s="46">
        <f>SUM(D571:D573)</f>
        <v>3.7270553064275038</v>
      </c>
      <c r="E574" s="46">
        <f>SUM(E571:E573)</f>
        <v>4.3249626307922275</v>
      </c>
      <c r="F574" s="46">
        <f>SUM(F571:F573)</f>
        <v>5.5207772795216741</v>
      </c>
      <c r="G574" s="693" t="s">
        <v>135</v>
      </c>
      <c r="J574" s="90"/>
    </row>
    <row r="575" spans="3:11">
      <c r="D575" s="46"/>
      <c r="G575" s="693"/>
      <c r="J575" s="90"/>
    </row>
    <row r="576" spans="3:11">
      <c r="D576" s="63"/>
      <c r="E576" s="63"/>
      <c r="F576" s="63"/>
      <c r="G576" s="99"/>
      <c r="J576" s="259"/>
      <c r="K576" s="16"/>
    </row>
    <row r="577" spans="3:11">
      <c r="D577" s="63">
        <f t="shared" ref="D577:F578" si="35">$D$565*D572</f>
        <v>511.21076233183857</v>
      </c>
      <c r="E577" s="63">
        <f t="shared" si="35"/>
        <v>681.61434977578483</v>
      </c>
      <c r="F577" s="63">
        <f t="shared" si="35"/>
        <v>1022.4215246636771</v>
      </c>
      <c r="G577" s="99" t="s">
        <v>52</v>
      </c>
      <c r="J577" s="259"/>
      <c r="K577" s="16"/>
    </row>
    <row r="578" spans="3:11">
      <c r="D578" s="63">
        <f t="shared" si="35"/>
        <v>551</v>
      </c>
      <c r="E578" s="63">
        <f t="shared" si="35"/>
        <v>551</v>
      </c>
      <c r="F578" s="63">
        <f t="shared" si="35"/>
        <v>551</v>
      </c>
      <c r="G578" s="99" t="s">
        <v>52</v>
      </c>
      <c r="J578" s="259"/>
      <c r="K578" s="16"/>
    </row>
    <row r="579" spans="3:11">
      <c r="D579" s="68">
        <f>SUM(D576:D578)</f>
        <v>1062.2107623318386</v>
      </c>
      <c r="E579" s="906">
        <f>SUM(E576:E578)</f>
        <v>1232.6143497757848</v>
      </c>
      <c r="F579" s="906">
        <f>SUM(F576:F578)</f>
        <v>1573.4215246636772</v>
      </c>
      <c r="G579" s="1101" t="s">
        <v>53</v>
      </c>
      <c r="J579" s="65"/>
      <c r="K579" s="24"/>
    </row>
    <row r="580" spans="3:11">
      <c r="D580">
        <f>ROUNDUP(D574/21,0)</f>
        <v>1</v>
      </c>
      <c r="E580">
        <f>ROUNDUP(E574/21,0)</f>
        <v>1</v>
      </c>
      <c r="F580">
        <f>ROUNDUP(F574/21,0)</f>
        <v>1</v>
      </c>
      <c r="G580" s="359" t="s">
        <v>739</v>
      </c>
      <c r="J580" s="65"/>
      <c r="K580" s="24"/>
    </row>
    <row r="581" spans="3:11">
      <c r="D581" s="532">
        <f>D574</f>
        <v>3.7270553064275038</v>
      </c>
      <c r="E581" s="532">
        <f>E574</f>
        <v>4.3249626307922275</v>
      </c>
      <c r="F581" s="532">
        <f>F574</f>
        <v>5.5207772795216741</v>
      </c>
      <c r="G581" s="359" t="s">
        <v>793</v>
      </c>
      <c r="J581" s="65"/>
      <c r="K581" s="24"/>
    </row>
    <row r="582" spans="3:11">
      <c r="D582" s="432"/>
      <c r="E582" s="432"/>
      <c r="F582" s="432"/>
      <c r="G582" s="99"/>
      <c r="J582" s="65"/>
      <c r="K582" s="24"/>
    </row>
    <row r="583" spans="3:11">
      <c r="D583" s="65"/>
      <c r="E583" s="24"/>
      <c r="J583" s="65"/>
      <c r="K583" s="24"/>
    </row>
    <row r="584" spans="3:11" ht="15" customHeight="1">
      <c r="C584" t="s">
        <v>70</v>
      </c>
      <c r="D584" s="58"/>
      <c r="E584" s="59" t="s">
        <v>156</v>
      </c>
      <c r="J584" s="65"/>
      <c r="K584" s="24"/>
    </row>
    <row r="585" spans="3:11">
      <c r="D585" s="160" t="s">
        <v>238</v>
      </c>
      <c r="E585" s="59"/>
      <c r="J585" s="65"/>
      <c r="K585" s="24"/>
    </row>
    <row r="586" spans="3:11">
      <c r="D586" s="58"/>
      <c r="E586" s="59"/>
      <c r="J586" s="65"/>
      <c r="K586" s="24"/>
    </row>
    <row r="587" spans="3:11">
      <c r="D587" s="25">
        <f>D551</f>
        <v>3.7270553064275038</v>
      </c>
      <c r="E587" s="25">
        <f>E551</f>
        <v>4.3249626307922275</v>
      </c>
      <c r="F587" s="25">
        <f>F551</f>
        <v>5.5207772795216741</v>
      </c>
      <c r="G587" s="99" t="s">
        <v>157</v>
      </c>
      <c r="J587" s="65"/>
      <c r="K587" s="24"/>
    </row>
    <row r="588" spans="3:11">
      <c r="D588" s="61">
        <f>FLOOR(D587,1)</f>
        <v>3</v>
      </c>
      <c r="E588" s="61">
        <f>FLOOR(E587,1)</f>
        <v>4</v>
      </c>
      <c r="F588" s="61">
        <f>FLOOR(F587,1)</f>
        <v>5</v>
      </c>
      <c r="G588" s="99" t="s">
        <v>73</v>
      </c>
      <c r="J588" s="65"/>
      <c r="K588" s="24"/>
    </row>
    <row r="589" spans="3:11">
      <c r="D589" s="65"/>
      <c r="E589" s="65"/>
      <c r="F589" s="65"/>
      <c r="G589" s="1102"/>
      <c r="J589" s="65"/>
      <c r="K589" s="24"/>
    </row>
    <row r="590" spans="3:11">
      <c r="D590" s="65">
        <f>D588*$D531</f>
        <v>6</v>
      </c>
      <c r="E590" s="65">
        <f>E588*$D531</f>
        <v>8</v>
      </c>
      <c r="F590" s="65">
        <f>F588*$D531</f>
        <v>10</v>
      </c>
      <c r="G590" s="1102" t="s">
        <v>88</v>
      </c>
      <c r="J590" s="65"/>
      <c r="K590" s="24"/>
    </row>
    <row r="591" spans="3:11">
      <c r="D591" s="102">
        <f>$D541*D590</f>
        <v>1260</v>
      </c>
      <c r="E591" s="102">
        <f>$D541*E590</f>
        <v>1680</v>
      </c>
      <c r="F591" s="102">
        <f>$D541*F590</f>
        <v>2100</v>
      </c>
      <c r="G591" s="1101" t="s">
        <v>74</v>
      </c>
      <c r="J591" s="259"/>
      <c r="K591" s="16"/>
    </row>
    <row r="592" spans="3:11">
      <c r="D592" s="825"/>
      <c r="E592" s="1" t="s">
        <v>788</v>
      </c>
      <c r="F592" s="1" t="s">
        <v>779</v>
      </c>
      <c r="G592" s="1" t="s">
        <v>789</v>
      </c>
      <c r="H592" s="1" t="s">
        <v>788</v>
      </c>
      <c r="I592" s="1" t="s">
        <v>779</v>
      </c>
      <c r="J592" s="1" t="s">
        <v>789</v>
      </c>
      <c r="K592" s="24"/>
    </row>
    <row r="593" spans="3:36">
      <c r="D593" s="617" t="s">
        <v>172</v>
      </c>
      <c r="E593" s="618" t="s">
        <v>155</v>
      </c>
      <c r="F593" s="618" t="s">
        <v>155</v>
      </c>
      <c r="G593" s="618" t="s">
        <v>155</v>
      </c>
      <c r="H593" s="618" t="s">
        <v>166</v>
      </c>
      <c r="K593" s="619" t="s">
        <v>69</v>
      </c>
    </row>
    <row r="594" spans="3:36">
      <c r="D594" s="404" t="s">
        <v>3</v>
      </c>
      <c r="E594" s="90">
        <f>D554</f>
        <v>7.4541106128550076</v>
      </c>
      <c r="F594" s="90">
        <f t="shared" ref="F594:G594" si="36">E554</f>
        <v>8.6499252615844551</v>
      </c>
      <c r="G594" s="90">
        <f t="shared" si="36"/>
        <v>11.041554559043348</v>
      </c>
      <c r="H594" s="432">
        <f>D558</f>
        <v>1677.1748878923768</v>
      </c>
      <c r="I594" s="432">
        <f>E558</f>
        <v>1946.2331838565024</v>
      </c>
      <c r="J594" s="432">
        <f>F558</f>
        <v>2484.3497757847535</v>
      </c>
      <c r="K594" s="830" t="str">
        <f>G558</f>
        <v>Cost for labour</v>
      </c>
    </row>
    <row r="595" spans="3:36">
      <c r="D595" s="404" t="s">
        <v>490</v>
      </c>
      <c r="E595" s="90">
        <f>D574</f>
        <v>3.7270553064275038</v>
      </c>
      <c r="F595" s="90">
        <f t="shared" ref="F595:G595" si="37">E574</f>
        <v>4.3249626307922275</v>
      </c>
      <c r="G595" s="90">
        <f t="shared" si="37"/>
        <v>5.5207772795216741</v>
      </c>
      <c r="H595" s="432">
        <f>D579</f>
        <v>1062.2107623318386</v>
      </c>
      <c r="I595" s="432">
        <f>E579</f>
        <v>1232.6143497757848</v>
      </c>
      <c r="J595" s="432">
        <f>F579</f>
        <v>1573.4215246636772</v>
      </c>
      <c r="K595" s="830" t="str">
        <f>G579</f>
        <v>Cost for ute hire for the whole activity</v>
      </c>
    </row>
    <row r="596" spans="3:36">
      <c r="D596" s="404" t="s">
        <v>169</v>
      </c>
      <c r="E596" s="90">
        <f>D590</f>
        <v>6</v>
      </c>
      <c r="F596" s="90">
        <f t="shared" ref="F596:G596" si="38">E590</f>
        <v>8</v>
      </c>
      <c r="G596" s="90">
        <f t="shared" si="38"/>
        <v>10</v>
      </c>
      <c r="H596" s="432">
        <f>D591</f>
        <v>1260</v>
      </c>
      <c r="I596" s="432">
        <f>E591</f>
        <v>1680</v>
      </c>
      <c r="J596" s="432">
        <f>F591</f>
        <v>2100</v>
      </c>
      <c r="K596" s="830" t="str">
        <f>G591</f>
        <v>Accomodation + Food Cost</v>
      </c>
    </row>
    <row r="597" spans="3:36">
      <c r="D597" s="405"/>
      <c r="E597" s="439"/>
      <c r="F597" s="439"/>
      <c r="G597" s="1098"/>
      <c r="H597" s="622">
        <f>SUM(H594:H596)</f>
        <v>3999.3856502242152</v>
      </c>
      <c r="I597" s="622">
        <f>SUM(I594:I596)</f>
        <v>4858.8475336322872</v>
      </c>
      <c r="J597" s="622">
        <f>SUM(J594:J596)</f>
        <v>6157.7713004484303</v>
      </c>
      <c r="K597" s="623" t="s">
        <v>165</v>
      </c>
    </row>
    <row r="598" spans="3:36">
      <c r="D598"/>
      <c r="E598"/>
      <c r="F598" s="432"/>
      <c r="G598" s="1099"/>
    </row>
    <row r="600" spans="3:36" s="7" customFormat="1">
      <c r="D600" s="35"/>
      <c r="E600" s="36"/>
      <c r="G600" s="1089"/>
      <c r="AI600"/>
      <c r="AJ600"/>
    </row>
    <row r="602" spans="3:36">
      <c r="C602" s="8" t="s">
        <v>247</v>
      </c>
    </row>
    <row r="603" spans="3:36">
      <c r="D603" s="16" t="s">
        <v>258</v>
      </c>
    </row>
    <row r="604" spans="3:36">
      <c r="D604" s="38" t="s">
        <v>91</v>
      </c>
      <c r="E604" s="39"/>
      <c r="F604" s="24"/>
    </row>
    <row r="605" spans="3:36">
      <c r="D605" s="402" t="s">
        <v>257</v>
      </c>
      <c r="E605" s="161"/>
    </row>
    <row r="606" spans="3:36">
      <c r="D606" s="332">
        <f>'Overall Assumptions'!$C$125</f>
        <v>3</v>
      </c>
      <c r="E606" s="131" t="str">
        <f>'Overall Assumptions'!$D$115</f>
        <v>weeks</v>
      </c>
    </row>
    <row r="607" spans="3:36">
      <c r="C607" s="24"/>
      <c r="D607" s="332">
        <f>D606*5</f>
        <v>15</v>
      </c>
      <c r="E607" s="43" t="str">
        <f>'Overall Assumptions'!$D$116</f>
        <v>days</v>
      </c>
    </row>
    <row r="608" spans="3:36">
      <c r="C608" s="24"/>
      <c r="D608" s="332"/>
      <c r="E608" s="43"/>
    </row>
    <row r="609" spans="3:8">
      <c r="C609" s="24"/>
      <c r="D609" s="268">
        <v>1</v>
      </c>
      <c r="E609" s="43" t="s">
        <v>259</v>
      </c>
    </row>
    <row r="610" spans="3:8">
      <c r="C610" s="24"/>
      <c r="D610" s="332"/>
      <c r="E610" s="43"/>
    </row>
    <row r="611" spans="3:8">
      <c r="C611" s="24"/>
      <c r="D611" s="332"/>
      <c r="E611" s="246"/>
    </row>
    <row r="612" spans="3:8">
      <c r="D612" s="614">
        <f>'Overall Assumptions'!$C$68</f>
        <v>225</v>
      </c>
      <c r="E612" s="246" t="str">
        <f>'Overall Assumptions'!$B$67</f>
        <v>Labour 1- APS Low (Entry lvl)</v>
      </c>
    </row>
    <row r="613" spans="3:8">
      <c r="D613" s="399">
        <f>'Overall Assumptions'!$C$72</f>
        <v>337.5</v>
      </c>
      <c r="E613" s="530" t="str">
        <f>'Overall Assumptions'!$B$71</f>
        <v>Labour 2 - APS High (Experienced)</v>
      </c>
    </row>
    <row r="614" spans="3:8">
      <c r="D614" s="112">
        <f>'Overall Assumptions'!$C$76</f>
        <v>487.5</v>
      </c>
      <c r="E614" s="45" t="str">
        <f>'Overall Assumptions'!$B$75</f>
        <v>Labour 3 - EL (Management)</v>
      </c>
    </row>
    <row r="615" spans="3:8">
      <c r="D615" s="33"/>
    </row>
    <row r="616" spans="3:8">
      <c r="D616" s="531"/>
      <c r="E616" s="33"/>
    </row>
    <row r="617" spans="3:8">
      <c r="D617" s="33"/>
    </row>
    <row r="618" spans="3:8">
      <c r="D618" s="33"/>
    </row>
    <row r="619" spans="3:8">
      <c r="D619" s="33"/>
    </row>
    <row r="620" spans="3:8">
      <c r="D620" s="175"/>
      <c r="E620" s="164" t="s">
        <v>155</v>
      </c>
      <c r="F620" s="255" t="s">
        <v>166</v>
      </c>
      <c r="G620" s="1090" t="s">
        <v>69</v>
      </c>
      <c r="H620" s="161"/>
    </row>
    <row r="621" spans="3:8">
      <c r="D621" s="405" t="s">
        <v>3</v>
      </c>
      <c r="E621" s="615">
        <f>D607</f>
        <v>15</v>
      </c>
      <c r="F621" s="321">
        <f>D607*D613</f>
        <v>5062.5</v>
      </c>
      <c r="G621" s="1091" t="s">
        <v>182</v>
      </c>
      <c r="H621" s="162"/>
    </row>
    <row r="625" spans="3:36" s="182" customFormat="1">
      <c r="D625" s="183"/>
      <c r="E625" s="184"/>
      <c r="G625" s="1131"/>
      <c r="AI625"/>
      <c r="AJ625"/>
    </row>
    <row r="627" spans="3:36">
      <c r="C627" s="1" t="s">
        <v>139</v>
      </c>
    </row>
    <row r="628" spans="3:36">
      <c r="C628" s="199">
        <f>'Overall Assumptions'!C6</f>
        <v>100</v>
      </c>
      <c r="D628" s="200" t="s">
        <v>195</v>
      </c>
    </row>
    <row r="629" spans="3:36">
      <c r="C629" s="201">
        <f>C628*100</f>
        <v>10000</v>
      </c>
      <c r="D629" s="202" t="s">
        <v>196</v>
      </c>
    </row>
    <row r="631" spans="3:36">
      <c r="C631" s="198" t="s">
        <v>193</v>
      </c>
    </row>
    <row r="632" spans="3:36">
      <c r="C632" t="s">
        <v>194</v>
      </c>
    </row>
    <row r="633" spans="3:36">
      <c r="C633" s="160" t="s">
        <v>197</v>
      </c>
    </row>
    <row r="634" spans="3:36">
      <c r="D634" s="24" t="s">
        <v>198</v>
      </c>
    </row>
    <row r="635" spans="3:36">
      <c r="C635" s="90">
        <f>MAX(1.138-0.000016*C629+1.79,0.37)</f>
        <v>2.7679999999999998</v>
      </c>
      <c r="D635" t="s">
        <v>199</v>
      </c>
    </row>
    <row r="636" spans="3:36">
      <c r="C636" s="90">
        <f>C635*C628</f>
        <v>276.79999999999995</v>
      </c>
      <c r="D636" t="s">
        <v>332</v>
      </c>
    </row>
    <row r="637" spans="3:36">
      <c r="C637" s="197">
        <f>C635*C629</f>
        <v>27679.999999999996</v>
      </c>
      <c r="D637" s="24" t="s">
        <v>200</v>
      </c>
    </row>
    <row r="640" spans="3:36">
      <c r="C640" s="198" t="s">
        <v>207</v>
      </c>
    </row>
    <row r="641" spans="3:5">
      <c r="C641" t="s">
        <v>209</v>
      </c>
    </row>
    <row r="642" spans="3:5">
      <c r="C642" s="203">
        <v>1.75</v>
      </c>
      <c r="D642" s="24" t="s">
        <v>208</v>
      </c>
    </row>
    <row r="643" spans="3:5">
      <c r="C643" s="203">
        <f>C642*C628</f>
        <v>175</v>
      </c>
      <c r="D643" s="24" t="s">
        <v>1029</v>
      </c>
    </row>
    <row r="644" spans="3:5">
      <c r="C644" s="204">
        <f>C642*C629</f>
        <v>17500</v>
      </c>
      <c r="D644" s="24" t="s">
        <v>206</v>
      </c>
    </row>
    <row r="646" spans="3:5">
      <c r="C646" s="359"/>
    </row>
    <row r="647" spans="3:5" ht="15" customHeight="1">
      <c r="D647" s="207"/>
    </row>
    <row r="648" spans="3:5" ht="15" customHeight="1">
      <c r="D648" s="207"/>
    </row>
    <row r="649" spans="3:5" ht="15" customHeight="1">
      <c r="D649" s="207"/>
    </row>
    <row r="650" spans="3:5" ht="15" customHeight="1">
      <c r="D650" s="207"/>
    </row>
    <row r="651" spans="3:5" ht="15" customHeight="1">
      <c r="C651" s="359"/>
      <c r="D651" s="207"/>
    </row>
    <row r="652" spans="3:5" ht="15" customHeight="1">
      <c r="D652" s="207"/>
    </row>
    <row r="653" spans="3:5" ht="15" customHeight="1">
      <c r="D653" s="207"/>
      <c r="E653"/>
    </row>
    <row r="654" spans="3:5" ht="15" customHeight="1">
      <c r="D654" s="207"/>
    </row>
    <row r="655" spans="3:5" ht="15" customHeight="1">
      <c r="D655" s="207"/>
    </row>
    <row r="656" spans="3:5" ht="15" customHeight="1">
      <c r="D656" s="207"/>
    </row>
    <row r="657" spans="3:8" ht="15" customHeight="1">
      <c r="D657" s="207"/>
    </row>
    <row r="658" spans="3:8" ht="15" customHeight="1">
      <c r="D658" s="57"/>
    </row>
    <row r="659" spans="3:8">
      <c r="D659" s="16"/>
    </row>
    <row r="660" spans="3:8">
      <c r="C660" s="359"/>
      <c r="D660" s="208"/>
      <c r="E660" s="6"/>
    </row>
    <row r="661" spans="3:8">
      <c r="D661" s="207"/>
    </row>
    <row r="662" spans="3:8">
      <c r="D662" s="207"/>
    </row>
    <row r="663" spans="3:8">
      <c r="D663" s="207"/>
    </row>
    <row r="664" spans="3:8">
      <c r="D664" s="156"/>
    </row>
    <row r="665" spans="3:8">
      <c r="C665" s="359"/>
    </row>
    <row r="666" spans="3:8">
      <c r="C666" s="359" t="s">
        <v>191</v>
      </c>
      <c r="D666" s="207"/>
    </row>
    <row r="667" spans="3:8">
      <c r="D667" s="207"/>
      <c r="G667" s="99"/>
      <c r="H667" t="s">
        <v>212</v>
      </c>
    </row>
    <row r="668" spans="3:8">
      <c r="D668" s="16"/>
      <c r="G668" s="99"/>
      <c r="H668" s="16" t="s">
        <v>213</v>
      </c>
    </row>
    <row r="669" spans="3:8">
      <c r="D669" s="207">
        <f>G669*$C$628</f>
        <v>15000</v>
      </c>
      <c r="E669" s="16" t="s">
        <v>216</v>
      </c>
      <c r="G669" s="1132">
        <f>30000/200</f>
        <v>150</v>
      </c>
      <c r="H669" t="s">
        <v>214</v>
      </c>
    </row>
    <row r="670" spans="3:8">
      <c r="D670" s="207">
        <f>G670*$C$628</f>
        <v>20000</v>
      </c>
      <c r="E670" s="16" t="s">
        <v>217</v>
      </c>
      <c r="G670" s="1133">
        <f>40000/200</f>
        <v>200</v>
      </c>
      <c r="H670" t="s">
        <v>215</v>
      </c>
    </row>
    <row r="671" spans="3:8">
      <c r="G671" s="99"/>
    </row>
    <row r="672" spans="3:8">
      <c r="D672" s="57">
        <f>AVERAGE(D669:D670)</f>
        <v>17500</v>
      </c>
      <c r="G672" s="1102"/>
      <c r="H672" s="16"/>
    </row>
    <row r="673" spans="3:10">
      <c r="G673" s="1102"/>
      <c r="H673" s="16"/>
    </row>
    <row r="674" spans="3:10">
      <c r="D674" s="156"/>
      <c r="J674" s="16"/>
    </row>
    <row r="675" spans="3:10">
      <c r="D675" s="156"/>
      <c r="J675" s="16"/>
    </row>
    <row r="677" spans="3:10">
      <c r="D677" s="16"/>
    </row>
    <row r="678" spans="3:10">
      <c r="D678" s="16"/>
    </row>
    <row r="679" spans="3:10">
      <c r="D679" s="16"/>
    </row>
    <row r="680" spans="3:10">
      <c r="D680" s="16"/>
    </row>
    <row r="683" spans="3:10">
      <c r="C683" s="359"/>
    </row>
    <row r="684" spans="3:10">
      <c r="C684" s="359"/>
    </row>
    <row r="685" spans="3:10">
      <c r="C685" s="359"/>
    </row>
    <row r="686" spans="3:10">
      <c r="C686" s="359"/>
    </row>
    <row r="687" spans="3:10">
      <c r="C687" s="359"/>
    </row>
    <row r="688" spans="3:10">
      <c r="C688" s="359"/>
    </row>
    <row r="689" spans="3:3">
      <c r="C689" s="359"/>
    </row>
  </sheetData>
  <mergeCells count="54">
    <mergeCell ref="K185:L185"/>
    <mergeCell ref="C59:C62"/>
    <mergeCell ref="D59:D62"/>
    <mergeCell ref="C63:C66"/>
    <mergeCell ref="D63:D66"/>
    <mergeCell ref="D67:D70"/>
    <mergeCell ref="C55:C58"/>
    <mergeCell ref="D55:D58"/>
    <mergeCell ref="C23:C26"/>
    <mergeCell ref="D23:D26"/>
    <mergeCell ref="D27:D30"/>
    <mergeCell ref="D31:D34"/>
    <mergeCell ref="D35:D38"/>
    <mergeCell ref="C39:C42"/>
    <mergeCell ref="D39:D42"/>
    <mergeCell ref="AK21:AK22"/>
    <mergeCell ref="AH19:AK20"/>
    <mergeCell ref="U19:U20"/>
    <mergeCell ref="V19:Z20"/>
    <mergeCell ref="AA21:AA22"/>
    <mergeCell ref="U21:U22"/>
    <mergeCell ref="AB21:AB22"/>
    <mergeCell ref="V21:V22"/>
    <mergeCell ref="W21:W22"/>
    <mergeCell ref="X21:X22"/>
    <mergeCell ref="AC19:AC22"/>
    <mergeCell ref="Y21:Y22"/>
    <mergeCell ref="Z21:Z22"/>
    <mergeCell ref="AA19:AB20"/>
    <mergeCell ref="P21:P22"/>
    <mergeCell ref="AC6:AC9"/>
    <mergeCell ref="AF6:AF9"/>
    <mergeCell ref="U17:AE18"/>
    <mergeCell ref="AJ21:AJ22"/>
    <mergeCell ref="Q17:S20"/>
    <mergeCell ref="Q21:Q22"/>
    <mergeCell ref="R21:R22"/>
    <mergeCell ref="S21:S22"/>
    <mergeCell ref="AE43:AE46"/>
    <mergeCell ref="AE39:AE42"/>
    <mergeCell ref="B17:K20"/>
    <mergeCell ref="AD19:AE20"/>
    <mergeCell ref="AD21:AD22"/>
    <mergeCell ref="AE21:AE22"/>
    <mergeCell ref="L17:P18"/>
    <mergeCell ref="L21:M21"/>
    <mergeCell ref="L19:P20"/>
    <mergeCell ref="C21:C22"/>
    <mergeCell ref="D21:D22"/>
    <mergeCell ref="E21:E22"/>
    <mergeCell ref="F21:G21"/>
    <mergeCell ref="H21:I21"/>
    <mergeCell ref="N21:N22"/>
    <mergeCell ref="O21:O22"/>
  </mergeCell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B1:AJ74"/>
  <sheetViews>
    <sheetView showGridLines="0" zoomScaleNormal="100" workbookViewId="0">
      <selection activeCell="H36" sqref="H36"/>
    </sheetView>
  </sheetViews>
  <sheetFormatPr baseColWidth="10" defaultColWidth="11" defaultRowHeight="16"/>
  <cols>
    <col min="1" max="1" width="4.6640625" customWidth="1"/>
    <col min="2" max="2" width="17.5" customWidth="1"/>
    <col min="3" max="3" width="26.5" customWidth="1"/>
    <col min="4" max="4" width="16.83203125" customWidth="1"/>
    <col min="5" max="6" width="18.6640625" customWidth="1"/>
    <col min="7" max="8" width="14.33203125" customWidth="1"/>
    <col min="9" max="12" width="18.1640625" customWidth="1"/>
    <col min="13" max="13" width="18.83203125" customWidth="1"/>
    <col min="14" max="14" width="19.1640625" customWidth="1"/>
    <col min="15" max="15" width="14.33203125" customWidth="1"/>
    <col min="16" max="20" width="11.83203125" customWidth="1"/>
    <col min="21" max="21" width="14.6640625" customWidth="1"/>
    <col min="22" max="22" width="11.83203125" customWidth="1"/>
    <col min="23" max="23" width="12.1640625" customWidth="1"/>
    <col min="24" max="24" width="11.83203125" customWidth="1"/>
    <col min="25" max="25" width="11.1640625" customWidth="1"/>
    <col min="26" max="27" width="12.1640625" customWidth="1"/>
    <col min="28" max="31" width="13.5" customWidth="1"/>
  </cols>
  <sheetData>
    <row r="1" spans="2:35">
      <c r="B1" s="8" t="s">
        <v>1035</v>
      </c>
    </row>
    <row r="2" spans="2:35">
      <c r="Q2" t="s">
        <v>1976</v>
      </c>
    </row>
    <row r="3" spans="2:35">
      <c r="B3" s="8" t="s">
        <v>844</v>
      </c>
      <c r="H3" s="692"/>
      <c r="I3" s="692"/>
      <c r="J3" s="692"/>
      <c r="K3" s="692"/>
      <c r="L3" s="692"/>
      <c r="M3" s="692"/>
      <c r="N3" s="692"/>
      <c r="O3" s="692"/>
      <c r="Q3" s="593"/>
      <c r="R3" s="401" t="s">
        <v>1941</v>
      </c>
      <c r="S3" s="274" t="s">
        <v>1942</v>
      </c>
    </row>
    <row r="4" spans="2:35" ht="17" thickBot="1">
      <c r="B4" t="s">
        <v>839</v>
      </c>
      <c r="C4" t="s">
        <v>845</v>
      </c>
      <c r="D4" s="1"/>
      <c r="E4" s="1"/>
      <c r="F4" s="1"/>
      <c r="G4" s="1"/>
      <c r="H4" s="1"/>
      <c r="I4" s="1"/>
      <c r="J4" s="1"/>
      <c r="K4" s="1"/>
      <c r="L4" s="1"/>
      <c r="Q4" s="591">
        <v>1</v>
      </c>
      <c r="R4" s="79" t="s">
        <v>1943</v>
      </c>
      <c r="S4" s="246" t="s">
        <v>1704</v>
      </c>
    </row>
    <row r="5" spans="2:35">
      <c r="C5" s="804" t="s">
        <v>838</v>
      </c>
      <c r="D5" s="805" t="s">
        <v>860</v>
      </c>
      <c r="E5" s="805"/>
      <c r="F5" s="805"/>
      <c r="G5" s="805"/>
      <c r="H5" s="805"/>
      <c r="I5" s="806"/>
      <c r="J5" s="79"/>
      <c r="K5" s="79"/>
      <c r="L5" s="79"/>
      <c r="Q5" s="591">
        <v>2</v>
      </c>
      <c r="R5" s="79" t="s">
        <v>1944</v>
      </c>
      <c r="S5" s="246" t="s">
        <v>1704</v>
      </c>
    </row>
    <row r="6" spans="2:35">
      <c r="C6" s="807" t="s">
        <v>827</v>
      </c>
      <c r="D6" t="s">
        <v>828</v>
      </c>
      <c r="I6" s="573"/>
      <c r="J6" s="79"/>
      <c r="K6" s="79"/>
      <c r="L6" s="79"/>
      <c r="Q6" s="591">
        <v>3</v>
      </c>
      <c r="R6" s="79" t="s">
        <v>1945</v>
      </c>
      <c r="S6" s="246" t="s">
        <v>1704</v>
      </c>
    </row>
    <row r="7" spans="2:35">
      <c r="C7" s="807" t="s">
        <v>827</v>
      </c>
      <c r="D7" t="s">
        <v>830</v>
      </c>
      <c r="I7" s="573"/>
      <c r="J7" s="79"/>
      <c r="K7" s="79"/>
      <c r="L7" s="79"/>
      <c r="Q7" s="591">
        <v>4</v>
      </c>
      <c r="R7" s="79" t="s">
        <v>1946</v>
      </c>
      <c r="S7" s="246" t="s">
        <v>1704</v>
      </c>
    </row>
    <row r="8" spans="2:35">
      <c r="C8" s="807" t="s">
        <v>827</v>
      </c>
      <c r="D8" t="s">
        <v>2390</v>
      </c>
      <c r="I8" s="573"/>
      <c r="J8" s="79"/>
      <c r="K8" s="79"/>
      <c r="L8" s="79"/>
      <c r="Q8" s="591">
        <v>5</v>
      </c>
      <c r="R8" s="79" t="s">
        <v>1947</v>
      </c>
      <c r="S8" s="246" t="s">
        <v>1140</v>
      </c>
    </row>
    <row r="9" spans="2:35">
      <c r="C9" s="807" t="s">
        <v>827</v>
      </c>
      <c r="D9" t="s">
        <v>2387</v>
      </c>
      <c r="I9" s="573"/>
      <c r="J9" s="79"/>
      <c r="K9" s="79"/>
      <c r="L9" s="79"/>
      <c r="Q9" s="591">
        <v>6</v>
      </c>
      <c r="R9" s="79" t="s">
        <v>1948</v>
      </c>
      <c r="S9" s="246" t="s">
        <v>1140</v>
      </c>
    </row>
    <row r="10" spans="2:35">
      <c r="C10" s="807" t="s">
        <v>827</v>
      </c>
      <c r="D10" t="s">
        <v>2388</v>
      </c>
      <c r="I10" s="573"/>
      <c r="J10" s="79"/>
      <c r="K10" s="79"/>
      <c r="L10" s="79"/>
      <c r="Q10" s="591">
        <v>7</v>
      </c>
      <c r="R10" s="79" t="s">
        <v>1949</v>
      </c>
      <c r="S10" s="246" t="s">
        <v>1704</v>
      </c>
    </row>
    <row r="11" spans="2:35" ht="17" thickBot="1">
      <c r="C11" s="808" t="s">
        <v>827</v>
      </c>
      <c r="D11" s="574" t="s">
        <v>2279</v>
      </c>
      <c r="E11" s="574"/>
      <c r="F11" s="574"/>
      <c r="G11" s="574"/>
      <c r="H11" s="574"/>
      <c r="I11" s="575"/>
      <c r="J11" s="79"/>
      <c r="K11" s="79"/>
      <c r="L11" s="79"/>
      <c r="Q11" s="591">
        <v>8</v>
      </c>
      <c r="R11" s="79" t="s">
        <v>1950</v>
      </c>
      <c r="S11" s="246" t="s">
        <v>1140</v>
      </c>
      <c r="AI11" s="587">
        <v>0</v>
      </c>
    </row>
    <row r="12" spans="2:35">
      <c r="C12" s="360" t="s">
        <v>851</v>
      </c>
      <c r="Q12" s="591">
        <v>9</v>
      </c>
      <c r="R12" s="79" t="s">
        <v>1951</v>
      </c>
      <c r="S12" s="246" t="s">
        <v>1704</v>
      </c>
      <c r="AI12" s="587"/>
    </row>
    <row r="13" spans="2:35">
      <c r="Q13" s="591">
        <v>10</v>
      </c>
      <c r="R13" s="79" t="s">
        <v>1952</v>
      </c>
      <c r="S13" s="246" t="s">
        <v>1704</v>
      </c>
      <c r="AI13" s="587"/>
    </row>
    <row r="14" spans="2:35">
      <c r="B14" t="s">
        <v>942</v>
      </c>
      <c r="C14" s="359" t="s">
        <v>848</v>
      </c>
      <c r="Q14" s="591">
        <v>12</v>
      </c>
      <c r="R14" s="79" t="s">
        <v>1953</v>
      </c>
      <c r="S14" s="246" t="s">
        <v>1140</v>
      </c>
      <c r="AI14" s="587"/>
    </row>
    <row r="15" spans="2:35">
      <c r="Q15" s="591">
        <v>14</v>
      </c>
      <c r="R15" s="79" t="s">
        <v>1954</v>
      </c>
      <c r="S15" s="246" t="s">
        <v>1140</v>
      </c>
    </row>
    <row r="16" spans="2:35">
      <c r="B16" s="8" t="s">
        <v>730</v>
      </c>
      <c r="Q16" s="591">
        <v>30</v>
      </c>
      <c r="R16" s="79" t="s">
        <v>1955</v>
      </c>
      <c r="S16" s="246" t="s">
        <v>1704</v>
      </c>
    </row>
    <row r="17" spans="2:19" ht="17">
      <c r="B17" s="3" t="s">
        <v>847</v>
      </c>
      <c r="H17" s="562"/>
      <c r="I17" s="562"/>
      <c r="J17" s="562"/>
      <c r="K17" s="562"/>
      <c r="L17" s="562"/>
      <c r="M17" s="562"/>
      <c r="N17" s="562"/>
      <c r="O17" s="562"/>
      <c r="Q17" s="591">
        <v>11</v>
      </c>
      <c r="R17" s="79" t="s">
        <v>1956</v>
      </c>
      <c r="S17" s="246" t="s">
        <v>1140</v>
      </c>
    </row>
    <row r="18" spans="2:19" ht="17">
      <c r="C18" t="s">
        <v>861</v>
      </c>
      <c r="H18" s="562"/>
      <c r="I18" s="562"/>
      <c r="J18" s="562"/>
      <c r="K18" s="562"/>
      <c r="L18" s="562"/>
      <c r="M18" s="562"/>
      <c r="N18" s="562"/>
      <c r="O18" s="562"/>
      <c r="Q18" s="591">
        <v>13</v>
      </c>
      <c r="R18" s="79" t="s">
        <v>1957</v>
      </c>
      <c r="S18" s="246" t="s">
        <v>1140</v>
      </c>
    </row>
    <row r="19" spans="2:19">
      <c r="C19" t="s">
        <v>843</v>
      </c>
      <c r="H19" s="692"/>
      <c r="I19" s="692"/>
      <c r="J19" s="692"/>
      <c r="K19" s="692"/>
      <c r="L19" s="692"/>
      <c r="M19" s="692"/>
      <c r="N19" s="692"/>
      <c r="O19" s="692"/>
      <c r="Q19" s="591">
        <v>32</v>
      </c>
      <c r="R19" s="79" t="s">
        <v>1958</v>
      </c>
      <c r="S19" s="246" t="s">
        <v>1140</v>
      </c>
    </row>
    <row r="20" spans="2:19">
      <c r="C20" t="s">
        <v>1877</v>
      </c>
      <c r="H20" s="692"/>
      <c r="I20" s="692"/>
      <c r="J20" s="692"/>
      <c r="K20" s="692"/>
      <c r="L20" s="692"/>
      <c r="M20" s="692"/>
      <c r="N20" s="692"/>
      <c r="O20" s="692"/>
      <c r="Q20" s="591">
        <v>31</v>
      </c>
      <c r="R20" s="79" t="s">
        <v>1959</v>
      </c>
      <c r="S20" s="246" t="s">
        <v>1140</v>
      </c>
    </row>
    <row r="21" spans="2:19">
      <c r="C21" t="s">
        <v>1977</v>
      </c>
      <c r="H21" s="692"/>
      <c r="I21" s="692"/>
      <c r="J21" s="692"/>
      <c r="K21" s="692"/>
      <c r="L21" s="692"/>
      <c r="M21" s="692"/>
      <c r="N21" s="692"/>
      <c r="O21" s="692"/>
      <c r="Q21" s="591">
        <v>15</v>
      </c>
      <c r="R21" s="79" t="s">
        <v>1960</v>
      </c>
      <c r="S21" s="246" t="s">
        <v>1704</v>
      </c>
    </row>
    <row r="22" spans="2:19">
      <c r="C22" t="s">
        <v>1940</v>
      </c>
      <c r="H22" s="692"/>
      <c r="I22" s="692"/>
      <c r="J22" s="692"/>
      <c r="K22" s="692"/>
      <c r="L22" s="692"/>
      <c r="M22" s="692"/>
      <c r="N22" s="692"/>
      <c r="O22" s="692"/>
      <c r="Q22" s="591">
        <v>16</v>
      </c>
      <c r="R22" s="79" t="s">
        <v>1961</v>
      </c>
      <c r="S22" s="246" t="s">
        <v>1140</v>
      </c>
    </row>
    <row r="23" spans="2:19">
      <c r="C23" t="s">
        <v>1979</v>
      </c>
      <c r="H23" s="692"/>
      <c r="I23" s="692"/>
      <c r="J23" s="692"/>
      <c r="K23" s="692"/>
      <c r="L23" s="692"/>
      <c r="M23" s="692"/>
      <c r="N23" s="692"/>
      <c r="O23" s="692"/>
      <c r="Q23" s="591">
        <v>17</v>
      </c>
      <c r="R23" s="79" t="s">
        <v>1962</v>
      </c>
      <c r="S23" s="246" t="s">
        <v>1140</v>
      </c>
    </row>
    <row r="24" spans="2:19">
      <c r="C24" s="1394" t="s">
        <v>2193</v>
      </c>
      <c r="H24" s="692"/>
      <c r="I24" s="692"/>
      <c r="J24" s="692"/>
      <c r="K24" s="692"/>
      <c r="L24" s="692"/>
      <c r="M24" s="692"/>
      <c r="N24" s="692"/>
      <c r="O24" s="692"/>
      <c r="Q24" s="591">
        <v>18</v>
      </c>
      <c r="R24" s="79" t="s">
        <v>1963</v>
      </c>
      <c r="S24" s="246" t="s">
        <v>1140</v>
      </c>
    </row>
    <row r="25" spans="2:19">
      <c r="C25" s="1394" t="s">
        <v>2194</v>
      </c>
      <c r="H25" s="692"/>
      <c r="I25" s="692"/>
      <c r="J25" s="692"/>
      <c r="K25" s="692"/>
      <c r="L25" s="692"/>
      <c r="M25" s="692"/>
      <c r="N25" s="692"/>
      <c r="O25" s="692"/>
      <c r="Q25" s="591">
        <v>19</v>
      </c>
      <c r="R25" s="79" t="s">
        <v>1964</v>
      </c>
      <c r="S25" s="246" t="s">
        <v>1140</v>
      </c>
    </row>
    <row r="26" spans="2:19" ht="17">
      <c r="C26" t="s">
        <v>867</v>
      </c>
      <c r="H26" s="562"/>
      <c r="I26" s="562"/>
      <c r="J26" s="562"/>
      <c r="K26" s="562"/>
      <c r="L26" s="562"/>
      <c r="M26" s="562"/>
      <c r="N26" s="562"/>
      <c r="O26" s="562"/>
      <c r="Q26" s="591">
        <v>20</v>
      </c>
      <c r="R26" s="79" t="s">
        <v>1965</v>
      </c>
      <c r="S26" s="246" t="s">
        <v>1140</v>
      </c>
    </row>
    <row r="27" spans="2:19" ht="17">
      <c r="C27" t="s">
        <v>805</v>
      </c>
      <c r="D27" s="31"/>
      <c r="H27" s="562"/>
      <c r="I27" s="562"/>
      <c r="J27" s="562"/>
      <c r="K27" s="562"/>
      <c r="L27" s="562"/>
      <c r="M27" s="562"/>
      <c r="N27" s="562"/>
      <c r="O27" s="562"/>
      <c r="Q27" s="591">
        <v>21</v>
      </c>
      <c r="R27" s="79" t="s">
        <v>1966</v>
      </c>
      <c r="S27" s="246" t="s">
        <v>1140</v>
      </c>
    </row>
    <row r="28" spans="2:19" ht="17">
      <c r="C28" t="s">
        <v>842</v>
      </c>
      <c r="D28" s="31"/>
      <c r="H28" s="562"/>
      <c r="I28" s="562"/>
      <c r="J28" s="562"/>
      <c r="K28" s="562"/>
      <c r="L28" s="562"/>
      <c r="M28" s="562"/>
      <c r="N28" s="562"/>
      <c r="O28" s="562"/>
      <c r="Q28" s="591">
        <v>22</v>
      </c>
      <c r="R28" s="79" t="s">
        <v>1967</v>
      </c>
      <c r="S28" s="246" t="s">
        <v>1140</v>
      </c>
    </row>
    <row r="29" spans="2:19" ht="17">
      <c r="D29" s="31"/>
      <c r="H29" s="562"/>
      <c r="I29" s="562"/>
      <c r="J29" s="562"/>
      <c r="K29" s="562"/>
      <c r="L29" s="562"/>
      <c r="M29" s="562"/>
      <c r="N29" s="562"/>
      <c r="O29" s="562"/>
      <c r="Q29" s="591">
        <v>23</v>
      </c>
      <c r="R29" s="79" t="s">
        <v>748</v>
      </c>
      <c r="S29" s="246" t="s">
        <v>1140</v>
      </c>
    </row>
    <row r="30" spans="2:19" ht="17">
      <c r="D30" s="31"/>
      <c r="I30" s="562"/>
      <c r="J30" s="562"/>
      <c r="K30" s="562"/>
      <c r="L30" s="562"/>
      <c r="M30" s="562"/>
      <c r="N30" s="562"/>
      <c r="O30" s="562"/>
      <c r="Q30" s="591">
        <v>24</v>
      </c>
      <c r="R30" s="79" t="s">
        <v>1968</v>
      </c>
      <c r="S30" s="246" t="s">
        <v>1140</v>
      </c>
    </row>
    <row r="31" spans="2:19" ht="17">
      <c r="B31" s="3" t="s">
        <v>846</v>
      </c>
      <c r="I31" s="562"/>
      <c r="J31" s="562"/>
      <c r="K31" s="562"/>
      <c r="L31" s="562"/>
      <c r="M31" s="562"/>
      <c r="N31" s="562"/>
      <c r="O31" s="562"/>
      <c r="Q31" s="591">
        <v>25</v>
      </c>
      <c r="R31" s="79" t="s">
        <v>1969</v>
      </c>
      <c r="S31" s="246" t="s">
        <v>1704</v>
      </c>
    </row>
    <row r="32" spans="2:19" ht="17">
      <c r="C32" s="693" t="s">
        <v>2196</v>
      </c>
      <c r="D32" s="31"/>
      <c r="H32" s="562"/>
      <c r="I32" s="562"/>
      <c r="J32" s="562"/>
      <c r="K32" s="562"/>
      <c r="L32" s="562"/>
      <c r="M32" s="562"/>
      <c r="N32" s="562"/>
      <c r="O32" s="562"/>
      <c r="Q32" s="591">
        <v>26</v>
      </c>
      <c r="R32" s="79" t="s">
        <v>1970</v>
      </c>
      <c r="S32" s="246" t="s">
        <v>1704</v>
      </c>
    </row>
    <row r="33" spans="2:36" ht="17">
      <c r="C33" s="693" t="s">
        <v>2195</v>
      </c>
      <c r="H33" s="562"/>
      <c r="I33" s="562"/>
      <c r="J33" s="562"/>
      <c r="K33" s="562"/>
      <c r="L33" s="562"/>
      <c r="M33" s="562"/>
      <c r="N33" s="562"/>
      <c r="O33" s="562"/>
      <c r="Q33" s="591">
        <v>27</v>
      </c>
      <c r="R33" s="79" t="s">
        <v>1971</v>
      </c>
      <c r="S33" s="246" t="s">
        <v>1140</v>
      </c>
    </row>
    <row r="34" spans="2:36">
      <c r="C34" t="s">
        <v>2174</v>
      </c>
      <c r="H34" s="692"/>
      <c r="I34" s="692"/>
      <c r="J34" s="692"/>
      <c r="K34" s="692"/>
      <c r="L34" s="692"/>
      <c r="M34" s="692"/>
      <c r="N34" s="692"/>
      <c r="O34" s="692"/>
      <c r="Q34" s="591">
        <v>28</v>
      </c>
      <c r="R34" s="79" t="s">
        <v>1972</v>
      </c>
      <c r="S34" s="246" t="s">
        <v>1140</v>
      </c>
    </row>
    <row r="35" spans="2:36" ht="17">
      <c r="C35" t="s">
        <v>835</v>
      </c>
      <c r="H35" s="562"/>
      <c r="I35" s="562"/>
      <c r="J35" s="562"/>
      <c r="K35" s="562"/>
      <c r="L35" s="562"/>
      <c r="M35" s="562"/>
      <c r="N35" s="562"/>
      <c r="O35" s="562"/>
      <c r="Q35" s="591">
        <v>29</v>
      </c>
      <c r="R35" s="79" t="s">
        <v>1973</v>
      </c>
      <c r="S35" s="246" t="s">
        <v>1704</v>
      </c>
    </row>
    <row r="36" spans="2:36">
      <c r="D36" t="s">
        <v>834</v>
      </c>
      <c r="H36" s="692"/>
      <c r="I36" s="692"/>
      <c r="J36" s="692"/>
      <c r="K36" s="692"/>
      <c r="L36" s="692"/>
      <c r="M36" s="692"/>
      <c r="N36" s="692"/>
      <c r="O36" s="692"/>
      <c r="Q36" s="481">
        <v>99</v>
      </c>
      <c r="R36" s="439" t="s">
        <v>1974</v>
      </c>
      <c r="S36" s="162" t="s">
        <v>1975</v>
      </c>
    </row>
    <row r="37" spans="2:36">
      <c r="C37" t="s">
        <v>836</v>
      </c>
      <c r="H37" s="692"/>
      <c r="I37" s="692"/>
      <c r="J37" s="692"/>
      <c r="K37" s="692"/>
      <c r="L37" s="692"/>
      <c r="M37" s="692"/>
      <c r="N37" s="692"/>
      <c r="O37" s="692"/>
    </row>
    <row r="38" spans="2:36">
      <c r="D38" t="s">
        <v>2370</v>
      </c>
      <c r="H38" s="692"/>
      <c r="I38" s="692"/>
      <c r="J38" s="692"/>
      <c r="K38" s="692"/>
      <c r="L38" s="692"/>
      <c r="M38" s="692"/>
      <c r="N38" s="692"/>
      <c r="O38" s="692"/>
    </row>
    <row r="39" spans="2:36">
      <c r="C39" t="s">
        <v>837</v>
      </c>
      <c r="H39" s="692"/>
      <c r="I39" s="692"/>
      <c r="J39" s="692"/>
      <c r="K39" s="692"/>
      <c r="L39" s="692"/>
      <c r="M39" s="692"/>
      <c r="N39" s="692"/>
      <c r="O39" s="692"/>
    </row>
    <row r="40" spans="2:36">
      <c r="D40" t="s">
        <v>1039</v>
      </c>
      <c r="H40" s="692"/>
      <c r="I40" s="692"/>
      <c r="J40" s="692"/>
      <c r="K40" s="692"/>
      <c r="L40" s="692"/>
      <c r="M40" s="692"/>
      <c r="N40" s="692"/>
      <c r="O40" s="692"/>
    </row>
    <row r="41" spans="2:36">
      <c r="H41" s="692"/>
      <c r="I41" s="692"/>
      <c r="J41" s="692"/>
      <c r="K41" s="692"/>
      <c r="L41" s="692"/>
      <c r="M41" s="692"/>
      <c r="N41" s="692"/>
      <c r="O41" s="692"/>
    </row>
    <row r="42" spans="2:36">
      <c r="B42" s="1"/>
      <c r="C42" s="360"/>
      <c r="AI42" s="587"/>
    </row>
    <row r="43" spans="2:36">
      <c r="B43" s="8" t="s">
        <v>1036</v>
      </c>
      <c r="C43" s="100"/>
      <c r="F43" s="1" t="s">
        <v>1037</v>
      </c>
      <c r="G43" s="3881" t="s">
        <v>28</v>
      </c>
      <c r="H43" s="3881"/>
      <c r="I43" s="3881"/>
      <c r="J43" s="1" t="s">
        <v>864</v>
      </c>
      <c r="K43" s="1" t="s">
        <v>864</v>
      </c>
      <c r="L43" s="1" t="s">
        <v>864</v>
      </c>
      <c r="N43" s="1" t="s">
        <v>866</v>
      </c>
      <c r="O43" s="1" t="s">
        <v>865</v>
      </c>
      <c r="P43" s="1"/>
      <c r="Q43" s="1"/>
      <c r="R43" s="1" t="s">
        <v>864</v>
      </c>
      <c r="S43" s="1" t="s">
        <v>864</v>
      </c>
      <c r="T43" s="1" t="s">
        <v>864</v>
      </c>
      <c r="U43" s="1" t="s">
        <v>864</v>
      </c>
      <c r="W43" s="1" t="s">
        <v>820</v>
      </c>
      <c r="AI43" s="587"/>
    </row>
    <row r="44" spans="2:36">
      <c r="B44" t="s">
        <v>841</v>
      </c>
      <c r="W44" s="2791" t="s">
        <v>1053</v>
      </c>
      <c r="AI44" s="587"/>
    </row>
    <row r="45" spans="2:36">
      <c r="C45" t="s">
        <v>829</v>
      </c>
      <c r="N45" s="259">
        <f>'Overall Assumptions'!$C$186</f>
        <v>1241</v>
      </c>
      <c r="O45" s="259">
        <f>'Overall Assumptions'!$C$179</f>
        <v>208.4</v>
      </c>
      <c r="R45" s="259">
        <f>'Overall Assumptions'!$C$179</f>
        <v>208.4</v>
      </c>
      <c r="U45" s="259">
        <f>'Overall Assumptions'!$C$174</f>
        <v>179.20000000000002</v>
      </c>
      <c r="AI45" s="587"/>
    </row>
    <row r="46" spans="2:36">
      <c r="C46" s="360" t="s">
        <v>840</v>
      </c>
      <c r="D46" s="1"/>
      <c r="E46" s="1"/>
      <c r="N46" s="3741" t="s">
        <v>825</v>
      </c>
      <c r="O46" s="3742"/>
      <c r="P46" s="3742"/>
      <c r="Q46" s="3743"/>
      <c r="AI46" s="587"/>
    </row>
    <row r="47" spans="2:36">
      <c r="C47" s="4" t="s">
        <v>730</v>
      </c>
      <c r="D47" s="593" t="s">
        <v>832</v>
      </c>
      <c r="F47" s="593" t="s">
        <v>799</v>
      </c>
      <c r="G47" s="3741" t="s">
        <v>800</v>
      </c>
      <c r="H47" s="3742"/>
      <c r="I47" s="3742"/>
      <c r="J47" s="3741" t="s">
        <v>868</v>
      </c>
      <c r="K47" s="3742"/>
      <c r="L47" s="3742"/>
      <c r="M47" s="809"/>
      <c r="N47" s="788" t="s">
        <v>870</v>
      </c>
      <c r="O47" s="3741" t="s">
        <v>869</v>
      </c>
      <c r="P47" s="3742"/>
      <c r="Q47" s="3743"/>
      <c r="R47" s="3741" t="s">
        <v>2173</v>
      </c>
      <c r="S47" s="3742"/>
      <c r="T47" s="3743"/>
      <c r="U47" s="274" t="s">
        <v>871</v>
      </c>
      <c r="W47" s="2791">
        <v>0</v>
      </c>
      <c r="X47" s="2791">
        <v>1</v>
      </c>
      <c r="Y47">
        <v>2</v>
      </c>
      <c r="Z47">
        <v>3</v>
      </c>
      <c r="AJ47" s="587"/>
    </row>
    <row r="48" spans="2:36" ht="16" customHeight="1">
      <c r="C48" s="480" t="s">
        <v>819</v>
      </c>
      <c r="D48" s="3828" t="s">
        <v>801</v>
      </c>
      <c r="F48" s="4049" t="s">
        <v>850</v>
      </c>
      <c r="G48" s="4050"/>
      <c r="H48" s="4050"/>
      <c r="I48" s="4050"/>
      <c r="J48" s="4050"/>
      <c r="K48" s="4050"/>
      <c r="L48" s="4051"/>
      <c r="M48" s="810"/>
      <c r="N48" s="593" t="s">
        <v>212</v>
      </c>
      <c r="O48" s="3889" t="s">
        <v>914</v>
      </c>
      <c r="P48" s="3890"/>
      <c r="Q48" s="3891"/>
      <c r="R48" t="s">
        <v>915</v>
      </c>
      <c r="U48" s="791" t="s">
        <v>824</v>
      </c>
      <c r="W48" s="402" t="s">
        <v>821</v>
      </c>
      <c r="X48" s="255"/>
      <c r="Y48" s="255"/>
      <c r="Z48" s="161"/>
      <c r="AJ48" s="587"/>
    </row>
    <row r="49" spans="2:36" ht="16" customHeight="1">
      <c r="C49" s="591"/>
      <c r="D49" s="3829"/>
      <c r="F49" s="593"/>
      <c r="G49" s="3889"/>
      <c r="H49" s="3890"/>
      <c r="I49" s="3890"/>
      <c r="J49" s="3889"/>
      <c r="K49" s="3890"/>
      <c r="L49" s="3891"/>
      <c r="M49" s="789"/>
      <c r="N49" s="274" t="s">
        <v>768</v>
      </c>
      <c r="O49" s="3889" t="s">
        <v>767</v>
      </c>
      <c r="P49" s="3890"/>
      <c r="Q49" s="3890"/>
      <c r="R49" s="3889" t="s">
        <v>767</v>
      </c>
      <c r="S49" s="3890"/>
      <c r="T49" s="3890"/>
      <c r="U49" s="792"/>
      <c r="W49" s="480" t="s">
        <v>3</v>
      </c>
      <c r="X49" s="161" t="s">
        <v>132</v>
      </c>
      <c r="Y49" s="161" t="s">
        <v>4</v>
      </c>
      <c r="Z49" s="161" t="s">
        <v>21</v>
      </c>
      <c r="AJ49" s="587"/>
    </row>
    <row r="50" spans="2:36" ht="16" customHeight="1">
      <c r="C50" s="591"/>
      <c r="D50" s="3829"/>
      <c r="F50" s="591"/>
      <c r="G50" s="3896" t="s">
        <v>796</v>
      </c>
      <c r="H50" s="3896"/>
      <c r="I50" s="3896"/>
      <c r="J50" s="3895" t="s">
        <v>796</v>
      </c>
      <c r="K50" s="3896"/>
      <c r="L50" s="3897"/>
      <c r="M50" s="789"/>
      <c r="N50" s="769"/>
      <c r="O50" s="3895" t="s">
        <v>796</v>
      </c>
      <c r="P50" s="3896"/>
      <c r="Q50" s="3897"/>
      <c r="R50" s="3895" t="s">
        <v>796</v>
      </c>
      <c r="S50" s="3896"/>
      <c r="T50" s="3897"/>
      <c r="U50" s="792"/>
      <c r="W50" s="2785"/>
      <c r="X50" s="2788"/>
      <c r="Y50" s="604"/>
      <c r="Z50" s="246"/>
      <c r="AJ50" s="587"/>
    </row>
    <row r="51" spans="2:36">
      <c r="B51" s="79"/>
      <c r="C51" s="481"/>
      <c r="D51" s="3830"/>
      <c r="F51" s="481"/>
      <c r="G51" s="439" t="s">
        <v>802</v>
      </c>
      <c r="H51" s="439" t="s">
        <v>803</v>
      </c>
      <c r="I51" s="439" t="s">
        <v>733</v>
      </c>
      <c r="J51" s="405" t="s">
        <v>802</v>
      </c>
      <c r="K51" s="439" t="s">
        <v>803</v>
      </c>
      <c r="L51" s="162" t="s">
        <v>733</v>
      </c>
      <c r="M51" s="591"/>
      <c r="N51" s="770"/>
      <c r="O51" s="405" t="s">
        <v>802</v>
      </c>
      <c r="P51" s="439" t="s">
        <v>803</v>
      </c>
      <c r="Q51" s="162" t="s">
        <v>733</v>
      </c>
      <c r="R51" s="405" t="s">
        <v>802</v>
      </c>
      <c r="S51" s="439" t="s">
        <v>803</v>
      </c>
      <c r="T51" s="162" t="s">
        <v>733</v>
      </c>
      <c r="U51" s="793"/>
      <c r="W51" s="481"/>
      <c r="X51" s="162"/>
      <c r="Y51" s="162"/>
      <c r="Z51" s="162"/>
      <c r="AJ51" s="587"/>
    </row>
    <row r="52" spans="2:36">
      <c r="B52" s="480" t="s">
        <v>862</v>
      </c>
      <c r="C52" s="246" t="s">
        <v>57</v>
      </c>
      <c r="D52" s="606"/>
      <c r="F52" s="691"/>
      <c r="G52" s="690"/>
      <c r="H52" s="690"/>
      <c r="I52" s="690"/>
      <c r="J52" s="839">
        <f>'Invasive Predators'!$AB$23</f>
        <v>85.55624999999992</v>
      </c>
      <c r="K52" s="748">
        <f>'Invasive Predators'!$AB$23</f>
        <v>85.55624999999992</v>
      </c>
      <c r="L52" s="840">
        <f>'Invasive Predators'!$AB$23</f>
        <v>85.55624999999992</v>
      </c>
      <c r="M52" s="715"/>
      <c r="N52" s="3118"/>
      <c r="O52" s="3119"/>
      <c r="P52" s="3120"/>
      <c r="Q52" s="3121"/>
      <c r="R52" s="3119"/>
      <c r="S52" s="3120"/>
      <c r="T52" s="3121"/>
      <c r="U52" s="3122"/>
      <c r="W52" s="751">
        <f ca="1">OFFSET('Invasive Predators'!$AC$23,W$47+$AA52,0)</f>
        <v>1</v>
      </c>
      <c r="X52" s="605" t="str">
        <f ca="1">OFFSET('Invasive Predators'!$AC$23,X$47+$AA52,0)</f>
        <v/>
      </c>
      <c r="Y52" s="605" t="str">
        <f ca="1">OFFSET('Invasive Predators'!$AC$23,Y$47+$AA52,0)</f>
        <v/>
      </c>
      <c r="Z52" s="605" t="str">
        <f ca="1">OFFSET('Invasive Predators'!$AC$23,Z$47+$AA52,0)</f>
        <v/>
      </c>
      <c r="AA52" s="587">
        <v>0</v>
      </c>
      <c r="AB52" s="578">
        <f t="shared" ref="AB52:AB57" ca="1" si="0">SUM(W52:Z52)</f>
        <v>1</v>
      </c>
      <c r="AJ52" s="587"/>
    </row>
    <row r="53" spans="2:36" ht="16" customHeight="1">
      <c r="B53" s="591" t="s">
        <v>863</v>
      </c>
      <c r="C53" s="246" t="s">
        <v>58</v>
      </c>
      <c r="D53" s="606"/>
      <c r="F53" s="691"/>
      <c r="G53" s="838"/>
      <c r="H53" s="838"/>
      <c r="I53" s="838"/>
      <c r="J53" s="841">
        <f>'Invasive Predators'!AB27</f>
        <v>70.703932634256077</v>
      </c>
      <c r="K53" s="337">
        <f>'Invasive Predators'!AB31</f>
        <v>84.148497656677606</v>
      </c>
      <c r="L53" s="842">
        <f>'Invasive Predators'!AB35</f>
        <v>105.03162770152063</v>
      </c>
      <c r="M53" s="715"/>
      <c r="N53" s="3118"/>
      <c r="O53" s="3123"/>
      <c r="P53" s="3123"/>
      <c r="Q53" s="3123"/>
      <c r="R53" s="3124">
        <f>'Invasive Predators'!$S$28</f>
        <v>0.99999999999999911</v>
      </c>
      <c r="S53" s="3124">
        <f>'Invasive Predators'!$S$32</f>
        <v>0.99999999999999911</v>
      </c>
      <c r="T53" s="3124">
        <f>'Invasive Predators'!$S$36</f>
        <v>0.99999999999999911</v>
      </c>
      <c r="U53" s="3121"/>
      <c r="W53" s="751">
        <f ca="1">OFFSET('Invasive Predators'!$AC$23,W$47+$AA53,0)</f>
        <v>0.44097520469198304</v>
      </c>
      <c r="X53" s="605">
        <f ca="1">OFFSET('Invasive Predators'!$AC$23,X$47+$AA53,0)</f>
        <v>0.2148340740807097</v>
      </c>
      <c r="Y53" s="605">
        <f ca="1">OFFSET('Invasive Predators'!$AC$23,Y$47+$AA53,0)</f>
        <v>0.25483731001506216</v>
      </c>
      <c r="Z53" s="605">
        <f ca="1">OFFSET('Invasive Predators'!$AC$23,Z$47+$AA53,0)</f>
        <v>8.9353411212245243E-2</v>
      </c>
      <c r="AA53" s="587">
        <v>4</v>
      </c>
      <c r="AB53" s="578">
        <f t="shared" ca="1" si="0"/>
        <v>1.0000000000000002</v>
      </c>
      <c r="AJ53" s="587"/>
    </row>
    <row r="54" spans="2:36">
      <c r="B54" s="591" t="s">
        <v>862</v>
      </c>
      <c r="C54" s="246" t="s">
        <v>737</v>
      </c>
      <c r="D54" s="606"/>
      <c r="F54" s="689">
        <f>'Invasive Predators'!AB39</f>
        <v>78.42505206190053</v>
      </c>
      <c r="G54" s="690"/>
      <c r="H54" s="690"/>
      <c r="I54" s="690"/>
      <c r="J54" s="843"/>
      <c r="K54" s="690"/>
      <c r="L54" s="844"/>
      <c r="M54" s="715"/>
      <c r="N54" s="1841">
        <f>'Invasive Predators'!$S$40</f>
        <v>0.99999999999999911</v>
      </c>
      <c r="O54" s="3123"/>
      <c r="P54" s="3123"/>
      <c r="Q54" s="3123"/>
      <c r="R54" s="3123"/>
      <c r="S54" s="3123"/>
      <c r="T54" s="3123"/>
      <c r="U54" s="3121"/>
      <c r="W54" s="751">
        <f ca="1">OFFSET('Invasive Predators'!$AC$23,W$47+$AA54,0)</f>
        <v>1.0940381643901034E-2</v>
      </c>
      <c r="X54" s="605">
        <f ca="1">OFFSET('Invasive Predators'!$AC$23,X$47+$AA54,0)</f>
        <v>0.23844421531579166</v>
      </c>
      <c r="Y54" s="605">
        <f ca="1">OFFSET('Invasive Predators'!$AC$23,Y$47+$AA54,0)</f>
        <v>0.455849235162543</v>
      </c>
      <c r="Z54" s="605">
        <f ca="1">OFFSET('Invasive Predators'!$AC$23,Z$47+$AA54,0)</f>
        <v>0.29476616787776427</v>
      </c>
      <c r="AA54" s="587">
        <v>16</v>
      </c>
      <c r="AB54" s="578">
        <f t="shared" ca="1" si="0"/>
        <v>1</v>
      </c>
      <c r="AJ54" s="587"/>
    </row>
    <row r="55" spans="2:36">
      <c r="B55" s="591" t="s">
        <v>863</v>
      </c>
      <c r="C55" s="246" t="s">
        <v>738</v>
      </c>
      <c r="D55" s="606"/>
      <c r="F55" s="691"/>
      <c r="G55" s="337">
        <f>'Invasive Predators'!AB43</f>
        <v>1190.7853689527815</v>
      </c>
      <c r="H55" s="337">
        <f>'Invasive Predators'!AB47</f>
        <v>1227.5925856941865</v>
      </c>
      <c r="I55" s="337">
        <f>'Invasive Predators'!AB51</f>
        <v>1301.2070191769965</v>
      </c>
      <c r="J55" s="845"/>
      <c r="K55" s="846"/>
      <c r="L55" s="625"/>
      <c r="M55" s="715"/>
      <c r="N55" s="3118"/>
      <c r="O55" s="3124">
        <f>'Invasive Predators'!$S$44</f>
        <v>2.9999999999999973</v>
      </c>
      <c r="P55" s="3124">
        <f>'Invasive Predators'!$S$48</f>
        <v>3.9999999999999964</v>
      </c>
      <c r="Q55" s="3124">
        <f>'Invasive Predators'!$S$52</f>
        <v>3.9999999999999964</v>
      </c>
      <c r="R55" s="3123"/>
      <c r="S55" s="3123"/>
      <c r="T55" s="3123"/>
      <c r="U55" s="3121"/>
      <c r="W55" s="751">
        <f ca="1">OFFSET('Invasive Predators'!$AC$23,W$47+$AA55,0)</f>
        <v>0.43229279653682312</v>
      </c>
      <c r="X55" s="605">
        <f ca="1">OFFSET('Invasive Predators'!$AC$23,X$47+$AA55,0)</f>
        <v>0.21060418292819588</v>
      </c>
      <c r="Y55" s="605">
        <f ca="1">OFFSET('Invasive Predators'!$AC$23,Y$47+$AA55,0)</f>
        <v>0.33768973862488294</v>
      </c>
      <c r="Z55" s="605">
        <f ca="1">OFFSET('Invasive Predators'!$AC$23,Z$47+$AA55,0)</f>
        <v>1.9413281910098144E-2</v>
      </c>
      <c r="AA55" s="587">
        <f>AA54+4</f>
        <v>20</v>
      </c>
      <c r="AB55" s="578">
        <f t="shared" ca="1" si="0"/>
        <v>1</v>
      </c>
      <c r="AJ55" s="587"/>
    </row>
    <row r="56" spans="2:36">
      <c r="B56" s="591" t="s">
        <v>863</v>
      </c>
      <c r="C56" s="246" t="s">
        <v>59</v>
      </c>
      <c r="D56" s="606"/>
      <c r="F56" s="691"/>
      <c r="G56" s="838"/>
      <c r="H56" s="838"/>
      <c r="I56" s="838"/>
      <c r="J56" s="841">
        <f>'Invasive Predators'!AB55</f>
        <v>64.386295067264513</v>
      </c>
      <c r="K56" s="337">
        <f>'Invasive Predators'!AB59</f>
        <v>77.830860089686041</v>
      </c>
      <c r="L56" s="842">
        <f>'Invasive Predators'!AB63</f>
        <v>98.71399013452907</v>
      </c>
      <c r="M56" s="715"/>
      <c r="N56" s="3118"/>
      <c r="O56" s="3123"/>
      <c r="P56" s="3125"/>
      <c r="Q56" s="3123"/>
      <c r="R56" s="3124">
        <f>'Invasive Predators'!$S$56</f>
        <v>0.99999999999999911</v>
      </c>
      <c r="S56" s="3124">
        <f>'Invasive Predators'!$S$60</f>
        <v>0.99999999999999911</v>
      </c>
      <c r="T56" s="3124">
        <f>'Invasive Predators'!$S$64</f>
        <v>0.99999999999999911</v>
      </c>
      <c r="U56" s="3121"/>
      <c r="W56" s="751">
        <f ca="1">OFFSET('Invasive Predators'!$AC$23,W$47+$AA56,0)</f>
        <v>0.48424406363725098</v>
      </c>
      <c r="X56" s="605">
        <f ca="1">OFFSET('Invasive Predators'!$AC$23,X$47+$AA56,0)</f>
        <v>0.2359137745925069</v>
      </c>
      <c r="Y56" s="605">
        <f ca="1">OFFSET('Invasive Predators'!$AC$23,Y$47+$AA56,0)</f>
        <v>0.27984216177024224</v>
      </c>
      <c r="Z56" s="605" t="str">
        <f ca="1">OFFSET('Invasive Predators'!$AC$23,Z$47+$AA56,0)</f>
        <v/>
      </c>
      <c r="AA56" s="587">
        <v>32</v>
      </c>
      <c r="AB56" s="578">
        <f t="shared" ca="1" si="0"/>
        <v>1</v>
      </c>
    </row>
    <row r="57" spans="2:36">
      <c r="B57" s="481" t="s">
        <v>862</v>
      </c>
      <c r="C57" s="162" t="s">
        <v>736</v>
      </c>
      <c r="D57" s="607"/>
      <c r="F57" s="691"/>
      <c r="G57" s="838"/>
      <c r="H57" s="838"/>
      <c r="I57" s="838"/>
      <c r="J57" s="385">
        <f>'Invasive Predators'!$AB$67</f>
        <v>85.55624999999992</v>
      </c>
      <c r="K57" s="179">
        <f>'Invasive Predators'!$AB$67</f>
        <v>85.55624999999992</v>
      </c>
      <c r="L57" s="847">
        <f>'Invasive Predators'!$AB$67</f>
        <v>85.55624999999992</v>
      </c>
      <c r="M57" s="715"/>
      <c r="N57" s="3126"/>
      <c r="O57" s="3119"/>
      <c r="P57" s="3120"/>
      <c r="Q57" s="3121"/>
      <c r="R57" s="3119"/>
      <c r="S57" s="3120"/>
      <c r="T57" s="3121"/>
      <c r="U57" s="3127"/>
      <c r="W57" s="752">
        <f ca="1">OFFSET('Invasive Predators'!$AC$23,W$47+$AA57,0)</f>
        <v>1</v>
      </c>
      <c r="X57" s="753" t="str">
        <f ca="1">OFFSET('Invasive Predators'!$AC$23,X$47+$AA57,0)</f>
        <v/>
      </c>
      <c r="Y57" s="753" t="str">
        <f ca="1">OFFSET('Invasive Predators'!$AC$23,Y$47+$AA57,0)</f>
        <v/>
      </c>
      <c r="Z57" s="753" t="str">
        <f ca="1">OFFSET('Invasive Predators'!$AC$23,Z$47+$AA57,0)</f>
        <v/>
      </c>
      <c r="AA57" s="587">
        <v>44</v>
      </c>
      <c r="AB57" s="578">
        <f t="shared" ca="1" si="0"/>
        <v>1</v>
      </c>
    </row>
    <row r="58" spans="2:36" ht="19" customHeight="1">
      <c r="C58" s="1211" t="s">
        <v>833</v>
      </c>
      <c r="D58" s="778">
        <f>SUM(D52:D57)</f>
        <v>0</v>
      </c>
      <c r="E58" s="1211" t="s">
        <v>826</v>
      </c>
      <c r="F58" s="773">
        <f t="shared" ref="F58:L58" si="1">SUM(F52:F57)</f>
        <v>78.42505206190053</v>
      </c>
      <c r="G58" s="773">
        <f t="shared" si="1"/>
        <v>1190.7853689527815</v>
      </c>
      <c r="H58" s="773">
        <f t="shared" si="1"/>
        <v>1227.5925856941865</v>
      </c>
      <c r="I58" s="773">
        <f t="shared" si="1"/>
        <v>1301.2070191769965</v>
      </c>
      <c r="J58" s="848">
        <f t="shared" si="1"/>
        <v>306.20272770152042</v>
      </c>
      <c r="K58" s="773">
        <f t="shared" si="1"/>
        <v>333.09185774636347</v>
      </c>
      <c r="L58" s="849">
        <f t="shared" si="1"/>
        <v>374.85811783604953</v>
      </c>
      <c r="M58" s="1212" t="s">
        <v>2226</v>
      </c>
      <c r="N58" s="3128">
        <f t="shared" ref="N58:T58" si="2">SUM(N52:N57)</f>
        <v>0.99999999999999911</v>
      </c>
      <c r="O58" s="3128">
        <f t="shared" si="2"/>
        <v>2.9999999999999973</v>
      </c>
      <c r="P58" s="3128">
        <f t="shared" si="2"/>
        <v>3.9999999999999964</v>
      </c>
      <c r="Q58" s="3128">
        <f t="shared" si="2"/>
        <v>3.9999999999999964</v>
      </c>
      <c r="R58" s="3128">
        <f t="shared" si="2"/>
        <v>1.9999999999999982</v>
      </c>
      <c r="S58" s="3128">
        <f t="shared" si="2"/>
        <v>1.9999999999999982</v>
      </c>
      <c r="T58" s="3128">
        <f t="shared" si="2"/>
        <v>1.9999999999999982</v>
      </c>
      <c r="U58" s="3190">
        <v>1</v>
      </c>
      <c r="W58" s="608"/>
      <c r="Y58" s="1"/>
      <c r="AA58" s="609"/>
      <c r="AB58" s="609"/>
      <c r="AC58" s="609"/>
      <c r="AD58" s="1"/>
      <c r="AE58" s="1"/>
    </row>
    <row r="59" spans="2:36">
      <c r="B59" s="811"/>
      <c r="E59" s="16"/>
      <c r="F59" s="16"/>
      <c r="H59" s="1"/>
      <c r="U59" t="s">
        <v>2192</v>
      </c>
      <c r="W59" s="543"/>
      <c r="X59" s="543"/>
      <c r="Y59" s="543"/>
      <c r="Z59" s="543"/>
      <c r="AD59" s="609"/>
      <c r="AE59" s="609"/>
      <c r="AF59" s="609"/>
    </row>
    <row r="60" spans="2:36">
      <c r="B60" s="811"/>
      <c r="C60" s="16"/>
      <c r="D60" s="16"/>
      <c r="Q60" s="543"/>
      <c r="R60" s="543"/>
      <c r="S60" s="543"/>
      <c r="T60" s="543"/>
      <c r="U60" t="s">
        <v>2203</v>
      </c>
      <c r="X60" s="609"/>
      <c r="Y60" s="609"/>
      <c r="Z60" s="609"/>
      <c r="AA60" s="609"/>
    </row>
    <row r="61" spans="2:36">
      <c r="B61" s="811"/>
      <c r="C61" s="28" t="s">
        <v>822</v>
      </c>
      <c r="D61" s="28"/>
      <c r="E61" s="3"/>
      <c r="F61" s="3"/>
      <c r="G61" s="3"/>
      <c r="H61" s="3"/>
      <c r="I61" s="3"/>
      <c r="J61" s="3"/>
      <c r="K61" s="3"/>
      <c r="L61" s="3"/>
      <c r="M61" s="3"/>
      <c r="N61" s="3"/>
      <c r="Q61" s="543"/>
      <c r="R61" s="543"/>
      <c r="S61" s="543"/>
      <c r="T61" s="543"/>
      <c r="X61" s="609"/>
      <c r="Y61" s="609"/>
      <c r="Z61" s="609"/>
      <c r="AA61" s="609"/>
    </row>
    <row r="62" spans="2:36" ht="15" customHeight="1">
      <c r="B62" s="811"/>
      <c r="C62" s="754" t="s">
        <v>57</v>
      </c>
      <c r="D62" s="774"/>
      <c r="E62" s="775"/>
      <c r="F62" s="899"/>
      <c r="G62" s="854"/>
      <c r="H62" s="855"/>
      <c r="I62" s="855"/>
      <c r="J62" s="900">
        <f>'Invasive Predators'!$Z$23</f>
        <v>34.931249999999963</v>
      </c>
      <c r="K62" s="755">
        <f>'Invasive Predators'!$Z$23</f>
        <v>34.931249999999963</v>
      </c>
      <c r="L62" s="756">
        <f>'Invasive Predators'!$Z$23</f>
        <v>34.931249999999963</v>
      </c>
      <c r="M62" s="768"/>
      <c r="N62" s="768"/>
      <c r="Q62" s="543"/>
      <c r="R62" s="543"/>
      <c r="S62" s="543"/>
      <c r="T62" s="543"/>
      <c r="X62" s="609"/>
      <c r="Y62" s="609"/>
      <c r="Z62" s="609"/>
      <c r="AA62" s="609"/>
    </row>
    <row r="63" spans="2:36">
      <c r="B63" s="811"/>
      <c r="C63" s="757" t="s">
        <v>58</v>
      </c>
      <c r="D63" s="775"/>
      <c r="E63" s="775"/>
      <c r="F63" s="850"/>
      <c r="G63" s="845"/>
      <c r="H63" s="846"/>
      <c r="I63" s="846"/>
      <c r="J63" s="851">
        <f>'Invasive Predators'!Z27</f>
        <v>25.850354926635838</v>
      </c>
      <c r="K63" s="758">
        <f>'Invasive Predators'!Z31</f>
        <v>30.700301114976643</v>
      </c>
      <c r="L63" s="759">
        <f>'Invasive Predators'!Z35</f>
        <v>38.594193491658253</v>
      </c>
      <c r="M63" s="779"/>
      <c r="N63" s="779"/>
      <c r="O63" s="620"/>
      <c r="Q63" s="543"/>
      <c r="R63" s="543"/>
      <c r="S63" s="543"/>
      <c r="T63" s="543"/>
      <c r="X63" s="609"/>
      <c r="Y63" s="609"/>
      <c r="Z63" s="609"/>
      <c r="AA63" s="609"/>
    </row>
    <row r="64" spans="2:36" ht="16" customHeight="1">
      <c r="B64" s="811"/>
      <c r="C64" s="757" t="s">
        <v>737</v>
      </c>
      <c r="D64" s="775"/>
      <c r="E64" s="775"/>
      <c r="F64" s="851">
        <f>'Invasive Predators'!Z39</f>
        <v>22.104242783515502</v>
      </c>
      <c r="G64" s="850"/>
      <c r="H64" s="760"/>
      <c r="I64" s="760"/>
      <c r="J64" s="850"/>
      <c r="K64" s="760"/>
      <c r="L64" s="761"/>
      <c r="M64" s="779"/>
      <c r="N64" s="779"/>
      <c r="Q64" s="543"/>
      <c r="R64" s="543"/>
      <c r="S64" s="543"/>
      <c r="T64" s="543"/>
      <c r="X64" s="609"/>
      <c r="Y64" s="609"/>
      <c r="Z64" s="609"/>
      <c r="AA64" s="609"/>
    </row>
    <row r="65" spans="2:35">
      <c r="B65" s="811"/>
      <c r="C65" s="757" t="s">
        <v>738</v>
      </c>
      <c r="D65" s="775"/>
      <c r="E65" s="775"/>
      <c r="F65" s="850"/>
      <c r="G65" s="851">
        <f>'Invasive Predators'!Z43</f>
        <v>439.523499538718</v>
      </c>
      <c r="H65" s="758">
        <f>'Invasive Predators'!Z47</f>
        <v>453.28198683318737</v>
      </c>
      <c r="I65" s="758">
        <f>'Invasive Predators'!Z51</f>
        <v>480.79896142212613</v>
      </c>
      <c r="J65" s="850"/>
      <c r="K65" s="760"/>
      <c r="L65" s="761"/>
      <c r="M65" s="779"/>
      <c r="N65" s="779"/>
      <c r="O65" s="620"/>
      <c r="Q65" s="543"/>
      <c r="R65" s="543"/>
      <c r="S65" s="543"/>
      <c r="T65" s="543"/>
      <c r="X65" s="609"/>
      <c r="Y65" s="609"/>
      <c r="Z65" s="609"/>
      <c r="AA65" s="609"/>
    </row>
    <row r="66" spans="2:35">
      <c r="B66" s="811"/>
      <c r="C66" s="757" t="s">
        <v>59</v>
      </c>
      <c r="D66" s="775"/>
      <c r="E66" s="775"/>
      <c r="F66" s="850"/>
      <c r="G66" s="845"/>
      <c r="H66" s="846"/>
      <c r="I66" s="846"/>
      <c r="J66" s="851">
        <f>'Invasive Predators'!Z55</f>
        <v>24.392438565022399</v>
      </c>
      <c r="K66" s="758">
        <f>'Invasive Predators'!Z59</f>
        <v>29.242384753363204</v>
      </c>
      <c r="L66" s="759">
        <f>'Invasive Predators'!Z63</f>
        <v>37.13627713004481</v>
      </c>
      <c r="M66" s="779"/>
      <c r="N66" s="779"/>
      <c r="Q66" s="543"/>
      <c r="R66" s="543"/>
      <c r="S66" s="543"/>
      <c r="T66" s="543"/>
      <c r="X66" s="609"/>
      <c r="Y66" s="609"/>
      <c r="Z66" s="609"/>
      <c r="AA66" s="609"/>
    </row>
    <row r="67" spans="2:35">
      <c r="B67" s="811"/>
      <c r="C67" s="762" t="s">
        <v>736</v>
      </c>
      <c r="D67" s="776"/>
      <c r="E67" s="776"/>
      <c r="F67" s="856"/>
      <c r="G67" s="853"/>
      <c r="H67" s="763"/>
      <c r="I67" s="763"/>
      <c r="J67" s="901">
        <f>'Invasive Predators'!Z67</f>
        <v>34.931249999999963</v>
      </c>
      <c r="K67" s="902">
        <f>'Invasive Predators'!AA67</f>
        <v>85.55624999999992</v>
      </c>
      <c r="L67" s="852">
        <f>'Invasive Predators'!AB67</f>
        <v>85.55624999999992</v>
      </c>
      <c r="M67" s="779"/>
      <c r="N67" s="779"/>
      <c r="Q67" s="543"/>
      <c r="R67" s="543"/>
      <c r="S67" s="543"/>
      <c r="T67" s="543"/>
      <c r="X67" s="609"/>
      <c r="Y67" s="609"/>
      <c r="Z67" s="609"/>
      <c r="AA67" s="609"/>
    </row>
    <row r="68" spans="2:35">
      <c r="B68" s="811"/>
      <c r="C68" s="764" t="s">
        <v>766</v>
      </c>
      <c r="D68" s="777"/>
      <c r="E68" s="812"/>
      <c r="F68" s="765">
        <f>SUM(F62:F67)</f>
        <v>22.104242783515502</v>
      </c>
      <c r="G68" s="765">
        <f>SUM(G62:G67)</f>
        <v>439.523499538718</v>
      </c>
      <c r="H68" s="765">
        <f>SUM(H62:H67)</f>
        <v>453.28198683318737</v>
      </c>
      <c r="I68" s="766">
        <f>SUM(I62:I67)</f>
        <v>480.79896142212613</v>
      </c>
      <c r="J68" s="779"/>
      <c r="K68" s="779"/>
      <c r="L68" s="779"/>
      <c r="M68" s="779"/>
      <c r="N68" s="779"/>
      <c r="Q68" s="543"/>
      <c r="R68" s="543"/>
      <c r="S68" s="543"/>
      <c r="T68" s="543"/>
      <c r="X68" s="609"/>
      <c r="Y68" s="609"/>
      <c r="Z68" s="609"/>
      <c r="AA68" s="609"/>
    </row>
    <row r="71" spans="2:35">
      <c r="AI71" s="587"/>
    </row>
    <row r="73" spans="2:35">
      <c r="J73" t="s">
        <v>1167</v>
      </c>
    </row>
    <row r="74" spans="2:35">
      <c r="J74" s="454">
        <f>F58+J58</f>
        <v>384.62777976342096</v>
      </c>
    </row>
  </sheetData>
  <mergeCells count="17">
    <mergeCell ref="R50:T50"/>
    <mergeCell ref="R47:T47"/>
    <mergeCell ref="J47:L47"/>
    <mergeCell ref="J49:L49"/>
    <mergeCell ref="J50:L50"/>
    <mergeCell ref="R49:T49"/>
    <mergeCell ref="G43:I43"/>
    <mergeCell ref="F48:L48"/>
    <mergeCell ref="D48:D51"/>
    <mergeCell ref="O48:Q48"/>
    <mergeCell ref="G49:I49"/>
    <mergeCell ref="O49:Q49"/>
    <mergeCell ref="N46:Q46"/>
    <mergeCell ref="G47:I47"/>
    <mergeCell ref="O47:Q47"/>
    <mergeCell ref="G50:I50"/>
    <mergeCell ref="O50:Q50"/>
  </mergeCell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P855"/>
  <sheetViews>
    <sheetView showGridLines="0" zoomScaleNormal="100" workbookViewId="0">
      <selection activeCell="H36" sqref="H36"/>
    </sheetView>
  </sheetViews>
  <sheetFormatPr baseColWidth="10" defaultColWidth="11" defaultRowHeight="16"/>
  <cols>
    <col min="1" max="1" width="2.6640625" customWidth="1"/>
    <col min="2" max="2" width="4.83203125" customWidth="1"/>
    <col min="3" max="3" width="26.1640625" customWidth="1"/>
    <col min="4" max="4" width="25.6640625" style="24" customWidth="1"/>
    <col min="5" max="5" width="12.5" style="16" customWidth="1"/>
    <col min="6" max="6" width="11.83203125" customWidth="1"/>
    <col min="7" max="7" width="16.1640625" style="359" customWidth="1"/>
    <col min="8" max="8" width="11.6640625" customWidth="1"/>
    <col min="9" max="9" width="17.33203125" customWidth="1"/>
    <col min="10" max="10" width="14.5" customWidth="1"/>
    <col min="11" max="11" width="9.83203125" customWidth="1"/>
    <col min="12" max="12" width="12.1640625" customWidth="1"/>
    <col min="13" max="13" width="2.1640625" customWidth="1"/>
    <col min="14" max="14" width="11.33203125" customWidth="1" collapsed="1"/>
    <col min="15" max="15" width="10.6640625" customWidth="1"/>
    <col min="16" max="16" width="11.33203125" customWidth="1"/>
    <col min="17" max="19" width="11.33203125" style="2791" customWidth="1"/>
    <col min="20" max="20" width="2.6640625" customWidth="1"/>
    <col min="21" max="21" width="11.1640625" customWidth="1"/>
    <col min="22" max="26" width="11.6640625" hidden="1" customWidth="1"/>
    <col min="27" max="27" width="19.33203125" customWidth="1" collapsed="1"/>
    <col min="28" max="28" width="16.6640625" customWidth="1"/>
    <col min="29" max="29" width="12.1640625" customWidth="1"/>
    <col min="30" max="30" width="21" customWidth="1"/>
    <col min="31" max="31" width="23.5" customWidth="1"/>
    <col min="32" max="32" width="37.5" customWidth="1"/>
    <col min="33" max="33" width="11" bestFit="1" customWidth="1"/>
    <col min="34" max="34" width="14.33203125" customWidth="1"/>
    <col min="35" max="35" width="12.83203125" bestFit="1" customWidth="1"/>
    <col min="36" max="36" width="12" bestFit="1" customWidth="1"/>
    <col min="37" max="37" width="11" bestFit="1" customWidth="1"/>
    <col min="42" max="42" width="12.5" bestFit="1" customWidth="1"/>
  </cols>
  <sheetData>
    <row r="1" spans="2:35">
      <c r="B1" s="3" t="s">
        <v>19</v>
      </c>
      <c r="C1" s="24"/>
      <c r="D1" s="16" t="s">
        <v>1728</v>
      </c>
      <c r="E1"/>
      <c r="F1" s="359"/>
      <c r="G1"/>
      <c r="H1" s="359"/>
    </row>
    <row r="2" spans="2:35" ht="16" customHeight="1">
      <c r="C2" s="24" t="s">
        <v>10</v>
      </c>
      <c r="D2" s="16" t="s">
        <v>1729</v>
      </c>
      <c r="E2"/>
      <c r="F2" s="359"/>
      <c r="G2"/>
      <c r="H2" s="359"/>
      <c r="AB2" s="2406"/>
      <c r="AE2" s="2407"/>
    </row>
    <row r="3" spans="2:35" ht="16" customHeight="1">
      <c r="C3" s="24" t="s">
        <v>0</v>
      </c>
      <c r="D3" s="16" t="s">
        <v>1730</v>
      </c>
      <c r="E3"/>
      <c r="F3" s="359"/>
      <c r="G3"/>
      <c r="H3" s="359"/>
      <c r="AB3" s="2406"/>
      <c r="AE3" s="2407"/>
    </row>
    <row r="4" spans="2:35" ht="16" customHeight="1">
      <c r="B4" s="3"/>
      <c r="C4" s="24" t="s">
        <v>1</v>
      </c>
      <c r="D4" s="16" t="s">
        <v>1731</v>
      </c>
      <c r="E4"/>
      <c r="F4" s="359"/>
      <c r="G4"/>
      <c r="H4" s="359"/>
      <c r="AB4" s="2406"/>
      <c r="AE4" s="2407"/>
    </row>
    <row r="5" spans="2:35" ht="16" customHeight="1">
      <c r="B5" s="3" t="s">
        <v>20</v>
      </c>
      <c r="C5" s="24"/>
      <c r="D5" s="16"/>
      <c r="E5"/>
      <c r="F5" s="359"/>
      <c r="H5" s="1"/>
      <c r="I5" s="359"/>
      <c r="AC5" s="2406"/>
      <c r="AF5" s="2407"/>
    </row>
    <row r="6" spans="2:35">
      <c r="C6" s="24" t="s">
        <v>2</v>
      </c>
      <c r="D6" s="16" t="s">
        <v>1732</v>
      </c>
      <c r="F6" s="359"/>
      <c r="I6" s="359"/>
      <c r="AC6" s="3831"/>
      <c r="AF6" s="3832"/>
    </row>
    <row r="7" spans="2:35">
      <c r="C7" s="24" t="s">
        <v>22</v>
      </c>
      <c r="D7" s="16" t="s">
        <v>1733</v>
      </c>
      <c r="F7" s="359"/>
      <c r="I7" s="359"/>
      <c r="AC7" s="3831"/>
      <c r="AF7" s="3832"/>
    </row>
    <row r="8" spans="2:35">
      <c r="C8" s="24" t="s">
        <v>7</v>
      </c>
      <c r="D8" s="16" t="s">
        <v>29</v>
      </c>
      <c r="F8" s="359"/>
      <c r="I8" s="359"/>
      <c r="O8" s="15"/>
      <c r="AC8" s="3831"/>
      <c r="AF8" s="3832"/>
    </row>
    <row r="9" spans="2:35">
      <c r="C9" s="24" t="s">
        <v>8</v>
      </c>
      <c r="D9" s="16" t="s">
        <v>9</v>
      </c>
      <c r="F9" s="359"/>
      <c r="I9" s="359"/>
      <c r="AC9" s="3831"/>
      <c r="AF9" s="3832"/>
    </row>
    <row r="10" spans="2:35" ht="19">
      <c r="C10" s="24"/>
      <c r="D10" s="16"/>
      <c r="F10" s="359"/>
      <c r="I10" s="359"/>
      <c r="AC10" s="2406"/>
      <c r="AF10" s="2407"/>
    </row>
    <row r="11" spans="2:35" ht="19">
      <c r="B11" s="904" t="s">
        <v>140</v>
      </c>
      <c r="C11" s="113"/>
      <c r="D11" s="16"/>
      <c r="F11" s="359"/>
      <c r="I11" s="359"/>
      <c r="AA11" s="2953" t="s">
        <v>2305</v>
      </c>
      <c r="AB11" s="2953"/>
      <c r="AC11" s="2406"/>
      <c r="AF11" s="2407"/>
    </row>
    <row r="12" spans="2:35" ht="19">
      <c r="C12" s="31" t="s">
        <v>960</v>
      </c>
      <c r="D12" s="16"/>
      <c r="F12" s="359"/>
      <c r="I12" s="359"/>
      <c r="AA12" s="204">
        <f>SUMIF(T23:T104,"L",AA23:AA104)-AA13-AA15</f>
        <v>1044.6110131297808</v>
      </c>
      <c r="AB12" s="2953" t="s">
        <v>2303</v>
      </c>
      <c r="AC12" s="2406"/>
      <c r="AF12" s="2407"/>
    </row>
    <row r="13" spans="2:35" ht="19">
      <c r="C13" s="955" t="s">
        <v>961</v>
      </c>
      <c r="D13" s="16"/>
      <c r="F13" s="359"/>
      <c r="I13" s="359"/>
      <c r="AA13" s="454">
        <v>0</v>
      </c>
      <c r="AB13" s="2953" t="s">
        <v>2304</v>
      </c>
      <c r="AC13" s="2406"/>
      <c r="AF13" s="2407"/>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SUM(AA31,AA35,AA43,AA47,AA63,AA67,AA75,AA79)</f>
        <v>1971.0177541032397</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2399"/>
      <c r="AE17" s="2400"/>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2401"/>
      <c r="AE18" s="2402"/>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2403"/>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2408"/>
      <c r="AG21" s="2408"/>
      <c r="AH21" s="909" t="s">
        <v>66</v>
      </c>
      <c r="AI21" s="895"/>
      <c r="AJ21" s="3748" t="s">
        <v>190</v>
      </c>
      <c r="AK21" s="3748" t="s">
        <v>181</v>
      </c>
    </row>
    <row r="22" spans="1:37" s="893" customFormat="1" ht="51" customHeight="1">
      <c r="B22" s="2404"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2408"/>
      <c r="AG22" s="893" t="s">
        <v>732</v>
      </c>
      <c r="AH22" s="2405" t="s">
        <v>17</v>
      </c>
      <c r="AI22" s="898" t="s">
        <v>18</v>
      </c>
      <c r="AJ22" s="3749"/>
      <c r="AK22" s="3749"/>
    </row>
    <row r="23" spans="1:37" ht="19" customHeight="1">
      <c r="B23" s="260">
        <v>1</v>
      </c>
      <c r="C23" s="3844" t="s">
        <v>201</v>
      </c>
      <c r="D23" s="3847" t="s">
        <v>131</v>
      </c>
      <c r="E23" s="12" t="s">
        <v>3</v>
      </c>
      <c r="F23" s="1172"/>
      <c r="G23" s="1172">
        <f>$E$121</f>
        <v>20</v>
      </c>
      <c r="H23" s="188">
        <f>F121</f>
        <v>6750</v>
      </c>
      <c r="I23" s="921" t="s">
        <v>407</v>
      </c>
      <c r="J23" s="377" t="str">
        <f>IF(K23=1,"Annual","Done every "&amp;K23&amp;" years")</f>
        <v>Annual</v>
      </c>
      <c r="K23" s="11">
        <f>$D$108</f>
        <v>1</v>
      </c>
      <c r="L23" s="1043">
        <f>$L$16/K23</f>
        <v>80</v>
      </c>
      <c r="M23" s="171">
        <f>$L$16/L23</f>
        <v>1</v>
      </c>
      <c r="N23" s="240">
        <f>$H23*(1-(1+$L$15)^-(L23*M23))/((1+$L$15)^M23-1)*(1+((1+$L$15)^M23-1))</f>
        <v>167886.05076478145</v>
      </c>
      <c r="O23" s="191">
        <f>N23/(1+$L$15)*($L$15)/(1-(1+$L$15)^-$L$16)</f>
        <v>6749.9999999999945</v>
      </c>
      <c r="P23" s="195">
        <f>SUM(O23:O26)</f>
        <v>6749.9999999999945</v>
      </c>
      <c r="Q23" s="3016"/>
      <c r="R23" s="3016"/>
      <c r="S23" s="3016"/>
      <c r="T23" s="1031" t="s">
        <v>808</v>
      </c>
      <c r="U23" s="583">
        <f>O23/$U$16</f>
        <v>67.499999999999943</v>
      </c>
      <c r="V23" s="583">
        <f>IF($T23="L",SUM($U23:U23)*V$16,"")</f>
        <v>20.249999999999982</v>
      </c>
      <c r="W23" s="1474"/>
      <c r="X23" s="583">
        <f>IF($U23="","",SUM($U23:W23)*X$16)</f>
        <v>26.324999999999978</v>
      </c>
      <c r="Y23" s="240">
        <f t="shared" ref="Y23:Y29" si="0">IF($U23="","",SUM(V23:X23))</f>
        <v>46.57499999999996</v>
      </c>
      <c r="Z23" s="240">
        <f>SUM(V23:X26)</f>
        <v>46.57499999999996</v>
      </c>
      <c r="AA23" s="191">
        <f t="shared" ref="AA23:AA29" si="1">IF($U23="","",SUM(U23,Y23))</f>
        <v>114.0749999999999</v>
      </c>
      <c r="AB23" s="195">
        <f>SUM(AA23:AA26)</f>
        <v>114.0749999999999</v>
      </c>
      <c r="AC23" s="889">
        <f t="shared" ref="AC23:AC29" ca="1" si="2">IF(AA23="","",AA23/OFFSET($AB$23,AF23,0))</f>
        <v>1</v>
      </c>
      <c r="AD23" s="941"/>
      <c r="AE23" s="1063"/>
      <c r="AF23" s="587">
        <v>0</v>
      </c>
      <c r="AG23" s="816">
        <f ca="1">SUM(AC23:AC26)-1</f>
        <v>0</v>
      </c>
      <c r="AH23" s="13">
        <f>$AH$16/K23</f>
        <v>5</v>
      </c>
      <c r="AI23" s="13">
        <f>$AH$16/AH23</f>
        <v>1</v>
      </c>
      <c r="AJ23" s="14">
        <f>$H23*(1-(1+$L$15)^-(AH23*AI23))/((1+$L$15)^AI23-1)*(1+((1+$L$15)^AI23-1))</f>
        <v>31251.792763733778</v>
      </c>
      <c r="AK23" s="191">
        <f>SUM(AJ23:AJ26)</f>
        <v>31251.792763733778</v>
      </c>
    </row>
    <row r="24" spans="1:37" ht="19" customHeight="1">
      <c r="B24" s="261"/>
      <c r="C24" s="3845"/>
      <c r="D24" s="3848"/>
      <c r="E24" s="12" t="s">
        <v>308</v>
      </c>
      <c r="F24" s="1172"/>
      <c r="G24" s="1172"/>
      <c r="H24" s="188"/>
      <c r="I24" s="921"/>
      <c r="J24" s="377"/>
      <c r="K24" s="11"/>
      <c r="L24" s="1044"/>
      <c r="M24" s="944"/>
      <c r="N24" s="241"/>
      <c r="O24" s="342"/>
      <c r="P24" s="193"/>
      <c r="Q24" s="3017">
        <v>0</v>
      </c>
      <c r="R24" s="3017">
        <v>0</v>
      </c>
      <c r="S24" s="3017">
        <v>0</v>
      </c>
      <c r="T24" s="1032" t="s">
        <v>809</v>
      </c>
      <c r="U24" s="585"/>
      <c r="V24" s="585" t="str">
        <f>IF($T24="L",SUM($U24:U24)*V$16,"")</f>
        <v/>
      </c>
      <c r="W24" s="1475"/>
      <c r="X24" s="585" t="str">
        <f>IF($U24="","",SUM($U24:W24)*X$16)</f>
        <v/>
      </c>
      <c r="Y24" s="242" t="str">
        <f t="shared" si="0"/>
        <v/>
      </c>
      <c r="Z24" s="242"/>
      <c r="AA24" s="342" t="str">
        <f t="shared" si="1"/>
        <v/>
      </c>
      <c r="AB24" s="193"/>
      <c r="AC24" s="890" t="str">
        <f t="shared" ca="1" si="2"/>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c r="P25" s="193"/>
      <c r="Q25" s="3017"/>
      <c r="R25" s="3017"/>
      <c r="S25" s="3017"/>
      <c r="T25" s="1032" t="s">
        <v>810</v>
      </c>
      <c r="U25" s="585"/>
      <c r="V25" s="585" t="str">
        <f>IF($T25="L",SUM($U25:U25)*V$16,"")</f>
        <v/>
      </c>
      <c r="W25" s="1475"/>
      <c r="X25" s="585" t="str">
        <f>IF($U25="","",SUM($U25:W25)*X$16)</f>
        <v/>
      </c>
      <c r="Y25" s="242" t="str">
        <f t="shared" si="0"/>
        <v/>
      </c>
      <c r="Z25" s="242"/>
      <c r="AA25" s="342" t="str">
        <f t="shared" si="1"/>
        <v/>
      </c>
      <c r="AB25" s="193"/>
      <c r="AC25" s="890" t="str">
        <f t="shared" ca="1" si="2"/>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c r="P26" s="196"/>
      <c r="Q26" s="3018"/>
      <c r="R26" s="3018"/>
      <c r="S26" s="3018"/>
      <c r="T26" s="1033" t="s">
        <v>811</v>
      </c>
      <c r="U26" s="891"/>
      <c r="V26" s="891" t="str">
        <f>IF($T26="L",SUM($U26:U26)*V$16,"")</f>
        <v/>
      </c>
      <c r="W26" s="1478"/>
      <c r="X26" s="891" t="str">
        <f>IF($U26="","",SUM($U26:W26)*X$16)</f>
        <v/>
      </c>
      <c r="Y26" s="244" t="str">
        <f t="shared" si="0"/>
        <v/>
      </c>
      <c r="Z26" s="244"/>
      <c r="AA26" s="343" t="str">
        <f t="shared" si="1"/>
        <v/>
      </c>
      <c r="AB26" s="196"/>
      <c r="AC26" s="892" t="str">
        <f t="shared" ca="1" si="2"/>
        <v/>
      </c>
      <c r="AD26" s="942"/>
      <c r="AE26" s="1065"/>
      <c r="AF26" s="587">
        <f>AF25</f>
        <v>0</v>
      </c>
      <c r="AG26" s="587"/>
      <c r="AH26" s="13"/>
      <c r="AI26" s="13"/>
      <c r="AJ26" s="189"/>
      <c r="AK26" s="342"/>
    </row>
    <row r="27" spans="1:37" ht="18" customHeight="1">
      <c r="A27" s="390"/>
      <c r="B27" s="710">
        <v>2.1</v>
      </c>
      <c r="C27" s="2409" t="s">
        <v>1005</v>
      </c>
      <c r="D27" s="3850" t="s">
        <v>1051</v>
      </c>
      <c r="E27" s="373" t="s">
        <v>3</v>
      </c>
      <c r="F27" s="1176"/>
      <c r="G27" s="1176">
        <f t="shared" ref="G27:G29" si="3">E229</f>
        <v>6.2541106128550075</v>
      </c>
      <c r="H27" s="370">
        <f>H229</f>
        <v>1407.1748878923768</v>
      </c>
      <c r="I27" s="613" t="s">
        <v>475</v>
      </c>
      <c r="J27" s="375" t="str">
        <f>IF(K27=1,"Annual","Done every "&amp;K27&amp;" years")</f>
        <v>Annual</v>
      </c>
      <c r="K27" s="371">
        <f>L229</f>
        <v>1</v>
      </c>
      <c r="L27" s="386">
        <f t="shared" ref="L27:M29" si="4">$L$16/K27</f>
        <v>80</v>
      </c>
      <c r="M27" s="371">
        <f t="shared" si="4"/>
        <v>1</v>
      </c>
      <c r="N27" s="370">
        <f>$H27*(1-(1+$L$15)^-(L27*M27))/((1+$L$15)^M27-1)*(1+((1+$L$15)^M27-1))</f>
        <v>34999.264394611135</v>
      </c>
      <c r="O27" s="640">
        <f>N27/(1+$L$15)*($L$15)/(1-(1+$L$15)^-$L$16)</f>
        <v>1407.1748878923752</v>
      </c>
      <c r="P27" s="980">
        <f>SUM(O27:O30)</f>
        <v>3558.3856502242124</v>
      </c>
      <c r="Q27" s="3020"/>
      <c r="R27" s="3020"/>
      <c r="S27" s="3020"/>
      <c r="T27" s="1034" t="s">
        <v>808</v>
      </c>
      <c r="U27" s="642">
        <f t="shared" ref="U27:U33" si="5">O27/$U$16</f>
        <v>14.071748878923751</v>
      </c>
      <c r="V27" s="644">
        <f>IF($T27="L",SUM($U27:U27)*V$16,"")</f>
        <v>4.2215246636771253</v>
      </c>
      <c r="W27" s="644">
        <f>IF($U27="","",IF(OR($T27="L",$T27="T",$T27="C"),SUM($U27:V27)*W$16,""))</f>
        <v>1.8293273542600876</v>
      </c>
      <c r="X27" s="644">
        <f>IF($U27="","",SUM($U27:W27)*X$16)</f>
        <v>6.0367802690582888</v>
      </c>
      <c r="Y27" s="388">
        <f t="shared" si="0"/>
        <v>12.087632286995502</v>
      </c>
      <c r="Z27" s="392">
        <f>SUM(V27:X30)</f>
        <v>21.337838565022402</v>
      </c>
      <c r="AA27" s="734">
        <f t="shared" si="1"/>
        <v>26.159381165919253</v>
      </c>
      <c r="AB27" s="392">
        <f>SUM(AA27:AA30)</f>
        <v>56.921695067264523</v>
      </c>
      <c r="AC27" s="888">
        <f t="shared" ca="1" si="2"/>
        <v>0.45956785255615878</v>
      </c>
      <c r="AD27" s="641"/>
      <c r="AE27" s="1066"/>
      <c r="AF27" s="587">
        <v>4</v>
      </c>
      <c r="AG27" s="816">
        <f ca="1">SUM(AC27:AC30)-1</f>
        <v>0</v>
      </c>
      <c r="AH27" s="387">
        <f>$AH$16/K27</f>
        <v>5</v>
      </c>
      <c r="AI27" s="387">
        <f>$AH$16/AH27</f>
        <v>1</v>
      </c>
      <c r="AJ27" s="370">
        <f>$H27*(1-(1+$L$15)^-(AH27*AI27))/((1+$L$15)^AI27-1)*(1+((1+$L$15)^AI27-1))</f>
        <v>6515.0722931470918</v>
      </c>
      <c r="AK27" s="980">
        <f>SUM(AJ27:AJ30)</f>
        <v>16474.95272803722</v>
      </c>
    </row>
    <row r="28" spans="1:37" ht="19" customHeight="1">
      <c r="A28" s="390"/>
      <c r="B28" s="710"/>
      <c r="C28" s="2410" t="s">
        <v>749</v>
      </c>
      <c r="D28" s="3851"/>
      <c r="E28" s="373" t="s">
        <v>308</v>
      </c>
      <c r="F28" s="1176">
        <f>$D$216</f>
        <v>1</v>
      </c>
      <c r="G28" s="1176">
        <f t="shared" si="3"/>
        <v>3.1270553064275037</v>
      </c>
      <c r="H28" s="882">
        <f>H230</f>
        <v>891.21076233183862</v>
      </c>
      <c r="I28" s="613" t="s">
        <v>797</v>
      </c>
      <c r="J28" s="375" t="str">
        <f>IF(K28=1,"Annual","Done every "&amp;K28&amp;" years")</f>
        <v>Annual</v>
      </c>
      <c r="K28" s="371">
        <f>L230</f>
        <v>1</v>
      </c>
      <c r="L28" s="386">
        <f t="shared" si="4"/>
        <v>80</v>
      </c>
      <c r="M28" s="371">
        <f t="shared" si="4"/>
        <v>1</v>
      </c>
      <c r="N28" s="370">
        <f>$H28*(1-(1+$L$15)^-(L28*M28))/((1+$L$15)^M28-1)*(1+((1+$L$15)^M28-1))</f>
        <v>22166.200783253724</v>
      </c>
      <c r="O28" s="640">
        <f>N28/(1+$L$15)*($L$15)/(1-(1+$L$15)^-$L$16)</f>
        <v>891.21076233183794</v>
      </c>
      <c r="P28" s="981"/>
      <c r="Q28" s="2955">
        <f>1*(1-(1+$L$15)^-(L28*M28))/((1+$L$15)^M28-1)*(1+((1+$L$15)^M28-1))</f>
        <v>24.872007520708362</v>
      </c>
      <c r="R28" s="2955">
        <f>Q28/(1+$L$15)*($L$15)/(1-(1+$L$15)^-$L$16)</f>
        <v>0.99999999999999911</v>
      </c>
      <c r="S28" s="2955">
        <f>F28*R28</f>
        <v>0.99999999999999911</v>
      </c>
      <c r="T28" s="1034" t="s">
        <v>809</v>
      </c>
      <c r="U28" s="639">
        <f t="shared" si="5"/>
        <v>8.9121076233183789</v>
      </c>
      <c r="V28" s="644" t="str">
        <f>IF($T28="L",SUM($U28:U28)*V$16,"")</f>
        <v/>
      </c>
      <c r="W28" s="644">
        <f>IF($U28="","",IF(OR($T28="L",$T28="T",$T28="C"),SUM($U28:V28)*W$16,""))</f>
        <v>0.89121076233183794</v>
      </c>
      <c r="X28" s="644">
        <f>IF($U28="","",SUM($U28:W28)*X$16)</f>
        <v>2.9409955156950649</v>
      </c>
      <c r="Y28" s="394">
        <f t="shared" si="0"/>
        <v>3.8322062780269031</v>
      </c>
      <c r="Z28" s="392"/>
      <c r="AA28" s="734">
        <f t="shared" si="1"/>
        <v>12.744313901345283</v>
      </c>
      <c r="AB28" s="392"/>
      <c r="AC28" s="729">
        <f t="shared" ca="1" si="2"/>
        <v>0.2238920307324877</v>
      </c>
      <c r="AD28" s="641"/>
      <c r="AE28" s="1066"/>
      <c r="AF28" s="587">
        <f>AF27</f>
        <v>4</v>
      </c>
      <c r="AG28" s="587"/>
      <c r="AH28" s="387">
        <f>$AH$16/K28</f>
        <v>5</v>
      </c>
      <c r="AI28" s="387">
        <f>$AH$16/AH28</f>
        <v>1</v>
      </c>
      <c r="AJ28" s="370">
        <f>$H28*(1-(1+$L$15)^-(AH28*AI28))/((1+$L$15)^AI28-1)*(1+((1+$L$15)^AI28-1))</f>
        <v>4126.212452326492</v>
      </c>
      <c r="AK28" s="981"/>
    </row>
    <row r="29" spans="1:37" ht="19" customHeight="1">
      <c r="A29" s="390"/>
      <c r="B29" s="710"/>
      <c r="C29" s="2410"/>
      <c r="D29" s="3851"/>
      <c r="E29" s="373" t="s">
        <v>4</v>
      </c>
      <c r="F29" s="1176"/>
      <c r="G29" s="1176">
        <f t="shared" si="3"/>
        <v>6</v>
      </c>
      <c r="H29" s="882">
        <f>H231</f>
        <v>1260</v>
      </c>
      <c r="I29" s="613" t="s">
        <v>70</v>
      </c>
      <c r="J29" s="375" t="str">
        <f>IF(K29=1,"Annual","Done every "&amp;K29&amp;" years")</f>
        <v>Annual</v>
      </c>
      <c r="K29" s="371">
        <f>L231</f>
        <v>1</v>
      </c>
      <c r="L29" s="386">
        <f t="shared" si="4"/>
        <v>80</v>
      </c>
      <c r="M29" s="371">
        <f t="shared" si="4"/>
        <v>1</v>
      </c>
      <c r="N29" s="370">
        <f>$H29*(1-(1+$L$15)^-(L29*M29))/((1+$L$15)^M29-1)*(1+((1+$L$15)^M29-1))</f>
        <v>31338.729476092536</v>
      </c>
      <c r="O29" s="640">
        <f>N29/(1+$L$15)*($L$15)/(1-(1+$L$15)^-$L$16)</f>
        <v>1259.9999999999991</v>
      </c>
      <c r="P29" s="982"/>
      <c r="Q29" s="2955"/>
      <c r="R29" s="2955"/>
      <c r="S29" s="2955"/>
      <c r="T29" s="1034" t="s">
        <v>810</v>
      </c>
      <c r="U29" s="639">
        <f t="shared" si="5"/>
        <v>12.599999999999991</v>
      </c>
      <c r="V29" s="644" t="str">
        <f>IF($T29="L",SUM($U29:U29)*V$16,"")</f>
        <v/>
      </c>
      <c r="W29" s="644">
        <f>IF($U29="","",IF(OR($T29="L",$T29="T",$T29="C"),SUM($U29:V29)*W$16,""))</f>
        <v>1.2599999999999991</v>
      </c>
      <c r="X29" s="644">
        <f>IF($U29="","",SUM($U29:W29)*X$16)</f>
        <v>4.1579999999999968</v>
      </c>
      <c r="Y29" s="394">
        <f t="shared" si="0"/>
        <v>5.4179999999999957</v>
      </c>
      <c r="Z29" s="393"/>
      <c r="AA29" s="735">
        <f t="shared" si="1"/>
        <v>18.017999999999986</v>
      </c>
      <c r="AB29" s="393"/>
      <c r="AC29" s="729">
        <f t="shared" ca="1" si="2"/>
        <v>0.31654011671135351</v>
      </c>
      <c r="AD29" s="643"/>
      <c r="AE29" s="1066"/>
      <c r="AF29" s="587">
        <f>AF28</f>
        <v>4</v>
      </c>
      <c r="AG29" s="587"/>
      <c r="AH29" s="387">
        <f>$AH$16/K29</f>
        <v>5</v>
      </c>
      <c r="AI29" s="387">
        <f>$AH$16/AH29</f>
        <v>1</v>
      </c>
      <c r="AJ29" s="370">
        <f>$H29*(1-(1+$L$15)^-(AH29*AI29))/((1+$L$15)^AI29-1)*(1+((1+$L$15)^AI29-1))</f>
        <v>5833.6679825636384</v>
      </c>
      <c r="AK29" s="982"/>
    </row>
    <row r="30" spans="1:37" ht="19" customHeight="1">
      <c r="A30" s="390"/>
      <c r="B30" s="710"/>
      <c r="C30" s="2410"/>
      <c r="D30" s="3851"/>
      <c r="E30" s="373" t="s">
        <v>21</v>
      </c>
      <c r="F30" s="1176"/>
      <c r="G30" s="1176"/>
      <c r="H30" s="370"/>
      <c r="I30" s="1086"/>
      <c r="J30" s="375"/>
      <c r="K30" s="371"/>
      <c r="L30" s="386"/>
      <c r="M30" s="371"/>
      <c r="N30" s="370"/>
      <c r="O30" s="640"/>
      <c r="P30" s="982"/>
      <c r="Q30" s="2955"/>
      <c r="R30" s="2955"/>
      <c r="S30" s="2955"/>
      <c r="T30" s="1034" t="s">
        <v>811</v>
      </c>
      <c r="U30" s="639">
        <f t="shared" si="5"/>
        <v>0</v>
      </c>
      <c r="V30" s="644" t="str">
        <f>IF($T30="L",SUM($U30:U30)*V$16,"")</f>
        <v/>
      </c>
      <c r="W30" s="644" t="str">
        <f>IF($U30="","",IF(OR($T30="L",$T30="T",$T30="C"),SUM($U30:V30)*W$16,""))</f>
        <v/>
      </c>
      <c r="X30" s="644">
        <f>IF($U30="","",SUM($U30:W30)*X$16)</f>
        <v>0</v>
      </c>
      <c r="Y30" s="394"/>
      <c r="Z30" s="393"/>
      <c r="AA30" s="735"/>
      <c r="AB30" s="393"/>
      <c r="AC30" s="729"/>
      <c r="AD30" s="643"/>
      <c r="AE30" s="1066"/>
      <c r="AF30" s="587">
        <f>AF29</f>
        <v>4</v>
      </c>
      <c r="AG30" s="587"/>
      <c r="AH30" s="387"/>
      <c r="AI30" s="387"/>
      <c r="AJ30" s="370"/>
      <c r="AK30" s="982"/>
    </row>
    <row r="31" spans="1:37" ht="18" customHeight="1">
      <c r="A31" s="676"/>
      <c r="B31" s="711">
        <f>B27+0.1</f>
        <v>2.2000000000000002</v>
      </c>
      <c r="C31" s="2415" t="s">
        <v>202</v>
      </c>
      <c r="D31" s="3852" t="s">
        <v>1051</v>
      </c>
      <c r="E31" s="685" t="s">
        <v>3</v>
      </c>
      <c r="F31" s="1177"/>
      <c r="G31" s="1177">
        <f t="shared" ref="G31:G33" si="6">F229</f>
        <v>7.449925261584454</v>
      </c>
      <c r="H31" s="665">
        <f>I229</f>
        <v>1676.2331838565024</v>
      </c>
      <c r="I31" s="818" t="str">
        <f>I27</f>
        <v xml:space="preserve">Labour to get tracking done, cameras, sandpads and collars. </v>
      </c>
      <c r="J31" s="666" t="str">
        <f>IF(K31=1,"Annual","Done every "&amp;K31&amp;" years")</f>
        <v>Annual</v>
      </c>
      <c r="K31" s="667">
        <f>L229</f>
        <v>1</v>
      </c>
      <c r="L31" s="671">
        <f t="shared" ref="L31:M33" si="7">$L$16/K31</f>
        <v>80</v>
      </c>
      <c r="M31" s="880">
        <f t="shared" si="7"/>
        <v>1</v>
      </c>
      <c r="N31" s="883">
        <f>$H31*(1-(1+$L$15)^-(L31*M31))/((1+$L$15)^M31-1)*(1+((1+$L$15)^M31-1))</f>
        <v>41691.284355339849</v>
      </c>
      <c r="O31" s="673">
        <f>N31/(1+$L$15)*($L$15)/(1-(1+$L$15)^-$L$16)</f>
        <v>1676.233183856501</v>
      </c>
      <c r="P31" s="983">
        <f>SUM(O31:O34)</f>
        <v>3997.847533632284</v>
      </c>
      <c r="Q31" s="3021"/>
      <c r="R31" s="3021"/>
      <c r="S31" s="3021"/>
      <c r="T31" s="1035" t="s">
        <v>808</v>
      </c>
      <c r="U31" s="675">
        <f t="shared" si="5"/>
        <v>16.762331838565011</v>
      </c>
      <c r="V31" s="675">
        <f>IF($T31="L",SUM($U31:U31)*V$16,"")</f>
        <v>5.0286995515695034</v>
      </c>
      <c r="W31" s="675">
        <f>IF($U31="","",IF(OR($T31="L",$T31="T",$T31="C"),SUM($U31:V31)*W$16,""))</f>
        <v>2.1791031390134514</v>
      </c>
      <c r="X31" s="675">
        <f>IF($U31="","",SUM($U31:W31)*X$16)</f>
        <v>7.1910403587443898</v>
      </c>
      <c r="Y31" s="670">
        <f>IF($U31="","",SUM(V31:X31))</f>
        <v>14.398843049327345</v>
      </c>
      <c r="Z31" s="716">
        <f>SUM(V31:X34)</f>
        <v>24.381784753363213</v>
      </c>
      <c r="AA31" s="736">
        <f>IF($U31="","",SUM(U31,Y31))</f>
        <v>31.161174887892358</v>
      </c>
      <c r="AB31" s="716">
        <f>SUM(AA31:AA34)</f>
        <v>64.360260089686051</v>
      </c>
      <c r="AC31" s="730">
        <f ca="1">IF(AA31="","",AA31/OFFSET($AB$23,AF31,0))</f>
        <v>0.48416794532012841</v>
      </c>
      <c r="AD31" s="674"/>
      <c r="AE31" s="1067"/>
      <c r="AF31" s="587">
        <f>AF27+4</f>
        <v>8</v>
      </c>
      <c r="AG31" s="816">
        <f ca="1">SUM(AC31:AC34)-1</f>
        <v>0</v>
      </c>
      <c r="AH31" s="669">
        <f>$AH$16/K31</f>
        <v>5</v>
      </c>
      <c r="AI31" s="669">
        <f>$AH$16/AH31</f>
        <v>1</v>
      </c>
      <c r="AJ31" s="665">
        <f>$H31*(1-(1+$L$15)^-(AH31*AI31))/((1+$L$15)^AI31-1)*(1+((1+$L$15)^AI31-1))</f>
        <v>7760.7840126780848</v>
      </c>
      <c r="AK31" s="983">
        <f>SUM(AJ31:AJ34)</f>
        <v>18509.615203271176</v>
      </c>
    </row>
    <row r="32" spans="1:37" ht="18" customHeight="1">
      <c r="A32" s="676"/>
      <c r="B32" s="712"/>
      <c r="C32" s="2416" t="s">
        <v>779</v>
      </c>
      <c r="D32" s="3853"/>
      <c r="E32" s="685" t="s">
        <v>308</v>
      </c>
      <c r="F32" s="1177">
        <f>$E$216</f>
        <v>1</v>
      </c>
      <c r="G32" s="1177">
        <f t="shared" si="6"/>
        <v>3.724962630792227</v>
      </c>
      <c r="H32" s="665">
        <f>I230</f>
        <v>1061.6143497757848</v>
      </c>
      <c r="I32" s="818" t="str">
        <f>I28</f>
        <v>Transport at site</v>
      </c>
      <c r="J32" s="666" t="str">
        <f>IF(K32=1,"Annual","Done every "&amp;K32&amp;" years")</f>
        <v>Annual</v>
      </c>
      <c r="K32" s="667">
        <f>L230</f>
        <v>1</v>
      </c>
      <c r="L32" s="668">
        <f t="shared" si="7"/>
        <v>80</v>
      </c>
      <c r="M32" s="667">
        <f t="shared" si="7"/>
        <v>1</v>
      </c>
      <c r="N32" s="665">
        <f>$H32*(1-(1+$L$15)^-(L32*M32))/((1+$L$15)^M32-1)*(1+((1+$L$15)^M32-1))</f>
        <v>26404.480091715235</v>
      </c>
      <c r="O32" s="680">
        <f>N32/(1+$L$15)*($L$15)/(1-(1+$L$15)^-$L$16)</f>
        <v>1061.6143497757839</v>
      </c>
      <c r="P32" s="984"/>
      <c r="Q32" s="3022">
        <f>1*(1-(1+$L$15)^-(L32*M32))/((1+$L$15)^M32-1)*(1+((1+$L$15)^M32-1))</f>
        <v>24.872007520708362</v>
      </c>
      <c r="R32" s="3022">
        <f>Q32/(1+$L$15)*($L$15)/(1-(1+$L$15)^-$L$16)</f>
        <v>0.99999999999999911</v>
      </c>
      <c r="S32" s="3022">
        <f>F32*R32</f>
        <v>0.99999999999999911</v>
      </c>
      <c r="T32" s="1036" t="s">
        <v>809</v>
      </c>
      <c r="U32" s="675">
        <f t="shared" si="5"/>
        <v>10.616143497757839</v>
      </c>
      <c r="V32" s="682" t="str">
        <f>IF($T32="L",SUM($U32:U32)*V$16,"")</f>
        <v/>
      </c>
      <c r="W32" s="682">
        <f>IF($U32="","",IF(OR($T32="L",$T32="T",$T32="C"),SUM($U32:V32)*W$16,""))</f>
        <v>1.0616143497757839</v>
      </c>
      <c r="X32" s="682">
        <f>IF($U32="","",SUM($U32:W32)*X$16)</f>
        <v>3.5033273542600871</v>
      </c>
      <c r="Y32" s="679">
        <f>IF($U32="","",SUM(V32:X32))</f>
        <v>4.5649417040358706</v>
      </c>
      <c r="Z32" s="720"/>
      <c r="AA32" s="737">
        <f>IF($U32="","",SUM(U32,Y32))</f>
        <v>15.18108520179371</v>
      </c>
      <c r="AB32" s="720"/>
      <c r="AC32" s="730">
        <f ca="1">IF(AA32="","",AA32/OFFSET($AB$23,AF32,0))</f>
        <v>0.2358766913098061</v>
      </c>
      <c r="AD32" s="681"/>
      <c r="AE32" s="1067"/>
      <c r="AF32" s="587">
        <f>AF31</f>
        <v>8</v>
      </c>
      <c r="AG32" s="587"/>
      <c r="AH32" s="669">
        <f>$AH$16/K32</f>
        <v>5</v>
      </c>
      <c r="AI32" s="669">
        <f>$AH$16/AH32</f>
        <v>1</v>
      </c>
      <c r="AJ32" s="665">
        <f>$H32*(1-(1+$L$15)^-(AH32*AI32))/((1+$L$15)^AI32-1)*(1+((1+$L$15)^AI32-1))</f>
        <v>4915.163208029453</v>
      </c>
      <c r="AK32" s="984"/>
    </row>
    <row r="33" spans="1:37" ht="18" customHeight="1">
      <c r="A33" s="676"/>
      <c r="B33" s="712"/>
      <c r="C33" s="2416"/>
      <c r="D33" s="3853"/>
      <c r="E33" s="685" t="s">
        <v>4</v>
      </c>
      <c r="F33" s="1177"/>
      <c r="G33" s="1177">
        <f t="shared" si="6"/>
        <v>6</v>
      </c>
      <c r="H33" s="665">
        <f>I231</f>
        <v>1260</v>
      </c>
      <c r="I33" s="818" t="str">
        <f>I29</f>
        <v>Accomodation</v>
      </c>
      <c r="J33" s="666" t="str">
        <f>IF(K33=1,"Annual","Done every "&amp;K33&amp;" years")</f>
        <v>Annual</v>
      </c>
      <c r="K33" s="667">
        <f>L231</f>
        <v>1</v>
      </c>
      <c r="L33" s="668">
        <f t="shared" si="7"/>
        <v>80</v>
      </c>
      <c r="M33" s="667">
        <f t="shared" si="7"/>
        <v>1</v>
      </c>
      <c r="N33" s="665">
        <f>$H33*(1-(1+$L$15)^-(L33*M33))/((1+$L$15)^M33-1)*(1+((1+$L$15)^M33-1))</f>
        <v>31338.729476092536</v>
      </c>
      <c r="O33" s="680">
        <f>N33/(1+$L$15)*($L$15)/(1-(1+$L$15)^-$L$16)</f>
        <v>1259.9999999999991</v>
      </c>
      <c r="P33" s="985"/>
      <c r="Q33" s="3022"/>
      <c r="R33" s="3022"/>
      <c r="S33" s="3022"/>
      <c r="T33" s="1036" t="s">
        <v>810</v>
      </c>
      <c r="U33" s="675">
        <f t="shared" si="5"/>
        <v>12.599999999999991</v>
      </c>
      <c r="V33" s="684" t="str">
        <f>IF($T33="L",SUM($U33:U33)*V$16,"")</f>
        <v/>
      </c>
      <c r="W33" s="684">
        <f>IF($U33="","",IF(OR($T33="L",$T33="T",$T33="C"),SUM($U33:V33)*W$16,""))</f>
        <v>1.2599999999999991</v>
      </c>
      <c r="X33" s="684">
        <f>IF($U33="","",SUM($U33:W33)*X$16)</f>
        <v>4.1579999999999968</v>
      </c>
      <c r="Y33" s="1024">
        <f>IF($U33="","",SUM(V33:X33))</f>
        <v>5.4179999999999957</v>
      </c>
      <c r="Z33" s="721"/>
      <c r="AA33" s="738">
        <f>IF($U33="","",SUM(U33,Y33))</f>
        <v>18.017999999999986</v>
      </c>
      <c r="AB33" s="721"/>
      <c r="AC33" s="730">
        <f ca="1">IF(AA33="","",AA33/OFFSET($AB$23,AF33,0))</f>
        <v>0.27995536337006555</v>
      </c>
      <c r="AD33" s="683"/>
      <c r="AE33" s="1067"/>
      <c r="AF33" s="587">
        <f>AF32</f>
        <v>8</v>
      </c>
      <c r="AG33" s="587"/>
      <c r="AH33" s="669">
        <f>$AH$16/K33</f>
        <v>5</v>
      </c>
      <c r="AI33" s="669">
        <f>$AH$16/AH33</f>
        <v>1</v>
      </c>
      <c r="AJ33" s="665">
        <f>$H33*(1-(1+$L$15)^-(AH33*AI33))/((1+$L$15)^AI33-1)*(1+((1+$L$15)^AI33-1))</f>
        <v>5833.6679825636384</v>
      </c>
      <c r="AK33" s="985"/>
    </row>
    <row r="34" spans="1:37" ht="18" customHeight="1">
      <c r="A34" s="676"/>
      <c r="B34" s="712"/>
      <c r="C34" s="2416"/>
      <c r="D34" s="3854"/>
      <c r="E34" s="1082" t="s">
        <v>21</v>
      </c>
      <c r="F34" s="1177"/>
      <c r="G34" s="1177"/>
      <c r="H34" s="665"/>
      <c r="I34" s="818"/>
      <c r="J34" s="666"/>
      <c r="K34" s="667"/>
      <c r="L34" s="668"/>
      <c r="M34" s="667"/>
      <c r="N34" s="665"/>
      <c r="O34" s="680"/>
      <c r="P34" s="985"/>
      <c r="Q34" s="3022"/>
      <c r="R34" s="3022"/>
      <c r="S34" s="3022"/>
      <c r="T34" s="1036" t="s">
        <v>811</v>
      </c>
      <c r="U34" s="675"/>
      <c r="V34" s="684" t="str">
        <f>IF($T34="L",SUM($U34:U34)*V$16,"")</f>
        <v/>
      </c>
      <c r="W34" s="684" t="str">
        <f>IF($U34="","",IF(OR($T34="L",$T34="T",$T34="C"),SUM($U34:V34)*W$16,""))</f>
        <v/>
      </c>
      <c r="X34" s="684" t="str">
        <f>IF($U34="","",SUM($U34:W34)*X$16)</f>
        <v/>
      </c>
      <c r="Y34" s="1024"/>
      <c r="Z34" s="721"/>
      <c r="AA34" s="738"/>
      <c r="AB34" s="721"/>
      <c r="AC34" s="730"/>
      <c r="AD34" s="683"/>
      <c r="AE34" s="1067"/>
      <c r="AF34" s="587">
        <f>AF33</f>
        <v>8</v>
      </c>
      <c r="AG34" s="587"/>
      <c r="AH34" s="669"/>
      <c r="AI34" s="669"/>
      <c r="AJ34" s="665"/>
      <c r="AK34" s="985"/>
    </row>
    <row r="35" spans="1:37" ht="18" customHeight="1">
      <c r="A35" s="656"/>
      <c r="B35" s="713">
        <f>B31+0.1</f>
        <v>2.3000000000000003</v>
      </c>
      <c r="C35" s="2417" t="s">
        <v>202</v>
      </c>
      <c r="D35" s="3863" t="s">
        <v>1051</v>
      </c>
      <c r="E35" s="686" t="s">
        <v>3</v>
      </c>
      <c r="F35" s="1178"/>
      <c r="G35" s="1178">
        <f t="shared" ref="G35:G37" si="8">G229</f>
        <v>9.8415545590433489</v>
      </c>
      <c r="H35" s="645">
        <f>J229</f>
        <v>2214.3497757847535</v>
      </c>
      <c r="I35" s="820" t="s">
        <v>475</v>
      </c>
      <c r="J35" s="646" t="str">
        <f>IF(K35=1,"Annual","Done every "&amp;K35&amp;" years")</f>
        <v>Annual</v>
      </c>
      <c r="K35" s="647">
        <f>L229</f>
        <v>1</v>
      </c>
      <c r="L35" s="651">
        <f t="shared" ref="L35:M37" si="9">$L$16/K35</f>
        <v>80</v>
      </c>
      <c r="M35" s="881">
        <f t="shared" si="9"/>
        <v>1</v>
      </c>
      <c r="N35" s="884">
        <f>$H35*(1-(1+$L$15)^-(L35*M35))/((1+$L$15)^M35-1)*(1+((1+$L$15)^M35-1))</f>
        <v>55075.324276797262</v>
      </c>
      <c r="O35" s="653">
        <f>N35/(1+$L$15)*($L$15)/(1-(1+$L$15)^-$L$16)</f>
        <v>2214.3497757847517</v>
      </c>
      <c r="P35" s="931">
        <f>SUM(O35:O38)</f>
        <v>5296.7713004484267</v>
      </c>
      <c r="Q35" s="3023"/>
      <c r="R35" s="3023"/>
      <c r="S35" s="3023"/>
      <c r="T35" s="1037" t="s">
        <v>808</v>
      </c>
      <c r="U35" s="655">
        <f>O35/$U$16</f>
        <v>22.143497757847516</v>
      </c>
      <c r="V35" s="655">
        <f>IF($T35="L",SUM($U35:U35)*V$16,"")</f>
        <v>6.6430493273542544</v>
      </c>
      <c r="W35" s="655">
        <f>IF($U35="","",IF(OR($T35="L",$T35="T",$T35="C"),SUM($U35:V35)*W$16,""))</f>
        <v>2.8786547085201772</v>
      </c>
      <c r="X35" s="655">
        <f>IF($U35="","",SUM($U35:W35)*X$16)</f>
        <v>9.4995605381165849</v>
      </c>
      <c r="Y35" s="650">
        <f>IF($U35="","",SUM(V35:X35))</f>
        <v>19.021264573991019</v>
      </c>
      <c r="Z35" s="717">
        <f>SUM(V35:X38)</f>
        <v>32.275677130044819</v>
      </c>
      <c r="AA35" s="739">
        <f>IF($U35="","",SUM(U35,Y35))</f>
        <v>41.164762331838531</v>
      </c>
      <c r="AB35" s="717">
        <f>SUM(AA35:AA38)</f>
        <v>85.243390134529079</v>
      </c>
      <c r="AC35" s="731">
        <f ca="1">IF(AA35="","",AA35/OFFSET($AB$23,AF35,0))</f>
        <v>0.48290855474979688</v>
      </c>
      <c r="AD35" s="654"/>
      <c r="AE35" s="1068"/>
      <c r="AF35" s="587">
        <f>AF31+4</f>
        <v>12</v>
      </c>
      <c r="AG35" s="816">
        <f ca="1">SUM(AC35:AC38)-1</f>
        <v>0</v>
      </c>
      <c r="AH35" s="649">
        <f>$AH$16/K35</f>
        <v>5</v>
      </c>
      <c r="AI35" s="649">
        <f>$AH$16/AH35</f>
        <v>1</v>
      </c>
      <c r="AJ35" s="645">
        <f>$H35*(1-(1+$L$15)^-(AH35*AI35))/((1+$L$15)^AI35-1)*(1+((1+$L$15)^AI35-1))</f>
        <v>10252.207451740071</v>
      </c>
      <c r="AK35" s="931">
        <f>SUM(AJ35:AJ38)</f>
        <v>24523.496147926966</v>
      </c>
    </row>
    <row r="36" spans="1:37" ht="19" customHeight="1">
      <c r="A36" s="656"/>
      <c r="B36" s="714"/>
      <c r="C36" s="2418" t="s">
        <v>789</v>
      </c>
      <c r="D36" s="3864"/>
      <c r="E36" s="686" t="s">
        <v>308</v>
      </c>
      <c r="F36" s="1178">
        <f>$F$216</f>
        <v>1</v>
      </c>
      <c r="G36" s="1178">
        <f t="shared" si="8"/>
        <v>4.9207772795216744</v>
      </c>
      <c r="H36" s="645">
        <f>J230</f>
        <v>1402.4215246636772</v>
      </c>
      <c r="I36" s="820" t="s">
        <v>797</v>
      </c>
      <c r="J36" s="646" t="str">
        <f>IF(K36=1,"Annual","Done every "&amp;K36&amp;" years")</f>
        <v>Annual</v>
      </c>
      <c r="K36" s="647">
        <f>L230</f>
        <v>1</v>
      </c>
      <c r="L36" s="648">
        <f t="shared" si="9"/>
        <v>80</v>
      </c>
      <c r="M36" s="647">
        <f t="shared" si="9"/>
        <v>1</v>
      </c>
      <c r="N36" s="645">
        <f>$H36*(1-(1+$L$15)^-(L36*M36))/((1+$L$15)^M36-1)*(1+((1+$L$15)^M36-1))</f>
        <v>34881.038708638262</v>
      </c>
      <c r="O36" s="660">
        <f>N36/(1+$L$15)*($L$15)/(1-(1+$L$15)^-$L$16)</f>
        <v>1402.4215246636759</v>
      </c>
      <c r="P36" s="932"/>
      <c r="Q36" s="3024">
        <f>1*(1-(1+$L$15)^-(L36*M36))/((1+$L$15)^M36-1)*(1+((1+$L$15)^M36-1))</f>
        <v>24.872007520708362</v>
      </c>
      <c r="R36" s="3024">
        <f>Q36/(1+$L$15)*($L$15)/(1-(1+$L$15)^-$L$16)</f>
        <v>0.99999999999999911</v>
      </c>
      <c r="S36" s="3024">
        <f>F36*R36</f>
        <v>0.99999999999999911</v>
      </c>
      <c r="T36" s="1038" t="s">
        <v>809</v>
      </c>
      <c r="U36" s="655">
        <f>O36/$U$16</f>
        <v>14.024215246636759</v>
      </c>
      <c r="V36" s="662" t="str">
        <f>IF($T36="L",SUM($U36:U36)*V$16,"")</f>
        <v/>
      </c>
      <c r="W36" s="662">
        <f>IF($U36="","",IF(OR($T36="L",$T36="T",$T36="C"),SUM($U36:V36)*W$16,""))</f>
        <v>1.402421524663676</v>
      </c>
      <c r="X36" s="662">
        <f>IF($U36="","",SUM($U36:W36)*X$16)</f>
        <v>4.6279910313901302</v>
      </c>
      <c r="Y36" s="659">
        <f>IF($U36="","",SUM(V36:X36))</f>
        <v>6.0304125560538058</v>
      </c>
      <c r="Z36" s="722"/>
      <c r="AA36" s="740">
        <f>IF($U36="","",SUM(U36,Y36))</f>
        <v>20.054627802690565</v>
      </c>
      <c r="AB36" s="722"/>
      <c r="AC36" s="731">
        <f ca="1">IF(AA36="","",AA36/OFFSET($AB$23,AF36,0))</f>
        <v>0.23526314205759333</v>
      </c>
      <c r="AD36" s="661"/>
      <c r="AE36" s="1068"/>
      <c r="AF36" s="587">
        <f>AF35</f>
        <v>12</v>
      </c>
      <c r="AG36" s="587"/>
      <c r="AH36" s="649">
        <f>$AH$16/K36</f>
        <v>5</v>
      </c>
      <c r="AI36" s="649">
        <f>$AH$16/AH36</f>
        <v>1</v>
      </c>
      <c r="AJ36" s="645">
        <f>$H36*(1-(1+$L$15)^-(AH36*AI36))/((1+$L$15)^AI36-1)*(1+((1+$L$15)^AI36-1))</f>
        <v>6493.0647194353778</v>
      </c>
      <c r="AK36" s="932"/>
    </row>
    <row r="37" spans="1:37" ht="19" customHeight="1">
      <c r="A37" s="656"/>
      <c r="B37" s="714"/>
      <c r="C37" s="2418"/>
      <c r="D37" s="3864"/>
      <c r="E37" s="686" t="s">
        <v>4</v>
      </c>
      <c r="F37" s="1178"/>
      <c r="G37" s="1178">
        <f t="shared" si="8"/>
        <v>8</v>
      </c>
      <c r="H37" s="645">
        <f>J231</f>
        <v>1680</v>
      </c>
      <c r="I37" s="820" t="s">
        <v>70</v>
      </c>
      <c r="J37" s="646" t="str">
        <f>IF(K37=1,"Annual","Done every "&amp;K37&amp;" years")</f>
        <v>Annual</v>
      </c>
      <c r="K37" s="647">
        <f>L231</f>
        <v>1</v>
      </c>
      <c r="L37" s="648">
        <f t="shared" si="9"/>
        <v>80</v>
      </c>
      <c r="M37" s="647">
        <f t="shared" si="9"/>
        <v>1</v>
      </c>
      <c r="N37" s="645">
        <f>$H37*(1-(1+$L$15)^-(L37*M37))/((1+$L$15)^M37-1)*(1+((1+$L$15)^M37-1))</f>
        <v>41784.972634790051</v>
      </c>
      <c r="O37" s="660">
        <f>N37/(1+$L$15)*($L$15)/(1-(1+$L$15)^-$L$16)</f>
        <v>1679.9999999999986</v>
      </c>
      <c r="P37" s="933"/>
      <c r="Q37" s="3024"/>
      <c r="R37" s="3024"/>
      <c r="S37" s="3024"/>
      <c r="T37" s="1038" t="s">
        <v>810</v>
      </c>
      <c r="U37" s="655">
        <f>O37/$U$16</f>
        <v>16.799999999999986</v>
      </c>
      <c r="V37" s="664" t="str">
        <f>IF($T37="L",SUM($U37:U37)*V$16,"")</f>
        <v/>
      </c>
      <c r="W37" s="664">
        <f>IF($U37="","",IF(OR($T37="L",$T37="T",$T37="C"),SUM($U37:V37)*W$16,""))</f>
        <v>1.6799999999999988</v>
      </c>
      <c r="X37" s="664">
        <f>IF($U37="","",SUM($U37:W37)*X$16)</f>
        <v>5.543999999999996</v>
      </c>
      <c r="Y37" s="1025">
        <f>IF($U37="","",SUM(V37:X37))</f>
        <v>7.2239999999999949</v>
      </c>
      <c r="Z37" s="723"/>
      <c r="AA37" s="741">
        <f>IF($U37="","",SUM(U37,Y37))</f>
        <v>24.02399999999998</v>
      </c>
      <c r="AB37" s="723"/>
      <c r="AC37" s="731">
        <f ca="1">IF(AA37="","",AA37/OFFSET($AB$23,AF37,0))</f>
        <v>0.28182830319260976</v>
      </c>
      <c r="AD37" s="663"/>
      <c r="AE37" s="1068"/>
      <c r="AF37" s="587">
        <f>AF36</f>
        <v>12</v>
      </c>
      <c r="AG37" s="587"/>
      <c r="AH37" s="649">
        <f>$AH$16/K37</f>
        <v>5</v>
      </c>
      <c r="AI37" s="649">
        <f>$AH$16/AH37</f>
        <v>1</v>
      </c>
      <c r="AJ37" s="645">
        <f>$H37*(1-(1+$L$15)^-(AH37*AI37))/((1+$L$15)^AI37-1)*(1+((1+$L$15)^AI37-1))</f>
        <v>7778.2239767515175</v>
      </c>
      <c r="AK37" s="933"/>
    </row>
    <row r="38" spans="1:37" ht="19" customHeight="1">
      <c r="A38" s="656"/>
      <c r="B38" s="714"/>
      <c r="C38" s="2419"/>
      <c r="D38" s="3865"/>
      <c r="E38" s="686" t="s">
        <v>21</v>
      </c>
      <c r="F38" s="1178"/>
      <c r="G38" s="1178"/>
      <c r="H38" s="645"/>
      <c r="I38" s="1087"/>
      <c r="J38" s="646"/>
      <c r="K38" s="647"/>
      <c r="L38" s="648"/>
      <c r="M38" s="647"/>
      <c r="N38" s="645"/>
      <c r="O38" s="660"/>
      <c r="P38" s="934"/>
      <c r="Q38" s="3025"/>
      <c r="R38" s="3025"/>
      <c r="S38" s="3025"/>
      <c r="T38" s="1038"/>
      <c r="U38" s="655"/>
      <c r="V38" s="664" t="str">
        <f>IF($T38="L",SUM($U38:U38)*V$16,"")</f>
        <v/>
      </c>
      <c r="W38" s="664" t="str">
        <f>IF($U38="","",IF(OR($T38="L",$T38="T",$T38="C"),SUM($U38:V38)*W$16,""))</f>
        <v/>
      </c>
      <c r="X38" s="664" t="str">
        <f>IF($U38="","",SUM($U38:W38)*X$16)</f>
        <v/>
      </c>
      <c r="Y38" s="1025"/>
      <c r="Z38" s="723"/>
      <c r="AA38" s="741"/>
      <c r="AB38" s="723"/>
      <c r="AC38" s="731"/>
      <c r="AD38" s="663"/>
      <c r="AE38" s="1068"/>
      <c r="AF38" s="587">
        <f>AF37</f>
        <v>12</v>
      </c>
      <c r="AG38" s="587"/>
      <c r="AH38" s="649"/>
      <c r="AI38" s="649"/>
      <c r="AJ38" s="645"/>
      <c r="AK38" s="933"/>
    </row>
    <row r="39" spans="1:37" s="1349" customFormat="1" ht="19" customHeight="1" collapsed="1">
      <c r="B39" s="167">
        <v>3</v>
      </c>
      <c r="C39" s="3961" t="s">
        <v>316</v>
      </c>
      <c r="D39" s="3973" t="s">
        <v>1782</v>
      </c>
      <c r="E39" s="168" t="s">
        <v>3</v>
      </c>
      <c r="F39" s="1350"/>
      <c r="G39" s="1350">
        <f>E394</f>
        <v>62.541106128550069</v>
      </c>
      <c r="H39" s="169">
        <f>H394</f>
        <v>14071.748878923765</v>
      </c>
      <c r="I39" s="169" t="str">
        <f>K394</f>
        <v>Cost for labour</v>
      </c>
      <c r="J39" s="1351" t="str">
        <f t="shared" ref="J39:J53" si="10">IF(K39=1,"Annual","Done every "&amp;K39&amp;" years")</f>
        <v>Done every 10 years</v>
      </c>
      <c r="K39" s="1352">
        <f>L394</f>
        <v>10</v>
      </c>
      <c r="L39" s="1353">
        <f t="shared" ref="L39:M53" si="11">$L$16/K39</f>
        <v>8</v>
      </c>
      <c r="M39" s="1354">
        <f t="shared" si="11"/>
        <v>10</v>
      </c>
      <c r="N39" s="169">
        <f t="shared" ref="N39:N53" si="12">$H39*(1-(1+$L$15)^-(L39*M39))/((1+$L$15)^M39-1)*(1+((1+$L$15)^M39-1))</f>
        <v>41491.272673766623</v>
      </c>
      <c r="O39" s="1355">
        <f t="shared" ref="O39:O53" si="13">N39/(1+$L$15)*($L$15)/(1-(1+$L$15)^-$L$16)</f>
        <v>1668.1915458260085</v>
      </c>
      <c r="P39" s="1356">
        <f>SUM(O39:O42)</f>
        <v>7100.355892052994</v>
      </c>
      <c r="Q39" s="3028"/>
      <c r="R39" s="3028"/>
      <c r="S39" s="3028"/>
      <c r="T39" s="1357" t="s">
        <v>808</v>
      </c>
      <c r="U39" s="1358">
        <f t="shared" ref="U39:U73" si="14">O39/$U$16</f>
        <v>16.681915458260086</v>
      </c>
      <c r="V39" s="1359">
        <f>IF($T39="L",SUM($U39:U39)*V$16,"")</f>
        <v>5.0045746374780258</v>
      </c>
      <c r="W39" s="1359">
        <f>IF($U39="","",IF(OR($T39="L",$T39="T",$T39="C"),SUM($U39:V39)*W$16,""))</f>
        <v>2.1686490095738113</v>
      </c>
      <c r="X39" s="1359">
        <f>IF($U39="","",SUM($U39:W39)*X$16)</f>
        <v>7.1565417315935766</v>
      </c>
      <c r="Y39" s="1360">
        <f t="shared" ref="Y39:Y86" si="15">IF($U39="","",SUM(V39:X39))</f>
        <v>14.329765378645414</v>
      </c>
      <c r="Z39" s="1356">
        <f>SUM(V39:X42)</f>
        <v>36.14693526329475</v>
      </c>
      <c r="AA39" s="1361">
        <f t="shared" ref="AA39:AA86" si="16">IF($U39="","",SUM(U39,Y39))</f>
        <v>31.011680836905498</v>
      </c>
      <c r="AB39" s="1356">
        <f>SUM(AA39:AA42)</f>
        <v>107.15049418382469</v>
      </c>
      <c r="AC39" s="1630">
        <f t="shared" ref="AC39:AC86" ca="1" si="17">IF(AA39="","",AA39/OFFSET($AB$23,AF39,0))</f>
        <v>0.28942172477247413</v>
      </c>
      <c r="AD39" s="1631"/>
      <c r="AE39" s="1632"/>
      <c r="AF39" s="1365">
        <f>AF35+4</f>
        <v>16</v>
      </c>
      <c r="AG39" s="1366">
        <f ca="1">SUM(AC39:AC42)-1</f>
        <v>0</v>
      </c>
      <c r="AH39" s="1367">
        <f t="shared" ref="AH39:AH53" si="18">$AH$16/K39</f>
        <v>0.5</v>
      </c>
      <c r="AI39" s="1367">
        <f t="shared" ref="AI39:AI53" si="19">$AH$16/AH39</f>
        <v>10</v>
      </c>
      <c r="AJ39" s="169">
        <f t="shared" ref="AJ39:AJ53" si="20">$H39*(1-(1+$L$15)^-(AH39*AI39))/((1+$L$15)^AI39-1)*(1+((1+$L$15)^AI39-1))</f>
        <v>7723.5520711655063</v>
      </c>
      <c r="AK39" s="1368">
        <f>SUM(AJ39:AJ42)</f>
        <v>32873.903835140212</v>
      </c>
    </row>
    <row r="40" spans="1:37" s="1349" customFormat="1" ht="19" customHeight="1">
      <c r="B40" s="170"/>
      <c r="C40" s="3962"/>
      <c r="D40" s="3974"/>
      <c r="E40" s="168" t="s">
        <v>308</v>
      </c>
      <c r="F40" s="1350">
        <f>$D$381</f>
        <v>2</v>
      </c>
      <c r="G40" s="1350">
        <f t="shared" ref="G40:G41" si="21">E395</f>
        <v>31.270553064275035</v>
      </c>
      <c r="H40" s="169">
        <f>H395</f>
        <v>8912.1076233183849</v>
      </c>
      <c r="I40" s="169" t="str">
        <f>K395</f>
        <v>Cost for ute hire for the whole activity</v>
      </c>
      <c r="J40" s="1351" t="str">
        <f t="shared" si="10"/>
        <v>Done every 10 years</v>
      </c>
      <c r="K40" s="1352">
        <f>L395</f>
        <v>10</v>
      </c>
      <c r="L40" s="1353">
        <f t="shared" si="11"/>
        <v>8</v>
      </c>
      <c r="M40" s="1354">
        <f t="shared" si="11"/>
        <v>10</v>
      </c>
      <c r="N40" s="169">
        <f t="shared" si="12"/>
        <v>26277.806026718867</v>
      </c>
      <c r="O40" s="1355">
        <f t="shared" si="13"/>
        <v>1056.5213123564722</v>
      </c>
      <c r="P40" s="1369"/>
      <c r="Q40" s="3029">
        <f>1*(1-(1+$L$15)^-(L40*M40))/((1+$L$15)^M40-1)*(1+((1+$L$15)^M40-1))</f>
        <v>2.9485512448215299</v>
      </c>
      <c r="R40" s="3029">
        <f>Q40/(1+$L$15)*($L$15)/(1-(1+$L$15)^-$L$16)</f>
        <v>0.11854898493282347</v>
      </c>
      <c r="S40" s="3029">
        <f>F40*R40</f>
        <v>0.23709796986564693</v>
      </c>
      <c r="T40" s="1370" t="s">
        <v>809</v>
      </c>
      <c r="U40" s="1359">
        <f t="shared" si="14"/>
        <v>10.565213123564723</v>
      </c>
      <c r="V40" s="1371" t="str">
        <f>IF($T40="L",SUM($U40:U40)*V$16,"")</f>
        <v/>
      </c>
      <c r="W40" s="1371">
        <f>IF($U40="","",IF(OR($T40="L",$T40="T",$T40="C"),SUM($U40:V40)*W$16,""))</f>
        <v>1.0565213123564723</v>
      </c>
      <c r="X40" s="1371">
        <f>IF($U40="","",SUM($U40:W40)*X$16)</f>
        <v>3.4865203307763584</v>
      </c>
      <c r="Y40" s="1372">
        <f t="shared" si="15"/>
        <v>4.5430416431328311</v>
      </c>
      <c r="Z40" s="1369"/>
      <c r="AA40" s="1373">
        <f t="shared" si="16"/>
        <v>15.108254766697554</v>
      </c>
      <c r="AB40" s="1369"/>
      <c r="AC40" s="1630">
        <f t="shared" ca="1" si="17"/>
        <v>0.14100032745325666</v>
      </c>
      <c r="AD40" s="1633"/>
      <c r="AE40" s="1632"/>
      <c r="AF40" s="1365">
        <f>AF39</f>
        <v>16</v>
      </c>
      <c r="AG40" s="1365"/>
      <c r="AH40" s="1367">
        <f t="shared" si="18"/>
        <v>0.5</v>
      </c>
      <c r="AI40" s="1367">
        <f t="shared" si="19"/>
        <v>10</v>
      </c>
      <c r="AJ40" s="169">
        <f t="shared" si="20"/>
        <v>4891.582978404821</v>
      </c>
      <c r="AK40" s="1376"/>
    </row>
    <row r="41" spans="1:37" s="1349" customFormat="1" ht="16" customHeight="1">
      <c r="B41" s="170"/>
      <c r="C41" s="3962"/>
      <c r="D41" s="3974"/>
      <c r="E41" s="168" t="s">
        <v>4</v>
      </c>
      <c r="F41" s="1350"/>
      <c r="G41" s="1350">
        <f t="shared" si="21"/>
        <v>62</v>
      </c>
      <c r="H41" s="169">
        <f>H396</f>
        <v>26910</v>
      </c>
      <c r="I41" s="169" t="str">
        <f>K396</f>
        <v>Accomodation + Bait</v>
      </c>
      <c r="J41" s="1351" t="str">
        <f t="shared" si="10"/>
        <v>Done every 10 years</v>
      </c>
      <c r="K41" s="1352">
        <f>L396</f>
        <v>10</v>
      </c>
      <c r="L41" s="1353">
        <f t="shared" si="11"/>
        <v>8</v>
      </c>
      <c r="M41" s="1354">
        <f t="shared" si="11"/>
        <v>10</v>
      </c>
      <c r="N41" s="169">
        <f t="shared" si="12"/>
        <v>79345.513998147362</v>
      </c>
      <c r="O41" s="1355">
        <f t="shared" si="13"/>
        <v>3190.1531845422792</v>
      </c>
      <c r="P41" s="1369"/>
      <c r="Q41" s="3029"/>
      <c r="R41" s="3029"/>
      <c r="S41" s="3029"/>
      <c r="T41" s="1370" t="s">
        <v>810</v>
      </c>
      <c r="U41" s="1359">
        <f t="shared" si="14"/>
        <v>31.901531845422792</v>
      </c>
      <c r="V41" s="1371" t="str">
        <f>IF($T41="L",SUM($U41:U41)*V$16,"")</f>
        <v/>
      </c>
      <c r="W41" s="1371">
        <f>IF($U41="","",IF(OR($T41="L",$T41="T",$T41="C"),SUM($U41:V41)*W$16,""))</f>
        <v>3.1901531845422793</v>
      </c>
      <c r="X41" s="1371">
        <f>IF($U41="","",SUM($U41:W41)*X$16)</f>
        <v>10.52750550898952</v>
      </c>
      <c r="Y41" s="1372">
        <f t="shared" si="15"/>
        <v>13.717658693531799</v>
      </c>
      <c r="Z41" s="1369"/>
      <c r="AA41" s="1373">
        <f t="shared" si="16"/>
        <v>45.619190538954591</v>
      </c>
      <c r="AB41" s="1369"/>
      <c r="AC41" s="1630">
        <f t="shared" ca="1" si="17"/>
        <v>0.4257487647298337</v>
      </c>
      <c r="AD41" s="1631"/>
      <c r="AE41" s="1632"/>
      <c r="AF41" s="1365">
        <f>AF40</f>
        <v>16</v>
      </c>
      <c r="AG41" s="1365"/>
      <c r="AH41" s="1367">
        <f t="shared" si="18"/>
        <v>0.5</v>
      </c>
      <c r="AI41" s="1367">
        <f t="shared" si="19"/>
        <v>10</v>
      </c>
      <c r="AJ41" s="169">
        <f t="shared" si="20"/>
        <v>14770.074993760112</v>
      </c>
      <c r="AK41" s="1376"/>
    </row>
    <row r="42" spans="1:37" s="1349" customFormat="1" ht="19" customHeight="1">
      <c r="B42" s="170"/>
      <c r="C42" s="3963"/>
      <c r="D42" s="3975"/>
      <c r="E42" s="168" t="s">
        <v>21</v>
      </c>
      <c r="F42" s="1350"/>
      <c r="G42" s="1350"/>
      <c r="H42" s="169">
        <f>H397</f>
        <v>10000</v>
      </c>
      <c r="I42" s="169" t="str">
        <f>K397</f>
        <v>Bait mixer + 5% sodium hypochlorite + PPE</v>
      </c>
      <c r="J42" s="1351" t="str">
        <f t="shared" si="10"/>
        <v>Done every 10 years</v>
      </c>
      <c r="K42" s="1352">
        <f>L397</f>
        <v>10</v>
      </c>
      <c r="L42" s="1353">
        <f t="shared" si="11"/>
        <v>8</v>
      </c>
      <c r="M42" s="1354">
        <f t="shared" si="11"/>
        <v>10</v>
      </c>
      <c r="N42" s="169">
        <f t="shared" si="12"/>
        <v>29485.512448215297</v>
      </c>
      <c r="O42" s="1355">
        <f t="shared" si="13"/>
        <v>1185.4898493282344</v>
      </c>
      <c r="P42" s="1369"/>
      <c r="Q42" s="3029"/>
      <c r="R42" s="3029"/>
      <c r="S42" s="3029"/>
      <c r="T42" s="1378" t="s">
        <v>811</v>
      </c>
      <c r="U42" s="1359">
        <f t="shared" si="14"/>
        <v>11.854898493282343</v>
      </c>
      <c r="V42" s="1371" t="str">
        <f>IF($T42="L",SUM($U42:U42)*V$16,"")</f>
        <v/>
      </c>
      <c r="W42" s="1371" t="str">
        <f>IF($U42="","",IF(OR($T42="L",$T42="T",$T42="C"),SUM($U42:V42)*W$16,""))</f>
        <v/>
      </c>
      <c r="X42" s="1371">
        <f>IF($U42="","",SUM($U42:W42)*X$16)</f>
        <v>3.5564695479847028</v>
      </c>
      <c r="Y42" s="1372">
        <f t="shared" si="15"/>
        <v>3.5564695479847028</v>
      </c>
      <c r="Z42" s="1369"/>
      <c r="AA42" s="1373">
        <f t="shared" si="16"/>
        <v>15.411368041267046</v>
      </c>
      <c r="AB42" s="1369"/>
      <c r="AC42" s="1630">
        <f t="shared" ca="1" si="17"/>
        <v>0.14382918304443554</v>
      </c>
      <c r="AD42" s="1631"/>
      <c r="AE42" s="1632"/>
      <c r="AF42" s="1365">
        <f>AF41</f>
        <v>16</v>
      </c>
      <c r="AG42" s="1365"/>
      <c r="AH42" s="1367">
        <f t="shared" si="18"/>
        <v>0.5</v>
      </c>
      <c r="AI42" s="1367">
        <f t="shared" si="19"/>
        <v>10</v>
      </c>
      <c r="AJ42" s="169">
        <f t="shared" si="20"/>
        <v>5488.6937918097774</v>
      </c>
      <c r="AK42" s="1376"/>
    </row>
    <row r="43" spans="1:37" s="1414" customFormat="1" ht="19" customHeight="1" collapsed="1">
      <c r="B43" s="1634">
        <v>3</v>
      </c>
      <c r="C43" s="3919" t="s">
        <v>316</v>
      </c>
      <c r="D43" s="3922" t="s">
        <v>1782</v>
      </c>
      <c r="E43" s="1635" t="s">
        <v>3</v>
      </c>
      <c r="F43" s="1636"/>
      <c r="G43" s="1636">
        <f>F394</f>
        <v>74.49925261584454</v>
      </c>
      <c r="H43" s="1637">
        <f>I394</f>
        <v>16762.33183856502</v>
      </c>
      <c r="I43" s="2449" t="str">
        <f>K394</f>
        <v>Cost for labour</v>
      </c>
      <c r="J43" s="1638" t="str">
        <f t="shared" ref="J43:J50" si="22">IF(K43=1,"Annual","Done every "&amp;K43&amp;" years")</f>
        <v>Done every 10 years</v>
      </c>
      <c r="K43" s="1870">
        <f>L394</f>
        <v>10</v>
      </c>
      <c r="L43" s="177">
        <f t="shared" si="11"/>
        <v>8</v>
      </c>
      <c r="M43" s="178">
        <f t="shared" si="11"/>
        <v>10</v>
      </c>
      <c r="N43" s="1637">
        <f t="shared" ref="N43:N50" si="23">$H43*(1-(1+$L$15)^-(L43*M43))/((1+$L$15)^M43-1)*(1+((1+$L$15)^M43-1))</f>
        <v>49424.594408712444</v>
      </c>
      <c r="O43" s="1639">
        <f t="shared" ref="O43:O50" si="24">N43/(1+$L$15)*($L$15)/(1-(1+$L$15)^-$L$16)</f>
        <v>1987.1574245690313</v>
      </c>
      <c r="P43" s="1640">
        <f>SUM(O43:O46)</f>
        <v>7920.0769360306476</v>
      </c>
      <c r="Q43" s="3030"/>
      <c r="R43" s="3030"/>
      <c r="S43" s="3030"/>
      <c r="T43" s="1641" t="s">
        <v>808</v>
      </c>
      <c r="U43" s="1642">
        <f t="shared" ref="U43:U50" si="25">O43/$U$16</f>
        <v>19.871574245690311</v>
      </c>
      <c r="V43" s="1643">
        <f>IF($T43="L",SUM($U43:U43)*V$16,"")</f>
        <v>5.9614722737070931</v>
      </c>
      <c r="W43" s="1643">
        <f>IF($U43="","",IF(OR($T43="L",$T43="T",$T43="C"),SUM($U43:V43)*W$16,""))</f>
        <v>2.5833046519397409</v>
      </c>
      <c r="X43" s="1643">
        <f>IF($U43="","",SUM($U43:W43)*X$16)</f>
        <v>8.5249053514011432</v>
      </c>
      <c r="Y43" s="1644">
        <f t="shared" ref="Y43:Y50" si="26">IF($U43="","",SUM(V43:X43))</f>
        <v>17.069682277047978</v>
      </c>
      <c r="Z43" s="1640">
        <f>SUM(V43:X46)</f>
        <v>41.040099372206221</v>
      </c>
      <c r="AA43" s="1645">
        <f t="shared" ref="AA43:AA50" si="27">IF($U43="","",SUM(U43,Y43))</f>
        <v>36.941256522738286</v>
      </c>
      <c r="AB43" s="1640">
        <f>SUM(AA43:AA46)</f>
        <v>120.24086873251269</v>
      </c>
      <c r="AC43" s="1646">
        <f t="shared" ref="AC43:AC50" ca="1" si="28">IF(AA43="","",AA43/OFFSET($AB$23,AF43,0))</f>
        <v>0.30722712595263796</v>
      </c>
      <c r="AD43" s="1415"/>
      <c r="AE43" s="181"/>
      <c r="AF43" s="1647">
        <f>AF39+4</f>
        <v>20</v>
      </c>
      <c r="AG43" s="1648">
        <f ca="1">SUM(AC43:AC46)-1</f>
        <v>0</v>
      </c>
      <c r="AH43" s="1649">
        <f t="shared" ref="AH43:AH50" si="29">$AH$16/K43</f>
        <v>0.5</v>
      </c>
      <c r="AI43" s="1649">
        <f t="shared" ref="AI43:AI50" si="30">$AH$16/AH43</f>
        <v>10</v>
      </c>
      <c r="AJ43" s="1637">
        <f t="shared" ref="AJ43:AJ50" si="31">$H43*(1-(1+$L$15)^-(AH43*AI43))/((1+$L$15)^AI43-1)*(1+((1+$L$15)^AI43-1))</f>
        <v>9200.3306698587203</v>
      </c>
      <c r="AK43" s="1650">
        <f>SUM(AJ43:AJ46)</f>
        <v>36669.12638187519</v>
      </c>
    </row>
    <row r="44" spans="1:37" s="1414" customFormat="1" ht="19" customHeight="1">
      <c r="B44" s="1651"/>
      <c r="C44" s="3920"/>
      <c r="D44" s="3923"/>
      <c r="E44" s="1635" t="s">
        <v>308</v>
      </c>
      <c r="F44" s="1636">
        <f>$E$381</f>
        <v>2</v>
      </c>
      <c r="G44" s="1636">
        <f t="shared" ref="G44:G45" si="32">F395</f>
        <v>37.24962630792227</v>
      </c>
      <c r="H44" s="1637">
        <f>I395</f>
        <v>10616.143497757846</v>
      </c>
      <c r="I44" s="2449" t="str">
        <f>K395</f>
        <v>Cost for ute hire for the whole activity</v>
      </c>
      <c r="J44" s="1638" t="str">
        <f t="shared" si="22"/>
        <v>Done every 10 years</v>
      </c>
      <c r="K44" s="1870">
        <f>L395</f>
        <v>10</v>
      </c>
      <c r="L44" s="177">
        <f t="shared" si="11"/>
        <v>8</v>
      </c>
      <c r="M44" s="178">
        <f t="shared" si="11"/>
        <v>10</v>
      </c>
      <c r="N44" s="1637">
        <f t="shared" si="23"/>
        <v>31302.243125517885</v>
      </c>
      <c r="O44" s="1639">
        <f t="shared" si="24"/>
        <v>1258.5330355603867</v>
      </c>
      <c r="P44" s="1652"/>
      <c r="Q44" s="2982">
        <f>1*(1-(1+$L$15)^-(L44*M44))/((1+$L$15)^M44-1)*(1+((1+$L$15)^M44-1))</f>
        <v>2.9485512448215299</v>
      </c>
      <c r="R44" s="2982">
        <f>Q44/(1+$L$15)*($L$15)/(1-(1+$L$15)^-$L$16)</f>
        <v>0.11854898493282347</v>
      </c>
      <c r="S44" s="2982">
        <f>F44*R44</f>
        <v>0.23709796986564693</v>
      </c>
      <c r="T44" s="1653" t="s">
        <v>809</v>
      </c>
      <c r="U44" s="1643">
        <f t="shared" si="25"/>
        <v>12.585330355603867</v>
      </c>
      <c r="V44" s="205" t="str">
        <f>IF($T44="L",SUM($U44:U44)*V$16,"")</f>
        <v/>
      </c>
      <c r="W44" s="205">
        <f>IF($U44="","",IF(OR($T44="L",$T44="T",$T44="C"),SUM($U44:V44)*W$16,""))</f>
        <v>1.2585330355603868</v>
      </c>
      <c r="X44" s="205">
        <f>IF($U44="","",SUM($U44:W44)*X$16)</f>
        <v>4.1531590173492763</v>
      </c>
      <c r="Y44" s="180">
        <f t="shared" si="26"/>
        <v>5.4116920529096628</v>
      </c>
      <c r="Z44" s="1652"/>
      <c r="AA44" s="1654">
        <f t="shared" si="27"/>
        <v>17.99702240851353</v>
      </c>
      <c r="AB44" s="1652"/>
      <c r="AC44" s="1646">
        <f t="shared" ca="1" si="28"/>
        <v>0.14967475366923394</v>
      </c>
      <c r="AD44" s="1655"/>
      <c r="AE44" s="181"/>
      <c r="AF44" s="1647">
        <f>AF43</f>
        <v>20</v>
      </c>
      <c r="AG44" s="1647"/>
      <c r="AH44" s="1649">
        <f t="shared" si="29"/>
        <v>0.5</v>
      </c>
      <c r="AI44" s="1649">
        <f t="shared" si="30"/>
        <v>10</v>
      </c>
      <c r="AJ44" s="1637">
        <f t="shared" si="31"/>
        <v>5826.8760909105231</v>
      </c>
      <c r="AK44" s="1656"/>
    </row>
    <row r="45" spans="1:37" s="1414" customFormat="1" ht="16" customHeight="1">
      <c r="B45" s="1651"/>
      <c r="C45" s="3920"/>
      <c r="D45" s="3923"/>
      <c r="E45" s="1635" t="s">
        <v>4</v>
      </c>
      <c r="F45" s="1636"/>
      <c r="G45" s="1636">
        <f t="shared" si="32"/>
        <v>74</v>
      </c>
      <c r="H45" s="1637">
        <f>I396</f>
        <v>29430</v>
      </c>
      <c r="I45" s="2449" t="str">
        <f>K396</f>
        <v>Accomodation + Bait</v>
      </c>
      <c r="J45" s="1638" t="str">
        <f t="shared" si="22"/>
        <v>Done every 10 years</v>
      </c>
      <c r="K45" s="1870">
        <f>L396</f>
        <v>10</v>
      </c>
      <c r="L45" s="177">
        <f t="shared" si="11"/>
        <v>8</v>
      </c>
      <c r="M45" s="178">
        <f t="shared" si="11"/>
        <v>10</v>
      </c>
      <c r="N45" s="1637">
        <f t="shared" si="23"/>
        <v>86775.863135097621</v>
      </c>
      <c r="O45" s="1639">
        <f t="shared" si="24"/>
        <v>3488.8966265729946</v>
      </c>
      <c r="P45" s="1652"/>
      <c r="Q45" s="2982"/>
      <c r="R45" s="2982"/>
      <c r="S45" s="2982"/>
      <c r="T45" s="1653" t="s">
        <v>810</v>
      </c>
      <c r="U45" s="1643">
        <f t="shared" si="25"/>
        <v>34.888966265729948</v>
      </c>
      <c r="V45" s="205" t="str">
        <f>IF($T45="L",SUM($U45:U45)*V$16,"")</f>
        <v/>
      </c>
      <c r="W45" s="205">
        <f>IF($U45="","",IF(OR($T45="L",$T45="T",$T45="C"),SUM($U45:V45)*W$16,""))</f>
        <v>3.4888966265729948</v>
      </c>
      <c r="X45" s="205">
        <f>IF($U45="","",SUM($U45:W45)*X$16)</f>
        <v>11.513358867690883</v>
      </c>
      <c r="Y45" s="180">
        <f t="shared" si="26"/>
        <v>15.002255494263878</v>
      </c>
      <c r="Z45" s="1652"/>
      <c r="AA45" s="1654">
        <f t="shared" si="27"/>
        <v>49.891221759993826</v>
      </c>
      <c r="AB45" s="1652"/>
      <c r="AC45" s="1646">
        <f t="shared" ca="1" si="28"/>
        <v>0.41492732284712297</v>
      </c>
      <c r="AD45" s="1415"/>
      <c r="AE45" s="181"/>
      <c r="AF45" s="1647">
        <f>AF44</f>
        <v>20</v>
      </c>
      <c r="AG45" s="1647"/>
      <c r="AH45" s="1649">
        <f t="shared" si="29"/>
        <v>0.5</v>
      </c>
      <c r="AI45" s="1649">
        <f t="shared" si="30"/>
        <v>10</v>
      </c>
      <c r="AJ45" s="1637">
        <f t="shared" si="31"/>
        <v>16153.225829296172</v>
      </c>
      <c r="AK45" s="1656"/>
    </row>
    <row r="46" spans="1:37" s="1414" customFormat="1" ht="19" customHeight="1">
      <c r="B46" s="1651"/>
      <c r="C46" s="3921"/>
      <c r="D46" s="3924"/>
      <c r="E46" s="1635" t="s">
        <v>21</v>
      </c>
      <c r="F46" s="1636"/>
      <c r="G46" s="1636"/>
      <c r="H46" s="1637">
        <f>I397</f>
        <v>10000</v>
      </c>
      <c r="I46" s="2449" t="str">
        <f>K397</f>
        <v>Bait mixer + 5% sodium hypochlorite + PPE</v>
      </c>
      <c r="J46" s="1638" t="str">
        <f t="shared" si="22"/>
        <v>Done every 10 years</v>
      </c>
      <c r="K46" s="1870">
        <f>L397</f>
        <v>10</v>
      </c>
      <c r="L46" s="177">
        <f t="shared" si="11"/>
        <v>8</v>
      </c>
      <c r="M46" s="178">
        <f t="shared" si="11"/>
        <v>10</v>
      </c>
      <c r="N46" s="1637">
        <f t="shared" si="23"/>
        <v>29485.512448215297</v>
      </c>
      <c r="O46" s="1639">
        <f t="shared" si="24"/>
        <v>1185.4898493282344</v>
      </c>
      <c r="P46" s="1652"/>
      <c r="Q46" s="2982"/>
      <c r="R46" s="2982"/>
      <c r="S46" s="2982"/>
      <c r="T46" s="1657" t="s">
        <v>811</v>
      </c>
      <c r="U46" s="1643">
        <f t="shared" si="25"/>
        <v>11.854898493282343</v>
      </c>
      <c r="V46" s="205" t="str">
        <f>IF($T46="L",SUM($U46:U46)*V$16,"")</f>
        <v/>
      </c>
      <c r="W46" s="205" t="str">
        <f>IF($U46="","",IF(OR($T46="L",$T46="T",$T46="C"),SUM($U46:V46)*W$16,""))</f>
        <v/>
      </c>
      <c r="X46" s="205">
        <f>IF($U46="","",SUM($U46:W46)*X$16)</f>
        <v>3.5564695479847028</v>
      </c>
      <c r="Y46" s="180">
        <f t="shared" si="26"/>
        <v>3.5564695479847028</v>
      </c>
      <c r="Z46" s="1652"/>
      <c r="AA46" s="1654">
        <f t="shared" si="27"/>
        <v>15.411368041267046</v>
      </c>
      <c r="AB46" s="1652"/>
      <c r="AC46" s="1646">
        <f t="shared" ca="1" si="28"/>
        <v>0.1281707975310051</v>
      </c>
      <c r="AD46" s="1415"/>
      <c r="AE46" s="181"/>
      <c r="AF46" s="1647">
        <f>AF45</f>
        <v>20</v>
      </c>
      <c r="AG46" s="1647"/>
      <c r="AH46" s="1649">
        <f t="shared" si="29"/>
        <v>0.5</v>
      </c>
      <c r="AI46" s="1649">
        <f t="shared" si="30"/>
        <v>10</v>
      </c>
      <c r="AJ46" s="1637">
        <f t="shared" si="31"/>
        <v>5488.6937918097774</v>
      </c>
      <c r="AK46" s="1656"/>
    </row>
    <row r="47" spans="1:37" s="1875" customFormat="1" ht="19" customHeight="1" collapsed="1">
      <c r="B47" s="2450">
        <v>3</v>
      </c>
      <c r="C47" s="3927" t="s">
        <v>316</v>
      </c>
      <c r="D47" s="3925" t="s">
        <v>1782</v>
      </c>
      <c r="E47" s="1878" t="s">
        <v>3</v>
      </c>
      <c r="F47" s="1879"/>
      <c r="G47" s="1879">
        <f>G394</f>
        <v>98.415545590433481</v>
      </c>
      <c r="H47" s="1880">
        <f t="shared" ref="H47:I50" si="33">J394</f>
        <v>22143.497757847534</v>
      </c>
      <c r="I47" s="1881" t="str">
        <f t="shared" si="33"/>
        <v>Cost for labour</v>
      </c>
      <c r="J47" s="1882" t="str">
        <f t="shared" si="22"/>
        <v>Done every 10 years</v>
      </c>
      <c r="K47" s="1911">
        <f>L394</f>
        <v>10</v>
      </c>
      <c r="L47" s="1884">
        <f t="shared" si="11"/>
        <v>8</v>
      </c>
      <c r="M47" s="1883">
        <f t="shared" si="11"/>
        <v>10</v>
      </c>
      <c r="N47" s="1880">
        <f t="shared" si="23"/>
        <v>65291.237878604094</v>
      </c>
      <c r="O47" s="1885">
        <f t="shared" si="24"/>
        <v>2625.0891820550769</v>
      </c>
      <c r="P47" s="1886">
        <f>SUM(O47:O50)</f>
        <v>9559.5190239859512</v>
      </c>
      <c r="Q47" s="2983"/>
      <c r="R47" s="2983"/>
      <c r="S47" s="2983"/>
      <c r="T47" s="1887" t="s">
        <v>808</v>
      </c>
      <c r="U47" s="2451">
        <f t="shared" si="25"/>
        <v>26.25089182055077</v>
      </c>
      <c r="V47" s="1888">
        <f>IF($T47="L",SUM($U47:U47)*V$16,"")</f>
        <v>7.8752675461652304</v>
      </c>
      <c r="W47" s="1888">
        <f>IF($U47="","",IF(OR($T47="L",$T47="T",$T47="C"),SUM($U47:V47)*W$16,""))</f>
        <v>3.4126159366716005</v>
      </c>
      <c r="X47" s="1888">
        <f>IF($U47="","",SUM($U47:W47)*X$16)</f>
        <v>11.26163259101628</v>
      </c>
      <c r="Y47" s="2452">
        <f t="shared" si="26"/>
        <v>22.549516073853113</v>
      </c>
      <c r="Z47" s="1886">
        <f>SUM(V47:X50)</f>
        <v>50.826427590029169</v>
      </c>
      <c r="AA47" s="1889">
        <f t="shared" si="27"/>
        <v>48.800407894403882</v>
      </c>
      <c r="AB47" s="1886">
        <f>SUM(AA47:AA50)</f>
        <v>146.4216178298887</v>
      </c>
      <c r="AC47" s="1891">
        <f t="shared" ca="1" si="28"/>
        <v>0.33328690542881279</v>
      </c>
      <c r="AD47" s="2337"/>
      <c r="AE47" s="1893"/>
      <c r="AF47" s="1894">
        <f>AF43+4</f>
        <v>24</v>
      </c>
      <c r="AG47" s="1895">
        <f ca="1">SUM(AC47:AC50)-1</f>
        <v>0</v>
      </c>
      <c r="AH47" s="1896">
        <f t="shared" si="29"/>
        <v>0.5</v>
      </c>
      <c r="AI47" s="1896">
        <f t="shared" si="30"/>
        <v>10</v>
      </c>
      <c r="AJ47" s="1880">
        <f t="shared" si="31"/>
        <v>12153.887867245146</v>
      </c>
      <c r="AK47" s="1890">
        <f>SUM(AJ47:AJ50)</f>
        <v>44259.571475345154</v>
      </c>
    </row>
    <row r="48" spans="1:37" s="1875" customFormat="1" ht="19" customHeight="1">
      <c r="B48" s="2453"/>
      <c r="C48" s="3928"/>
      <c r="D48" s="3926"/>
      <c r="E48" s="1878" t="s">
        <v>308</v>
      </c>
      <c r="F48" s="1879">
        <f>$F$381</f>
        <v>3</v>
      </c>
      <c r="G48" s="1879">
        <f t="shared" ref="G48:G49" si="34">G395</f>
        <v>49.207772795216741</v>
      </c>
      <c r="H48" s="1880">
        <f t="shared" si="33"/>
        <v>14024.215246636772</v>
      </c>
      <c r="I48" s="1881" t="str">
        <f t="shared" si="33"/>
        <v>Cost for ute hire for the whole activity</v>
      </c>
      <c r="J48" s="1882" t="str">
        <f t="shared" si="22"/>
        <v>Done every 10 years</v>
      </c>
      <c r="K48" s="1911">
        <f>L395</f>
        <v>10</v>
      </c>
      <c r="L48" s="1884">
        <f t="shared" si="11"/>
        <v>8</v>
      </c>
      <c r="M48" s="1883">
        <f t="shared" si="11"/>
        <v>10</v>
      </c>
      <c r="N48" s="1880">
        <f t="shared" si="23"/>
        <v>41351.117323115926</v>
      </c>
      <c r="O48" s="1885">
        <f t="shared" si="24"/>
        <v>1662.5564819682156</v>
      </c>
      <c r="P48" s="1899"/>
      <c r="Q48" s="2984">
        <f>1*(1-(1+$L$15)^-(L48*M48))/((1+$L$15)^M48-1)*(1+((1+$L$15)^M48-1))</f>
        <v>2.9485512448215299</v>
      </c>
      <c r="R48" s="2984">
        <f>Q48/(1+$L$15)*($L$15)/(1-(1+$L$15)^-$L$16)</f>
        <v>0.11854898493282347</v>
      </c>
      <c r="S48" s="2984">
        <f>F48*R48</f>
        <v>0.35564695479847042</v>
      </c>
      <c r="T48" s="1900" t="s">
        <v>809</v>
      </c>
      <c r="U48" s="1888">
        <f t="shared" si="25"/>
        <v>16.625564819682157</v>
      </c>
      <c r="V48" s="1901" t="str">
        <f>IF($T48="L",SUM($U48:U48)*V$16,"")</f>
        <v/>
      </c>
      <c r="W48" s="1901">
        <f>IF($U48="","",IF(OR($T48="L",$T48="T",$T48="C"),SUM($U48:V48)*W$16,""))</f>
        <v>1.6625564819682159</v>
      </c>
      <c r="X48" s="1901">
        <f>IF($U48="","",SUM($U48:W48)*X$16)</f>
        <v>5.4864363904951121</v>
      </c>
      <c r="Y48" s="2309">
        <f t="shared" si="26"/>
        <v>7.148992872463328</v>
      </c>
      <c r="Z48" s="1899"/>
      <c r="AA48" s="1902">
        <f t="shared" si="27"/>
        <v>23.774557692145486</v>
      </c>
      <c r="AB48" s="1899"/>
      <c r="AC48" s="1891">
        <f t="shared" ca="1" si="28"/>
        <v>0.16237054367044729</v>
      </c>
      <c r="AD48" s="1904"/>
      <c r="AE48" s="1893"/>
      <c r="AF48" s="1894">
        <f>AF47</f>
        <v>24</v>
      </c>
      <c r="AG48" s="1894"/>
      <c r="AH48" s="1896">
        <f t="shared" si="29"/>
        <v>0.5</v>
      </c>
      <c r="AI48" s="1896">
        <f t="shared" si="30"/>
        <v>10</v>
      </c>
      <c r="AJ48" s="1880">
        <f t="shared" si="31"/>
        <v>7697.4623159219273</v>
      </c>
      <c r="AK48" s="1903"/>
    </row>
    <row r="49" spans="2:37" s="1875" customFormat="1" ht="16" customHeight="1">
      <c r="B49" s="2453"/>
      <c r="C49" s="3928"/>
      <c r="D49" s="3926"/>
      <c r="E49" s="1878" t="s">
        <v>4</v>
      </c>
      <c r="F49" s="1879"/>
      <c r="G49" s="1879">
        <f t="shared" si="34"/>
        <v>98</v>
      </c>
      <c r="H49" s="1880">
        <f t="shared" si="33"/>
        <v>34470</v>
      </c>
      <c r="I49" s="1881" t="str">
        <f t="shared" si="33"/>
        <v>Accomodation + Bait</v>
      </c>
      <c r="J49" s="1882" t="str">
        <f t="shared" si="22"/>
        <v>Done every 10 years</v>
      </c>
      <c r="K49" s="1911">
        <f>L396</f>
        <v>10</v>
      </c>
      <c r="L49" s="1884">
        <f t="shared" si="11"/>
        <v>8</v>
      </c>
      <c r="M49" s="1883">
        <f t="shared" si="11"/>
        <v>10</v>
      </c>
      <c r="N49" s="1880">
        <f t="shared" si="23"/>
        <v>101636.56140899814</v>
      </c>
      <c r="O49" s="1885">
        <f t="shared" si="24"/>
        <v>4086.383510634425</v>
      </c>
      <c r="P49" s="1899"/>
      <c r="Q49" s="2984"/>
      <c r="R49" s="2984"/>
      <c r="S49" s="2984"/>
      <c r="T49" s="1900" t="s">
        <v>810</v>
      </c>
      <c r="U49" s="1888">
        <f t="shared" si="25"/>
        <v>40.863835106344247</v>
      </c>
      <c r="V49" s="1901" t="str">
        <f>IF($T49="L",SUM($U49:U49)*V$16,"")</f>
        <v/>
      </c>
      <c r="W49" s="1901">
        <f>IF($U49="","",IF(OR($T49="L",$T49="T",$T49="C"),SUM($U49:V49)*W$16,""))</f>
        <v>4.0863835106344251</v>
      </c>
      <c r="X49" s="1901">
        <f>IF($U49="","",SUM($U49:W49)*X$16)</f>
        <v>13.485065585093603</v>
      </c>
      <c r="Y49" s="2309">
        <f t="shared" si="26"/>
        <v>17.571449095728028</v>
      </c>
      <c r="Z49" s="1899"/>
      <c r="AA49" s="1902">
        <f t="shared" si="27"/>
        <v>58.435284202072275</v>
      </c>
      <c r="AB49" s="1899"/>
      <c r="AC49" s="1891">
        <f t="shared" ca="1" si="28"/>
        <v>0.39908918551877942</v>
      </c>
      <c r="AD49" s="2337"/>
      <c r="AE49" s="1893"/>
      <c r="AF49" s="1894">
        <f>AF48</f>
        <v>24</v>
      </c>
      <c r="AG49" s="1894"/>
      <c r="AH49" s="1896">
        <f t="shared" si="29"/>
        <v>0.5</v>
      </c>
      <c r="AI49" s="1896">
        <f t="shared" si="30"/>
        <v>10</v>
      </c>
      <c r="AJ49" s="1880">
        <f t="shared" si="31"/>
        <v>18919.527500368305</v>
      </c>
      <c r="AK49" s="1903"/>
    </row>
    <row r="50" spans="2:37" s="1875" customFormat="1" ht="19" customHeight="1">
      <c r="B50" s="2453"/>
      <c r="C50" s="4026"/>
      <c r="D50" s="4027"/>
      <c r="E50" s="1878" t="s">
        <v>21</v>
      </c>
      <c r="F50" s="1879"/>
      <c r="G50" s="1879"/>
      <c r="H50" s="1880">
        <f t="shared" si="33"/>
        <v>10000</v>
      </c>
      <c r="I50" s="1881" t="str">
        <f t="shared" si="33"/>
        <v>Bait mixer + 5% sodium hypochlorite + PPE</v>
      </c>
      <c r="J50" s="1882" t="str">
        <f t="shared" si="22"/>
        <v>Done every 10 years</v>
      </c>
      <c r="K50" s="1911">
        <f>L397</f>
        <v>10</v>
      </c>
      <c r="L50" s="1884">
        <f t="shared" si="11"/>
        <v>8</v>
      </c>
      <c r="M50" s="1883">
        <f t="shared" si="11"/>
        <v>10</v>
      </c>
      <c r="N50" s="1880">
        <f t="shared" si="23"/>
        <v>29485.512448215297</v>
      </c>
      <c r="O50" s="1885">
        <f t="shared" si="24"/>
        <v>1185.4898493282344</v>
      </c>
      <c r="P50" s="1899"/>
      <c r="Q50" s="2984"/>
      <c r="R50" s="2984"/>
      <c r="S50" s="2984"/>
      <c r="T50" s="1913" t="s">
        <v>811</v>
      </c>
      <c r="U50" s="1888">
        <f t="shared" si="25"/>
        <v>11.854898493282343</v>
      </c>
      <c r="V50" s="1901" t="str">
        <f>IF($T50="L",SUM($U50:U50)*V$16,"")</f>
        <v/>
      </c>
      <c r="W50" s="1901" t="str">
        <f>IF($U50="","",IF(OR($T50="L",$T50="T",$T50="C"),SUM($U50:V50)*W$16,""))</f>
        <v/>
      </c>
      <c r="X50" s="1901">
        <f>IF($U50="","",SUM($U50:W50)*X$16)</f>
        <v>3.5564695479847028</v>
      </c>
      <c r="Y50" s="2309">
        <f t="shared" si="26"/>
        <v>3.5564695479847028</v>
      </c>
      <c r="Z50" s="1899"/>
      <c r="AA50" s="1902">
        <f t="shared" si="27"/>
        <v>15.411368041267046</v>
      </c>
      <c r="AB50" s="1899"/>
      <c r="AC50" s="1891">
        <f t="shared" ca="1" si="28"/>
        <v>0.10525336538196042</v>
      </c>
      <c r="AD50" s="2337"/>
      <c r="AE50" s="1893"/>
      <c r="AF50" s="1894">
        <f>AF49</f>
        <v>24</v>
      </c>
      <c r="AG50" s="1894"/>
      <c r="AH50" s="1896">
        <f t="shared" si="29"/>
        <v>0.5</v>
      </c>
      <c r="AI50" s="1896">
        <f t="shared" si="30"/>
        <v>10</v>
      </c>
      <c r="AJ50" s="1880">
        <f t="shared" si="31"/>
        <v>5488.6937918097774</v>
      </c>
      <c r="AK50" s="1903"/>
    </row>
    <row r="51" spans="2:37" s="1144" customFormat="1" ht="19" customHeight="1">
      <c r="B51" s="260">
        <f>B39+1</f>
        <v>4</v>
      </c>
      <c r="C51" s="3844" t="s">
        <v>392</v>
      </c>
      <c r="D51" s="3847" t="s">
        <v>1859</v>
      </c>
      <c r="E51" s="12" t="s">
        <v>3</v>
      </c>
      <c r="F51" s="1172"/>
      <c r="G51" s="1172">
        <f t="shared" ref="G51:G53" si="35">E512</f>
        <v>14.4</v>
      </c>
      <c r="H51" s="188">
        <f>G512</f>
        <v>3240</v>
      </c>
      <c r="I51" s="188" t="str">
        <f>H512</f>
        <v>Cost for labour</v>
      </c>
      <c r="J51" s="377" t="str">
        <f t="shared" si="10"/>
        <v>Done every 5 years</v>
      </c>
      <c r="K51" s="2464">
        <f>I512</f>
        <v>5</v>
      </c>
      <c r="L51" s="158">
        <f t="shared" si="11"/>
        <v>16</v>
      </c>
      <c r="M51" s="586">
        <f t="shared" si="11"/>
        <v>5</v>
      </c>
      <c r="N51" s="188">
        <f t="shared" si="12"/>
        <v>17405.427221094367</v>
      </c>
      <c r="O51" s="1147">
        <f t="shared" si="13"/>
        <v>699.79985357445082</v>
      </c>
      <c r="P51" s="192">
        <f>SUM(O51:O54)</f>
        <v>3527.5096322771392</v>
      </c>
      <c r="Q51" s="3036"/>
      <c r="R51" s="3036"/>
      <c r="S51" s="3036"/>
      <c r="T51" s="1148" t="s">
        <v>808</v>
      </c>
      <c r="U51" s="1149">
        <f t="shared" si="14"/>
        <v>6.9979985357445083</v>
      </c>
      <c r="V51" s="583">
        <f>IF($T51="L",SUM($U51:U51)*V$16,"")</f>
        <v>2.0993995607233522</v>
      </c>
      <c r="W51" s="583">
        <f>IF($U51="","",IF(OR($T51="L",$T51="T",$T51="C"),SUM($U51:V51)*W$16,""))</f>
        <v>0.90973980964678602</v>
      </c>
      <c r="X51" s="583">
        <f>IF($U51="","",SUM($U51:W51)*X$16)</f>
        <v>3.0021413718343934</v>
      </c>
      <c r="Y51" s="240">
        <f t="shared" si="15"/>
        <v>6.0112807422045318</v>
      </c>
      <c r="Z51" s="192">
        <f>SUM(V51:X54)</f>
        <v>18.170432790626091</v>
      </c>
      <c r="AA51" s="742">
        <f t="shared" si="16"/>
        <v>13.009279277949041</v>
      </c>
      <c r="AB51" s="192">
        <f>SUM(AA51:AA54)</f>
        <v>53.445529113397484</v>
      </c>
      <c r="AC51" s="1049">
        <f t="shared" ca="1" si="17"/>
        <v>0.2434119278779473</v>
      </c>
      <c r="AD51" s="1150"/>
      <c r="AE51" s="1151"/>
      <c r="AF51" s="587">
        <f>AF47+4</f>
        <v>28</v>
      </c>
      <c r="AG51" s="995">
        <f ca="1">SUM(AC51:AC54)-1</f>
        <v>0</v>
      </c>
      <c r="AH51" s="13">
        <f t="shared" si="18"/>
        <v>1</v>
      </c>
      <c r="AI51" s="13">
        <f t="shared" si="19"/>
        <v>5</v>
      </c>
      <c r="AJ51" s="188">
        <f t="shared" si="20"/>
        <v>3240</v>
      </c>
      <c r="AK51" s="191">
        <f>SUM(AJ51:AJ54)</f>
        <v>16332</v>
      </c>
    </row>
    <row r="52" spans="2:37" s="1144" customFormat="1" ht="19" customHeight="1">
      <c r="B52" s="261"/>
      <c r="C52" s="3845"/>
      <c r="D52" s="3848"/>
      <c r="E52" s="12" t="s">
        <v>308</v>
      </c>
      <c r="F52" s="1172">
        <f>$D$497</f>
        <v>1</v>
      </c>
      <c r="G52" s="1172">
        <f t="shared" si="35"/>
        <v>7.2</v>
      </c>
      <c r="H52" s="188">
        <f t="shared" ref="H52:I54" si="36">G513</f>
        <v>2052</v>
      </c>
      <c r="I52" s="188" t="str">
        <f t="shared" si="36"/>
        <v>Cost for ute hire for the whole activity</v>
      </c>
      <c r="J52" s="377" t="str">
        <f t="shared" si="10"/>
        <v>Done every 5 years</v>
      </c>
      <c r="K52" s="2464">
        <f>I513</f>
        <v>5</v>
      </c>
      <c r="L52" s="158">
        <f t="shared" si="11"/>
        <v>16</v>
      </c>
      <c r="M52" s="586">
        <f t="shared" si="11"/>
        <v>5</v>
      </c>
      <c r="N52" s="188">
        <f t="shared" si="12"/>
        <v>11023.437240026431</v>
      </c>
      <c r="O52" s="1147">
        <f t="shared" si="13"/>
        <v>443.20657393048555</v>
      </c>
      <c r="P52" s="194"/>
      <c r="Q52" s="3037">
        <f>1*(1-(1+$L$15)^-(L52*M52))/((1+$L$15)^M52-1)*(1+((1+$L$15)^M52-1))</f>
        <v>5.3720454386093719</v>
      </c>
      <c r="R52" s="3037">
        <f>Q52/(1+$L$15)*($L$15)/(1-(1+$L$15)^-$L$16)</f>
        <v>0.2159876091279169</v>
      </c>
      <c r="S52" s="3037">
        <f>F52*R52</f>
        <v>0.2159876091279169</v>
      </c>
      <c r="T52" s="1152" t="s">
        <v>809</v>
      </c>
      <c r="U52" s="583">
        <f t="shared" si="14"/>
        <v>4.4320657393048553</v>
      </c>
      <c r="V52" s="585" t="str">
        <f>IF($T52="L",SUM($U52:U52)*V$16,"")</f>
        <v/>
      </c>
      <c r="W52" s="585">
        <f>IF($U52="","",IF(OR($T52="L",$T52="T",$T52="C"),SUM($U52:V52)*W$16,""))</f>
        <v>0.44320657393048557</v>
      </c>
      <c r="X52" s="585">
        <f>IF($U52="","",SUM($U52:W52)*X$16)</f>
        <v>1.4625816939706022</v>
      </c>
      <c r="Y52" s="242">
        <f t="shared" si="15"/>
        <v>1.9057882679010878</v>
      </c>
      <c r="Z52" s="194"/>
      <c r="AA52" s="733">
        <f t="shared" si="16"/>
        <v>6.3378540072059426</v>
      </c>
      <c r="AB52" s="194"/>
      <c r="AC52" s="1049">
        <f t="shared" ca="1" si="17"/>
        <v>0.11858529819694867</v>
      </c>
      <c r="AD52" s="1153"/>
      <c r="AE52" s="165"/>
      <c r="AF52" s="587">
        <f>AF51</f>
        <v>28</v>
      </c>
      <c r="AG52" s="587"/>
      <c r="AH52" s="13">
        <f t="shared" si="18"/>
        <v>1</v>
      </c>
      <c r="AI52" s="13">
        <f t="shared" si="19"/>
        <v>5</v>
      </c>
      <c r="AJ52" s="188">
        <f t="shared" si="20"/>
        <v>2052</v>
      </c>
      <c r="AK52" s="342"/>
    </row>
    <row r="53" spans="2:37" s="1144" customFormat="1" ht="16" customHeight="1">
      <c r="B53" s="261"/>
      <c r="C53" s="3845"/>
      <c r="D53" s="3848"/>
      <c r="E53" s="12" t="s">
        <v>4</v>
      </c>
      <c r="F53" s="1172"/>
      <c r="G53" s="1172">
        <f t="shared" si="35"/>
        <v>14</v>
      </c>
      <c r="H53" s="188">
        <f t="shared" si="36"/>
        <v>11040</v>
      </c>
      <c r="I53" s="188" t="str">
        <f t="shared" si="36"/>
        <v>Accomodation + Tractor hire</v>
      </c>
      <c r="J53" s="377" t="str">
        <f t="shared" si="10"/>
        <v>Done every 5 years</v>
      </c>
      <c r="K53" s="2464">
        <f>I514</f>
        <v>5</v>
      </c>
      <c r="L53" s="158">
        <f t="shared" si="11"/>
        <v>16</v>
      </c>
      <c r="M53" s="586">
        <f t="shared" si="11"/>
        <v>5</v>
      </c>
      <c r="N53" s="188">
        <f t="shared" si="12"/>
        <v>59307.38164224747</v>
      </c>
      <c r="O53" s="1147">
        <f t="shared" si="13"/>
        <v>2384.5032047722029</v>
      </c>
      <c r="P53" s="194"/>
      <c r="Q53" s="3037"/>
      <c r="R53" s="3037"/>
      <c r="S53" s="3037"/>
      <c r="T53" s="1152" t="s">
        <v>810</v>
      </c>
      <c r="U53" s="583">
        <f t="shared" si="14"/>
        <v>23.845032047722029</v>
      </c>
      <c r="V53" s="585" t="str">
        <f>IF($T53="L",SUM($U53:U53)*V$16,"")</f>
        <v/>
      </c>
      <c r="W53" s="585">
        <f>IF($U53="","",IF(OR($T53="L",$T53="T",$T53="C"),SUM($U53:V53)*W$16,""))</f>
        <v>2.3845032047722028</v>
      </c>
      <c r="X53" s="585">
        <f>IF($U53="","",SUM($U53:W53)*X$16)</f>
        <v>7.8688605757482684</v>
      </c>
      <c r="Y53" s="242">
        <f t="shared" si="15"/>
        <v>10.253363780520472</v>
      </c>
      <c r="Z53" s="194"/>
      <c r="AA53" s="733">
        <f t="shared" si="16"/>
        <v>34.098395828242502</v>
      </c>
      <c r="AB53" s="194"/>
      <c r="AC53" s="1049">
        <f t="shared" ca="1" si="17"/>
        <v>0.63800277392510407</v>
      </c>
      <c r="AD53" s="1154"/>
      <c r="AE53" s="165"/>
      <c r="AF53" s="587">
        <f>AF52</f>
        <v>28</v>
      </c>
      <c r="AG53" s="587"/>
      <c r="AH53" s="13">
        <f t="shared" si="18"/>
        <v>1</v>
      </c>
      <c r="AI53" s="13">
        <f t="shared" si="19"/>
        <v>5</v>
      </c>
      <c r="AJ53" s="188">
        <f t="shared" si="20"/>
        <v>11040</v>
      </c>
      <c r="AK53" s="342"/>
    </row>
    <row r="54" spans="2:37" s="1144" customFormat="1" ht="19" customHeight="1">
      <c r="B54" s="261"/>
      <c r="C54" s="3846"/>
      <c r="D54" s="3849"/>
      <c r="E54" s="12"/>
      <c r="F54" s="1172"/>
      <c r="G54" s="1172"/>
      <c r="H54" s="188">
        <f t="shared" si="36"/>
        <v>1800</v>
      </c>
      <c r="I54" s="188" t="str">
        <f t="shared" si="36"/>
        <v>Equipment (Triple Tine to rip warrens)</v>
      </c>
      <c r="J54" s="377"/>
      <c r="K54" s="2464">
        <f>I515</f>
        <v>10</v>
      </c>
      <c r="L54" s="158"/>
      <c r="M54" s="586"/>
      <c r="N54" s="188"/>
      <c r="O54" s="1147"/>
      <c r="P54" s="194"/>
      <c r="Q54" s="3037"/>
      <c r="R54" s="3037"/>
      <c r="S54" s="3037"/>
      <c r="T54" s="1156" t="s">
        <v>811</v>
      </c>
      <c r="U54" s="583">
        <f t="shared" si="14"/>
        <v>0</v>
      </c>
      <c r="V54" s="585" t="str">
        <f>IF($T54="L",SUM($U54:U54)*V$16,"")</f>
        <v/>
      </c>
      <c r="W54" s="585" t="str">
        <f>IF($U54="","",IF(OR($T54="L",$T54="T",$T54="C"),SUM($U54:V54)*W$16,""))</f>
        <v/>
      </c>
      <c r="X54" s="585">
        <f>IF($U54="","",SUM($U54:W54)*X$16)</f>
        <v>0</v>
      </c>
      <c r="Y54" s="242">
        <f t="shared" si="15"/>
        <v>0</v>
      </c>
      <c r="Z54" s="194"/>
      <c r="AA54" s="733">
        <f t="shared" si="16"/>
        <v>0</v>
      </c>
      <c r="AB54" s="194"/>
      <c r="AC54" s="1049">
        <f t="shared" ca="1" si="17"/>
        <v>0</v>
      </c>
      <c r="AD54" s="1157"/>
      <c r="AE54" s="166"/>
      <c r="AF54" s="587">
        <f>AF53</f>
        <v>28</v>
      </c>
      <c r="AG54" s="587"/>
      <c r="AH54" s="13"/>
      <c r="AI54" s="13"/>
      <c r="AJ54" s="188"/>
      <c r="AK54" s="342"/>
    </row>
    <row r="55" spans="2:37" s="1550" customFormat="1" ht="19" customHeight="1">
      <c r="B55" s="1551">
        <f>B43+1</f>
        <v>4</v>
      </c>
      <c r="C55" s="3750" t="s">
        <v>1858</v>
      </c>
      <c r="D55" s="3753" t="s">
        <v>1860</v>
      </c>
      <c r="E55" s="1552" t="s">
        <v>3</v>
      </c>
      <c r="F55" s="1553"/>
      <c r="G55" s="1553">
        <f t="shared" ref="G55:G57" si="37">E633</f>
        <v>3.7333333333333334</v>
      </c>
      <c r="H55" s="1554">
        <f t="shared" ref="H55:I57" si="38">G633</f>
        <v>840</v>
      </c>
      <c r="I55" s="1554" t="str">
        <f t="shared" si="38"/>
        <v>Cost for labour</v>
      </c>
      <c r="J55" s="1555" t="str">
        <f>IF(K55=1,"Annual","Done every "&amp;K55&amp;" years")</f>
        <v>Done every 5 years</v>
      </c>
      <c r="K55" s="2477">
        <f>I633</f>
        <v>5</v>
      </c>
      <c r="L55" s="1557">
        <f t="shared" ref="L55:M57" si="39">$L$16/K55</f>
        <v>16</v>
      </c>
      <c r="M55" s="1558">
        <f t="shared" si="39"/>
        <v>5</v>
      </c>
      <c r="N55" s="1554">
        <f>$H55*(1-(1+$L$15)^-(L55*M55))/((1+$L$15)^M55-1)*(1+((1+$L$15)^M55-1))</f>
        <v>4512.5181684318732</v>
      </c>
      <c r="O55" s="1559">
        <f>N55/(1+$L$15)*($L$15)/(1-(1+$L$15)^-$L$16)</f>
        <v>181.42959166745024</v>
      </c>
      <c r="P55" s="1560">
        <f>SUM(O55:O58)</f>
        <v>841.09030796156912</v>
      </c>
      <c r="Q55" s="3072"/>
      <c r="R55" s="3072"/>
      <c r="S55" s="3072"/>
      <c r="T55" s="1561" t="s">
        <v>808</v>
      </c>
      <c r="U55" s="1562">
        <f>O55/$U$16</f>
        <v>1.8142959166745023</v>
      </c>
      <c r="V55" s="1563">
        <f>IF($T55="L",SUM($U55:U55)*V$16,"")</f>
        <v>0.54428877500235062</v>
      </c>
      <c r="W55" s="1563">
        <f>IF($U55="","",IF(OR($T55="L",$T55="T",$T55="C"),SUM($U55:V55)*W$16,""))</f>
        <v>0.23585846916768533</v>
      </c>
      <c r="X55" s="1563">
        <f>IF($U55="","",SUM($U55:W55)*X$16)</f>
        <v>0.77833294825336152</v>
      </c>
      <c r="Y55" s="1564">
        <f>IF($U55="","",SUM(V55:X55))</f>
        <v>1.5584801924233975</v>
      </c>
      <c r="Z55" s="1560">
        <f>SUM(V55:X58)</f>
        <v>4.3950212724881084</v>
      </c>
      <c r="AA55" s="1565">
        <f>IF($U55="","",SUM(U55,Y55))</f>
        <v>3.3727761090978996</v>
      </c>
      <c r="AB55" s="1560">
        <f>SUM(AA55:AA58)</f>
        <v>12.8059243521038</v>
      </c>
      <c r="AC55" s="2478">
        <f ca="1">IF(AA55="","",AA55/OFFSET($AB$23,AF55,0))</f>
        <v>0.26337623246570319</v>
      </c>
      <c r="AD55" s="2479"/>
      <c r="AE55" s="2480"/>
      <c r="AF55" s="1569">
        <f>AF51+4</f>
        <v>32</v>
      </c>
      <c r="AG55" s="1570">
        <f ca="1">SUM(AC55:AC58)-1</f>
        <v>0</v>
      </c>
      <c r="AH55" s="1571">
        <f>$AH$16/K55</f>
        <v>1</v>
      </c>
      <c r="AI55" s="1571">
        <f>$AH$16/AH55</f>
        <v>5</v>
      </c>
      <c r="AJ55" s="1554">
        <f>$H55*(1-(1+$L$15)^-(AH55*AI55))/((1+$L$15)^AI55-1)*(1+((1+$L$15)^AI55-1))</f>
        <v>840</v>
      </c>
      <c r="AK55" s="1572">
        <f>SUM(AJ55:AJ58)</f>
        <v>3894.16</v>
      </c>
    </row>
    <row r="56" spans="2:37" s="1550" customFormat="1" ht="19" customHeight="1">
      <c r="B56" s="1573"/>
      <c r="C56" s="3751"/>
      <c r="D56" s="3754"/>
      <c r="E56" s="1552" t="s">
        <v>308</v>
      </c>
      <c r="F56" s="1553">
        <f>$D$618</f>
        <v>1</v>
      </c>
      <c r="G56" s="1553">
        <f t="shared" si="37"/>
        <v>1.8666666666666667</v>
      </c>
      <c r="H56" s="1554">
        <f t="shared" si="38"/>
        <v>532</v>
      </c>
      <c r="I56" s="1554" t="str">
        <f t="shared" si="38"/>
        <v>Cost for ute hire for the whole activity</v>
      </c>
      <c r="J56" s="1555" t="str">
        <f>IF(K56=1,"Annual","Done every "&amp;K56&amp;" years")</f>
        <v>Done every 5 years</v>
      </c>
      <c r="K56" s="2477">
        <f>I634</f>
        <v>5</v>
      </c>
      <c r="L56" s="1557">
        <f t="shared" si="39"/>
        <v>16</v>
      </c>
      <c r="M56" s="1558">
        <f t="shared" si="39"/>
        <v>5</v>
      </c>
      <c r="N56" s="1554">
        <f>$H56*(1-(1+$L$15)^-(L56*M56))/((1+$L$15)^M56-1)*(1+((1+$L$15)^M56-1))</f>
        <v>2857.9281733401858</v>
      </c>
      <c r="O56" s="1559">
        <f>N56/(1+$L$15)*($L$15)/(1-(1+$L$15)^-$L$16)</f>
        <v>114.90540805605178</v>
      </c>
      <c r="P56" s="1574"/>
      <c r="Q56" s="3073">
        <f>1*(1-(1+$L$15)^-(L56*M56))/((1+$L$15)^M56-1)*(1+((1+$L$15)^M56-1))</f>
        <v>5.3720454386093719</v>
      </c>
      <c r="R56" s="3073">
        <f>Q56/(1+$L$15)*($L$15)/(1-(1+$L$15)^-$L$16)</f>
        <v>0.2159876091279169</v>
      </c>
      <c r="S56" s="3073">
        <f>F56*R56</f>
        <v>0.2159876091279169</v>
      </c>
      <c r="T56" s="1575" t="s">
        <v>809</v>
      </c>
      <c r="U56" s="1563">
        <f>O56/$U$16</f>
        <v>1.1490540805605178</v>
      </c>
      <c r="V56" s="1576" t="str">
        <f>IF($T56="L",SUM($U56:U56)*V$16,"")</f>
        <v/>
      </c>
      <c r="W56" s="1576">
        <f>IF($U56="","",IF(OR($T56="L",$T56="T",$T56="C"),SUM($U56:V56)*W$16,""))</f>
        <v>0.11490540805605179</v>
      </c>
      <c r="X56" s="1576">
        <f>IF($U56="","",SUM($U56:W56)*X$16)</f>
        <v>0.3791878465849709</v>
      </c>
      <c r="Y56" s="1577">
        <f>IF($U56="","",SUM(V56:X56))</f>
        <v>0.49409325464102272</v>
      </c>
      <c r="Z56" s="1574"/>
      <c r="AA56" s="1578">
        <f>IF($U56="","",SUM(U56,Y56))</f>
        <v>1.6431473352015407</v>
      </c>
      <c r="AB56" s="1574"/>
      <c r="AC56" s="2478">
        <f ca="1">IF(AA56="","",AA56/OFFSET($AB$23,AF56,0))</f>
        <v>0.12831149786790666</v>
      </c>
      <c r="AD56" s="2481"/>
      <c r="AE56" s="2482"/>
      <c r="AF56" s="1569">
        <f>AF55</f>
        <v>32</v>
      </c>
      <c r="AG56" s="1569"/>
      <c r="AH56" s="1571">
        <f>$AH$16/K56</f>
        <v>1</v>
      </c>
      <c r="AI56" s="1571">
        <f>$AH$16/AH56</f>
        <v>5</v>
      </c>
      <c r="AJ56" s="1554">
        <f>$H56*(1-(1+$L$15)^-(AH56*AI56))/((1+$L$15)^AI56-1)*(1+((1+$L$15)^AI56-1))</f>
        <v>532</v>
      </c>
      <c r="AK56" s="1580"/>
    </row>
    <row r="57" spans="2:37" s="1550" customFormat="1" ht="16" customHeight="1">
      <c r="B57" s="1573"/>
      <c r="C57" s="3751"/>
      <c r="D57" s="3754"/>
      <c r="E57" s="1552" t="s">
        <v>4</v>
      </c>
      <c r="F57" s="1553"/>
      <c r="G57" s="1553">
        <f t="shared" si="37"/>
        <v>2</v>
      </c>
      <c r="H57" s="1554">
        <f t="shared" si="38"/>
        <v>2522.16</v>
      </c>
      <c r="I57" s="1554" t="str">
        <f t="shared" si="38"/>
        <v>Accomodation + Aluminium Phosphide tablets</v>
      </c>
      <c r="J57" s="1555" t="str">
        <f>IF(K57=1,"Annual","Done every "&amp;K57&amp;" years")</f>
        <v>Done every 5 years</v>
      </c>
      <c r="K57" s="2477">
        <f>I635</f>
        <v>5</v>
      </c>
      <c r="L57" s="1557">
        <f t="shared" si="39"/>
        <v>16</v>
      </c>
      <c r="M57" s="1558">
        <f t="shared" si="39"/>
        <v>5</v>
      </c>
      <c r="N57" s="1554">
        <f>$H57*(1-(1+$L$15)^-(L57*M57))/((1+$L$15)^M57-1)*(1+((1+$L$15)^M57-1))</f>
        <v>13549.158123443016</v>
      </c>
      <c r="O57" s="1559">
        <f>N57/(1+$L$15)*($L$15)/(1-(1+$L$15)^-$L$16)</f>
        <v>544.75530823806707</v>
      </c>
      <c r="P57" s="1574"/>
      <c r="Q57" s="3073"/>
      <c r="R57" s="3073"/>
      <c r="S57" s="3073"/>
      <c r="T57" s="1575" t="s">
        <v>810</v>
      </c>
      <c r="U57" s="1563">
        <f>O57/$U$16</f>
        <v>5.4475530823806704</v>
      </c>
      <c r="V57" s="1576" t="str">
        <f>IF($T57="L",SUM($U57:U57)*V$16,"")</f>
        <v/>
      </c>
      <c r="W57" s="1576">
        <f>IF($U57="","",IF(OR($T57="L",$T57="T",$T57="C"),SUM($U57:V57)*W$16,""))</f>
        <v>0.54475530823806706</v>
      </c>
      <c r="X57" s="1576">
        <f>IF($U57="","",SUM($U57:W57)*X$16)</f>
        <v>1.7976925171856213</v>
      </c>
      <c r="Y57" s="1577">
        <f>IF($U57="","",SUM(V57:X57))</f>
        <v>2.3424478254236885</v>
      </c>
      <c r="Z57" s="1574"/>
      <c r="AA57" s="1578">
        <f>IF($U57="","",SUM(U57,Y57))</f>
        <v>7.7900009078043588</v>
      </c>
      <c r="AB57" s="1574"/>
      <c r="AC57" s="2478">
        <f ca="1">IF(AA57="","",AA57/OFFSET($AB$23,AF57,0))</f>
        <v>0.60831226966639018</v>
      </c>
      <c r="AD57" s="2483"/>
      <c r="AE57" s="2482"/>
      <c r="AF57" s="1569">
        <f>AF56</f>
        <v>32</v>
      </c>
      <c r="AG57" s="1569"/>
      <c r="AH57" s="1571">
        <f>$AH$16/K57</f>
        <v>1</v>
      </c>
      <c r="AI57" s="1571">
        <f>$AH$16/AH57</f>
        <v>5</v>
      </c>
      <c r="AJ57" s="1554">
        <f>$H57*(1-(1+$L$15)^-(AH57*AI57))/((1+$L$15)^AI57-1)*(1+((1+$L$15)^AI57-1))</f>
        <v>2522.16</v>
      </c>
      <c r="AK57" s="1580"/>
    </row>
    <row r="58" spans="2:37" s="1550" customFormat="1" ht="19" customHeight="1">
      <c r="B58" s="1573"/>
      <c r="C58" s="3752"/>
      <c r="D58" s="3755"/>
      <c r="E58" s="1552"/>
      <c r="F58" s="1553"/>
      <c r="G58" s="1553"/>
      <c r="H58" s="1554"/>
      <c r="I58" s="1554"/>
      <c r="J58" s="1555"/>
      <c r="K58" s="2477">
        <f>I519</f>
        <v>0</v>
      </c>
      <c r="L58" s="1557"/>
      <c r="M58" s="1558"/>
      <c r="N58" s="1554"/>
      <c r="O58" s="1559"/>
      <c r="P58" s="1574"/>
      <c r="Q58" s="3073"/>
      <c r="R58" s="3073"/>
      <c r="S58" s="3073"/>
      <c r="T58" s="1581" t="s">
        <v>811</v>
      </c>
      <c r="U58" s="1563">
        <f>O58/$U$16</f>
        <v>0</v>
      </c>
      <c r="V58" s="1576" t="str">
        <f>IF($T58="L",SUM($U58:U58)*V$16,"")</f>
        <v/>
      </c>
      <c r="W58" s="1576" t="str">
        <f>IF($U58="","",IF(OR($T58="L",$T58="T",$T58="C"),SUM($U58:V58)*W$16,""))</f>
        <v/>
      </c>
      <c r="X58" s="1576">
        <f>IF($U58="","",SUM($U58:W58)*X$16)</f>
        <v>0</v>
      </c>
      <c r="Y58" s="1577">
        <f>IF($U58="","",SUM(V58:X58))</f>
        <v>0</v>
      </c>
      <c r="Z58" s="1574"/>
      <c r="AA58" s="1578">
        <f>IF($U58="","",SUM(U58,Y58))</f>
        <v>0</v>
      </c>
      <c r="AB58" s="1574"/>
      <c r="AC58" s="2478">
        <f ca="1">IF(AA58="","",AA58/OFFSET($AB$23,AF58,0))</f>
        <v>0</v>
      </c>
      <c r="AD58" s="2484"/>
      <c r="AE58" s="2485"/>
      <c r="AF58" s="1569">
        <f>AF57</f>
        <v>32</v>
      </c>
      <c r="AG58" s="1569"/>
      <c r="AH58" s="1571"/>
      <c r="AI58" s="1571"/>
      <c r="AJ58" s="1554"/>
      <c r="AK58" s="1580"/>
    </row>
    <row r="59" spans="2:37" s="266" customFormat="1" ht="18" customHeight="1">
      <c r="B59" s="1953">
        <v>5.0999999999999996</v>
      </c>
      <c r="C59" s="1954" t="s">
        <v>229</v>
      </c>
      <c r="D59" s="4040" t="s">
        <v>1853</v>
      </c>
      <c r="E59" s="1955" t="s">
        <v>3</v>
      </c>
      <c r="F59" s="1956"/>
      <c r="G59" s="1956">
        <f t="shared" ref="G59:G61" si="40">E742</f>
        <v>118.78425510712506</v>
      </c>
      <c r="H59" s="1957">
        <f>H742</f>
        <v>40089.686098654711</v>
      </c>
      <c r="I59" s="1958" t="str">
        <f>K742</f>
        <v>Cost for labour</v>
      </c>
      <c r="J59" s="1959" t="str">
        <f>IF(K59=1,"Annual","Done every "&amp;K59&amp;" years")</f>
        <v>Annual</v>
      </c>
      <c r="K59" s="1960">
        <f>L742</f>
        <v>1</v>
      </c>
      <c r="L59" s="1961">
        <f t="shared" ref="L59:M61" si="41">$L$16/K59</f>
        <v>80</v>
      </c>
      <c r="M59" s="1960">
        <f t="shared" si="41"/>
        <v>1</v>
      </c>
      <c r="N59" s="1957">
        <f>$H59*(1-(1+$L$15)^-(L59*M59))/((1+$L$15)^M59-1)*(1+((1+$L$15)^M59-1))</f>
        <v>997110.97414857743</v>
      </c>
      <c r="O59" s="1962">
        <f>N59/(1+$L$15)*($L$15)/(1-(1+$L$15)^-$L$16)</f>
        <v>40089.686098654674</v>
      </c>
      <c r="P59" s="1963">
        <f>SUM(O59:O62)</f>
        <v>83591.442451419949</v>
      </c>
      <c r="Q59" s="2989"/>
      <c r="R59" s="2989"/>
      <c r="S59" s="2989"/>
      <c r="T59" s="1964" t="s">
        <v>808</v>
      </c>
      <c r="U59" s="1965">
        <f t="shared" si="14"/>
        <v>400.89686098654676</v>
      </c>
      <c r="V59" s="1965">
        <f>IF($T59="L",SUM($U59:U59)*V$16,"")</f>
        <v>120.26905829596402</v>
      </c>
      <c r="W59" s="1965">
        <f>IF($U59="","",IF(OR($T59="L",$T59="T",$T59="C"),SUM($U59:V59)*W$16,""))</f>
        <v>52.116591928251083</v>
      </c>
      <c r="X59" s="1965">
        <f>IF($U59="","",SUM($U59:W59)*X$16)</f>
        <v>171.98475336322855</v>
      </c>
      <c r="Y59" s="1966">
        <f t="shared" si="15"/>
        <v>344.37040358744366</v>
      </c>
      <c r="Z59" s="1963">
        <f>SUM(V59:X62)</f>
        <v>531.42795590433434</v>
      </c>
      <c r="AA59" s="1967">
        <f t="shared" si="16"/>
        <v>745.26726457399036</v>
      </c>
      <c r="AB59" s="1963">
        <f>SUM(AA59:AA62)</f>
        <v>1367.342380418534</v>
      </c>
      <c r="AC59" s="1968">
        <f t="shared" ca="1" si="17"/>
        <v>0.54504802545933606</v>
      </c>
      <c r="AD59" s="1969"/>
      <c r="AE59" s="1970"/>
      <c r="AF59" s="1482">
        <f>AF55+4</f>
        <v>36</v>
      </c>
      <c r="AG59" s="1971">
        <f ca="1">SUM(AC59:AC62)-1</f>
        <v>0</v>
      </c>
      <c r="AH59" s="1972">
        <f>$AH$16/K59</f>
        <v>5</v>
      </c>
      <c r="AI59" s="1972">
        <f>$AH$16/AH59</f>
        <v>1</v>
      </c>
      <c r="AJ59" s="1957">
        <f>$H59*(1-(1+$L$15)^-(AH59*AI59))/((1+$L$15)^AI59-1)*(1+((1+$L$15)^AI59-1))</f>
        <v>185611.0462101179</v>
      </c>
      <c r="AK59" s="1973">
        <f>SUM(AJ59:AJ62)</f>
        <v>387019.62019457144</v>
      </c>
    </row>
    <row r="60" spans="2:37" s="266" customFormat="1" ht="19" customHeight="1">
      <c r="B60" s="1974"/>
      <c r="C60" s="1975" t="s">
        <v>749</v>
      </c>
      <c r="D60" s="4041"/>
      <c r="E60" s="1955" t="s">
        <v>308</v>
      </c>
      <c r="F60" s="1956">
        <f>$D$727</f>
        <v>3</v>
      </c>
      <c r="G60" s="1956">
        <f t="shared" si="40"/>
        <v>59.392127553562531</v>
      </c>
      <c r="H60" s="1957">
        <f>H743</f>
        <v>16926.756352765322</v>
      </c>
      <c r="I60" s="1958" t="str">
        <f>K743</f>
        <v>On site Vehicle Costs</v>
      </c>
      <c r="J60" s="1959" t="str">
        <f>IF(K60=1,"Annual","Done every "&amp;K60&amp;" years")</f>
        <v>Annual</v>
      </c>
      <c r="K60" s="1960">
        <f>L743</f>
        <v>1</v>
      </c>
      <c r="L60" s="1961">
        <f t="shared" si="41"/>
        <v>80</v>
      </c>
      <c r="M60" s="1960">
        <f t="shared" si="41"/>
        <v>1</v>
      </c>
      <c r="N60" s="1957">
        <f>$H60*(1-(1+$L$15)^-(L60*M60))/((1+$L$15)^M60-1)*(1+((1+$L$15)^M60-1))</f>
        <v>421002.4113071771</v>
      </c>
      <c r="O60" s="1962">
        <f>N60/(1+$L$15)*($L$15)/(1-(1+$L$15)^-$L$16)</f>
        <v>16926.756352765307</v>
      </c>
      <c r="P60" s="1976"/>
      <c r="Q60" s="2990">
        <f>1*(1-(1+$L$15)^-(L60*M60))/((1+$L$15)^M60-1)*(1+((1+$L$15)^M60-1))</f>
        <v>24.872007520708362</v>
      </c>
      <c r="R60" s="2990">
        <f>Q60/(1+$L$15)*($L$15)/(1-(1+$L$15)^-$L$16)</f>
        <v>0.99999999999999911</v>
      </c>
      <c r="S60" s="2990">
        <f>F60*R60</f>
        <v>2.9999999999999973</v>
      </c>
      <c r="T60" s="1977" t="s">
        <v>809</v>
      </c>
      <c r="U60" s="1965">
        <f t="shared" si="14"/>
        <v>169.26756352765307</v>
      </c>
      <c r="V60" s="1978" t="str">
        <f>IF($T60="L",SUM($U60:U60)*V$16,"")</f>
        <v/>
      </c>
      <c r="W60" s="1978">
        <f>IF($U60="","",IF(OR($T60="L",$T60="T",$T60="C"),SUM($U60:V60)*W$16,""))</f>
        <v>16.926756352765306</v>
      </c>
      <c r="X60" s="1978">
        <f>IF($U60="","",SUM($U60:W60)*X$16)</f>
        <v>55.85829596412551</v>
      </c>
      <c r="Y60" s="1979">
        <f t="shared" si="15"/>
        <v>72.785052316890813</v>
      </c>
      <c r="Z60" s="1976"/>
      <c r="AA60" s="1980">
        <f t="shared" si="16"/>
        <v>242.05261584454388</v>
      </c>
      <c r="AB60" s="1976"/>
      <c r="AC60" s="1968">
        <f t="shared" ca="1" si="17"/>
        <v>0.17702414502098096</v>
      </c>
      <c r="AD60" s="1981"/>
      <c r="AE60" s="1970"/>
      <c r="AF60" s="1482">
        <f>AF59</f>
        <v>36</v>
      </c>
      <c r="AG60" s="1482"/>
      <c r="AH60" s="1972">
        <f>$AH$16/K60</f>
        <v>5</v>
      </c>
      <c r="AI60" s="1972">
        <f>$AH$16/AH60</f>
        <v>1</v>
      </c>
      <c r="AJ60" s="1957">
        <f>$H60*(1-(1+$L$15)^-(AH60*AI60))/((1+$L$15)^AI60-1)*(1+((1+$L$15)^AI60-1))</f>
        <v>78369.108399827572</v>
      </c>
      <c r="AK60" s="1982"/>
    </row>
    <row r="61" spans="2:37" s="266" customFormat="1" ht="19" customHeight="1">
      <c r="B61" s="1974"/>
      <c r="C61" s="1975"/>
      <c r="D61" s="4041"/>
      <c r="E61" s="1955" t="s">
        <v>4</v>
      </c>
      <c r="F61" s="1956"/>
      <c r="G61" s="1956">
        <f t="shared" si="40"/>
        <v>118</v>
      </c>
      <c r="H61" s="1957">
        <f>H744</f>
        <v>26575</v>
      </c>
      <c r="I61" s="1958" t="str">
        <f>K744</f>
        <v>Accomodation/food + Ammunition</v>
      </c>
      <c r="J61" s="1959" t="str">
        <f>IF(K61=1,"Annual","Done every "&amp;K61&amp;" years")</f>
        <v>Annual</v>
      </c>
      <c r="K61" s="1960">
        <f>L744</f>
        <v>1</v>
      </c>
      <c r="L61" s="1961">
        <f t="shared" si="41"/>
        <v>80</v>
      </c>
      <c r="M61" s="1960">
        <f t="shared" si="41"/>
        <v>1</v>
      </c>
      <c r="N61" s="1957">
        <f>$H61*(1-(1+$L$15)^-(L61*M61))/((1+$L$15)^M61-1)*(1+((1+$L$15)^M61-1))</f>
        <v>660973.59986282466</v>
      </c>
      <c r="O61" s="1962">
        <f>N61/(1+$L$15)*($L$15)/(1-(1+$L$15)^-$L$16)</f>
        <v>26574.999999999978</v>
      </c>
      <c r="P61" s="1983"/>
      <c r="Q61" s="2990"/>
      <c r="R61" s="2990"/>
      <c r="S61" s="2990"/>
      <c r="T61" s="1977" t="s">
        <v>810</v>
      </c>
      <c r="U61" s="1965">
        <f t="shared" si="14"/>
        <v>265.74999999999977</v>
      </c>
      <c r="V61" s="1984" t="str">
        <f>IF($T61="L",SUM($U61:U61)*V$16,"")</f>
        <v/>
      </c>
      <c r="W61" s="1984">
        <f>IF($U61="","",IF(OR($T61="L",$T61="T",$T61="C"),SUM($U61:V61)*W$16,""))</f>
        <v>26.574999999999978</v>
      </c>
      <c r="X61" s="1984">
        <f>IF($U61="","",SUM($U61:W61)*X$16)</f>
        <v>87.69749999999992</v>
      </c>
      <c r="Y61" s="1985">
        <f t="shared" si="15"/>
        <v>114.27249999999989</v>
      </c>
      <c r="Z61" s="1983"/>
      <c r="AA61" s="1986">
        <f t="shared" si="16"/>
        <v>380.0224999999997</v>
      </c>
      <c r="AB61" s="1983"/>
      <c r="AC61" s="1968">
        <f t="shared" ca="1" si="17"/>
        <v>0.27792782951968287</v>
      </c>
      <c r="AD61" s="1987"/>
      <c r="AE61" s="1970"/>
      <c r="AF61" s="1482">
        <f>AF60</f>
        <v>36</v>
      </c>
      <c r="AG61" s="1482"/>
      <c r="AH61" s="1972">
        <f>$AH$16/K61</f>
        <v>5</v>
      </c>
      <c r="AI61" s="1972">
        <f>$AH$16/AH61</f>
        <v>1</v>
      </c>
      <c r="AJ61" s="1957">
        <f>$H61*(1-(1+$L$15)^-(AH61*AI61))/((1+$L$15)^AI61-1)*(1+((1+$L$15)^AI61-1))</f>
        <v>123039.46558462594</v>
      </c>
      <c r="AK61" s="1988"/>
    </row>
    <row r="62" spans="2:37" s="266" customFormat="1" ht="16" customHeight="1">
      <c r="B62" s="1974"/>
      <c r="C62" s="1989"/>
      <c r="D62" s="4042"/>
      <c r="E62" s="1955" t="s">
        <v>21</v>
      </c>
      <c r="F62" s="1956"/>
      <c r="G62" s="1956"/>
      <c r="H62" s="1957"/>
      <c r="I62" s="1990"/>
      <c r="J62" s="1959"/>
      <c r="K62" s="802"/>
      <c r="L62" s="1991"/>
      <c r="M62" s="159"/>
      <c r="N62" s="1957"/>
      <c r="O62" s="1962"/>
      <c r="P62" s="1992"/>
      <c r="Q62" s="3074"/>
      <c r="R62" s="3074"/>
      <c r="S62" s="3074"/>
      <c r="T62" s="1993" t="s">
        <v>811</v>
      </c>
      <c r="U62" s="1965">
        <f t="shared" si="14"/>
        <v>0</v>
      </c>
      <c r="V62" s="1984" t="str">
        <f>IF($T62="L",SUM($U62:U62)*V$16,"")</f>
        <v/>
      </c>
      <c r="W62" s="1984" t="str">
        <f>IF($U62="","",IF(OR($T62="L",$T62="T",$T62="C"),SUM($U62:V62)*W$16,""))</f>
        <v/>
      </c>
      <c r="X62" s="1984">
        <f>IF($U62="","",SUM($U62:W62)*X$16)</f>
        <v>0</v>
      </c>
      <c r="Y62" s="1985">
        <f t="shared" si="15"/>
        <v>0</v>
      </c>
      <c r="Z62" s="1992"/>
      <c r="AA62" s="1994">
        <f t="shared" si="16"/>
        <v>0</v>
      </c>
      <c r="AB62" s="1992"/>
      <c r="AC62" s="1968">
        <f t="shared" ca="1" si="17"/>
        <v>0</v>
      </c>
      <c r="AD62" s="1995"/>
      <c r="AE62" s="1970"/>
      <c r="AF62" s="1482">
        <f>AF61</f>
        <v>36</v>
      </c>
      <c r="AG62" s="1482"/>
      <c r="AH62" s="1955"/>
      <c r="AI62" s="1955"/>
      <c r="AJ62" s="1957"/>
      <c r="AK62" s="1996"/>
    </row>
    <row r="63" spans="2:37" s="1997" customFormat="1" ht="18" customHeight="1">
      <c r="B63" s="1998">
        <f>B59+0.1</f>
        <v>5.1999999999999993</v>
      </c>
      <c r="C63" s="2422" t="str">
        <f>C59</f>
        <v>Management Action 3
(L + T + C + E)</v>
      </c>
      <c r="D63" s="3909" t="str">
        <f>D59</f>
        <v>Ground shooting of rabbits</v>
      </c>
      <c r="E63" s="2000" t="s">
        <v>3</v>
      </c>
      <c r="F63" s="2001"/>
      <c r="G63" s="2001">
        <f>F742</f>
        <v>128.74937717987046</v>
      </c>
      <c r="H63" s="2002">
        <f>I742</f>
        <v>43452.914798206279</v>
      </c>
      <c r="I63" s="2003" t="str">
        <f>K742</f>
        <v>Cost for labour</v>
      </c>
      <c r="J63" s="2004" t="str">
        <f>IF(K63=1,"Annual","Done every "&amp;K63&amp;" years")</f>
        <v>Annual</v>
      </c>
      <c r="K63" s="2005">
        <f>L742</f>
        <v>1</v>
      </c>
      <c r="L63" s="2006">
        <f t="shared" ref="L63:M65" si="42">$L$16/K63</f>
        <v>80</v>
      </c>
      <c r="M63" s="2005">
        <f t="shared" si="42"/>
        <v>1</v>
      </c>
      <c r="N63" s="2002">
        <f>$H63*(1-(1+$L$15)^-(L63*M63))/((1+$L$15)^M63-1)*(1+((1+$L$15)^M63-1))</f>
        <v>1080761.2236576863</v>
      </c>
      <c r="O63" s="2007">
        <f>N63/(1+$L$15)*($L$15)/(1-(1+$L$15)^-$L$16)</f>
        <v>43452.91479820625</v>
      </c>
      <c r="P63" s="2008">
        <f>SUM(O63:O66)</f>
        <v>90474.701046337752</v>
      </c>
      <c r="Q63" s="3063"/>
      <c r="R63" s="3063"/>
      <c r="S63" s="3063"/>
      <c r="T63" s="2009" t="s">
        <v>808</v>
      </c>
      <c r="U63" s="2010">
        <f t="shared" si="14"/>
        <v>434.52914798206251</v>
      </c>
      <c r="V63" s="2010">
        <f>IF($T63="L",SUM($U63:U63)*V$16,"")</f>
        <v>130.35874439461875</v>
      </c>
      <c r="W63" s="2010">
        <f>IF($U63="","",IF(OR($T63="L",$T63="T",$T63="C"),SUM($U63:V63)*W$16,""))</f>
        <v>56.488789237668129</v>
      </c>
      <c r="X63" s="2010">
        <f>IF($U63="","",SUM($U63:W63)*X$16)</f>
        <v>186.41300448430482</v>
      </c>
      <c r="Y63" s="2011">
        <f t="shared" si="15"/>
        <v>373.2605381165917</v>
      </c>
      <c r="Z63" s="2008">
        <f>SUM(V63:X66)</f>
        <v>575.4542189835571</v>
      </c>
      <c r="AA63" s="2012">
        <f t="shared" si="16"/>
        <v>807.78968609865422</v>
      </c>
      <c r="AB63" s="2008">
        <f>SUM(AA63:AA66)</f>
        <v>1480.2012294469346</v>
      </c>
      <c r="AC63" s="2013">
        <f t="shared" ca="1" si="17"/>
        <v>0.54572964136807156</v>
      </c>
      <c r="AD63" s="2014"/>
      <c r="AE63" s="2015"/>
      <c r="AF63" s="1483">
        <f>AF59+4</f>
        <v>40</v>
      </c>
      <c r="AG63" s="2016">
        <f ca="1">SUM(AC63:AC66)-1</f>
        <v>0</v>
      </c>
      <c r="AH63" s="2017">
        <f>$AH$16/K63</f>
        <v>5</v>
      </c>
      <c r="AI63" s="2017">
        <f>$AH$16/AH63</f>
        <v>1</v>
      </c>
      <c r="AJ63" s="2002">
        <f>$H63*(1-(1+$L$15)^-(AH63*AI63))/((1+$L$15)^AI63-1)*(1+((1+$L$15)^AI63-1))</f>
        <v>201182.44270425529</v>
      </c>
      <c r="AK63" s="2018">
        <f>SUM(AJ63:AJ66)</f>
        <v>418888.38629050623</v>
      </c>
    </row>
    <row r="64" spans="2:37" s="1997" customFormat="1" ht="19" customHeight="1">
      <c r="B64" s="2019"/>
      <c r="C64" s="2423" t="s">
        <v>779</v>
      </c>
      <c r="D64" s="3910"/>
      <c r="E64" s="2000" t="s">
        <v>308</v>
      </c>
      <c r="F64" s="2001">
        <f>$E$727</f>
        <v>4</v>
      </c>
      <c r="G64" s="2001">
        <f t="shared" ref="G64:G65" si="43">F743</f>
        <v>64.374688589935232</v>
      </c>
      <c r="H64" s="2002">
        <f>I743</f>
        <v>18346.786248131542</v>
      </c>
      <c r="I64" s="2003" t="str">
        <f>K743</f>
        <v>On site Vehicle Costs</v>
      </c>
      <c r="J64" s="2004" t="str">
        <f>IF(K64=1,"Annual","Done every "&amp;K64&amp;" years")</f>
        <v>Annual</v>
      </c>
      <c r="K64" s="2005">
        <f>L743</f>
        <v>1</v>
      </c>
      <c r="L64" s="2006">
        <f t="shared" si="42"/>
        <v>80</v>
      </c>
      <c r="M64" s="2005">
        <f t="shared" si="42"/>
        <v>1</v>
      </c>
      <c r="N64" s="2002">
        <f>$H64*(1-(1+$L$15)^-(L64*M64))/((1+$L$15)^M64-1)*(1+((1+$L$15)^M64-1))</f>
        <v>456321.40554435638</v>
      </c>
      <c r="O64" s="2007">
        <f>N64/(1+$L$15)*($L$15)/(1-(1+$L$15)^-$L$16)</f>
        <v>18346.786248131524</v>
      </c>
      <c r="P64" s="2021"/>
      <c r="Q64" s="3064">
        <f>1*(1-(1+$L$15)^-(L64*M64))/((1+$L$15)^M64-1)*(1+((1+$L$15)^M64-1))</f>
        <v>24.872007520708362</v>
      </c>
      <c r="R64" s="3064">
        <f>Q64/(1+$L$15)*($L$15)/(1-(1+$L$15)^-$L$16)</f>
        <v>0.99999999999999911</v>
      </c>
      <c r="S64" s="3064">
        <f>F64*R64</f>
        <v>3.9999999999999964</v>
      </c>
      <c r="T64" s="2022" t="s">
        <v>809</v>
      </c>
      <c r="U64" s="2010">
        <f t="shared" si="14"/>
        <v>183.46786248131525</v>
      </c>
      <c r="V64" s="2023" t="str">
        <f>IF($T64="L",SUM($U64:U64)*V$16,"")</f>
        <v/>
      </c>
      <c r="W64" s="2023">
        <f>IF($U64="","",IF(OR($T64="L",$T64="T",$T64="C"),SUM($U64:V64)*W$16,""))</f>
        <v>18.346786248131526</v>
      </c>
      <c r="X64" s="2023">
        <f>IF($U64="","",SUM($U64:W64)*X$16)</f>
        <v>60.544394618834033</v>
      </c>
      <c r="Y64" s="2024">
        <f t="shared" si="15"/>
        <v>78.891180866965556</v>
      </c>
      <c r="Z64" s="2021"/>
      <c r="AA64" s="2025">
        <f t="shared" si="16"/>
        <v>262.35904334828081</v>
      </c>
      <c r="AB64" s="2021"/>
      <c r="AC64" s="2013">
        <f t="shared" ca="1" si="17"/>
        <v>0.17724552454689502</v>
      </c>
      <c r="AD64" s="2026"/>
      <c r="AE64" s="2015"/>
      <c r="AF64" s="1483">
        <f>AF63</f>
        <v>40</v>
      </c>
      <c r="AG64" s="1483"/>
      <c r="AH64" s="2017">
        <f>$AH$16/K64</f>
        <v>5</v>
      </c>
      <c r="AI64" s="2017">
        <f>$AH$16/AH64</f>
        <v>1</v>
      </c>
      <c r="AJ64" s="2002">
        <f>$H64*(1-(1+$L$15)^-(AH64*AI64))/((1+$L$15)^AI64-1)*(1+((1+$L$15)^AI64-1))</f>
        <v>84943.698030685584</v>
      </c>
      <c r="AK64" s="2027"/>
    </row>
    <row r="65" spans="1:37" s="1997" customFormat="1" ht="19" customHeight="1">
      <c r="B65" s="2019"/>
      <c r="C65" s="2423"/>
      <c r="D65" s="3910"/>
      <c r="E65" s="2000" t="s">
        <v>4</v>
      </c>
      <c r="F65" s="2001"/>
      <c r="G65" s="2001">
        <f t="shared" si="43"/>
        <v>128</v>
      </c>
      <c r="H65" s="2002">
        <f>I744</f>
        <v>28675</v>
      </c>
      <c r="I65" s="2003" t="str">
        <f>K744</f>
        <v>Accomodation/food + Ammunition</v>
      </c>
      <c r="J65" s="2004" t="str">
        <f>IF(K65=1,"Annual","Done every "&amp;K65&amp;" years")</f>
        <v>Annual</v>
      </c>
      <c r="K65" s="2005">
        <f>L744</f>
        <v>1</v>
      </c>
      <c r="L65" s="2006">
        <f t="shared" si="42"/>
        <v>80</v>
      </c>
      <c r="M65" s="2005">
        <f t="shared" si="42"/>
        <v>1</v>
      </c>
      <c r="N65" s="2002">
        <f>$H65*(1-(1+$L$15)^-(L65*M65))/((1+$L$15)^M65-1)*(1+((1+$L$15)^M65-1))</f>
        <v>713204.81565631228</v>
      </c>
      <c r="O65" s="2007">
        <f>N65/(1+$L$15)*($L$15)/(1-(1+$L$15)^-$L$16)</f>
        <v>28674.999999999978</v>
      </c>
      <c r="P65" s="2028"/>
      <c r="Q65" s="3064"/>
      <c r="R65" s="3064"/>
      <c r="S65" s="3064"/>
      <c r="T65" s="2022" t="s">
        <v>810</v>
      </c>
      <c r="U65" s="2010">
        <f t="shared" si="14"/>
        <v>286.74999999999977</v>
      </c>
      <c r="V65" s="2029" t="str">
        <f>IF($T65="L",SUM($U65:U65)*V$16,"")</f>
        <v/>
      </c>
      <c r="W65" s="2029">
        <f>IF($U65="","",IF(OR($T65="L",$T65="T",$T65="C"),SUM($U65:V65)*W$16,""))</f>
        <v>28.674999999999979</v>
      </c>
      <c r="X65" s="2029">
        <f>IF($U65="","",SUM($U65:W65)*X$16)</f>
        <v>94.627499999999912</v>
      </c>
      <c r="Y65" s="2030">
        <f t="shared" si="15"/>
        <v>123.3024999999999</v>
      </c>
      <c r="Z65" s="2028"/>
      <c r="AA65" s="2031">
        <f t="shared" si="16"/>
        <v>410.05249999999967</v>
      </c>
      <c r="AB65" s="2028"/>
      <c r="AC65" s="2013">
        <f t="shared" ca="1" si="17"/>
        <v>0.27702483408503353</v>
      </c>
      <c r="AD65" s="2032"/>
      <c r="AE65" s="2015"/>
      <c r="AF65" s="1483">
        <f>AF64</f>
        <v>40</v>
      </c>
      <c r="AG65" s="1483"/>
      <c r="AH65" s="2017">
        <f>$AH$16/K65</f>
        <v>5</v>
      </c>
      <c r="AI65" s="2017">
        <f>$AH$16/AH65</f>
        <v>1</v>
      </c>
      <c r="AJ65" s="2002">
        <f>$H65*(1-(1+$L$15)^-(AH65*AI65))/((1+$L$15)^AI65-1)*(1+((1+$L$15)^AI65-1))</f>
        <v>132762.24555556534</v>
      </c>
      <c r="AK65" s="2033"/>
    </row>
    <row r="66" spans="1:37" s="1997" customFormat="1" ht="16" customHeight="1">
      <c r="B66" s="2019"/>
      <c r="C66" s="2424"/>
      <c r="D66" s="3911"/>
      <c r="E66" s="2000" t="s">
        <v>21</v>
      </c>
      <c r="F66" s="2001"/>
      <c r="G66" s="2001"/>
      <c r="H66" s="2002"/>
      <c r="I66" s="2035"/>
      <c r="J66" s="2004"/>
      <c r="K66" s="2036"/>
      <c r="L66" s="2037"/>
      <c r="M66" s="2038"/>
      <c r="N66" s="2002"/>
      <c r="O66" s="2007"/>
      <c r="P66" s="2039"/>
      <c r="Q66" s="3075"/>
      <c r="R66" s="3075"/>
      <c r="S66" s="3075"/>
      <c r="T66" s="2040" t="s">
        <v>811</v>
      </c>
      <c r="U66" s="2010">
        <f t="shared" si="14"/>
        <v>0</v>
      </c>
      <c r="V66" s="2029" t="str">
        <f>IF($T66="L",SUM($U66:U66)*V$16,"")</f>
        <v/>
      </c>
      <c r="W66" s="2029" t="str">
        <f>IF($U66="","",IF(OR($T66="L",$T66="T",$T66="C"),SUM($U66:V66)*W$16,""))</f>
        <v/>
      </c>
      <c r="X66" s="2029">
        <f>IF($U66="","",SUM($U66:W66)*X$16)</f>
        <v>0</v>
      </c>
      <c r="Y66" s="2030">
        <f t="shared" si="15"/>
        <v>0</v>
      </c>
      <c r="Z66" s="2039"/>
      <c r="AA66" s="2041">
        <f t="shared" si="16"/>
        <v>0</v>
      </c>
      <c r="AB66" s="2039"/>
      <c r="AC66" s="2013">
        <f t="shared" ca="1" si="17"/>
        <v>0</v>
      </c>
      <c r="AD66" s="2042"/>
      <c r="AE66" s="2015"/>
      <c r="AF66" s="1483">
        <f>AF65</f>
        <v>40</v>
      </c>
      <c r="AG66" s="1483"/>
      <c r="AH66" s="2000"/>
      <c r="AI66" s="2000"/>
      <c r="AJ66" s="2002"/>
      <c r="AK66" s="2043"/>
    </row>
    <row r="67" spans="1:37" s="2044" customFormat="1" ht="18" customHeight="1">
      <c r="B67" s="2045">
        <f>B63+0.1</f>
        <v>5.2999999999999989</v>
      </c>
      <c r="C67" s="2046" t="str">
        <f>C63</f>
        <v>Management Action 3
(L + T + C + E)</v>
      </c>
      <c r="D67" s="4052" t="str">
        <f>D63</f>
        <v>Ground shooting of rabbits</v>
      </c>
      <c r="E67" s="2047" t="s">
        <v>3</v>
      </c>
      <c r="F67" s="2048"/>
      <c r="G67" s="2048">
        <f>G742</f>
        <v>148.67962132536124</v>
      </c>
      <c r="H67" s="2049">
        <f t="shared" ref="H67:I69" si="44">J742</f>
        <v>50179.372197309422</v>
      </c>
      <c r="I67" s="2050" t="str">
        <f t="shared" si="44"/>
        <v>Cost for labour</v>
      </c>
      <c r="J67" s="2051" t="str">
        <f>IF(K67=1,"Annual","Done every "&amp;K67&amp;" years")</f>
        <v>Annual</v>
      </c>
      <c r="K67" s="2052">
        <f>L742</f>
        <v>1</v>
      </c>
      <c r="L67" s="2053">
        <f t="shared" ref="L67:M69" si="45">$L$16/K67</f>
        <v>80</v>
      </c>
      <c r="M67" s="2052">
        <f t="shared" si="45"/>
        <v>1</v>
      </c>
      <c r="N67" s="2049">
        <f>$H67*(1-(1+$L$15)^-(L67*M67))/((1+$L$15)^M67-1)*(1+((1+$L$15)^M67-1))</f>
        <v>1248061.7226759039</v>
      </c>
      <c r="O67" s="2054">
        <f>N67/(1+$L$15)*($L$15)/(1-(1+$L$15)^-$L$16)</f>
        <v>50179.372197309378</v>
      </c>
      <c r="P67" s="2055">
        <f>SUM(O67:O70)</f>
        <v>104241.2182361733</v>
      </c>
      <c r="Q67" s="3076"/>
      <c r="R67" s="3076"/>
      <c r="S67" s="3076"/>
      <c r="T67" s="2056" t="s">
        <v>808</v>
      </c>
      <c r="U67" s="2057">
        <f t="shared" si="14"/>
        <v>501.7937219730938</v>
      </c>
      <c r="V67" s="2057">
        <f>IF($T67="L",SUM($U67:U67)*V$16,"")</f>
        <v>150.53811659192814</v>
      </c>
      <c r="W67" s="2057">
        <f>IF($U67="","",IF(OR($T67="L",$T67="T",$T67="C"),SUM($U67:V67)*W$16,""))</f>
        <v>65.233183856502194</v>
      </c>
      <c r="X67" s="2058">
        <f>IF($U67="","",SUM($U67:W67)*X$16)</f>
        <v>215.26950672645725</v>
      </c>
      <c r="Y67" s="2059">
        <f t="shared" si="15"/>
        <v>431.04080717488762</v>
      </c>
      <c r="Z67" s="2055">
        <f>SUM(V67:X70)</f>
        <v>663.5067451420025</v>
      </c>
      <c r="AA67" s="2058">
        <f t="shared" si="16"/>
        <v>932.83452914798136</v>
      </c>
      <c r="AB67" s="2055">
        <f>SUM(AA67:AA70)</f>
        <v>1705.9189275037356</v>
      </c>
      <c r="AC67" s="2060">
        <f t="shared" ca="1" si="17"/>
        <v>0.54682231031517681</v>
      </c>
      <c r="AD67" s="2061"/>
      <c r="AE67" s="2062"/>
      <c r="AF67" s="2063">
        <f>AF63+4</f>
        <v>44</v>
      </c>
      <c r="AG67" s="2064">
        <f ca="1">SUM(AC67:AC70)-1</f>
        <v>0</v>
      </c>
      <c r="AH67" s="2065">
        <f>$AH$16/K67</f>
        <v>5</v>
      </c>
      <c r="AI67" s="2065">
        <f>$AH$16/AH67</f>
        <v>1</v>
      </c>
      <c r="AJ67" s="2049">
        <f>$H67*(1-(1+$L$15)^-(AH67*AI67))/((1+$L$15)^AI67-1)*(1+((1+$L$15)^AI67-1))</f>
        <v>232325.23569253014</v>
      </c>
      <c r="AK67" s="2059">
        <f>SUM(AJ67:AJ70)</f>
        <v>482625.91848237591</v>
      </c>
    </row>
    <row r="68" spans="1:37" s="2044" customFormat="1" ht="19" customHeight="1">
      <c r="B68" s="2066"/>
      <c r="C68" s="2067" t="s">
        <v>789</v>
      </c>
      <c r="D68" s="4053"/>
      <c r="E68" s="2047" t="s">
        <v>308</v>
      </c>
      <c r="F68" s="2048">
        <f>$F$727</f>
        <v>4</v>
      </c>
      <c r="G68" s="2048">
        <f t="shared" ref="G68:G69" si="46">G743</f>
        <v>74.33981066268062</v>
      </c>
      <c r="H68" s="2049">
        <f t="shared" si="44"/>
        <v>21186.846038863976</v>
      </c>
      <c r="I68" s="2050" t="str">
        <f t="shared" si="44"/>
        <v>On site Vehicle Costs</v>
      </c>
      <c r="J68" s="2051" t="str">
        <f>IF(K68=1,"Annual","Done every "&amp;K68&amp;" years")</f>
        <v>Annual</v>
      </c>
      <c r="K68" s="2052">
        <f>L743</f>
        <v>1</v>
      </c>
      <c r="L68" s="2053">
        <f t="shared" si="45"/>
        <v>80</v>
      </c>
      <c r="M68" s="2052">
        <f t="shared" si="45"/>
        <v>1</v>
      </c>
      <c r="N68" s="2049">
        <f>$H68*(1-(1+$L$15)^-(L68*M68))/((1+$L$15)^M68-1)*(1+((1+$L$15)^M68-1))</f>
        <v>526959.3940187149</v>
      </c>
      <c r="O68" s="2054">
        <f>N68/(1+$L$15)*($L$15)/(1-(1+$L$15)^-$L$16)</f>
        <v>21186.846038863954</v>
      </c>
      <c r="P68" s="2068"/>
      <c r="Q68" s="3077">
        <f>1*(1-(1+$L$15)^-(L68*M68))/((1+$L$15)^M68-1)*(1+((1+$L$15)^M68-1))</f>
        <v>24.872007520708362</v>
      </c>
      <c r="R68" s="3077">
        <f>Q68/(1+$L$15)*($L$15)/(1-(1+$L$15)^-$L$16)</f>
        <v>0.99999999999999911</v>
      </c>
      <c r="S68" s="3077">
        <f>F68*R68</f>
        <v>3.9999999999999964</v>
      </c>
      <c r="T68" s="2069" t="s">
        <v>809</v>
      </c>
      <c r="U68" s="2057">
        <f t="shared" si="14"/>
        <v>211.86846038863953</v>
      </c>
      <c r="V68" s="2070" t="str">
        <f>IF($T68="L",SUM($U68:U68)*V$16,"")</f>
        <v/>
      </c>
      <c r="W68" s="2070">
        <f>IF($U68="","",IF(OR($T68="L",$T68="T",$T68="C"),SUM($U68:V68)*W$16,""))</f>
        <v>21.186846038863955</v>
      </c>
      <c r="X68" s="2071">
        <f>IF($U68="","",SUM($U68:W68)*X$16)</f>
        <v>69.916591928251052</v>
      </c>
      <c r="Y68" s="2072">
        <f t="shared" si="15"/>
        <v>91.103437967115013</v>
      </c>
      <c r="Z68" s="2068"/>
      <c r="AA68" s="2071">
        <f t="shared" si="16"/>
        <v>302.97189835575455</v>
      </c>
      <c r="AB68" s="2068"/>
      <c r="AC68" s="2060">
        <f t="shared" ca="1" si="17"/>
        <v>0.17760040847843345</v>
      </c>
      <c r="AD68" s="2073"/>
      <c r="AE68" s="2062"/>
      <c r="AF68" s="2063">
        <f>AF67</f>
        <v>44</v>
      </c>
      <c r="AG68" s="2063"/>
      <c r="AH68" s="2065">
        <f>$AH$16/K68</f>
        <v>5</v>
      </c>
      <c r="AI68" s="2065">
        <f>$AH$16/AH68</f>
        <v>1</v>
      </c>
      <c r="AJ68" s="2049">
        <f>$H68*(1-(1+$L$15)^-(AH68*AI68))/((1+$L$15)^AI68-1)*(1+((1+$L$15)^AI68-1))</f>
        <v>98092.877292401623</v>
      </c>
      <c r="AK68" s="2072"/>
    </row>
    <row r="69" spans="1:37" s="2044" customFormat="1" ht="19" customHeight="1">
      <c r="B69" s="2066"/>
      <c r="C69" s="2067"/>
      <c r="D69" s="4053"/>
      <c r="E69" s="2047" t="s">
        <v>4</v>
      </c>
      <c r="F69" s="2048"/>
      <c r="G69" s="2048">
        <f t="shared" si="46"/>
        <v>148</v>
      </c>
      <c r="H69" s="2049">
        <f t="shared" si="44"/>
        <v>32875</v>
      </c>
      <c r="I69" s="2050" t="str">
        <f t="shared" si="44"/>
        <v>Accomodation/food + Ammunition</v>
      </c>
      <c r="J69" s="2051" t="str">
        <f>IF(K69=1,"Annual","Done every "&amp;K69&amp;" years")</f>
        <v>Annual</v>
      </c>
      <c r="K69" s="2052">
        <f>L744</f>
        <v>1</v>
      </c>
      <c r="L69" s="2053">
        <f t="shared" si="45"/>
        <v>80</v>
      </c>
      <c r="M69" s="2052">
        <f t="shared" si="45"/>
        <v>1</v>
      </c>
      <c r="N69" s="2049">
        <f>$H69*(1-(1+$L$15)^-(L69*M69))/((1+$L$15)^M69-1)*(1+((1+$L$15)^M69-1))</f>
        <v>817667.24724328739</v>
      </c>
      <c r="O69" s="2054">
        <f>N69/(1+$L$15)*($L$15)/(1-(1+$L$15)^-$L$16)</f>
        <v>32874.999999999971</v>
      </c>
      <c r="P69" s="2074"/>
      <c r="Q69" s="3077"/>
      <c r="R69" s="3077"/>
      <c r="S69" s="3077"/>
      <c r="T69" s="2069" t="s">
        <v>810</v>
      </c>
      <c r="U69" s="2057">
        <f t="shared" si="14"/>
        <v>328.74999999999972</v>
      </c>
      <c r="V69" s="2075" t="str">
        <f>IF($T69="L",SUM($U69:U69)*V$16,"")</f>
        <v/>
      </c>
      <c r="W69" s="2075">
        <f>IF($U69="","",IF(OR($T69="L",$T69="T",$T69="C"),SUM($U69:V69)*W$16,""))</f>
        <v>32.874999999999972</v>
      </c>
      <c r="X69" s="2076">
        <f>IF($U69="","",SUM($U69:W69)*X$16)</f>
        <v>108.4874999999999</v>
      </c>
      <c r="Y69" s="2077">
        <f t="shared" si="15"/>
        <v>141.36249999999987</v>
      </c>
      <c r="Z69" s="2074"/>
      <c r="AA69" s="2076">
        <f t="shared" si="16"/>
        <v>470.11249999999961</v>
      </c>
      <c r="AB69" s="2074"/>
      <c r="AC69" s="2060">
        <f t="shared" ca="1" si="17"/>
        <v>0.27557728120638963</v>
      </c>
      <c r="AD69" s="2078"/>
      <c r="AE69" s="2062"/>
      <c r="AF69" s="2063">
        <f>AF68</f>
        <v>44</v>
      </c>
      <c r="AG69" s="2063"/>
      <c r="AH69" s="2065">
        <f>$AH$16/K69</f>
        <v>5</v>
      </c>
      <c r="AI69" s="2065">
        <f>$AH$16/AH69</f>
        <v>1</v>
      </c>
      <c r="AJ69" s="2049">
        <f>$H69*(1-(1+$L$15)^-(AH69*AI69))/((1+$L$15)^AI69-1)*(1+((1+$L$15)^AI69-1))</f>
        <v>152207.80549744412</v>
      </c>
      <c r="AK69" s="2077"/>
    </row>
    <row r="70" spans="1:37" s="2044" customFormat="1" ht="16" customHeight="1">
      <c r="B70" s="2066"/>
      <c r="C70" s="2079"/>
      <c r="D70" s="4054"/>
      <c r="E70" s="2047" t="s">
        <v>21</v>
      </c>
      <c r="F70" s="2048"/>
      <c r="G70" s="2048"/>
      <c r="H70" s="2049"/>
      <c r="I70" s="2080"/>
      <c r="J70" s="2051"/>
      <c r="K70" s="2081"/>
      <c r="L70" s="2082"/>
      <c r="M70" s="2083"/>
      <c r="N70" s="2049"/>
      <c r="O70" s="2054"/>
      <c r="P70" s="2084"/>
      <c r="Q70" s="3078"/>
      <c r="R70" s="3078"/>
      <c r="S70" s="3078"/>
      <c r="T70" s="2085" t="s">
        <v>811</v>
      </c>
      <c r="U70" s="2057">
        <f t="shared" si="14"/>
        <v>0</v>
      </c>
      <c r="V70" s="2075" t="str">
        <f>IF($T70="L",SUM($U70:U70)*V$16,"")</f>
        <v/>
      </c>
      <c r="W70" s="2075" t="str">
        <f>IF($U70="","",IF(OR($T70="L",$T70="T",$T70="C"),SUM($U70:V70)*W$16,""))</f>
        <v/>
      </c>
      <c r="X70" s="2076">
        <f>IF($U70="","",SUM($U70:W70)*X$16)</f>
        <v>0</v>
      </c>
      <c r="Y70" s="2086">
        <f t="shared" si="15"/>
        <v>0</v>
      </c>
      <c r="Z70" s="2084"/>
      <c r="AA70" s="2087">
        <f t="shared" si="16"/>
        <v>0</v>
      </c>
      <c r="AB70" s="2084"/>
      <c r="AC70" s="2060">
        <f t="shared" ca="1" si="17"/>
        <v>0</v>
      </c>
      <c r="AD70" s="2088"/>
      <c r="AE70" s="2062"/>
      <c r="AF70" s="2063">
        <f>AF69</f>
        <v>44</v>
      </c>
      <c r="AG70" s="2063"/>
      <c r="AH70" s="2047"/>
      <c r="AI70" s="2047"/>
      <c r="AJ70" s="2049"/>
      <c r="AK70" s="2086"/>
    </row>
    <row r="71" spans="1:37" ht="19" customHeight="1">
      <c r="A71" s="390"/>
      <c r="B71" s="1768">
        <v>6.1</v>
      </c>
      <c r="C71" s="3859" t="s">
        <v>1008</v>
      </c>
      <c r="D71" s="3850" t="s">
        <v>1550</v>
      </c>
      <c r="E71" s="373" t="s">
        <v>3</v>
      </c>
      <c r="F71" s="1176"/>
      <c r="G71" s="1176">
        <f t="shared" ref="G71:G73" si="47">E759</f>
        <v>6.2541106128550075</v>
      </c>
      <c r="H71" s="370">
        <f>H759</f>
        <v>1407.1748878923768</v>
      </c>
      <c r="I71" s="613" t="s">
        <v>474</v>
      </c>
      <c r="J71" s="375" t="str">
        <f>IF(K71=1,"Annual","Done every "&amp;K71&amp;" years")</f>
        <v>Annual</v>
      </c>
      <c r="K71" s="374">
        <f>L759</f>
        <v>1</v>
      </c>
      <c r="L71" s="386">
        <f t="shared" ref="L71:M73" si="48">$L$16/K71</f>
        <v>80</v>
      </c>
      <c r="M71" s="371">
        <f t="shared" si="48"/>
        <v>1</v>
      </c>
      <c r="N71" s="370">
        <f>$H71*(1-(1+$L$15)^-(L71*M71))/((1+$L$15)^M71-1)*(1+((1+$L$15)^M71-1))</f>
        <v>34999.264394611135</v>
      </c>
      <c r="O71" s="640">
        <f>N71/(1+$L$15)*($L$15)/(1-(1+$L$15)^-$L$16)</f>
        <v>1407.1748878923752</v>
      </c>
      <c r="P71" s="392">
        <f>SUM(O71:O74)</f>
        <v>3558.3856502242124</v>
      </c>
      <c r="Q71" s="2980"/>
      <c r="R71" s="2980"/>
      <c r="S71" s="2980"/>
      <c r="T71" s="1039" t="s">
        <v>808</v>
      </c>
      <c r="U71" s="639">
        <f t="shared" si="14"/>
        <v>14.071748878923751</v>
      </c>
      <c r="V71" s="639">
        <f>IF($T71="L",SUM($U71:U71)*V$16,"")</f>
        <v>4.2215246636771253</v>
      </c>
      <c r="W71" s="639">
        <f>IF($U71="","",IF(OR($T71="L",$T71="T",$T71="C"),SUM($U71:V71)*W$16,""))</f>
        <v>1.8293273542600876</v>
      </c>
      <c r="X71" s="639">
        <f>IF($U71="","",SUM($U71:W71)*X$16)</f>
        <v>6.0367802690582888</v>
      </c>
      <c r="Y71" s="388">
        <f t="shared" si="15"/>
        <v>12.087632286995502</v>
      </c>
      <c r="Z71" s="392">
        <f>SUM(V71:X74)</f>
        <v>21.337838565022402</v>
      </c>
      <c r="AA71" s="734">
        <f t="shared" si="16"/>
        <v>26.159381165919253</v>
      </c>
      <c r="AB71" s="391">
        <f>SUM(AA71:AA74)</f>
        <v>56.921695067264523</v>
      </c>
      <c r="AC71" s="936">
        <f t="shared" ca="1" si="17"/>
        <v>0.45956785255615878</v>
      </c>
      <c r="AD71" s="638"/>
      <c r="AE71" s="1069"/>
      <c r="AF71" s="587">
        <f>AF67+4</f>
        <v>48</v>
      </c>
      <c r="AG71" s="816">
        <f ca="1">SUM(AC71:AC74)-1</f>
        <v>0</v>
      </c>
      <c r="AH71" s="387">
        <f>$AH$16/K71</f>
        <v>5</v>
      </c>
      <c r="AI71" s="387">
        <f>$AH$16/AH71</f>
        <v>1</v>
      </c>
      <c r="AJ71" s="370">
        <f>$H71*(1-(1+$L$15)^-(AH71*AI71))/((1+$L$15)^AI71-1)*(1+((1+$L$15)^AI71-1))</f>
        <v>6515.0722931470918</v>
      </c>
      <c r="AK71" s="981">
        <f>SUM(AJ71:AJ74)</f>
        <v>16474.95272803722</v>
      </c>
    </row>
    <row r="72" spans="1:37" ht="19" customHeight="1">
      <c r="A72" s="390"/>
      <c r="B72" s="1765"/>
      <c r="C72" s="3860"/>
      <c r="D72" s="3851"/>
      <c r="E72" s="373" t="s">
        <v>308</v>
      </c>
      <c r="F72" s="1176">
        <f>$F$28</f>
        <v>1</v>
      </c>
      <c r="G72" s="1176">
        <f t="shared" si="47"/>
        <v>3.1270553064275037</v>
      </c>
      <c r="H72" s="370">
        <f>H760</f>
        <v>891.21076233183862</v>
      </c>
      <c r="I72" s="613" t="s">
        <v>65</v>
      </c>
      <c r="J72" s="375" t="str">
        <f>IF(K72=1,"Annual","Done every "&amp;K72&amp;" years")</f>
        <v>Annual</v>
      </c>
      <c r="K72" s="374">
        <f>L760</f>
        <v>1</v>
      </c>
      <c r="L72" s="386">
        <f t="shared" si="48"/>
        <v>80</v>
      </c>
      <c r="M72" s="371">
        <f t="shared" si="48"/>
        <v>1</v>
      </c>
      <c r="N72" s="370">
        <f>$H72*(1-(1+$L$15)^-(L72*M72))/((1+$L$15)^M72-1)*(1+((1+$L$15)^M72-1))</f>
        <v>22166.200783253724</v>
      </c>
      <c r="O72" s="640">
        <f>N72/(1+$L$15)*($L$15)/(1-(1+$L$15)^-$L$16)</f>
        <v>891.21076233183794</v>
      </c>
      <c r="P72" s="392"/>
      <c r="Q72" s="2980">
        <f>1*(1-(1+$L$15)^-(L72*M72))/((1+$L$15)^M72-1)*(1+((1+$L$15)^M72-1))</f>
        <v>24.872007520708362</v>
      </c>
      <c r="R72" s="2980">
        <f>Q72/(1+$L$15)*($L$15)/(1-(1+$L$15)^-$L$16)</f>
        <v>0.99999999999999911</v>
      </c>
      <c r="S72" s="2980">
        <f>F72*R72</f>
        <v>0.99999999999999911</v>
      </c>
      <c r="T72" s="1034" t="s">
        <v>809</v>
      </c>
      <c r="U72" s="639">
        <f t="shared" si="14"/>
        <v>8.9121076233183789</v>
      </c>
      <c r="V72" s="642" t="str">
        <f>IF($T72="L",SUM($U72:U72)*V$16,"")</f>
        <v/>
      </c>
      <c r="W72" s="642">
        <f>IF($U72="","",IF(OR($T72="L",$T72="T",$T72="C"),SUM($U72:V72)*W$16,""))</f>
        <v>0.89121076233183794</v>
      </c>
      <c r="X72" s="642">
        <f>IF($U72="","",SUM($U72:W72)*X$16)</f>
        <v>2.9409955156950649</v>
      </c>
      <c r="Y72" s="388">
        <f t="shared" si="15"/>
        <v>3.8322062780269031</v>
      </c>
      <c r="Z72" s="392"/>
      <c r="AA72" s="734">
        <f t="shared" si="16"/>
        <v>12.744313901345283</v>
      </c>
      <c r="AB72" s="391"/>
      <c r="AC72" s="936">
        <f t="shared" ca="1" si="17"/>
        <v>0.2238920307324877</v>
      </c>
      <c r="AD72" s="641"/>
      <c r="AE72" s="1069"/>
      <c r="AF72" s="587">
        <f>AF71</f>
        <v>48</v>
      </c>
      <c r="AG72" s="587"/>
      <c r="AH72" s="387">
        <f>$AH$16/K72</f>
        <v>5</v>
      </c>
      <c r="AI72" s="387">
        <f>$AH$16/AH72</f>
        <v>1</v>
      </c>
      <c r="AJ72" s="370">
        <f>$H72*(1-(1+$L$15)^-(AH72*AI72))/((1+$L$15)^AI72-1)*(1+((1+$L$15)^AI72-1))</f>
        <v>4126.212452326492</v>
      </c>
      <c r="AK72" s="981"/>
    </row>
    <row r="73" spans="1:37" ht="19" customHeight="1">
      <c r="A73" s="390"/>
      <c r="B73" s="1765"/>
      <c r="C73" s="3860"/>
      <c r="D73" s="3851"/>
      <c r="E73" s="373" t="s">
        <v>4</v>
      </c>
      <c r="F73" s="1176"/>
      <c r="G73" s="1176">
        <f t="shared" si="47"/>
        <v>6</v>
      </c>
      <c r="H73" s="370">
        <f>H761</f>
        <v>1260</v>
      </c>
      <c r="I73" s="613" t="s">
        <v>70</v>
      </c>
      <c r="J73" s="375" t="str">
        <f>IF(K73=1,"Annual","Done every "&amp;K73&amp;" years")</f>
        <v>Annual</v>
      </c>
      <c r="K73" s="374">
        <f>L761</f>
        <v>1</v>
      </c>
      <c r="L73" s="386">
        <f t="shared" si="48"/>
        <v>80</v>
      </c>
      <c r="M73" s="371">
        <f t="shared" si="48"/>
        <v>1</v>
      </c>
      <c r="N73" s="370">
        <f>$H73*(1-(1+$L$15)^-(L73*M73))/((1+$L$15)^M73-1)*(1+((1+$L$15)^M73-1))</f>
        <v>31338.729476092536</v>
      </c>
      <c r="O73" s="640">
        <f>N73/(1+$L$15)*($L$15)/(1-(1+$L$15)^-$L$16)</f>
        <v>1259.9999999999991</v>
      </c>
      <c r="P73" s="392"/>
      <c r="Q73" s="2980"/>
      <c r="R73" s="2980"/>
      <c r="S73" s="2980"/>
      <c r="T73" s="1034" t="s">
        <v>810</v>
      </c>
      <c r="U73" s="639">
        <f t="shared" si="14"/>
        <v>12.599999999999991</v>
      </c>
      <c r="V73" s="642" t="str">
        <f>IF($T73="L",SUM($U73:U73)*V$16,"")</f>
        <v/>
      </c>
      <c r="W73" s="642">
        <f>IF($U73="","",IF(OR($T73="L",$T73="T",$T73="C"),SUM($U73:V73)*W$16,""))</f>
        <v>1.2599999999999991</v>
      </c>
      <c r="X73" s="642">
        <f>IF($U73="","",SUM($U73:W73)*X$16)</f>
        <v>4.1579999999999968</v>
      </c>
      <c r="Y73" s="388">
        <f t="shared" si="15"/>
        <v>5.4179999999999957</v>
      </c>
      <c r="Z73" s="392"/>
      <c r="AA73" s="734">
        <f t="shared" si="16"/>
        <v>18.017999999999986</v>
      </c>
      <c r="AB73" s="391"/>
      <c r="AC73" s="936">
        <f t="shared" ca="1" si="17"/>
        <v>0.31654011671135351</v>
      </c>
      <c r="AD73" s="641"/>
      <c r="AE73" s="1069"/>
      <c r="AF73" s="587">
        <f>AF72</f>
        <v>48</v>
      </c>
      <c r="AG73" s="587"/>
      <c r="AH73" s="387">
        <f>$AH$16/K73</f>
        <v>5</v>
      </c>
      <c r="AI73" s="387">
        <f>$AH$16/AH73</f>
        <v>1</v>
      </c>
      <c r="AJ73" s="370">
        <f>$H73*(1-(1+$L$15)^-(AH73*AI73))/((1+$L$15)^AI73-1)*(1+((1+$L$15)^AI73-1))</f>
        <v>5833.6679825636384</v>
      </c>
      <c r="AK73" s="981"/>
    </row>
    <row r="74" spans="1:37" ht="19" customHeight="1">
      <c r="A74" s="390"/>
      <c r="B74" s="1772"/>
      <c r="C74" s="3861"/>
      <c r="D74" s="3862"/>
      <c r="E74" s="373" t="s">
        <v>21</v>
      </c>
      <c r="F74" s="1176"/>
      <c r="G74" s="1176"/>
      <c r="H74" s="370"/>
      <c r="I74" s="613"/>
      <c r="J74" s="375"/>
      <c r="K74" s="374"/>
      <c r="L74" s="386"/>
      <c r="M74" s="371"/>
      <c r="N74" s="370"/>
      <c r="O74" s="699"/>
      <c r="P74" s="396"/>
      <c r="Q74" s="3031"/>
      <c r="R74" s="3031"/>
      <c r="S74" s="3031"/>
      <c r="T74" s="1040" t="s">
        <v>811</v>
      </c>
      <c r="U74" s="700"/>
      <c r="V74" s="700" t="str">
        <f>IF($T74="L",SUM($U74:U74)*V$16,"")</f>
        <v/>
      </c>
      <c r="W74" s="700" t="str">
        <f>IF($U74="","",IF(OR($T74="L",$T74="T",$T74="C"),SUM($U74:V74)*W$16,""))</f>
        <v/>
      </c>
      <c r="X74" s="700" t="str">
        <f>IF($U74="","",SUM($U74:W74)*X$16)</f>
        <v/>
      </c>
      <c r="Y74" s="699" t="str">
        <f t="shared" si="15"/>
        <v/>
      </c>
      <c r="Z74" s="396"/>
      <c r="AA74" s="743" t="str">
        <f t="shared" si="16"/>
        <v/>
      </c>
      <c r="AB74" s="395"/>
      <c r="AC74" s="937" t="str">
        <f t="shared" ca="1" si="17"/>
        <v/>
      </c>
      <c r="AD74" s="822"/>
      <c r="AE74" s="1069"/>
      <c r="AF74" s="587">
        <f>AF73</f>
        <v>48</v>
      </c>
      <c r="AG74" s="587"/>
      <c r="AH74" s="387"/>
      <c r="AI74" s="387"/>
      <c r="AJ74" s="370"/>
      <c r="AK74" s="882"/>
    </row>
    <row r="75" spans="1:37" ht="19" customHeight="1">
      <c r="A75" s="676"/>
      <c r="B75" s="1766">
        <f>B71+0.1</f>
        <v>6.1999999999999993</v>
      </c>
      <c r="C75" s="3875" t="s">
        <v>203</v>
      </c>
      <c r="D75" s="3852" t="str">
        <f>D71</f>
        <v xml:space="preserve">Monitoring of action output. </v>
      </c>
      <c r="E75" s="685" t="s">
        <v>3</v>
      </c>
      <c r="F75" s="1177"/>
      <c r="G75" s="1177">
        <f>F759</f>
        <v>7.449925261584454</v>
      </c>
      <c r="H75" s="665">
        <f>I759</f>
        <v>1676.2331838565024</v>
      </c>
      <c r="I75" s="818" t="s">
        <v>474</v>
      </c>
      <c r="J75" s="666" t="str">
        <f>IF(K75=1,"Annual","Done every "&amp;K75&amp;" years")</f>
        <v>Annual</v>
      </c>
      <c r="K75" s="701">
        <f>K71</f>
        <v>1</v>
      </c>
      <c r="L75" s="668">
        <f t="shared" ref="L75:M77" si="49">$L$16/K75</f>
        <v>80</v>
      </c>
      <c r="M75" s="667">
        <f t="shared" si="49"/>
        <v>1</v>
      </c>
      <c r="N75" s="665">
        <f>$H75*(1-(1+$L$15)^-(L75*M75))/((1+$L$15)^M75-1)*(1+((1+$L$15)^M75-1))</f>
        <v>41691.284355339849</v>
      </c>
      <c r="O75" s="680">
        <f>N75/(1+$L$15)*($L$15)/(1-(1+$L$15)^-$L$16)</f>
        <v>1676.233183856501</v>
      </c>
      <c r="P75" s="720">
        <f>SUM(O75:O78)</f>
        <v>3997.847533632284</v>
      </c>
      <c r="Q75" s="3032"/>
      <c r="R75" s="3032"/>
      <c r="S75" s="3032"/>
      <c r="T75" s="1035" t="s">
        <v>808</v>
      </c>
      <c r="U75" s="675">
        <f>O75/$U$16</f>
        <v>16.762331838565011</v>
      </c>
      <c r="V75" s="675">
        <f>IF($T75="L",SUM($U75:U75)*V$16,"")</f>
        <v>5.0286995515695034</v>
      </c>
      <c r="W75" s="675">
        <f>IF($U75="","",IF(OR($T75="L",$T75="T",$T75="C"),SUM($U75:V75)*W$16,""))</f>
        <v>2.1791031390134514</v>
      </c>
      <c r="X75" s="675">
        <f>IF($U75="","",SUM($U75:W75)*X$16)</f>
        <v>7.1910403587443898</v>
      </c>
      <c r="Y75" s="679">
        <f t="shared" si="15"/>
        <v>14.398843049327345</v>
      </c>
      <c r="Z75" s="720">
        <f>SUM(V75:X78)</f>
        <v>24.381784753363213</v>
      </c>
      <c r="AA75" s="737">
        <f t="shared" si="16"/>
        <v>31.161174887892358</v>
      </c>
      <c r="AB75" s="678">
        <f>SUM(AA75:AA78)</f>
        <v>64.360260089686051</v>
      </c>
      <c r="AC75" s="935">
        <f t="shared" ca="1" si="17"/>
        <v>0.48416794532012841</v>
      </c>
      <c r="AD75" s="674"/>
      <c r="AE75" s="1070"/>
      <c r="AF75" s="587">
        <f>AF71+4</f>
        <v>52</v>
      </c>
      <c r="AG75" s="816">
        <f ca="1">SUM(AC75:AC78)-1</f>
        <v>0</v>
      </c>
      <c r="AH75" s="669">
        <f>$AH$16/K75</f>
        <v>5</v>
      </c>
      <c r="AI75" s="669">
        <f>$AH$16/AH75</f>
        <v>1</v>
      </c>
      <c r="AJ75" s="665">
        <f>$H75*(1-(1+$L$15)^-(AH75*AI75))/((1+$L$15)^AI75-1)*(1+((1+$L$15)^AI75-1))</f>
        <v>7760.7840126780848</v>
      </c>
      <c r="AK75" s="984">
        <f>SUM(AJ75:AJ78)</f>
        <v>18509.615203271176</v>
      </c>
    </row>
    <row r="76" spans="1:37" ht="19" customHeight="1">
      <c r="A76" s="676"/>
      <c r="B76" s="1769"/>
      <c r="C76" s="3876"/>
      <c r="D76" s="3853"/>
      <c r="E76" s="685" t="s">
        <v>308</v>
      </c>
      <c r="F76" s="1177">
        <f>$F$32</f>
        <v>1</v>
      </c>
      <c r="G76" s="1177">
        <f t="shared" ref="G76:G77" si="50">F760</f>
        <v>3.724962630792227</v>
      </c>
      <c r="H76" s="665">
        <f>I760</f>
        <v>1061.6143497757848</v>
      </c>
      <c r="I76" s="818" t="s">
        <v>65</v>
      </c>
      <c r="J76" s="666" t="str">
        <f>IF(K76=1,"Annual","Done every "&amp;K76&amp;" years")</f>
        <v>Annual</v>
      </c>
      <c r="K76" s="701">
        <f>K72</f>
        <v>1</v>
      </c>
      <c r="L76" s="668">
        <f t="shared" si="49"/>
        <v>80</v>
      </c>
      <c r="M76" s="667">
        <f t="shared" si="49"/>
        <v>1</v>
      </c>
      <c r="N76" s="665">
        <f>$H76*(1-(1+$L$15)^-(L76*M76))/((1+$L$15)^M76-1)*(1+((1+$L$15)^M76-1))</f>
        <v>26404.480091715235</v>
      </c>
      <c r="O76" s="680">
        <f>N76/(1+$L$15)*($L$15)/(1-(1+$L$15)^-$L$16)</f>
        <v>1061.6143497757839</v>
      </c>
      <c r="P76" s="720"/>
      <c r="Q76" s="3032">
        <f>1*(1-(1+$L$15)^-(L76*M76))/((1+$L$15)^M76-1)*(1+((1+$L$15)^M76-1))</f>
        <v>24.872007520708362</v>
      </c>
      <c r="R76" s="3032">
        <f>Q76/(1+$L$15)*($L$15)/(1-(1+$L$15)^-$L$16)</f>
        <v>0.99999999999999911</v>
      </c>
      <c r="S76" s="3032">
        <f>F76*R76</f>
        <v>0.99999999999999911</v>
      </c>
      <c r="T76" s="1036" t="s">
        <v>809</v>
      </c>
      <c r="U76" s="675">
        <f>O76/$U$16</f>
        <v>10.616143497757839</v>
      </c>
      <c r="V76" s="682" t="str">
        <f>IF($T76="L",SUM($U76:U76)*V$16,"")</f>
        <v/>
      </c>
      <c r="W76" s="682">
        <f>IF($U76="","",IF(OR($T76="L",$T76="T",$T76="C"),SUM($U76:V76)*W$16,""))</f>
        <v>1.0616143497757839</v>
      </c>
      <c r="X76" s="682">
        <f>IF($U76="","",SUM($U76:W76)*X$16)</f>
        <v>3.5033273542600871</v>
      </c>
      <c r="Y76" s="679">
        <f t="shared" si="15"/>
        <v>4.5649417040358706</v>
      </c>
      <c r="Z76" s="720"/>
      <c r="AA76" s="737">
        <f t="shared" si="16"/>
        <v>15.18108520179371</v>
      </c>
      <c r="AB76" s="678"/>
      <c r="AC76" s="935">
        <f t="shared" ca="1" si="17"/>
        <v>0.2358766913098061</v>
      </c>
      <c r="AD76" s="681"/>
      <c r="AE76" s="1070"/>
      <c r="AF76" s="587">
        <f>AF75</f>
        <v>52</v>
      </c>
      <c r="AG76" s="587"/>
      <c r="AH76" s="669">
        <f>$AH$16/K76</f>
        <v>5</v>
      </c>
      <c r="AI76" s="669">
        <f>$AH$16/AH76</f>
        <v>1</v>
      </c>
      <c r="AJ76" s="665">
        <f>$H76*(1-(1+$L$15)^-(AH76*AI76))/((1+$L$15)^AI76-1)*(1+((1+$L$15)^AI76-1))</f>
        <v>4915.163208029453</v>
      </c>
      <c r="AK76" s="984"/>
    </row>
    <row r="77" spans="1:37" ht="19" customHeight="1">
      <c r="A77" s="676"/>
      <c r="B77" s="1769"/>
      <c r="C77" s="3876"/>
      <c r="D77" s="3853"/>
      <c r="E77" s="685" t="s">
        <v>4</v>
      </c>
      <c r="F77" s="1177"/>
      <c r="G77" s="1177">
        <f t="shared" si="50"/>
        <v>6</v>
      </c>
      <c r="H77" s="665">
        <f>I761</f>
        <v>1260</v>
      </c>
      <c r="I77" s="818" t="s">
        <v>70</v>
      </c>
      <c r="J77" s="666" t="str">
        <f>IF(K77=1,"Annual","Done every "&amp;K77&amp;" years")</f>
        <v>Annual</v>
      </c>
      <c r="K77" s="701">
        <f>K73</f>
        <v>1</v>
      </c>
      <c r="L77" s="668">
        <f t="shared" si="49"/>
        <v>80</v>
      </c>
      <c r="M77" s="667">
        <f t="shared" si="49"/>
        <v>1</v>
      </c>
      <c r="N77" s="665">
        <f>$H77*(1-(1+$L$15)^-(L77*M77))/((1+$L$15)^M77-1)*(1+((1+$L$15)^M77-1))</f>
        <v>31338.729476092536</v>
      </c>
      <c r="O77" s="680">
        <f>N77/(1+$L$15)*($L$15)/(1-(1+$L$15)^-$L$16)</f>
        <v>1259.9999999999991</v>
      </c>
      <c r="P77" s="720"/>
      <c r="Q77" s="3032"/>
      <c r="R77" s="3032"/>
      <c r="S77" s="3032"/>
      <c r="T77" s="1036" t="s">
        <v>810</v>
      </c>
      <c r="U77" s="675">
        <f>O77/$U$16</f>
        <v>12.599999999999991</v>
      </c>
      <c r="V77" s="682" t="str">
        <f>IF($T77="L",SUM($U77:U77)*V$16,"")</f>
        <v/>
      </c>
      <c r="W77" s="682">
        <f>IF($U77="","",IF(OR($T77="L",$T77="T",$T77="C"),SUM($U77:V77)*W$16,""))</f>
        <v>1.2599999999999991</v>
      </c>
      <c r="X77" s="682">
        <f>IF($U77="","",SUM($U77:W77)*X$16)</f>
        <v>4.1579999999999968</v>
      </c>
      <c r="Y77" s="679">
        <f t="shared" si="15"/>
        <v>5.4179999999999957</v>
      </c>
      <c r="Z77" s="720"/>
      <c r="AA77" s="737">
        <f t="shared" si="16"/>
        <v>18.017999999999986</v>
      </c>
      <c r="AB77" s="678"/>
      <c r="AC77" s="935">
        <f t="shared" ca="1" si="17"/>
        <v>0.27995536337006555</v>
      </c>
      <c r="AD77" s="681"/>
      <c r="AE77" s="1070"/>
      <c r="AF77" s="587">
        <f>AF76</f>
        <v>52</v>
      </c>
      <c r="AG77" s="587"/>
      <c r="AH77" s="669">
        <f>$AH$16/K77</f>
        <v>5</v>
      </c>
      <c r="AI77" s="669">
        <f>$AH$16/AH77</f>
        <v>1</v>
      </c>
      <c r="AJ77" s="665">
        <f>$H77*(1-(1+$L$15)^-(AH77*AI77))/((1+$L$15)^AI77-1)*(1+((1+$L$15)^AI77-1))</f>
        <v>5833.6679825636384</v>
      </c>
      <c r="AK77" s="984"/>
    </row>
    <row r="78" spans="1:37" ht="19" customHeight="1">
      <c r="A78" s="676"/>
      <c r="B78" s="1773"/>
      <c r="C78" s="3877"/>
      <c r="D78" s="3854"/>
      <c r="E78" s="685" t="s">
        <v>21</v>
      </c>
      <c r="F78" s="1177"/>
      <c r="G78" s="1177"/>
      <c r="H78" s="665"/>
      <c r="I78" s="818"/>
      <c r="J78" s="666"/>
      <c r="K78" s="701"/>
      <c r="L78" s="668"/>
      <c r="M78" s="667"/>
      <c r="N78" s="665"/>
      <c r="O78" s="703"/>
      <c r="P78" s="718"/>
      <c r="Q78" s="3033"/>
      <c r="R78" s="3033"/>
      <c r="S78" s="3033"/>
      <c r="T78" s="1041" t="s">
        <v>811</v>
      </c>
      <c r="U78" s="704"/>
      <c r="V78" s="704" t="str">
        <f>IF($T78="L",SUM($U78:U78)*V$16,"")</f>
        <v/>
      </c>
      <c r="W78" s="704" t="str">
        <f>IF($U78="","",IF(OR($T78="L",$T78="T",$T78="C"),SUM($U78:V78)*W$16,""))</f>
        <v/>
      </c>
      <c r="X78" s="704" t="str">
        <f>IF($U78="","",SUM($U78:W78)*X$16)</f>
        <v/>
      </c>
      <c r="Y78" s="703" t="str">
        <f t="shared" si="15"/>
        <v/>
      </c>
      <c r="Z78" s="718"/>
      <c r="AA78" s="744" t="str">
        <f t="shared" si="16"/>
        <v/>
      </c>
      <c r="AB78" s="672"/>
      <c r="AC78" s="938" t="str">
        <f t="shared" ca="1" si="17"/>
        <v/>
      </c>
      <c r="AD78" s="823"/>
      <c r="AE78" s="1070"/>
      <c r="AF78" s="587">
        <f>AF77</f>
        <v>52</v>
      </c>
      <c r="AG78" s="587"/>
      <c r="AH78" s="669"/>
      <c r="AI78" s="669"/>
      <c r="AJ78" s="665"/>
      <c r="AK78" s="883"/>
    </row>
    <row r="79" spans="1:37" ht="19" customHeight="1">
      <c r="A79" s="656"/>
      <c r="B79" s="1767">
        <f>B75+0.1</f>
        <v>6.2999999999999989</v>
      </c>
      <c r="C79" s="3878" t="s">
        <v>203</v>
      </c>
      <c r="D79" s="3863" t="str">
        <f>D75</f>
        <v xml:space="preserve">Monitoring of action output. </v>
      </c>
      <c r="E79" s="686" t="s">
        <v>3</v>
      </c>
      <c r="F79" s="1178"/>
      <c r="G79" s="1178">
        <f>G759</f>
        <v>9.8415545590433489</v>
      </c>
      <c r="H79" s="645">
        <f>J759</f>
        <v>2214.3497757847535</v>
      </c>
      <c r="I79" s="820" t="s">
        <v>474</v>
      </c>
      <c r="J79" s="646" t="str">
        <f>IF(K79=1,"Annual","Done every "&amp;K79&amp;" years")</f>
        <v>Annual</v>
      </c>
      <c r="K79" s="705">
        <f>K75</f>
        <v>1</v>
      </c>
      <c r="L79" s="648">
        <f t="shared" ref="L79:M81" si="51">$L$16/K79</f>
        <v>80</v>
      </c>
      <c r="M79" s="647">
        <f t="shared" si="51"/>
        <v>1</v>
      </c>
      <c r="N79" s="645">
        <f>$H79*(1-(1+$L$15)^-(L79*M79))/((1+$L$15)^M79-1)*(1+((1+$L$15)^M79-1))</f>
        <v>55075.324276797262</v>
      </c>
      <c r="O79" s="660">
        <f>N79/(1+$L$15)*($L$15)/(1-(1+$L$15)^-$L$16)</f>
        <v>2214.3497757847517</v>
      </c>
      <c r="P79" s="722">
        <f>SUM(O79:O82)</f>
        <v>5296.7713004484267</v>
      </c>
      <c r="Q79" s="3034"/>
      <c r="R79" s="3034"/>
      <c r="S79" s="3034"/>
      <c r="T79" s="1037" t="s">
        <v>808</v>
      </c>
      <c r="U79" s="655">
        <f>O79/$U$16</f>
        <v>22.143497757847516</v>
      </c>
      <c r="V79" s="655">
        <f>IF($T79="L",SUM($U79:U79)*V$16,"")</f>
        <v>6.6430493273542544</v>
      </c>
      <c r="W79" s="655">
        <f>IF($U79="","",IF(OR($T79="L",$T79="T",$T79="C"),SUM($U79:V79)*W$16,""))</f>
        <v>2.8786547085201772</v>
      </c>
      <c r="X79" s="655">
        <f>IF($U79="","",SUM($U79:W79)*X$16)</f>
        <v>9.4995605381165849</v>
      </c>
      <c r="Y79" s="659">
        <f t="shared" si="15"/>
        <v>19.021264573991019</v>
      </c>
      <c r="Z79" s="722">
        <f>SUM(V79:X82)</f>
        <v>32.275677130044819</v>
      </c>
      <c r="AA79" s="740">
        <f t="shared" si="16"/>
        <v>41.164762331838531</v>
      </c>
      <c r="AB79" s="658">
        <f>SUM(AA79:AA82)</f>
        <v>85.243390134529079</v>
      </c>
      <c r="AC79" s="939">
        <f t="shared" ca="1" si="17"/>
        <v>0.48290855474979688</v>
      </c>
      <c r="AD79" s="654"/>
      <c r="AE79" s="1071"/>
      <c r="AF79" s="587">
        <f>AF75+4</f>
        <v>56</v>
      </c>
      <c r="AG79" s="816">
        <f ca="1">SUM(AC79:AC82)-1</f>
        <v>0</v>
      </c>
      <c r="AH79" s="649">
        <f>$AH$16/K79</f>
        <v>5</v>
      </c>
      <c r="AI79" s="649">
        <f>$AH$16/AH79</f>
        <v>1</v>
      </c>
      <c r="AJ79" s="645">
        <f>$H79*(1-(1+$L$15)^-(AH79*AI79))/((1+$L$15)^AI79-1)*(1+((1+$L$15)^AI79-1))</f>
        <v>10252.207451740071</v>
      </c>
      <c r="AK79" s="932">
        <f>SUM(AJ79:AJ82)</f>
        <v>24523.496147926966</v>
      </c>
    </row>
    <row r="80" spans="1:37" ht="19" customHeight="1">
      <c r="A80" s="656"/>
      <c r="B80" s="1770"/>
      <c r="C80" s="3879"/>
      <c r="D80" s="3864"/>
      <c r="E80" s="686" t="s">
        <v>308</v>
      </c>
      <c r="F80" s="1178">
        <f>$F$36</f>
        <v>1</v>
      </c>
      <c r="G80" s="1178">
        <f t="shared" ref="G80:G81" si="52">G760</f>
        <v>4.9207772795216744</v>
      </c>
      <c r="H80" s="645">
        <f>J760</f>
        <v>1402.4215246636772</v>
      </c>
      <c r="I80" s="820" t="s">
        <v>65</v>
      </c>
      <c r="J80" s="646" t="str">
        <f>IF(K80=1,"Annual","Done every "&amp;K80&amp;" years")</f>
        <v>Annual</v>
      </c>
      <c r="K80" s="705">
        <f>K76</f>
        <v>1</v>
      </c>
      <c r="L80" s="648">
        <f t="shared" si="51"/>
        <v>80</v>
      </c>
      <c r="M80" s="647">
        <f t="shared" si="51"/>
        <v>1</v>
      </c>
      <c r="N80" s="645">
        <f>$H80*(1-(1+$L$15)^-(L80*M80))/((1+$L$15)^M80-1)*(1+((1+$L$15)^M80-1))</f>
        <v>34881.038708638262</v>
      </c>
      <c r="O80" s="660">
        <f>N80/(1+$L$15)*($L$15)/(1-(1+$L$15)^-$L$16)</f>
        <v>1402.4215246636759</v>
      </c>
      <c r="P80" s="722"/>
      <c r="Q80" s="3034">
        <f>1*(1-(1+$L$15)^-(L80*M80))/((1+$L$15)^M80-1)*(1+((1+$L$15)^M80-1))</f>
        <v>24.872007520708362</v>
      </c>
      <c r="R80" s="3034">
        <f>Q80/(1+$L$15)*($L$15)/(1-(1+$L$15)^-$L$16)</f>
        <v>0.99999999999999911</v>
      </c>
      <c r="S80" s="3034">
        <f>F80*R80</f>
        <v>0.99999999999999911</v>
      </c>
      <c r="T80" s="1038" t="s">
        <v>809</v>
      </c>
      <c r="U80" s="655">
        <f>O80/$U$16</f>
        <v>14.024215246636759</v>
      </c>
      <c r="V80" s="662" t="str">
        <f>IF($T80="L",SUM($U80:U80)*V$16,"")</f>
        <v/>
      </c>
      <c r="W80" s="662">
        <f>IF($U80="","",IF(OR($T80="L",$T80="T",$T80="C"),SUM($U80:V80)*W$16,""))</f>
        <v>1.402421524663676</v>
      </c>
      <c r="X80" s="662">
        <f>IF($U80="","",SUM($U80:W80)*X$16)</f>
        <v>4.6279910313901302</v>
      </c>
      <c r="Y80" s="659">
        <f t="shared" si="15"/>
        <v>6.0304125560538058</v>
      </c>
      <c r="Z80" s="722"/>
      <c r="AA80" s="740">
        <f t="shared" si="16"/>
        <v>20.054627802690565</v>
      </c>
      <c r="AB80" s="658"/>
      <c r="AC80" s="939">
        <f t="shared" ca="1" si="17"/>
        <v>0.23526314205759333</v>
      </c>
      <c r="AD80" s="661"/>
      <c r="AE80" s="1071"/>
      <c r="AF80" s="587">
        <f>AF79</f>
        <v>56</v>
      </c>
      <c r="AG80" s="587"/>
      <c r="AH80" s="649">
        <f>$AH$16/K80</f>
        <v>5</v>
      </c>
      <c r="AI80" s="649">
        <f>$AH$16/AH80</f>
        <v>1</v>
      </c>
      <c r="AJ80" s="645">
        <f>$H80*(1-(1+$L$15)^-(AH80*AI80))/((1+$L$15)^AI80-1)*(1+((1+$L$15)^AI80-1))</f>
        <v>6493.0647194353778</v>
      </c>
      <c r="AK80" s="932"/>
    </row>
    <row r="81" spans="1:37" ht="19" customHeight="1">
      <c r="A81" s="656"/>
      <c r="B81" s="1770"/>
      <c r="C81" s="3879"/>
      <c r="D81" s="3864"/>
      <c r="E81" s="686" t="s">
        <v>4</v>
      </c>
      <c r="F81" s="1178"/>
      <c r="G81" s="1178">
        <f t="shared" si="52"/>
        <v>8</v>
      </c>
      <c r="H81" s="645">
        <f>J761</f>
        <v>1680</v>
      </c>
      <c r="I81" s="820" t="s">
        <v>70</v>
      </c>
      <c r="J81" s="646" t="str">
        <f>IF(K81=1,"Annual","Done every "&amp;K81&amp;" years")</f>
        <v>Annual</v>
      </c>
      <c r="K81" s="705">
        <f>K77</f>
        <v>1</v>
      </c>
      <c r="L81" s="648">
        <f t="shared" si="51"/>
        <v>80</v>
      </c>
      <c r="M81" s="647">
        <f t="shared" si="51"/>
        <v>1</v>
      </c>
      <c r="N81" s="645">
        <f>$H81*(1-(1+$L$15)^-(L81*M81))/((1+$L$15)^M81-1)*(1+((1+$L$15)^M81-1))</f>
        <v>41784.972634790051</v>
      </c>
      <c r="O81" s="660">
        <f>N81/(1+$L$15)*($L$15)/(1-(1+$L$15)^-$L$16)</f>
        <v>1679.9999999999986</v>
      </c>
      <c r="P81" s="722"/>
      <c r="Q81" s="3034"/>
      <c r="R81" s="3034"/>
      <c r="S81" s="3034"/>
      <c r="T81" s="1038" t="s">
        <v>810</v>
      </c>
      <c r="U81" s="655">
        <f>O81/$U$16</f>
        <v>16.799999999999986</v>
      </c>
      <c r="V81" s="662" t="str">
        <f>IF($T81="L",SUM($U81:U81)*V$16,"")</f>
        <v/>
      </c>
      <c r="W81" s="662">
        <f>IF($U81="","",IF(OR($T81="L",$T81="T",$T81="C"),SUM($U81:V81)*W$16,""))</f>
        <v>1.6799999999999988</v>
      </c>
      <c r="X81" s="662">
        <f>IF($U81="","",SUM($U81:W81)*X$16)</f>
        <v>5.543999999999996</v>
      </c>
      <c r="Y81" s="659">
        <f t="shared" si="15"/>
        <v>7.2239999999999949</v>
      </c>
      <c r="Z81" s="722"/>
      <c r="AA81" s="740">
        <f t="shared" si="16"/>
        <v>24.02399999999998</v>
      </c>
      <c r="AB81" s="658"/>
      <c r="AC81" s="939">
        <f t="shared" ca="1" si="17"/>
        <v>0.28182830319260976</v>
      </c>
      <c r="AD81" s="661"/>
      <c r="AE81" s="1071"/>
      <c r="AF81" s="587">
        <f>AF80</f>
        <v>56</v>
      </c>
      <c r="AG81" s="587"/>
      <c r="AH81" s="649">
        <f>$AH$16/K81</f>
        <v>5</v>
      </c>
      <c r="AI81" s="649">
        <f>$AH$16/AH81</f>
        <v>1</v>
      </c>
      <c r="AJ81" s="645">
        <f>$H81*(1-(1+$L$15)^-(AH81*AI81))/((1+$L$15)^AI81-1)*(1+((1+$L$15)^AI81-1))</f>
        <v>7778.2239767515175</v>
      </c>
      <c r="AK81" s="932"/>
    </row>
    <row r="82" spans="1:37" ht="19" customHeight="1">
      <c r="A82" s="656"/>
      <c r="B82" s="706"/>
      <c r="C82" s="3880"/>
      <c r="D82" s="3865"/>
      <c r="E82" s="686" t="s">
        <v>21</v>
      </c>
      <c r="F82" s="1178"/>
      <c r="G82" s="1178"/>
      <c r="H82" s="645"/>
      <c r="I82" s="820"/>
      <c r="J82" s="646"/>
      <c r="K82" s="705"/>
      <c r="L82" s="648"/>
      <c r="M82" s="647"/>
      <c r="N82" s="645"/>
      <c r="O82" s="707"/>
      <c r="P82" s="719"/>
      <c r="Q82" s="3035"/>
      <c r="R82" s="3035"/>
      <c r="S82" s="3035"/>
      <c r="T82" s="1042" t="s">
        <v>811</v>
      </c>
      <c r="U82" s="708"/>
      <c r="V82" s="708" t="str">
        <f>IF($T82="L",SUM($U82:U82)*V$16,"")</f>
        <v/>
      </c>
      <c r="W82" s="708" t="str">
        <f>IF($U82="","",IF(OR($T82="L",$T82="T",$T82="C"),SUM($U82:V82)*W$16,""))</f>
        <v/>
      </c>
      <c r="X82" s="708" t="str">
        <f>IF($U82="","",SUM($U82:W82)*X$16)</f>
        <v/>
      </c>
      <c r="Y82" s="707" t="str">
        <f t="shared" si="15"/>
        <v/>
      </c>
      <c r="Z82" s="719"/>
      <c r="AA82" s="745" t="str">
        <f t="shared" si="16"/>
        <v/>
      </c>
      <c r="AB82" s="652"/>
      <c r="AC82" s="940" t="str">
        <f t="shared" ca="1" si="17"/>
        <v/>
      </c>
      <c r="AD82" s="824"/>
      <c r="AE82" s="1071"/>
      <c r="AF82" s="587">
        <f>AF81</f>
        <v>56</v>
      </c>
      <c r="AG82" s="587"/>
      <c r="AH82" s="649"/>
      <c r="AI82" s="649"/>
      <c r="AJ82" s="645"/>
      <c r="AK82" s="884"/>
    </row>
    <row r="83" spans="1:37" ht="19" customHeight="1">
      <c r="B83" s="1771">
        <v>9</v>
      </c>
      <c r="C83" s="2411" t="s">
        <v>397</v>
      </c>
      <c r="D83" s="3847" t="s">
        <v>192</v>
      </c>
      <c r="E83" s="12" t="s">
        <v>3</v>
      </c>
      <c r="F83" s="1172"/>
      <c r="G83" s="1172">
        <f>$E$789</f>
        <v>15</v>
      </c>
      <c r="H83" s="188">
        <f>F789</f>
        <v>5062.5</v>
      </c>
      <c r="I83" s="1088" t="str">
        <f>G789</f>
        <v>Cost for reporting, analysis and feedback</v>
      </c>
      <c r="J83" s="377" t="str">
        <f>IF(K83=1,"Annual","Done every "&amp;K83&amp;" years")</f>
        <v>Annual</v>
      </c>
      <c r="K83" s="586">
        <f>$D$777</f>
        <v>1</v>
      </c>
      <c r="L83" s="158">
        <f>$L$16/K83</f>
        <v>80</v>
      </c>
      <c r="M83" s="586">
        <f>$L$16/L83</f>
        <v>1</v>
      </c>
      <c r="N83" s="188">
        <f>$H83*(1-(1+$L$15)^-(L83*M83))/((1+$L$15)^M83-1)*(1+((1+$L$15)^M83-1))</f>
        <v>125914.53807358607</v>
      </c>
      <c r="O83" s="242">
        <f>N83/(1+$L$15)*($L$15)/(1-(1+$L$15)^-$L$16)</f>
        <v>5062.4999999999955</v>
      </c>
      <c r="P83" s="192">
        <f>SUM(O83:O86)</f>
        <v>5062.4999999999955</v>
      </c>
      <c r="Q83" s="3036"/>
      <c r="R83" s="3036"/>
      <c r="S83" s="3036"/>
      <c r="T83" s="1039" t="s">
        <v>808</v>
      </c>
      <c r="U83" s="583">
        <f>O83/$U$16</f>
        <v>50.624999999999957</v>
      </c>
      <c r="V83" s="583">
        <f>IF($T83="L",SUM($U83:U83)*V$16,"")</f>
        <v>15.187499999999986</v>
      </c>
      <c r="W83" s="1474"/>
      <c r="X83" s="583">
        <f>IF($U83="","",SUM($U83:W83)*X$16)</f>
        <v>19.743749999999981</v>
      </c>
      <c r="Y83" s="240">
        <f t="shared" si="15"/>
        <v>34.931249999999963</v>
      </c>
      <c r="Z83" s="192">
        <f>SUM(V83:X86)</f>
        <v>34.931249999999963</v>
      </c>
      <c r="AA83" s="742">
        <f t="shared" si="16"/>
        <v>85.55624999999992</v>
      </c>
      <c r="AB83" s="192">
        <f>SUM(AA83:AA86)</f>
        <v>85.55624999999992</v>
      </c>
      <c r="AC83" s="727">
        <f t="shared" ca="1" si="17"/>
        <v>1</v>
      </c>
      <c r="AD83" s="589"/>
      <c r="AE83" s="573"/>
      <c r="AF83" s="587">
        <f>AF79+4</f>
        <v>60</v>
      </c>
      <c r="AG83" s="816">
        <f ca="1">SUM(AC83:AC86)-1</f>
        <v>0</v>
      </c>
      <c r="AH83" s="13">
        <f>$AH$16/K83</f>
        <v>5</v>
      </c>
      <c r="AI83" s="13">
        <f>$AH$16/AH83</f>
        <v>1</v>
      </c>
      <c r="AJ83" s="188">
        <f>$H83*(1-(1+$L$15)^-(AH83*AI83))/((1+$L$15)^AI83-1)*(1+((1+$L$15)^AI83-1))</f>
        <v>23438.844572800335</v>
      </c>
      <c r="AK83" s="191">
        <f>SUM(AJ83:AJ86)</f>
        <v>23438.844572800335</v>
      </c>
    </row>
    <row r="84" spans="1:37" ht="19" customHeight="1">
      <c r="B84" s="261"/>
      <c r="C84" s="2412"/>
      <c r="D84" s="3848"/>
      <c r="E84" s="12" t="s">
        <v>308</v>
      </c>
      <c r="F84" s="1172"/>
      <c r="G84" s="1172"/>
      <c r="H84" s="188"/>
      <c r="I84" s="921"/>
      <c r="J84" s="377"/>
      <c r="K84" s="586"/>
      <c r="L84" s="158"/>
      <c r="M84" s="586"/>
      <c r="N84" s="188"/>
      <c r="O84" s="242"/>
      <c r="P84" s="194"/>
      <c r="Q84" s="3037">
        <v>0</v>
      </c>
      <c r="R84" s="3037">
        <v>0</v>
      </c>
      <c r="S84" s="3037">
        <v>0</v>
      </c>
      <c r="T84" s="1034" t="s">
        <v>809</v>
      </c>
      <c r="U84" s="585"/>
      <c r="V84" s="585" t="str">
        <f>IF($T84="L",SUM($U84:U84)*V$16,"")</f>
        <v/>
      </c>
      <c r="W84" s="1475"/>
      <c r="X84" s="585" t="str">
        <f>IF($U84="","",SUM($U84:W84)*X$16)</f>
        <v/>
      </c>
      <c r="Y84" s="242" t="str">
        <f t="shared" si="15"/>
        <v/>
      </c>
      <c r="Z84" s="194"/>
      <c r="AA84" s="733" t="str">
        <f t="shared" si="16"/>
        <v/>
      </c>
      <c r="AB84" s="194"/>
      <c r="AC84" s="728" t="str">
        <f t="shared" ca="1" si="17"/>
        <v/>
      </c>
      <c r="AD84" s="589"/>
      <c r="AE84" s="1072"/>
      <c r="AF84" s="587">
        <f>AF83</f>
        <v>60</v>
      </c>
      <c r="AG84" s="587"/>
      <c r="AH84" s="13"/>
      <c r="AI84" s="13"/>
      <c r="AJ84" s="209"/>
      <c r="AK84" s="342"/>
    </row>
    <row r="85" spans="1:37" ht="19" customHeight="1">
      <c r="B85" s="261"/>
      <c r="C85" s="2412"/>
      <c r="D85" s="3848"/>
      <c r="E85" s="12" t="s">
        <v>4</v>
      </c>
      <c r="F85" s="1172"/>
      <c r="G85" s="1172"/>
      <c r="H85" s="188"/>
      <c r="I85" s="921"/>
      <c r="J85" s="377"/>
      <c r="K85" s="586"/>
      <c r="L85" s="158"/>
      <c r="M85" s="586"/>
      <c r="N85" s="188"/>
      <c r="O85" s="241"/>
      <c r="P85" s="210"/>
      <c r="Q85" s="3037"/>
      <c r="R85" s="3037"/>
      <c r="S85" s="3037"/>
      <c r="T85" s="1034" t="s">
        <v>810</v>
      </c>
      <c r="U85" s="584"/>
      <c r="V85" s="584" t="str">
        <f>IF($T85="L",SUM($U85:U85)*V$16,"")</f>
        <v/>
      </c>
      <c r="W85" s="1475"/>
      <c r="X85" s="584" t="str">
        <f>IF($U85="","",SUM($U85:W85)*X$16)</f>
        <v/>
      </c>
      <c r="Y85" s="241" t="str">
        <f t="shared" si="15"/>
        <v/>
      </c>
      <c r="Z85" s="210"/>
      <c r="AA85" s="746" t="str">
        <f t="shared" si="16"/>
        <v/>
      </c>
      <c r="AB85" s="210"/>
      <c r="AC85" s="732" t="str">
        <f t="shared" ca="1" si="17"/>
        <v/>
      </c>
      <c r="AD85" s="815"/>
      <c r="AE85" s="1072"/>
      <c r="AF85" s="587">
        <f>AF84</f>
        <v>60</v>
      </c>
      <c r="AG85" s="587"/>
      <c r="AH85" s="13"/>
      <c r="AI85" s="13"/>
      <c r="AJ85" s="188"/>
      <c r="AK85" s="477"/>
    </row>
    <row r="86" spans="1:37" ht="19" customHeight="1" thickBot="1">
      <c r="B86" s="261"/>
      <c r="C86" s="2413"/>
      <c r="D86" s="3849"/>
      <c r="E86" s="12" t="s">
        <v>21</v>
      </c>
      <c r="F86" s="1172"/>
      <c r="G86" s="1172"/>
      <c r="H86" s="188"/>
      <c r="I86" s="921"/>
      <c r="J86" s="377"/>
      <c r="K86" s="11"/>
      <c r="L86" s="1046"/>
      <c r="M86" s="1047"/>
      <c r="N86" s="1048"/>
      <c r="O86" s="726"/>
      <c r="P86" s="725"/>
      <c r="Q86" s="3038"/>
      <c r="R86" s="3038"/>
      <c r="S86" s="3038"/>
      <c r="T86" s="1040" t="s">
        <v>811</v>
      </c>
      <c r="U86" s="724"/>
      <c r="V86" s="724" t="str">
        <f>IF($T86="L",SUM($U86:U86)*V$16,"")</f>
        <v/>
      </c>
      <c r="W86" s="1478"/>
      <c r="X86" s="724" t="str">
        <f>IF($U86="","",SUM($U86:W86)*X$16)</f>
        <v/>
      </c>
      <c r="Y86" s="726" t="str">
        <f t="shared" si="15"/>
        <v/>
      </c>
      <c r="Z86" s="725"/>
      <c r="AA86" s="747" t="str">
        <f t="shared" si="16"/>
        <v/>
      </c>
      <c r="AB86" s="725"/>
      <c r="AC86" s="767" t="str">
        <f t="shared" ca="1" si="17"/>
        <v/>
      </c>
      <c r="AD86" s="1073"/>
      <c r="AE86" s="1074"/>
      <c r="AF86" s="587">
        <f>AF85</f>
        <v>60</v>
      </c>
      <c r="AG86" s="587"/>
      <c r="AH86" s="13"/>
      <c r="AI86" s="13"/>
      <c r="AJ86" s="188"/>
      <c r="AK86" s="478"/>
    </row>
    <row r="87" spans="1:37">
      <c r="C87" s="24"/>
      <c r="D87" s="238"/>
      <c r="E87"/>
      <c r="F87" s="359"/>
      <c r="H87" s="6"/>
      <c r="I87" s="359"/>
      <c r="U87" s="5"/>
    </row>
    <row r="88" spans="1:37">
      <c r="C88" s="24"/>
      <c r="D88" s="238"/>
      <c r="E88"/>
      <c r="F88" s="359"/>
      <c r="H88" s="6"/>
      <c r="I88" s="359"/>
      <c r="U88" s="5"/>
    </row>
    <row r="89" spans="1:37">
      <c r="C89" s="24"/>
      <c r="D89" s="238"/>
      <c r="E89"/>
      <c r="F89" s="359"/>
      <c r="H89" s="6"/>
      <c r="I89" s="359"/>
      <c r="U89" s="5"/>
    </row>
    <row r="90" spans="1:37">
      <c r="C90" s="24"/>
      <c r="D90" s="238"/>
      <c r="E90"/>
      <c r="F90" s="359"/>
      <c r="H90" s="6"/>
      <c r="I90" s="359"/>
      <c r="U90" s="5"/>
    </row>
    <row r="91" spans="1:37">
      <c r="C91" s="24"/>
      <c r="D91" s="238"/>
      <c r="E91"/>
      <c r="F91" s="359"/>
      <c r="H91" s="6"/>
      <c r="I91" s="359"/>
      <c r="U91" s="5"/>
    </row>
    <row r="92" spans="1:37">
      <c r="C92" s="24"/>
      <c r="D92" s="238" t="s">
        <v>299</v>
      </c>
      <c r="E92"/>
      <c r="F92" s="359"/>
      <c r="H92" s="6"/>
      <c r="I92" s="359"/>
      <c r="U92" s="5"/>
    </row>
    <row r="93" spans="1:37">
      <c r="C93" s="24"/>
      <c r="D93" s="238"/>
      <c r="E93"/>
      <c r="F93" s="359"/>
      <c r="H93" s="6"/>
      <c r="I93" s="359"/>
      <c r="U93" s="5"/>
    </row>
    <row r="94" spans="1:37">
      <c r="C94" s="24"/>
      <c r="D94" s="238"/>
      <c r="E94"/>
      <c r="F94" s="359"/>
      <c r="H94" s="6"/>
      <c r="I94" s="359"/>
      <c r="U94" s="5"/>
    </row>
    <row r="95" spans="1:37">
      <c r="C95" s="24"/>
      <c r="D95" s="238"/>
      <c r="E95"/>
      <c r="F95" s="359"/>
      <c r="H95" s="6"/>
      <c r="I95" s="359"/>
      <c r="U95" s="5"/>
    </row>
    <row r="96" spans="1:37">
      <c r="C96" s="24"/>
      <c r="D96" s="238"/>
      <c r="E96"/>
      <c r="F96" s="359"/>
      <c r="H96" s="6"/>
      <c r="I96" s="359"/>
      <c r="U96" s="5"/>
    </row>
    <row r="97" spans="3:21">
      <c r="C97" s="24"/>
      <c r="D97" s="238"/>
      <c r="E97"/>
      <c r="F97" s="359"/>
      <c r="H97" s="6"/>
      <c r="I97" s="359"/>
      <c r="U97" s="5"/>
    </row>
    <row r="98" spans="3:21">
      <c r="C98" s="24"/>
      <c r="D98" s="238"/>
      <c r="E98"/>
      <c r="F98" s="359"/>
      <c r="H98" s="6"/>
      <c r="I98" s="359"/>
      <c r="U98" s="5"/>
    </row>
    <row r="99" spans="3:21">
      <c r="C99" s="24"/>
      <c r="D99" s="238"/>
      <c r="E99"/>
      <c r="F99" s="359"/>
      <c r="H99" s="6"/>
      <c r="I99" s="359"/>
      <c r="U99" s="5"/>
    </row>
    <row r="100" spans="3:21" s="7" customFormat="1">
      <c r="E100" s="36"/>
      <c r="G100" s="1089"/>
    </row>
    <row r="101" spans="3:21" s="9" customFormat="1">
      <c r="C101" s="120" t="s">
        <v>57</v>
      </c>
      <c r="D101" s="34" t="s">
        <v>1054</v>
      </c>
      <c r="E101" s="34"/>
      <c r="G101" s="572"/>
    </row>
    <row r="102" spans="3:21" s="9" customFormat="1">
      <c r="D102" s="592" t="s">
        <v>237</v>
      </c>
      <c r="E102" s="970"/>
      <c r="G102" s="572"/>
    </row>
    <row r="103" spans="3:21" s="9" customFormat="1">
      <c r="D103" s="332" t="s">
        <v>91</v>
      </c>
      <c r="E103" s="43"/>
      <c r="F103" s="24"/>
      <c r="G103" s="359"/>
    </row>
    <row r="104" spans="3:21" s="9" customFormat="1">
      <c r="D104" s="135">
        <f>'Overall Assumptions'!$C$6</f>
        <v>100</v>
      </c>
      <c r="E104" s="246" t="s">
        <v>967</v>
      </c>
      <c r="F104"/>
      <c r="G104" s="359"/>
    </row>
    <row r="105" spans="3:21" s="9" customFormat="1">
      <c r="D105" s="332">
        <f>'Overall Assumptions'!$C$115</f>
        <v>3</v>
      </c>
      <c r="E105" s="131" t="str">
        <f>'Overall Assumptions'!$D$115</f>
        <v>weeks</v>
      </c>
      <c r="F105"/>
      <c r="G105" s="359"/>
    </row>
    <row r="106" spans="3:21" s="9" customFormat="1">
      <c r="C106" s="105"/>
      <c r="D106" s="332">
        <f>'Overall Assumptions'!$C$116</f>
        <v>15</v>
      </c>
      <c r="E106" s="131" t="str">
        <f>'Overall Assumptions'!$D$116</f>
        <v>days</v>
      </c>
      <c r="F106"/>
      <c r="G106" s="359"/>
    </row>
    <row r="107" spans="3:21" s="9" customFormat="1">
      <c r="C107" s="105"/>
      <c r="D107" s="332"/>
      <c r="E107" s="43"/>
      <c r="F107"/>
      <c r="G107" s="359"/>
    </row>
    <row r="108" spans="3:21" s="9" customFormat="1">
      <c r="C108" s="105"/>
      <c r="D108" s="268">
        <v>1</v>
      </c>
      <c r="E108" s="43" t="s">
        <v>245</v>
      </c>
      <c r="F108"/>
      <c r="G108" s="359"/>
    </row>
    <row r="109" spans="3:21" s="9" customFormat="1">
      <c r="C109" s="105"/>
      <c r="D109" s="332"/>
      <c r="E109" s="43"/>
      <c r="F109"/>
      <c r="G109" s="359"/>
    </row>
    <row r="110" spans="3:21" s="9" customFormat="1">
      <c r="C110" s="105"/>
      <c r="D110" s="332"/>
      <c r="E110" s="43"/>
      <c r="F110"/>
      <c r="G110" s="359"/>
    </row>
    <row r="111" spans="3:21" s="9" customFormat="1">
      <c r="C111" s="105"/>
      <c r="D111" s="332" t="str">
        <f>'Overall Assumptions'!$D$76</f>
        <v>Daily rate (AUD) for labour assuming 7.5 hours/day</v>
      </c>
      <c r="E111" s="246"/>
      <c r="F111"/>
      <c r="G111" s="359"/>
    </row>
    <row r="112" spans="3:21" s="9" customFormat="1">
      <c r="D112" s="614">
        <f>'Overall Assumptions'!$C$68</f>
        <v>225</v>
      </c>
      <c r="E112" s="246" t="str">
        <f>'Overall Assumptions'!$B$67</f>
        <v>Labour 1- APS Low (Entry lvl)</v>
      </c>
      <c r="F112"/>
      <c r="G112" s="359"/>
    </row>
    <row r="113" spans="3:8" s="9" customFormat="1">
      <c r="D113" s="399">
        <f>'Overall Assumptions'!$C$72</f>
        <v>337.5</v>
      </c>
      <c r="E113" s="530" t="str">
        <f>'Overall Assumptions'!$B$71</f>
        <v>Labour 2 - APS High (Experienced)</v>
      </c>
      <c r="F113"/>
      <c r="G113" s="359"/>
    </row>
    <row r="114" spans="3:8" s="9" customFormat="1">
      <c r="D114" s="112">
        <f>'Overall Assumptions'!$C$76</f>
        <v>487.5</v>
      </c>
      <c r="E114" s="45" t="str">
        <f>'Overall Assumptions'!$B$75</f>
        <v>Labour 3 - EL (Management)</v>
      </c>
      <c r="F114"/>
      <c r="G114" s="359"/>
    </row>
    <row r="115" spans="3:8" s="9" customFormat="1">
      <c r="D115" s="33"/>
      <c r="E115" s="16"/>
      <c r="F115"/>
      <c r="G115" s="359"/>
    </row>
    <row r="116" spans="3:8" s="9" customFormat="1">
      <c r="D116" s="2428">
        <v>5</v>
      </c>
      <c r="E116" s="33" t="s">
        <v>1768</v>
      </c>
      <c r="F116"/>
      <c r="G116" s="359"/>
    </row>
    <row r="117" spans="3:8" s="9" customFormat="1">
      <c r="D117" s="912"/>
      <c r="E117" s="16"/>
      <c r="F117"/>
      <c r="G117" s="359"/>
    </row>
    <row r="118" spans="3:8" s="9" customFormat="1">
      <c r="D118" s="33"/>
      <c r="E118" s="16"/>
      <c r="F118"/>
      <c r="G118" s="359"/>
    </row>
    <row r="119" spans="3:8" s="9" customFormat="1">
      <c r="D119" s="33"/>
      <c r="E119" s="16"/>
      <c r="F119"/>
      <c r="G119" s="359"/>
    </row>
    <row r="120" spans="3:8" s="9" customFormat="1">
      <c r="D120" s="175"/>
      <c r="E120" s="164" t="s">
        <v>155</v>
      </c>
      <c r="F120" s="255" t="s">
        <v>166</v>
      </c>
      <c r="G120" s="1090" t="s">
        <v>69</v>
      </c>
      <c r="H120" s="108"/>
    </row>
    <row r="121" spans="3:8" s="9" customFormat="1">
      <c r="D121" s="405" t="s">
        <v>3</v>
      </c>
      <c r="E121" s="509">
        <f>D106+D116</f>
        <v>20</v>
      </c>
      <c r="F121" s="321">
        <f>E121*D113</f>
        <v>6750</v>
      </c>
      <c r="G121" s="1091" t="s">
        <v>1769</v>
      </c>
      <c r="H121" s="323"/>
    </row>
    <row r="122" spans="3:8" s="9" customFormat="1">
      <c r="D122" s="105"/>
      <c r="E122" s="34"/>
      <c r="G122" s="572"/>
    </row>
    <row r="123" spans="3:8" s="7" customFormat="1">
      <c r="D123" s="35"/>
      <c r="E123" s="36"/>
      <c r="G123" s="1089"/>
    </row>
    <row r="124" spans="3:8">
      <c r="C124" s="8" t="s">
        <v>1001</v>
      </c>
      <c r="D124" s="16" t="s">
        <v>163</v>
      </c>
    </row>
    <row r="125" spans="3:8">
      <c r="D125" t="s">
        <v>168</v>
      </c>
    </row>
    <row r="126" spans="3:8">
      <c r="D126" t="s">
        <v>1734</v>
      </c>
      <c r="E126"/>
    </row>
    <row r="127" spans="3:8">
      <c r="D127"/>
      <c r="E127"/>
    </row>
    <row r="128" spans="3:8">
      <c r="D128" s="455" t="s">
        <v>986</v>
      </c>
      <c r="E128"/>
    </row>
    <row r="129" spans="4:8" ht="17">
      <c r="D129" s="456" t="s">
        <v>874</v>
      </c>
      <c r="E129"/>
    </row>
    <row r="130" spans="4:8">
      <c r="D130" s="455"/>
      <c r="E130"/>
    </row>
    <row r="131" spans="4:8">
      <c r="D131"/>
      <c r="E131"/>
    </row>
    <row r="132" spans="4:8">
      <c r="D132" s="592" t="s">
        <v>179</v>
      </c>
      <c r="E132" s="274"/>
    </row>
    <row r="133" spans="4:8">
      <c r="D133" s="974">
        <f>'Overall Assumptions'!$C$6</f>
        <v>100</v>
      </c>
      <c r="E133" s="246" t="s">
        <v>451</v>
      </c>
    </row>
    <row r="134" spans="4:8">
      <c r="D134" s="408">
        <f>'Overall Assumptions'!$C$120</f>
        <v>0.3</v>
      </c>
      <c r="E134" s="483" t="str">
        <f>'Overall Assumptions'!$D$120</f>
        <v>Percentage of field that needs to be surveyed (ground)</v>
      </c>
    </row>
    <row r="135" spans="4:8">
      <c r="D135" s="332">
        <f>D133*D134</f>
        <v>30</v>
      </c>
      <c r="E135" s="483" t="s">
        <v>450</v>
      </c>
    </row>
    <row r="136" spans="4:8">
      <c r="D136" s="447">
        <v>1</v>
      </c>
      <c r="E136" s="483" t="s">
        <v>246</v>
      </c>
    </row>
    <row r="137" spans="4:8">
      <c r="D137" s="482">
        <f>'Overall Assumptions'!$C$132</f>
        <v>0.5</v>
      </c>
      <c r="E137" s="43" t="s">
        <v>79</v>
      </c>
    </row>
    <row r="138" spans="4:8">
      <c r="D138" s="54">
        <f>D135/D137</f>
        <v>60</v>
      </c>
      <c r="E138" s="483" t="s">
        <v>972</v>
      </c>
    </row>
    <row r="139" spans="4:8">
      <c r="D139" s="42">
        <f>'Overall Assumptions'!$C$53</f>
        <v>4.46</v>
      </c>
      <c r="E139" s="631" t="s">
        <v>780</v>
      </c>
    </row>
    <row r="140" spans="4:8">
      <c r="D140" s="42">
        <f>'Overall Assumptions'!$C$54</f>
        <v>3.3449999999999998</v>
      </c>
      <c r="E140" s="631" t="s">
        <v>781</v>
      </c>
    </row>
    <row r="141" spans="4:8">
      <c r="D141" s="125">
        <f>'Overall Assumptions'!$C$55</f>
        <v>2.23</v>
      </c>
      <c r="E141" s="635" t="s">
        <v>782</v>
      </c>
    </row>
    <row r="143" spans="4:8">
      <c r="D143" s="25"/>
    </row>
    <row r="144" spans="4:8">
      <c r="D144" s="151" t="s">
        <v>179</v>
      </c>
      <c r="E144" s="164"/>
      <c r="F144" s="255"/>
      <c r="G144" s="1090"/>
      <c r="H144" s="161"/>
    </row>
    <row r="145" spans="3:12">
      <c r="D145" s="444">
        <f>10/60</f>
        <v>0.16666666666666666</v>
      </c>
      <c r="E145" s="443" t="s">
        <v>1134</v>
      </c>
      <c r="F145" s="465"/>
      <c r="G145" s="1097"/>
      <c r="H145" s="466"/>
    </row>
    <row r="146" spans="3:12">
      <c r="D146" s="332">
        <f>D135/D137</f>
        <v>60</v>
      </c>
      <c r="E146" s="16" t="s">
        <v>253</v>
      </c>
      <c r="H146" s="246"/>
    </row>
    <row r="147" spans="3:12">
      <c r="D147" s="154">
        <f>D145*D146</f>
        <v>10</v>
      </c>
      <c r="E147" s="333" t="s">
        <v>1135</v>
      </c>
      <c r="F147" s="439"/>
      <c r="G147" s="1098"/>
      <c r="H147" s="162"/>
    </row>
    <row r="148" spans="3:12">
      <c r="D148" s="152"/>
      <c r="H148" s="246"/>
    </row>
    <row r="149" spans="3:12">
      <c r="D149"/>
      <c r="E149"/>
    </row>
    <row r="150" spans="3:12">
      <c r="D150"/>
      <c r="E150"/>
    </row>
    <row r="151" spans="3:12">
      <c r="D151"/>
      <c r="K151" s="2414"/>
      <c r="L151" s="2414"/>
    </row>
    <row r="152" spans="3:12">
      <c r="D152" s="825"/>
      <c r="E152" s="825"/>
    </row>
    <row r="153" spans="3:12">
      <c r="D153"/>
      <c r="E153"/>
      <c r="F153" s="432"/>
      <c r="G153" s="1099"/>
    </row>
    <row r="154" spans="3:12" ht="19">
      <c r="C154" t="s">
        <v>50</v>
      </c>
      <c r="D154" s="37" t="s">
        <v>81</v>
      </c>
      <c r="E154" s="24"/>
      <c r="F154" s="1"/>
      <c r="G154" s="1100"/>
      <c r="H154" s="3"/>
      <c r="I154" s="3"/>
      <c r="J154" s="3"/>
    </row>
    <row r="155" spans="3:12">
      <c r="F155" s="1"/>
      <c r="G155" s="1100"/>
      <c r="H155" s="3"/>
      <c r="I155" s="3"/>
      <c r="J155" s="3"/>
    </row>
    <row r="156" spans="3:12">
      <c r="D156" s="160" t="s">
        <v>408</v>
      </c>
    </row>
    <row r="158" spans="3:12">
      <c r="D158" s="50"/>
    </row>
    <row r="159" spans="3:12">
      <c r="D159" s="51" t="s">
        <v>82</v>
      </c>
      <c r="E159" s="273"/>
      <c r="F159" s="274"/>
    </row>
    <row r="160" spans="3:12" ht="19">
      <c r="D160" s="54">
        <f>'Overall Assumptions'!$C$68</f>
        <v>225</v>
      </c>
      <c r="E160" s="1215" t="s">
        <v>99</v>
      </c>
      <c r="F160" s="246"/>
    </row>
    <row r="161" spans="3:10">
      <c r="D161" s="54">
        <f>'Overall Assumptions'!$C$130</f>
        <v>2</v>
      </c>
      <c r="E161" s="76" t="s">
        <v>84</v>
      </c>
      <c r="F161" s="246"/>
    </row>
    <row r="162" spans="3:10">
      <c r="D162" s="152"/>
      <c r="E162" s="76"/>
      <c r="F162" s="246"/>
    </row>
    <row r="163" spans="3:10">
      <c r="D163" s="42">
        <f>'Overall Assumptions'!$C$53</f>
        <v>4.46</v>
      </c>
      <c r="E163" s="629" t="s">
        <v>780</v>
      </c>
      <c r="F163" s="246"/>
    </row>
    <row r="164" spans="3:10">
      <c r="D164" s="42">
        <f>'Overall Assumptions'!$C$54</f>
        <v>3.3449999999999998</v>
      </c>
      <c r="E164" s="629" t="s">
        <v>781</v>
      </c>
      <c r="F164" s="246"/>
    </row>
    <row r="165" spans="3:10">
      <c r="D165" s="42">
        <f>'Overall Assumptions'!$C$55</f>
        <v>2.23</v>
      </c>
      <c r="E165" s="629" t="s">
        <v>782</v>
      </c>
      <c r="F165" s="246"/>
    </row>
    <row r="166" spans="3:10">
      <c r="D166" s="616"/>
      <c r="E166" s="833"/>
      <c r="F166" s="246"/>
    </row>
    <row r="167" spans="3:10">
      <c r="D167" s="467">
        <f>D138</f>
        <v>60</v>
      </c>
      <c r="E167" s="1216" t="str">
        <f>E138</f>
        <v>Effective distance to be walked along</v>
      </c>
      <c r="F167" s="246"/>
    </row>
    <row r="168" spans="3:10">
      <c r="D168" s="467"/>
      <c r="E168" s="76"/>
      <c r="F168" s="246"/>
    </row>
    <row r="169" spans="3:10">
      <c r="D169" s="468">
        <f>D147/7.5</f>
        <v>1.3333333333333333</v>
      </c>
      <c r="E169" s="76" t="s">
        <v>464</v>
      </c>
      <c r="F169" s="246"/>
    </row>
    <row r="170" spans="3:10">
      <c r="D170" s="54">
        <f>'Overall Assumptions'!$C$10</f>
        <v>0</v>
      </c>
      <c r="E170" s="76" t="s">
        <v>85</v>
      </c>
      <c r="F170" s="246"/>
    </row>
    <row r="171" spans="3:10">
      <c r="D171" s="54">
        <f>'Overall Assumptions'!$C$90</f>
        <v>80</v>
      </c>
      <c r="E171" s="76" t="s">
        <v>86</v>
      </c>
      <c r="F171" s="246"/>
    </row>
    <row r="172" spans="3:10">
      <c r="D172" s="56">
        <f>'Overall Assumptions'!$C$81</f>
        <v>210</v>
      </c>
      <c r="E172" s="333" t="s">
        <v>87</v>
      </c>
      <c r="F172" s="162"/>
      <c r="J172" s="578"/>
    </row>
    <row r="173" spans="3:10">
      <c r="D173" s="57"/>
    </row>
    <row r="174" spans="3:10">
      <c r="C174" s="21"/>
      <c r="J174" s="90"/>
    </row>
    <row r="175" spans="3:10">
      <c r="C175" s="21"/>
      <c r="D175" s="59" t="s">
        <v>735</v>
      </c>
      <c r="E175" s="2" t="s">
        <v>218</v>
      </c>
      <c r="F175" s="2" t="s">
        <v>733</v>
      </c>
      <c r="G175" s="359" t="s">
        <v>796</v>
      </c>
    </row>
    <row r="176" spans="3:10">
      <c r="C176" s="21"/>
      <c r="D176" s="46">
        <f>D163</f>
        <v>4.46</v>
      </c>
      <c r="E176" s="46">
        <f>D164</f>
        <v>3.3449999999999998</v>
      </c>
      <c r="F176" s="1219">
        <f>D165</f>
        <v>2.23</v>
      </c>
      <c r="G176" s="359" t="s">
        <v>254</v>
      </c>
      <c r="J176" s="90"/>
    </row>
    <row r="177" spans="3:11">
      <c r="C177" s="21"/>
      <c r="D177" s="77">
        <f>2*D170/D171/7.5</f>
        <v>0</v>
      </c>
      <c r="E177" s="77">
        <f>D177</f>
        <v>0</v>
      </c>
      <c r="F177" s="77">
        <f>E177</f>
        <v>0</v>
      </c>
      <c r="G177" s="59" t="s">
        <v>95</v>
      </c>
      <c r="J177" s="90"/>
    </row>
    <row r="178" spans="3:11">
      <c r="C178" s="21"/>
      <c r="D178" s="77"/>
      <c r="G178" s="16" t="s">
        <v>778</v>
      </c>
      <c r="J178" s="90"/>
    </row>
    <row r="179" spans="3:11">
      <c r="C179" s="21"/>
      <c r="J179" s="90"/>
    </row>
    <row r="180" spans="3:11" ht="18" customHeight="1">
      <c r="C180" s="21"/>
      <c r="D180" s="77">
        <f>$D167/D176/7.5</f>
        <v>1.7937219730941705</v>
      </c>
      <c r="E180" s="77">
        <f>$D167/E176/7.5</f>
        <v>2.391629297458894</v>
      </c>
      <c r="F180" s="77">
        <f>$D167/F176/7.5</f>
        <v>3.5874439461883409</v>
      </c>
      <c r="G180" s="693" t="s">
        <v>96</v>
      </c>
    </row>
    <row r="181" spans="3:11" ht="18" customHeight="1">
      <c r="C181" s="21"/>
      <c r="D181" s="77">
        <f>$D169</f>
        <v>1.3333333333333333</v>
      </c>
      <c r="E181" s="77">
        <f>$D169</f>
        <v>1.3333333333333333</v>
      </c>
      <c r="F181" s="77">
        <f>$D169</f>
        <v>1.3333333333333333</v>
      </c>
      <c r="G181" s="693" t="s">
        <v>786</v>
      </c>
    </row>
    <row r="182" spans="3:11" ht="18" customHeight="1">
      <c r="C182" s="21"/>
      <c r="D182" s="77">
        <f>SUM(D180:D181)</f>
        <v>3.1270553064275037</v>
      </c>
      <c r="E182" s="77">
        <f>SUM(E180:E181)</f>
        <v>3.724962630792227</v>
      </c>
      <c r="F182" s="77">
        <f>SUM(F180:F181)</f>
        <v>4.9207772795216744</v>
      </c>
      <c r="G182" s="693" t="s">
        <v>171</v>
      </c>
    </row>
    <row r="183" spans="3:11" ht="18" customHeight="1">
      <c r="C183" s="21"/>
      <c r="D183" s="16"/>
      <c r="E183"/>
    </row>
    <row r="184" spans="3:11" ht="18" customHeight="1">
      <c r="C184" s="21"/>
      <c r="D184" s="77">
        <f>D182*$D161</f>
        <v>6.2541106128550075</v>
      </c>
      <c r="E184" s="77">
        <f>E182*$D161</f>
        <v>7.449925261584454</v>
      </c>
      <c r="F184" s="77">
        <f>F182*$D161</f>
        <v>9.8415545590433489</v>
      </c>
      <c r="G184" s="99" t="s">
        <v>787</v>
      </c>
    </row>
    <row r="185" spans="3:11">
      <c r="C185" s="21"/>
      <c r="D185" s="16"/>
      <c r="E185"/>
      <c r="G185" s="99"/>
    </row>
    <row r="186" spans="3:11">
      <c r="C186" s="21"/>
      <c r="D186" s="63">
        <f>$D160*$D161*D180</f>
        <v>807.17488789237666</v>
      </c>
      <c r="E186" s="63">
        <f>$D160*$D161*E180</f>
        <v>1076.2331838565024</v>
      </c>
      <c r="F186" s="63">
        <f>$D160*$D161*F180</f>
        <v>1614.3497757847533</v>
      </c>
      <c r="G186" s="99" t="s">
        <v>37</v>
      </c>
      <c r="J186" s="90"/>
    </row>
    <row r="187" spans="3:11">
      <c r="C187" s="21"/>
      <c r="D187" s="63">
        <f>$D160*$D161*D181</f>
        <v>600</v>
      </c>
      <c r="E187" s="63">
        <f>$D160*$D161*E181</f>
        <v>600</v>
      </c>
      <c r="F187" s="63">
        <f>$D160*$D161*F181</f>
        <v>600</v>
      </c>
      <c r="G187" s="99" t="s">
        <v>412</v>
      </c>
      <c r="J187" s="259"/>
      <c r="K187" s="16"/>
    </row>
    <row r="188" spans="3:11">
      <c r="C188" s="21"/>
      <c r="D188" s="64">
        <f>SUM(D186:D187)</f>
        <v>1407.1748878923768</v>
      </c>
      <c r="E188" s="905">
        <f>SUM(E186:E187)</f>
        <v>1676.2331838565024</v>
      </c>
      <c r="F188" s="905">
        <f>SUM(F186:F187)</f>
        <v>2214.3497757847535</v>
      </c>
      <c r="G188" s="1101" t="s">
        <v>486</v>
      </c>
      <c r="J188" s="259"/>
      <c r="K188" s="16"/>
    </row>
    <row r="189" spans="3:11">
      <c r="F189" s="16"/>
      <c r="G189" s="99"/>
    </row>
    <row r="190" spans="3:11">
      <c r="D190" s="46"/>
      <c r="E190" s="46"/>
      <c r="F190" s="46"/>
      <c r="J190" s="65"/>
      <c r="K190" s="24"/>
    </row>
    <row r="191" spans="3:11">
      <c r="D191" s="75"/>
      <c r="E191" s="75"/>
      <c r="F191" s="75"/>
      <c r="G191" s="99"/>
      <c r="J191" s="65"/>
      <c r="K191" s="24"/>
    </row>
    <row r="192" spans="3:11">
      <c r="D192" s="75"/>
      <c r="E192" s="75"/>
      <c r="F192" s="75"/>
      <c r="G192" s="99"/>
      <c r="J192" s="65"/>
      <c r="K192" s="24"/>
    </row>
    <row r="193" spans="3:11" ht="19">
      <c r="C193" t="s">
        <v>64</v>
      </c>
      <c r="D193" s="37" t="s">
        <v>89</v>
      </c>
    </row>
    <row r="194" spans="3:11">
      <c r="C194" t="s">
        <v>54</v>
      </c>
    </row>
    <row r="196" spans="3:11">
      <c r="D196" s="16"/>
    </row>
    <row r="197" spans="3:11">
      <c r="D197" s="67" t="s">
        <v>91</v>
      </c>
      <c r="E197" s="41"/>
    </row>
    <row r="198" spans="3:11">
      <c r="D198" s="52">
        <f>'Overall Assumptions'!$C$93</f>
        <v>285</v>
      </c>
      <c r="E198" s="41" t="s">
        <v>93</v>
      </c>
    </row>
    <row r="199" spans="3:11">
      <c r="D199" s="54">
        <f>'Overall Assumptions'!$C$10</f>
        <v>0</v>
      </c>
      <c r="E199" s="43" t="s">
        <v>85</v>
      </c>
    </row>
    <row r="200" spans="3:11">
      <c r="D200" s="54"/>
      <c r="E200" s="43"/>
    </row>
    <row r="201" spans="3:11">
      <c r="D201" s="616"/>
      <c r="E201" s="43"/>
    </row>
    <row r="202" spans="3:11">
      <c r="D202" s="56"/>
      <c r="E202" s="45"/>
      <c r="J202" s="578"/>
    </row>
    <row r="203" spans="3:11">
      <c r="D203" s="75"/>
    </row>
    <row r="204" spans="3:11">
      <c r="D204" s="46">
        <f>D177</f>
        <v>0</v>
      </c>
      <c r="E204" s="46">
        <f>D204</f>
        <v>0</v>
      </c>
      <c r="F204" s="46">
        <f>E204</f>
        <v>0</v>
      </c>
      <c r="G204" s="693"/>
      <c r="J204" s="532"/>
      <c r="K204" s="59"/>
    </row>
    <row r="205" spans="3:11">
      <c r="D205" s="46">
        <f t="shared" ref="D205:F206" si="53">D180</f>
        <v>1.7937219730941705</v>
      </c>
      <c r="E205" s="46">
        <f t="shared" si="53"/>
        <v>2.391629297458894</v>
      </c>
      <c r="F205" s="46">
        <f t="shared" si="53"/>
        <v>3.5874439461883409</v>
      </c>
      <c r="G205" s="693" t="s">
        <v>98</v>
      </c>
      <c r="K205" s="59"/>
    </row>
    <row r="206" spans="3:11">
      <c r="D206" s="46">
        <f t="shared" si="53"/>
        <v>1.3333333333333333</v>
      </c>
      <c r="E206" s="46">
        <f t="shared" si="53"/>
        <v>1.3333333333333333</v>
      </c>
      <c r="F206" s="46">
        <f t="shared" si="53"/>
        <v>1.3333333333333333</v>
      </c>
      <c r="G206" s="693" t="str">
        <f>G181</f>
        <v>3rd term is the days required to do all activities (for one person)</v>
      </c>
      <c r="K206" s="59"/>
    </row>
    <row r="207" spans="3:11">
      <c r="D207" s="46"/>
      <c r="E207" s="46"/>
      <c r="F207" s="46"/>
      <c r="G207" s="693"/>
      <c r="K207" s="59"/>
    </row>
    <row r="208" spans="3:11">
      <c r="D208" s="46">
        <f>SUM(D204:D206)</f>
        <v>3.1270553064275037</v>
      </c>
      <c r="E208" s="46">
        <f>SUM(E204:E206)</f>
        <v>3.724962630792227</v>
      </c>
      <c r="F208" s="46">
        <f>SUM(F204:F206)</f>
        <v>4.9207772795216744</v>
      </c>
      <c r="G208" s="693" t="s">
        <v>135</v>
      </c>
      <c r="J208" s="90"/>
    </row>
    <row r="209" spans="3:11">
      <c r="D209" s="46"/>
      <c r="E209" s="59"/>
      <c r="J209" s="90"/>
    </row>
    <row r="210" spans="3:11">
      <c r="D210" s="63"/>
      <c r="E210" s="63"/>
      <c r="F210" s="63"/>
      <c r="G210" s="99"/>
      <c r="J210" s="259"/>
      <c r="K210" s="16"/>
    </row>
    <row r="211" spans="3:11">
      <c r="D211" s="63">
        <f>$D198*D205</f>
        <v>511.21076233183857</v>
      </c>
      <c r="E211" s="63">
        <f>$D198*E205</f>
        <v>681.61434977578483</v>
      </c>
      <c r="F211" s="63">
        <f>$D198*F205</f>
        <v>1022.4215246636771</v>
      </c>
      <c r="G211" s="99" t="s">
        <v>52</v>
      </c>
      <c r="J211" s="259"/>
      <c r="K211" s="16"/>
    </row>
    <row r="212" spans="3:11">
      <c r="D212" s="63">
        <f>$D198*D206</f>
        <v>380</v>
      </c>
      <c r="E212" s="63">
        <f>$D198*E206</f>
        <v>380</v>
      </c>
      <c r="F212" s="63">
        <f>$D198*F206</f>
        <v>380</v>
      </c>
      <c r="G212" s="99" t="s">
        <v>52</v>
      </c>
      <c r="J212" s="259"/>
      <c r="K212" s="16"/>
    </row>
    <row r="213" spans="3:11">
      <c r="D213" s="68">
        <f>SUM(D210:D212)</f>
        <v>891.21076233183862</v>
      </c>
      <c r="E213" s="906">
        <f>SUM(E210:E212)</f>
        <v>1061.6143497757848</v>
      </c>
      <c r="F213" s="906">
        <f>SUM(F210:F212)</f>
        <v>1402.4215246636772</v>
      </c>
      <c r="G213" s="1101" t="s">
        <v>53</v>
      </c>
      <c r="J213" s="65"/>
      <c r="K213" s="24"/>
    </row>
    <row r="214" spans="3:11">
      <c r="D214" s="432"/>
      <c r="J214" s="65"/>
      <c r="K214" s="24"/>
    </row>
    <row r="215" spans="3:11">
      <c r="D215" s="46">
        <f>D208</f>
        <v>3.1270553064275037</v>
      </c>
      <c r="E215" s="46">
        <f>E208</f>
        <v>3.724962630792227</v>
      </c>
      <c r="F215" s="46">
        <f>F208</f>
        <v>4.9207772795216744</v>
      </c>
      <c r="G215" s="359" t="s">
        <v>795</v>
      </c>
      <c r="J215" s="65"/>
      <c r="K215" s="24"/>
    </row>
    <row r="216" spans="3:11">
      <c r="D216" s="75">
        <f>ROUNDUP((D208/21),0)</f>
        <v>1</v>
      </c>
      <c r="E216" s="75">
        <f>ROUNDUP((E208/21),0)</f>
        <v>1</v>
      </c>
      <c r="F216" s="75">
        <f>ROUNDUP((F208/21),0)</f>
        <v>1</v>
      </c>
      <c r="G216" s="99" t="s">
        <v>739</v>
      </c>
      <c r="J216" s="65"/>
      <c r="K216" s="24"/>
    </row>
    <row r="217" spans="3:11">
      <c r="D217" s="432"/>
      <c r="J217" s="65"/>
      <c r="K217" s="24"/>
    </row>
    <row r="218" spans="3:11">
      <c r="D218" s="65"/>
      <c r="E218" s="24"/>
      <c r="J218" s="65"/>
      <c r="K218" s="24"/>
    </row>
    <row r="219" spans="3:11">
      <c r="C219" t="s">
        <v>70</v>
      </c>
      <c r="D219" s="58"/>
      <c r="E219" s="59" t="s">
        <v>156</v>
      </c>
      <c r="J219" s="65"/>
      <c r="K219" s="24"/>
    </row>
    <row r="220" spans="3:11">
      <c r="D220" s="160" t="s">
        <v>238</v>
      </c>
      <c r="E220" s="59"/>
      <c r="J220" s="65"/>
      <c r="K220" s="24"/>
    </row>
    <row r="221" spans="3:11">
      <c r="D221" s="58"/>
      <c r="E221" s="59"/>
      <c r="J221" s="65"/>
      <c r="K221" s="24"/>
    </row>
    <row r="222" spans="3:11">
      <c r="D222" s="25">
        <f>D182</f>
        <v>3.1270553064275037</v>
      </c>
      <c r="E222" s="25">
        <f>E182</f>
        <v>3.724962630792227</v>
      </c>
      <c r="F222" s="25">
        <f>F182</f>
        <v>4.9207772795216744</v>
      </c>
      <c r="G222" s="99" t="s">
        <v>157</v>
      </c>
      <c r="J222" s="65"/>
      <c r="K222" s="24"/>
    </row>
    <row r="223" spans="3:11">
      <c r="D223" s="61">
        <f>FLOOR(D222,1)</f>
        <v>3</v>
      </c>
      <c r="E223" s="61">
        <f>FLOOR(E222,1)</f>
        <v>3</v>
      </c>
      <c r="F223" s="61">
        <f>FLOOR(F222,1)</f>
        <v>4</v>
      </c>
      <c r="G223" s="99" t="s">
        <v>73</v>
      </c>
      <c r="J223" s="65"/>
      <c r="K223" s="24"/>
    </row>
    <row r="224" spans="3:11">
      <c r="D224" s="65"/>
      <c r="G224" s="1102"/>
      <c r="J224" s="65"/>
      <c r="K224" s="24"/>
    </row>
    <row r="225" spans="3:36">
      <c r="D225" s="65">
        <f>D223*$D161</f>
        <v>6</v>
      </c>
      <c r="E225" s="65">
        <f>E223*$D161</f>
        <v>6</v>
      </c>
      <c r="F225" s="65">
        <f>F223*$D161</f>
        <v>8</v>
      </c>
      <c r="G225" s="1102" t="s">
        <v>88</v>
      </c>
      <c r="J225" s="65"/>
      <c r="K225" s="24"/>
    </row>
    <row r="226" spans="3:36">
      <c r="D226" s="102">
        <f>D225*$D172</f>
        <v>1260</v>
      </c>
      <c r="E226" s="907">
        <f>E225*$D172</f>
        <v>1260</v>
      </c>
      <c r="F226" s="907">
        <f>F225*$D172</f>
        <v>1680</v>
      </c>
      <c r="G226" s="1101" t="s">
        <v>74</v>
      </c>
      <c r="J226" s="259"/>
      <c r="K226" s="16"/>
    </row>
    <row r="227" spans="3:36">
      <c r="D227" s="825"/>
      <c r="E227" s="1" t="s">
        <v>788</v>
      </c>
      <c r="F227" s="1" t="s">
        <v>779</v>
      </c>
      <c r="G227" s="1" t="s">
        <v>789</v>
      </c>
      <c r="H227" s="1" t="s">
        <v>788</v>
      </c>
      <c r="I227" s="1" t="s">
        <v>779</v>
      </c>
      <c r="J227" s="1" t="s">
        <v>789</v>
      </c>
    </row>
    <row r="228" spans="3:36">
      <c r="D228" s="617" t="s">
        <v>172</v>
      </c>
      <c r="E228" s="618" t="s">
        <v>155</v>
      </c>
      <c r="F228" s="618" t="s">
        <v>173</v>
      </c>
      <c r="G228" s="1103" t="s">
        <v>174</v>
      </c>
      <c r="H228" s="618" t="s">
        <v>166</v>
      </c>
      <c r="I228" s="618" t="s">
        <v>166</v>
      </c>
      <c r="J228" s="618" t="s">
        <v>166</v>
      </c>
      <c r="K228" s="619" t="s">
        <v>69</v>
      </c>
    </row>
    <row r="229" spans="3:36">
      <c r="D229" s="404" t="s">
        <v>3</v>
      </c>
      <c r="E229" s="90">
        <f>D184</f>
        <v>6.2541106128550075</v>
      </c>
      <c r="F229" s="90">
        <f t="shared" ref="F229:G229" si="54">E184</f>
        <v>7.449925261584454</v>
      </c>
      <c r="G229" s="90">
        <f t="shared" si="54"/>
        <v>9.8415545590433489</v>
      </c>
      <c r="H229" s="432">
        <f>D188</f>
        <v>1407.1748878923768</v>
      </c>
      <c r="I229" s="432">
        <f>E188</f>
        <v>1676.2331838565024</v>
      </c>
      <c r="J229" s="432">
        <f>F188</f>
        <v>2214.3497757847535</v>
      </c>
      <c r="K229" s="830" t="str">
        <f>G188</f>
        <v>Cost for labour</v>
      </c>
      <c r="L229" s="558">
        <f>D136</f>
        <v>1</v>
      </c>
    </row>
    <row r="230" spans="3:36">
      <c r="D230" s="404" t="s">
        <v>490</v>
      </c>
      <c r="E230" s="90">
        <f>D208</f>
        <v>3.1270553064275037</v>
      </c>
      <c r="F230" s="90">
        <f t="shared" ref="F230:G230" si="55">E208</f>
        <v>3.724962630792227</v>
      </c>
      <c r="G230" s="90">
        <f t="shared" si="55"/>
        <v>4.9207772795216744</v>
      </c>
      <c r="H230" s="432">
        <f>D213</f>
        <v>891.21076233183862</v>
      </c>
      <c r="I230" s="432">
        <f>E213</f>
        <v>1061.6143497757848</v>
      </c>
      <c r="J230" s="432">
        <f>F213</f>
        <v>1402.4215246636772</v>
      </c>
      <c r="K230" s="830" t="str">
        <f>G213</f>
        <v>Cost for ute hire for the whole activity</v>
      </c>
      <c r="L230" s="558">
        <f>L229</f>
        <v>1</v>
      </c>
    </row>
    <row r="231" spans="3:36">
      <c r="D231" s="404" t="s">
        <v>169</v>
      </c>
      <c r="E231" s="90">
        <f>D225</f>
        <v>6</v>
      </c>
      <c r="F231" s="90">
        <f t="shared" ref="F231:G231" si="56">E225</f>
        <v>6</v>
      </c>
      <c r="G231" s="90">
        <f t="shared" si="56"/>
        <v>8</v>
      </c>
      <c r="H231" s="432">
        <f>D226</f>
        <v>1260</v>
      </c>
      <c r="I231" s="432">
        <f>E226</f>
        <v>1260</v>
      </c>
      <c r="J231" s="432">
        <f>F226</f>
        <v>1680</v>
      </c>
      <c r="K231" s="830" t="str">
        <f>G226</f>
        <v>Accomodation + Food Cost</v>
      </c>
      <c r="L231" s="558">
        <f>L230</f>
        <v>1</v>
      </c>
    </row>
    <row r="232" spans="3:36">
      <c r="D232" s="404"/>
      <c r="E232" s="90"/>
      <c r="F232" s="531"/>
      <c r="H232" s="432"/>
      <c r="I232" s="259"/>
      <c r="J232" s="259"/>
      <c r="K232" s="830"/>
      <c r="L232" s="558"/>
    </row>
    <row r="233" spans="3:36">
      <c r="D233" s="404"/>
      <c r="E233" s="90"/>
      <c r="F233" s="531"/>
      <c r="H233" s="432"/>
      <c r="I233" s="259"/>
      <c r="J233" s="259"/>
      <c r="K233" s="830"/>
    </row>
    <row r="234" spans="3:36">
      <c r="D234" s="405"/>
      <c r="E234" s="439"/>
      <c r="F234" s="439"/>
      <c r="G234" s="1098"/>
      <c r="H234" s="622">
        <f>SUM(H229:H233)</f>
        <v>3558.3856502242152</v>
      </c>
      <c r="I234" s="622">
        <f>SUM(I229:I233)</f>
        <v>3997.8475336322872</v>
      </c>
      <c r="J234" s="622">
        <f>SUM(J229:J233)</f>
        <v>5296.7713004484303</v>
      </c>
      <c r="K234" s="623" t="s">
        <v>165</v>
      </c>
    </row>
    <row r="235" spans="3:36">
      <c r="D235"/>
      <c r="E235"/>
      <c r="F235" s="432"/>
      <c r="G235" s="1099"/>
    </row>
    <row r="236" spans="3:36">
      <c r="D236" s="25"/>
    </row>
    <row r="237" spans="3:36" s="7" customFormat="1">
      <c r="D237" s="134"/>
      <c r="E237" s="134"/>
      <c r="G237" s="1089"/>
    </row>
    <row r="238" spans="3:36" s="7" customFormat="1">
      <c r="D238" s="103"/>
      <c r="E238" s="103"/>
      <c r="G238" s="1089"/>
      <c r="AI238"/>
      <c r="AJ238"/>
    </row>
    <row r="239" spans="3:36">
      <c r="D239"/>
      <c r="F239" s="16"/>
    </row>
    <row r="240" spans="3:36">
      <c r="C240" s="198" t="s">
        <v>167</v>
      </c>
      <c r="D240" s="16" t="s">
        <v>1735</v>
      </c>
      <c r="H240" t="s">
        <v>1736</v>
      </c>
    </row>
    <row r="241" spans="3:9">
      <c r="C241" s="1" t="s">
        <v>4</v>
      </c>
      <c r="D241" s="23" t="s">
        <v>128</v>
      </c>
      <c r="H241" t="s">
        <v>1737</v>
      </c>
    </row>
    <row r="242" spans="3:9">
      <c r="D242" s="93"/>
      <c r="H242" t="s">
        <v>1738</v>
      </c>
    </row>
    <row r="243" spans="3:9">
      <c r="D243" s="93"/>
    </row>
    <row r="244" spans="3:9">
      <c r="D244" s="93"/>
    </row>
    <row r="245" spans="3:9">
      <c r="D245" t="s">
        <v>1744</v>
      </c>
    </row>
    <row r="246" spans="3:9">
      <c r="D246" s="16" t="s">
        <v>1745</v>
      </c>
    </row>
    <row r="248" spans="3:9">
      <c r="D248" s="2429" t="s">
        <v>1754</v>
      </c>
      <c r="E248" s="164"/>
      <c r="F248" s="255"/>
      <c r="G248" s="1090"/>
      <c r="H248" s="255"/>
      <c r="I248" s="161"/>
    </row>
    <row r="249" spans="3:9">
      <c r="D249" s="98">
        <f>'Overall Assumptions'!$C$6</f>
        <v>100</v>
      </c>
      <c r="E249" s="76" t="s">
        <v>23</v>
      </c>
      <c r="F249" s="79"/>
      <c r="G249" s="1119"/>
      <c r="H249" s="79"/>
      <c r="I249" s="246"/>
    </row>
    <row r="250" spans="3:9">
      <c r="D250" s="98">
        <f>'Overall Assumptions'!$C$132</f>
        <v>0.5</v>
      </c>
      <c r="E250" s="76" t="s">
        <v>1123</v>
      </c>
      <c r="F250" s="79"/>
      <c r="G250" s="1119"/>
      <c r="H250" s="79"/>
      <c r="I250" s="246"/>
    </row>
    <row r="251" spans="3:9">
      <c r="D251" s="98">
        <f>D249/D250</f>
        <v>200</v>
      </c>
      <c r="E251" s="76" t="s">
        <v>1774</v>
      </c>
      <c r="F251" s="79"/>
      <c r="G251" s="1119"/>
      <c r="H251" s="79"/>
      <c r="I251" s="246"/>
    </row>
    <row r="252" spans="3:9">
      <c r="D252" s="2430">
        <v>0.5</v>
      </c>
      <c r="E252" s="76" t="s">
        <v>1747</v>
      </c>
      <c r="F252" s="79"/>
      <c r="G252" s="1119"/>
      <c r="H252" s="79"/>
      <c r="I252" s="246"/>
    </row>
    <row r="253" spans="3:9">
      <c r="D253" s="1298">
        <v>2</v>
      </c>
      <c r="E253" s="1602" t="s">
        <v>1740</v>
      </c>
      <c r="F253" s="79" t="s">
        <v>1739</v>
      </c>
      <c r="G253" s="79"/>
      <c r="H253" s="79"/>
      <c r="I253" s="246"/>
    </row>
    <row r="254" spans="3:9">
      <c r="D254" s="1298">
        <v>1.8</v>
      </c>
      <c r="E254" s="79" t="s">
        <v>1742</v>
      </c>
      <c r="F254" s="79" t="s">
        <v>1741</v>
      </c>
      <c r="G254" s="79"/>
      <c r="H254" s="79"/>
      <c r="I254" s="246"/>
    </row>
    <row r="255" spans="3:9">
      <c r="D255" s="2431" t="s">
        <v>1756</v>
      </c>
      <c r="E255" s="79"/>
      <c r="F255" s="79"/>
      <c r="G255" s="79"/>
      <c r="H255" s="79"/>
      <c r="I255" s="246"/>
    </row>
    <row r="256" spans="3:9">
      <c r="D256" s="1298">
        <v>120</v>
      </c>
      <c r="E256" s="79" t="s">
        <v>1757</v>
      </c>
      <c r="F256" s="79"/>
      <c r="G256" s="79"/>
      <c r="H256" s="79"/>
      <c r="I256" s="246"/>
    </row>
    <row r="257" spans="4:9">
      <c r="D257" s="2432">
        <f>D256/10</f>
        <v>12</v>
      </c>
      <c r="E257" s="76" t="s">
        <v>1762</v>
      </c>
      <c r="F257" s="79"/>
      <c r="G257" s="1119"/>
      <c r="H257" s="79" t="s">
        <v>1759</v>
      </c>
      <c r="I257" s="246"/>
    </row>
    <row r="258" spans="4:9">
      <c r="D258" s="2433">
        <f>D256/5</f>
        <v>24</v>
      </c>
      <c r="E258" s="333" t="s">
        <v>1763</v>
      </c>
      <c r="F258" s="439"/>
      <c r="G258" s="1098"/>
      <c r="H258" s="333" t="s">
        <v>1758</v>
      </c>
      <c r="I258" s="162"/>
    </row>
    <row r="259" spans="4:9">
      <c r="D259" s="344">
        <v>10</v>
      </c>
      <c r="E259" s="16" t="s">
        <v>263</v>
      </c>
    </row>
    <row r="260" spans="4:9">
      <c r="D260" s="16"/>
    </row>
    <row r="261" spans="4:9">
      <c r="D261" s="2429" t="s">
        <v>1743</v>
      </c>
      <c r="E261" s="164"/>
      <c r="F261" s="255"/>
      <c r="G261" s="1139"/>
    </row>
    <row r="262" spans="4:9">
      <c r="D262" s="2434">
        <v>2</v>
      </c>
      <c r="E262" s="76" t="s">
        <v>1746</v>
      </c>
      <c r="F262" s="79"/>
      <c r="G262" s="1140"/>
    </row>
    <row r="263" spans="4:9">
      <c r="D263" s="2434">
        <v>20</v>
      </c>
      <c r="E263" s="76" t="s">
        <v>1748</v>
      </c>
      <c r="F263" s="79"/>
      <c r="G263" s="246"/>
    </row>
    <row r="264" spans="4:9">
      <c r="D264" s="2434">
        <v>5</v>
      </c>
      <c r="E264" s="76" t="s">
        <v>1749</v>
      </c>
      <c r="F264" s="79"/>
      <c r="G264" s="246"/>
    </row>
    <row r="265" spans="4:9">
      <c r="D265" s="2435"/>
      <c r="E265" s="76"/>
      <c r="F265" s="79"/>
      <c r="G265" s="246"/>
    </row>
    <row r="266" spans="4:9">
      <c r="D266" s="2439" t="s">
        <v>1752</v>
      </c>
      <c r="E266" s="255"/>
      <c r="F266" s="255"/>
      <c r="G266" s="161"/>
    </row>
    <row r="267" spans="4:9">
      <c r="D267" s="1250">
        <v>1</v>
      </c>
      <c r="E267" s="76" t="s">
        <v>1755</v>
      </c>
      <c r="F267" s="79"/>
      <c r="G267" s="246"/>
    </row>
    <row r="268" spans="4:9">
      <c r="D268" s="2436">
        <v>0.1</v>
      </c>
      <c r="E268" s="79" t="s">
        <v>1753</v>
      </c>
      <c r="F268" s="79"/>
      <c r="G268" s="246"/>
    </row>
    <row r="269" spans="4:9">
      <c r="D269" s="2437">
        <f>D263*D268</f>
        <v>2</v>
      </c>
      <c r="E269" s="76" t="s">
        <v>1748</v>
      </c>
      <c r="F269" s="79"/>
      <c r="G269" s="246"/>
    </row>
    <row r="270" spans="4:9">
      <c r="D270" s="2438">
        <f>D264*D268</f>
        <v>0.5</v>
      </c>
      <c r="E270" s="333" t="s">
        <v>1749</v>
      </c>
      <c r="F270" s="439"/>
      <c r="G270" s="162"/>
    </row>
    <row r="271" spans="4:9">
      <c r="D271" s="2425"/>
      <c r="E271"/>
      <c r="G271"/>
    </row>
    <row r="272" spans="4:9">
      <c r="D272" s="2425"/>
      <c r="E272"/>
      <c r="G272"/>
    </row>
    <row r="273" spans="4:7">
      <c r="D273" s="2425" t="s">
        <v>1743</v>
      </c>
      <c r="E273"/>
      <c r="G273"/>
    </row>
    <row r="274" spans="4:7">
      <c r="D274" s="58">
        <f>D263*D251*D252*D262</f>
        <v>4000</v>
      </c>
      <c r="E274" s="16" t="s">
        <v>1750</v>
      </c>
    </row>
    <row r="275" spans="4:7">
      <c r="D275" s="441">
        <f>D274*D253</f>
        <v>8000</v>
      </c>
      <c r="E275" s="16" t="s">
        <v>1760</v>
      </c>
    </row>
    <row r="276" spans="4:7">
      <c r="D276" s="93"/>
    </row>
    <row r="277" spans="4:7">
      <c r="D277" s="58">
        <f>D251*D264*D252*D262</f>
        <v>1000</v>
      </c>
      <c r="E277" s="16" t="s">
        <v>1751</v>
      </c>
    </row>
    <row r="278" spans="4:7">
      <c r="D278" s="58">
        <f>D277*D254</f>
        <v>1800</v>
      </c>
      <c r="E278" s="16" t="s">
        <v>1764</v>
      </c>
    </row>
    <row r="280" spans="4:7">
      <c r="D280" s="24" t="s">
        <v>1752</v>
      </c>
    </row>
    <row r="281" spans="4:7">
      <c r="D281" s="24">
        <f>D269*D251*D252*D267</f>
        <v>200</v>
      </c>
      <c r="E281" s="16" t="s">
        <v>1750</v>
      </c>
      <c r="G281" s="359">
        <f>D281/10</f>
        <v>20</v>
      </c>
    </row>
    <row r="282" spans="4:7">
      <c r="D282" s="441">
        <f>D281*D253</f>
        <v>400</v>
      </c>
      <c r="E282" s="16" t="s">
        <v>1765</v>
      </c>
    </row>
    <row r="283" spans="4:7">
      <c r="D283" s="2427">
        <f>D281*D257</f>
        <v>2400</v>
      </c>
      <c r="E283" s="16" t="s">
        <v>1761</v>
      </c>
    </row>
    <row r="285" spans="4:7">
      <c r="D285" s="24">
        <f>D251*D270*D252*D267</f>
        <v>50</v>
      </c>
      <c r="E285" s="16" t="s">
        <v>1751</v>
      </c>
      <c r="G285" s="359">
        <f>D285/5</f>
        <v>10</v>
      </c>
    </row>
    <row r="286" spans="4:7">
      <c r="D286" s="2426">
        <f>D285*D254</f>
        <v>90</v>
      </c>
      <c r="E286" s="16" t="s">
        <v>1766</v>
      </c>
    </row>
    <row r="287" spans="4:7">
      <c r="D287" s="2427">
        <f>D258*D285</f>
        <v>1200</v>
      </c>
      <c r="E287" s="16" t="s">
        <v>1761</v>
      </c>
    </row>
    <row r="288" spans="4:7">
      <c r="G288" s="2441"/>
    </row>
    <row r="290" spans="4:7">
      <c r="D290" s="93"/>
    </row>
    <row r="291" spans="4:7">
      <c r="D291" s="77">
        <f>SUM(D274,D281)</f>
        <v>4200</v>
      </c>
      <c r="E291" s="16" t="s">
        <v>1772</v>
      </c>
    </row>
    <row r="292" spans="4:7">
      <c r="D292" s="71">
        <f>SUM(D277,D285)</f>
        <v>1050</v>
      </c>
      <c r="E292" s="16" t="s">
        <v>1773</v>
      </c>
    </row>
    <row r="293" spans="4:7">
      <c r="D293" s="71">
        <f>SUM(D283,D287)/D256</f>
        <v>30</v>
      </c>
      <c r="E293" s="16" t="s">
        <v>1771</v>
      </c>
    </row>
    <row r="294" spans="4:7">
      <c r="D294" s="71"/>
    </row>
    <row r="295" spans="4:7">
      <c r="D295" s="74">
        <f>SUM(D275,D278,D282,D283,D286,D287)</f>
        <v>13890</v>
      </c>
      <c r="E295" s="39" t="s">
        <v>1780</v>
      </c>
    </row>
    <row r="297" spans="4:7">
      <c r="D297" s="367"/>
    </row>
    <row r="298" spans="4:7">
      <c r="D298" s="367"/>
    </row>
    <row r="299" spans="4:7">
      <c r="D299" s="2440" t="s">
        <v>1770</v>
      </c>
      <c r="E299" s="2440"/>
      <c r="F299" s="1744"/>
      <c r="G299" s="2442"/>
    </row>
    <row r="300" spans="4:7">
      <c r="D300" s="1744" t="s">
        <v>466</v>
      </c>
      <c r="E300" s="2443"/>
      <c r="F300" s="1744"/>
      <c r="G300" s="2442"/>
    </row>
    <row r="301" spans="4:7">
      <c r="D301" s="2444" t="s">
        <v>179</v>
      </c>
      <c r="E301" s="2445"/>
      <c r="F301" s="1743"/>
      <c r="G301" s="2442"/>
    </row>
    <row r="302" spans="4:7">
      <c r="D302" s="2446">
        <v>1.6</v>
      </c>
      <c r="E302" s="2440" t="s">
        <v>467</v>
      </c>
      <c r="F302" s="1748"/>
      <c r="G302" s="2442"/>
    </row>
    <row r="303" spans="4:7">
      <c r="D303" s="2447" t="s">
        <v>958</v>
      </c>
      <c r="E303" s="2448"/>
      <c r="F303" s="1750"/>
      <c r="G303" s="2442"/>
    </row>
    <row r="304" spans="4:7">
      <c r="D304" s="25"/>
    </row>
    <row r="305" spans="3:8">
      <c r="D305" s="441"/>
    </row>
    <row r="306" spans="3:8">
      <c r="D306" s="25"/>
    </row>
    <row r="307" spans="3:8">
      <c r="C307" s="1" t="s">
        <v>42</v>
      </c>
      <c r="D307" s="951">
        <v>10000</v>
      </c>
      <c r="E307" s="954" t="s">
        <v>1767</v>
      </c>
    </row>
    <row r="308" spans="3:8">
      <c r="D308" s="952">
        <v>10</v>
      </c>
      <c r="E308" s="953" t="s">
        <v>414</v>
      </c>
    </row>
    <row r="309" spans="3:8">
      <c r="D309"/>
    </row>
    <row r="310" spans="3:8">
      <c r="C310" s="1" t="s">
        <v>3</v>
      </c>
    </row>
    <row r="312" spans="3:8" ht="19">
      <c r="C312" t="s">
        <v>92</v>
      </c>
      <c r="D312" s="37" t="s">
        <v>90</v>
      </c>
    </row>
    <row r="315" spans="3:8">
      <c r="D315" s="67" t="s">
        <v>91</v>
      </c>
      <c r="E315" s="164"/>
      <c r="F315" s="255"/>
      <c r="G315" s="1139"/>
    </row>
    <row r="316" spans="3:8">
      <c r="D316" s="42">
        <f>'Overall Assumptions'!$C$132</f>
        <v>0.5</v>
      </c>
      <c r="E316" s="16" t="s">
        <v>79</v>
      </c>
      <c r="G316" s="1140"/>
    </row>
    <row r="317" spans="3:8">
      <c r="D317" s="42"/>
      <c r="G317" s="1141"/>
      <c r="H317" s="6"/>
    </row>
    <row r="318" spans="3:8">
      <c r="D318" s="252"/>
      <c r="E318" s="24"/>
      <c r="G318" s="1141"/>
      <c r="H318" s="6"/>
    </row>
    <row r="319" spans="3:8">
      <c r="D319" s="42">
        <f>'Overall Assumptions'!$C$53</f>
        <v>4.46</v>
      </c>
      <c r="E319" s="46" t="s">
        <v>780</v>
      </c>
      <c r="G319" s="1141"/>
      <c r="H319" s="6"/>
    </row>
    <row r="320" spans="3:8">
      <c r="D320" s="42">
        <f>'Overall Assumptions'!$C$54</f>
        <v>3.3449999999999998</v>
      </c>
      <c r="E320" s="46" t="s">
        <v>781</v>
      </c>
      <c r="G320" s="1141"/>
      <c r="H320" s="6"/>
    </row>
    <row r="321" spans="3:10">
      <c r="D321" s="125">
        <f>'Overall Assumptions'!$C$55</f>
        <v>2.23</v>
      </c>
      <c r="E321" s="695" t="s">
        <v>782</v>
      </c>
      <c r="F321" s="439"/>
      <c r="G321" s="1142"/>
      <c r="H321" s="6"/>
    </row>
    <row r="322" spans="3:10">
      <c r="G322" s="1100"/>
      <c r="H322" s="3"/>
      <c r="I322" s="3"/>
    </row>
    <row r="323" spans="3:10">
      <c r="D323" s="46"/>
      <c r="G323" s="1100"/>
      <c r="H323" s="3"/>
      <c r="I323" s="3"/>
    </row>
    <row r="324" spans="3:10">
      <c r="D324" s="46"/>
      <c r="G324" s="1100"/>
      <c r="H324" s="3"/>
      <c r="I324" s="3"/>
    </row>
    <row r="325" spans="3:10">
      <c r="D325" s="48"/>
      <c r="E325" s="24"/>
      <c r="G325" s="1100"/>
      <c r="H325" s="3"/>
      <c r="I325" s="3"/>
    </row>
    <row r="326" spans="3:10" ht="19">
      <c r="C326" t="s">
        <v>50</v>
      </c>
      <c r="D326" s="37" t="s">
        <v>959</v>
      </c>
      <c r="E326" s="24"/>
      <c r="F326" s="1"/>
      <c r="G326" s="1100"/>
      <c r="H326" s="3"/>
      <c r="I326" s="3"/>
      <c r="J326" s="3"/>
    </row>
    <row r="327" spans="3:10">
      <c r="F327" s="1"/>
      <c r="G327" s="1100"/>
      <c r="H327" s="3"/>
      <c r="I327" s="3"/>
      <c r="J327" s="3"/>
    </row>
    <row r="328" spans="3:10">
      <c r="D328" s="49"/>
    </row>
    <row r="329" spans="3:10">
      <c r="D329" s="160" t="s">
        <v>240</v>
      </c>
      <c r="G329" s="1143"/>
    </row>
    <row r="330" spans="3:10">
      <c r="D330" s="50"/>
    </row>
    <row r="331" spans="3:10">
      <c r="D331" s="51" t="s">
        <v>82</v>
      </c>
      <c r="E331" s="39"/>
    </row>
    <row r="332" spans="3:10" ht="19">
      <c r="D332" s="52">
        <f>'Overall Assumptions'!$C$68</f>
        <v>225</v>
      </c>
      <c r="E332" s="53" t="s">
        <v>99</v>
      </c>
    </row>
    <row r="333" spans="3:10">
      <c r="D333" s="54">
        <f>'Overall Assumptions'!$C$130</f>
        <v>2</v>
      </c>
      <c r="E333" s="43" t="s">
        <v>84</v>
      </c>
    </row>
    <row r="334" spans="3:10">
      <c r="D334" s="616">
        <f>SUM(D262,D267)</f>
        <v>3</v>
      </c>
      <c r="E334" s="43" t="s">
        <v>1777</v>
      </c>
    </row>
    <row r="335" spans="3:10">
      <c r="D335" s="54"/>
      <c r="E335" s="43"/>
    </row>
    <row r="336" spans="3:10">
      <c r="D336" s="440"/>
      <c r="E336" s="43"/>
    </row>
    <row r="337" spans="3:10">
      <c r="D337" s="54">
        <f>D251</f>
        <v>200</v>
      </c>
      <c r="E337" s="43" t="s">
        <v>1775</v>
      </c>
    </row>
    <row r="338" spans="3:10">
      <c r="D338" s="876">
        <v>10</v>
      </c>
      <c r="E338" s="43" t="s">
        <v>1776</v>
      </c>
    </row>
    <row r="339" spans="3:10">
      <c r="D339" s="54">
        <f>'Overall Assumptions'!$C$90</f>
        <v>80</v>
      </c>
      <c r="E339" s="43" t="s">
        <v>86</v>
      </c>
    </row>
    <row r="340" spans="3:10">
      <c r="D340" s="56">
        <f>'Overall Assumptions'!$C$81</f>
        <v>210</v>
      </c>
      <c r="E340" s="45" t="s">
        <v>87</v>
      </c>
      <c r="J340" s="578"/>
    </row>
    <row r="341" spans="3:10">
      <c r="D341" s="75"/>
      <c r="E341" s="76"/>
      <c r="F341" s="79"/>
      <c r="G341" s="1119"/>
      <c r="J341" s="578"/>
    </row>
    <row r="342" spans="3:10">
      <c r="D342" s="833">
        <f>D319</f>
        <v>4.46</v>
      </c>
      <c r="E342" s="870">
        <f>D320</f>
        <v>3.3449999999999998</v>
      </c>
      <c r="F342" s="128">
        <f>D321</f>
        <v>2.23</v>
      </c>
      <c r="G342" s="1119" t="s">
        <v>792</v>
      </c>
      <c r="J342" s="578"/>
    </row>
    <row r="343" spans="3:10">
      <c r="D343" s="869" t="s">
        <v>788</v>
      </c>
      <c r="E343" s="76" t="s">
        <v>791</v>
      </c>
      <c r="F343" s="79" t="s">
        <v>789</v>
      </c>
      <c r="G343" s="1119"/>
    </row>
    <row r="344" spans="3:10">
      <c r="C344" s="21"/>
      <c r="D344" s="58"/>
      <c r="G344" s="693"/>
      <c r="J344" s="90"/>
    </row>
    <row r="345" spans="3:10">
      <c r="C345" s="21"/>
      <c r="D345" s="58"/>
      <c r="G345" s="1123"/>
    </row>
    <row r="346" spans="3:10">
      <c r="C346" s="21"/>
      <c r="D346" s="77">
        <f>$D337/D342/7.5</f>
        <v>5.9790732436472345</v>
      </c>
      <c r="E346" s="77">
        <f>$D337/E342/7.5</f>
        <v>7.9720976581963141</v>
      </c>
      <c r="F346" s="77">
        <f>$D337/F342/7.5</f>
        <v>11.958146487294469</v>
      </c>
      <c r="G346" s="693" t="s">
        <v>242</v>
      </c>
      <c r="J346" s="90"/>
    </row>
    <row r="347" spans="3:10" ht="18" customHeight="1">
      <c r="C347" s="21"/>
      <c r="D347" s="58"/>
      <c r="E347" s="59"/>
      <c r="F347" s="19"/>
    </row>
    <row r="348" spans="3:10">
      <c r="D348" s="46">
        <f>D337*D338/60</f>
        <v>33.333333333333336</v>
      </c>
      <c r="G348" s="99" t="s">
        <v>239</v>
      </c>
      <c r="I348" s="16"/>
      <c r="J348" s="1"/>
    </row>
    <row r="349" spans="3:10">
      <c r="D349" s="46"/>
      <c r="G349" s="99"/>
      <c r="I349" s="16"/>
      <c r="J349" s="1"/>
    </row>
    <row r="350" spans="3:10">
      <c r="D350" s="77">
        <f>D348/7.5</f>
        <v>4.4444444444444446</v>
      </c>
      <c r="E350" s="77">
        <f>D350</f>
        <v>4.4444444444444446</v>
      </c>
      <c r="F350" s="90">
        <f>E350</f>
        <v>4.4444444444444446</v>
      </c>
      <c r="G350" s="693" t="s">
        <v>241</v>
      </c>
      <c r="I350" s="30"/>
    </row>
    <row r="351" spans="3:10" ht="18" customHeight="1">
      <c r="C351" s="21"/>
      <c r="D351" s="58"/>
      <c r="E351" s="59"/>
      <c r="F351" s="19"/>
    </row>
    <row r="352" spans="3:10" ht="18" customHeight="1">
      <c r="C352" s="21"/>
      <c r="D352" s="77">
        <f>D346+D350</f>
        <v>10.423517688091678</v>
      </c>
      <c r="E352" s="77">
        <f>E346+E350</f>
        <v>12.416542102640758</v>
      </c>
      <c r="F352" s="77">
        <f>F346+F350</f>
        <v>16.402590931738914</v>
      </c>
      <c r="G352" s="99" t="s">
        <v>157</v>
      </c>
    </row>
    <row r="353" spans="3:11">
      <c r="C353" s="21"/>
      <c r="D353" s="46">
        <f>D352*$D334</f>
        <v>31.270553064275035</v>
      </c>
      <c r="E353" s="46">
        <f>E352*$D334</f>
        <v>37.24962630792227</v>
      </c>
      <c r="F353" s="46">
        <f>F352*$D334</f>
        <v>49.207772795216741</v>
      </c>
      <c r="G353" s="99" t="s">
        <v>1778</v>
      </c>
    </row>
    <row r="354" spans="3:11">
      <c r="C354" s="21"/>
      <c r="G354" s="99"/>
    </row>
    <row r="355" spans="3:11">
      <c r="C355" s="21"/>
      <c r="D355" s="77">
        <f>D353*$D333</f>
        <v>62.541106128550069</v>
      </c>
      <c r="E355" s="77">
        <f>E353*$D333</f>
        <v>74.49925261584454</v>
      </c>
      <c r="F355" s="77">
        <f>F353*$D333</f>
        <v>98.415545590433481</v>
      </c>
      <c r="G355" s="99" t="s">
        <v>566</v>
      </c>
      <c r="J355" s="90"/>
    </row>
    <row r="356" spans="3:11">
      <c r="C356" s="21"/>
      <c r="D356" s="77"/>
      <c r="J356" s="90"/>
    </row>
    <row r="357" spans="3:11">
      <c r="C357" s="21"/>
      <c r="D357" s="64">
        <f>D355*$D332</f>
        <v>14071.748878923765</v>
      </c>
      <c r="E357" s="905">
        <f>E355*$D332</f>
        <v>16762.33183856502</v>
      </c>
      <c r="F357" s="905">
        <f>F355*$D332</f>
        <v>22143.497757847534</v>
      </c>
      <c r="G357" s="1101" t="s">
        <v>486</v>
      </c>
      <c r="J357" s="259"/>
      <c r="K357" s="16"/>
    </row>
    <row r="358" spans="3:11">
      <c r="C358" s="21"/>
      <c r="D358" s="63"/>
      <c r="J358" s="259"/>
      <c r="K358" s="16"/>
    </row>
    <row r="359" spans="3:11">
      <c r="D359" s="63"/>
    </row>
    <row r="360" spans="3:11">
      <c r="H360" s="259"/>
      <c r="J360" s="65"/>
      <c r="K360" s="24"/>
    </row>
    <row r="361" spans="3:11">
      <c r="D361" s="65"/>
      <c r="E361" s="24"/>
      <c r="J361" s="65"/>
      <c r="K361" s="24"/>
    </row>
    <row r="362" spans="3:11">
      <c r="E362" s="24"/>
    </row>
    <row r="363" spans="3:11" ht="19">
      <c r="C363" t="s">
        <v>132</v>
      </c>
      <c r="D363" s="37" t="s">
        <v>89</v>
      </c>
    </row>
    <row r="364" spans="3:11">
      <c r="C364" t="s">
        <v>54</v>
      </c>
    </row>
    <row r="365" spans="3:11">
      <c r="D365" s="160" t="s">
        <v>243</v>
      </c>
    </row>
    <row r="366" spans="3:11">
      <c r="D366" s="16"/>
    </row>
    <row r="367" spans="3:11">
      <c r="D367" s="67" t="s">
        <v>91</v>
      </c>
      <c r="E367" s="41"/>
    </row>
    <row r="368" spans="3:11">
      <c r="D368" s="52">
        <f>'Overall Assumptions'!$C$93</f>
        <v>285</v>
      </c>
      <c r="E368" s="41" t="s">
        <v>93</v>
      </c>
    </row>
    <row r="369" spans="3:11">
      <c r="D369" s="54"/>
      <c r="E369" s="43"/>
    </row>
    <row r="370" spans="3:11">
      <c r="D370" s="54">
        <f>'Overall Assumptions'!$C$90</f>
        <v>80</v>
      </c>
      <c r="E370" s="43" t="s">
        <v>86</v>
      </c>
    </row>
    <row r="371" spans="3:11">
      <c r="D371" s="616"/>
      <c r="E371" s="43"/>
    </row>
    <row r="372" spans="3:11">
      <c r="D372" s="56"/>
      <c r="E372" s="45"/>
      <c r="J372" s="578"/>
    </row>
    <row r="373" spans="3:11">
      <c r="D373" s="75"/>
    </row>
    <row r="374" spans="3:11">
      <c r="D374" s="46"/>
      <c r="G374" s="693"/>
      <c r="J374" s="532"/>
      <c r="K374" s="59"/>
    </row>
    <row r="375" spans="3:11">
      <c r="D375" s="46"/>
      <c r="E375" s="46"/>
      <c r="F375" s="46"/>
      <c r="G375" s="693"/>
      <c r="K375" s="59"/>
    </row>
    <row r="376" spans="3:11">
      <c r="D376" s="46"/>
      <c r="E376" s="46"/>
      <c r="F376" s="46"/>
      <c r="G376" s="693"/>
      <c r="K376" s="59"/>
    </row>
    <row r="377" spans="3:11">
      <c r="D377" s="46">
        <f>D353</f>
        <v>31.270553064275035</v>
      </c>
      <c r="E377" s="46">
        <f>E353</f>
        <v>37.24962630792227</v>
      </c>
      <c r="F377" s="46">
        <f>F353</f>
        <v>49.207772795216741</v>
      </c>
      <c r="G377" s="359" t="s">
        <v>1779</v>
      </c>
      <c r="J377" s="90"/>
    </row>
    <row r="378" spans="3:11">
      <c r="D378" s="63"/>
      <c r="J378" s="259"/>
      <c r="K378" s="16"/>
    </row>
    <row r="379" spans="3:11">
      <c r="D379" s="63"/>
      <c r="J379" s="259"/>
      <c r="K379" s="16"/>
    </row>
    <row r="380" spans="3:11">
      <c r="D380" s="68">
        <f>D377*$D368</f>
        <v>8912.1076233183849</v>
      </c>
      <c r="E380" s="906">
        <f>E377*$D368</f>
        <v>10616.143497757846</v>
      </c>
      <c r="F380" s="906">
        <f>F377*$D368</f>
        <v>14024.215246636772</v>
      </c>
      <c r="G380" s="1126" t="s">
        <v>53</v>
      </c>
      <c r="J380" s="65"/>
      <c r="K380" s="24"/>
    </row>
    <row r="381" spans="3:11">
      <c r="D381">
        <f>ROUNDUP(D377/21,0)</f>
        <v>2</v>
      </c>
      <c r="E381">
        <f>ROUNDUP(E377/21,0)</f>
        <v>2</v>
      </c>
      <c r="F381">
        <f>ROUNDUP(F377/21,0)</f>
        <v>3</v>
      </c>
      <c r="G381" s="359" t="s">
        <v>739</v>
      </c>
      <c r="J381" s="65"/>
      <c r="K381" s="24"/>
    </row>
    <row r="382" spans="3:11">
      <c r="D382" s="532">
        <f>D377</f>
        <v>31.270553064275035</v>
      </c>
      <c r="E382" s="532">
        <f>E377</f>
        <v>37.24962630792227</v>
      </c>
      <c r="F382" s="532">
        <f>F377</f>
        <v>49.207772795216741</v>
      </c>
      <c r="G382" s="359" t="s">
        <v>793</v>
      </c>
      <c r="J382" s="65"/>
      <c r="K382" s="24"/>
    </row>
    <row r="383" spans="3:11">
      <c r="D383"/>
      <c r="E383"/>
      <c r="J383" s="65"/>
      <c r="K383" s="24"/>
    </row>
    <row r="384" spans="3:11">
      <c r="C384" t="s">
        <v>70</v>
      </c>
      <c r="D384" s="58"/>
      <c r="E384" s="59" t="s">
        <v>156</v>
      </c>
      <c r="J384" s="65"/>
      <c r="K384" s="24"/>
    </row>
    <row r="385" spans="3:12">
      <c r="D385" s="58"/>
      <c r="E385" s="59"/>
      <c r="J385" s="65"/>
      <c r="K385" s="24"/>
    </row>
    <row r="386" spans="3:12">
      <c r="D386" s="58"/>
      <c r="E386" s="59"/>
      <c r="J386" s="65"/>
      <c r="K386" s="24"/>
    </row>
    <row r="387" spans="3:12">
      <c r="D387" s="25">
        <f>D353</f>
        <v>31.270553064275035</v>
      </c>
      <c r="E387" s="25">
        <f>E353</f>
        <v>37.24962630792227</v>
      </c>
      <c r="F387" s="25">
        <f>F353</f>
        <v>49.207772795216741</v>
      </c>
      <c r="G387" s="99" t="s">
        <v>157</v>
      </c>
      <c r="J387" s="65"/>
      <c r="K387" s="24"/>
    </row>
    <row r="388" spans="3:12">
      <c r="D388" s="61">
        <f>FLOOR(D387,1)</f>
        <v>31</v>
      </c>
      <c r="E388" s="61">
        <f>FLOOR(E387,1)</f>
        <v>37</v>
      </c>
      <c r="F388" s="61">
        <f>FLOOR(F387,1)</f>
        <v>49</v>
      </c>
      <c r="G388" s="99" t="s">
        <v>73</v>
      </c>
      <c r="J388" s="65"/>
      <c r="K388" s="24"/>
    </row>
    <row r="389" spans="3:12">
      <c r="D389" s="146">
        <f>D388*$D333</f>
        <v>62</v>
      </c>
      <c r="E389" s="146">
        <f>E388*$D333</f>
        <v>74</v>
      </c>
      <c r="F389" s="146">
        <f>F388*$D333</f>
        <v>98</v>
      </c>
      <c r="G389" s="1102" t="s">
        <v>175</v>
      </c>
      <c r="J389" s="65"/>
      <c r="K389" s="24"/>
    </row>
    <row r="390" spans="3:12">
      <c r="D390" s="65"/>
      <c r="E390" s="65"/>
      <c r="F390" s="65"/>
      <c r="G390" s="1102" t="s">
        <v>88</v>
      </c>
      <c r="J390" s="65"/>
      <c r="K390" s="24"/>
    </row>
    <row r="391" spans="3:12">
      <c r="D391" s="102">
        <f>D389*$D340</f>
        <v>13020</v>
      </c>
      <c r="E391" s="907">
        <f>E389*$D340</f>
        <v>15540</v>
      </c>
      <c r="F391" s="907">
        <f>F389*$D340</f>
        <v>20580</v>
      </c>
      <c r="G391" s="1101" t="s">
        <v>74</v>
      </c>
      <c r="J391" s="259"/>
      <c r="K391" s="16"/>
    </row>
    <row r="392" spans="3:12">
      <c r="D392" s="65"/>
      <c r="E392" s="1" t="s">
        <v>788</v>
      </c>
      <c r="F392" s="1" t="s">
        <v>779</v>
      </c>
      <c r="G392" s="1" t="s">
        <v>789</v>
      </c>
      <c r="H392" s="1" t="s">
        <v>788</v>
      </c>
      <c r="I392" s="1" t="s">
        <v>779</v>
      </c>
      <c r="J392" s="1" t="s">
        <v>789</v>
      </c>
      <c r="K392" s="24"/>
    </row>
    <row r="393" spans="3:12">
      <c r="C393" s="198"/>
      <c r="D393" s="617" t="s">
        <v>172</v>
      </c>
      <c r="E393" s="618" t="s">
        <v>155</v>
      </c>
      <c r="F393" s="618" t="s">
        <v>155</v>
      </c>
      <c r="G393" s="618" t="s">
        <v>155</v>
      </c>
      <c r="H393" s="618" t="s">
        <v>166</v>
      </c>
      <c r="I393" s="255"/>
      <c r="J393" s="255"/>
      <c r="K393" s="619" t="s">
        <v>69</v>
      </c>
    </row>
    <row r="394" spans="3:12">
      <c r="C394" s="198"/>
      <c r="D394" s="404" t="s">
        <v>3</v>
      </c>
      <c r="E394" s="128">
        <f>D355</f>
        <v>62.541106128550069</v>
      </c>
      <c r="F394" s="128">
        <f t="shared" ref="F394:G394" si="57">E355</f>
        <v>74.49925261584454</v>
      </c>
      <c r="G394" s="128">
        <f t="shared" si="57"/>
        <v>98.415545590433481</v>
      </c>
      <c r="H394" s="92">
        <f>D357</f>
        <v>14071.748878923765</v>
      </c>
      <c r="I394" s="92">
        <f>E357</f>
        <v>16762.33183856502</v>
      </c>
      <c r="J394" s="92">
        <f>F357</f>
        <v>22143.497757847534</v>
      </c>
      <c r="K394" s="830" t="str">
        <f>G357</f>
        <v>Cost for labour</v>
      </c>
      <c r="L394" s="558">
        <f>D259</f>
        <v>10</v>
      </c>
    </row>
    <row r="395" spans="3:12">
      <c r="C395" s="198"/>
      <c r="D395" s="404" t="s">
        <v>490</v>
      </c>
      <c r="E395" s="128">
        <f>D377</f>
        <v>31.270553064275035</v>
      </c>
      <c r="F395" s="128">
        <f t="shared" ref="F395:G395" si="58">E377</f>
        <v>37.24962630792227</v>
      </c>
      <c r="G395" s="128">
        <f t="shared" si="58"/>
        <v>49.207772795216741</v>
      </c>
      <c r="H395" s="92">
        <f>D380</f>
        <v>8912.1076233183849</v>
      </c>
      <c r="I395" s="92">
        <f>E380</f>
        <v>10616.143497757846</v>
      </c>
      <c r="J395" s="92">
        <f>F380</f>
        <v>14024.215246636772</v>
      </c>
      <c r="K395" s="830" t="str">
        <f>G380</f>
        <v>Cost for ute hire for the whole activity</v>
      </c>
      <c r="L395" s="558">
        <f>L394</f>
        <v>10</v>
      </c>
    </row>
    <row r="396" spans="3:12">
      <c r="C396" s="198"/>
      <c r="D396" s="404" t="s">
        <v>1781</v>
      </c>
      <c r="E396" s="128">
        <f>D389</f>
        <v>62</v>
      </c>
      <c r="F396" s="128">
        <f t="shared" ref="F396:G396" si="59">E389</f>
        <v>74</v>
      </c>
      <c r="G396" s="128">
        <f t="shared" si="59"/>
        <v>98</v>
      </c>
      <c r="H396" s="92">
        <f>SUM($D295+D391)</f>
        <v>26910</v>
      </c>
      <c r="I396" s="92">
        <f>SUM($D295+E391)</f>
        <v>29430</v>
      </c>
      <c r="J396" s="92">
        <f>SUM($D295+F391)</f>
        <v>34470</v>
      </c>
      <c r="K396" s="830" t="s">
        <v>1783</v>
      </c>
      <c r="L396" s="558">
        <f>L395</f>
        <v>10</v>
      </c>
    </row>
    <row r="397" spans="3:12">
      <c r="D397" s="404" t="s">
        <v>21</v>
      </c>
      <c r="E397" s="128"/>
      <c r="F397" s="336"/>
      <c r="G397" s="1119"/>
      <c r="H397" s="92">
        <f>D307</f>
        <v>10000</v>
      </c>
      <c r="I397" s="92">
        <f>H397</f>
        <v>10000</v>
      </c>
      <c r="J397" s="92">
        <f>I397</f>
        <v>10000</v>
      </c>
      <c r="K397" s="830" t="str">
        <f>E307</f>
        <v>Bait mixer + 5% sodium hypochlorite + PPE</v>
      </c>
      <c r="L397" s="539">
        <f>D308</f>
        <v>10</v>
      </c>
    </row>
    <row r="398" spans="3:12">
      <c r="C398" s="198"/>
      <c r="D398" s="405"/>
      <c r="E398" s="439"/>
      <c r="F398" s="439"/>
      <c r="G398" s="1098"/>
      <c r="H398" s="622">
        <f>SUM(H394:H397)</f>
        <v>59893.856502242154</v>
      </c>
      <c r="I398" s="622">
        <f>SUM(I394:I397)</f>
        <v>66808.475336322866</v>
      </c>
      <c r="J398" s="622">
        <f>SUM(J394:J397)</f>
        <v>80637.713004484307</v>
      </c>
      <c r="K398" s="623" t="s">
        <v>165</v>
      </c>
    </row>
    <row r="400" spans="3:12">
      <c r="D400" s="65"/>
      <c r="E400" s="24"/>
    </row>
    <row r="401" spans="3:36">
      <c r="E401" s="24"/>
    </row>
    <row r="402" spans="3:36">
      <c r="D402" s="432"/>
      <c r="E402" s="24"/>
    </row>
    <row r="403" spans="3:36">
      <c r="D403" s="93"/>
    </row>
    <row r="404" spans="3:36">
      <c r="D404" s="25"/>
    </row>
    <row r="405" spans="3:36" s="7" customFormat="1">
      <c r="D405" s="69"/>
      <c r="E405" s="36"/>
      <c r="G405" s="1089"/>
      <c r="AI405"/>
      <c r="AJ405"/>
    </row>
    <row r="406" spans="3:36" s="7" customFormat="1">
      <c r="D406" s="103"/>
      <c r="E406" s="103"/>
      <c r="G406" s="1089"/>
      <c r="AI406"/>
      <c r="AJ406"/>
    </row>
    <row r="407" spans="3:36">
      <c r="D407"/>
      <c r="F407" s="16"/>
    </row>
    <row r="408" spans="3:36" s="7" customFormat="1">
      <c r="D408" s="69"/>
      <c r="E408" s="36"/>
      <c r="G408" s="1089"/>
    </row>
    <row r="409" spans="3:36" s="9" customFormat="1">
      <c r="E409" s="34"/>
      <c r="F409" s="34"/>
      <c r="G409" s="572"/>
    </row>
    <row r="410" spans="3:36" s="9" customFormat="1">
      <c r="C410" s="121" t="s">
        <v>226</v>
      </c>
      <c r="D410" s="34" t="s">
        <v>1846</v>
      </c>
      <c r="E410" s="34"/>
      <c r="G410" s="572"/>
    </row>
    <row r="411" spans="3:36" s="79" customFormat="1">
      <c r="D411" s="475"/>
      <c r="E411" s="66"/>
      <c r="G411" s="1119"/>
      <c r="J411" s="65"/>
      <c r="K411" s="66"/>
    </row>
    <row r="412" spans="3:36" s="79" customFormat="1">
      <c r="D412" s="330">
        <v>5</v>
      </c>
      <c r="E412" s="66" t="s">
        <v>263</v>
      </c>
      <c r="G412" s="1120"/>
      <c r="H412" s="324"/>
      <c r="I412" s="325"/>
    </row>
    <row r="413" spans="3:36" s="79" customFormat="1">
      <c r="D413" s="2164"/>
      <c r="E413" s="66"/>
      <c r="G413" s="1120"/>
      <c r="H413" s="324"/>
      <c r="I413" s="325"/>
    </row>
    <row r="414" spans="3:36" s="79" customFormat="1">
      <c r="C414" s="79" t="s">
        <v>1832</v>
      </c>
      <c r="D414" s="2455" t="s">
        <v>1794</v>
      </c>
      <c r="E414" s="9"/>
      <c r="G414" s="1120"/>
      <c r="H414" s="324"/>
      <c r="I414" s="325"/>
    </row>
    <row r="415" spans="3:36" s="79" customFormat="1">
      <c r="D415" s="2455" t="s">
        <v>1795</v>
      </c>
      <c r="G415" s="1120"/>
      <c r="H415" s="324"/>
      <c r="I415" s="325"/>
    </row>
    <row r="416" spans="3:36" s="79" customFormat="1" ht="17">
      <c r="D416" s="2164"/>
      <c r="E416" s="66"/>
      <c r="G416" s="1120"/>
      <c r="H416" s="324"/>
      <c r="I416" s="324"/>
      <c r="J416" s="2460" t="s">
        <v>1805</v>
      </c>
    </row>
    <row r="417" spans="3:12" s="79" customFormat="1">
      <c r="D417" s="2164">
        <v>30</v>
      </c>
      <c r="E417" s="66" t="s">
        <v>1833</v>
      </c>
      <c r="G417" s="1120"/>
      <c r="H417" s="324"/>
      <c r="I417" s="324"/>
      <c r="J417" s="1295" t="s">
        <v>1806</v>
      </c>
    </row>
    <row r="418" spans="3:12" s="79" customFormat="1">
      <c r="D418" s="2461">
        <f>'Overall Assumptions'!$C$111</f>
        <v>150</v>
      </c>
      <c r="E418" s="280" t="s">
        <v>1802</v>
      </c>
      <c r="G418" s="1120"/>
      <c r="H418" s="324"/>
      <c r="I418" s="324"/>
      <c r="J418" s="2458" t="s">
        <v>1807</v>
      </c>
    </row>
    <row r="419" spans="3:12" s="79" customFormat="1">
      <c r="D419" s="2462">
        <v>1800</v>
      </c>
      <c r="E419" s="76" t="s">
        <v>1801</v>
      </c>
      <c r="G419" s="1120"/>
      <c r="H419" s="324"/>
      <c r="I419" s="324"/>
      <c r="J419" s="1295" t="s">
        <v>1808</v>
      </c>
    </row>
    <row r="420" spans="3:12" s="79" customFormat="1">
      <c r="D420" s="2164"/>
      <c r="E420" s="66"/>
      <c r="G420" s="1120"/>
      <c r="H420" s="324"/>
      <c r="I420" s="324"/>
      <c r="J420" s="2458" t="s">
        <v>1809</v>
      </c>
    </row>
    <row r="421" spans="3:12" s="79" customFormat="1">
      <c r="D421" s="2164"/>
      <c r="E421" s="66"/>
      <c r="G421" s="1120"/>
      <c r="H421" s="324"/>
      <c r="I421" s="324"/>
      <c r="J421" s="1295" t="s">
        <v>1810</v>
      </c>
    </row>
    <row r="422" spans="3:12" s="79" customFormat="1">
      <c r="D422" s="2164"/>
      <c r="E422" s="2164"/>
      <c r="F422" s="122"/>
      <c r="G422" s="2157"/>
      <c r="H422" s="3609"/>
      <c r="I422" s="325"/>
    </row>
    <row r="423" spans="3:12" s="79" customFormat="1">
      <c r="C423" s="124"/>
      <c r="D423" s="122"/>
      <c r="E423" s="122"/>
      <c r="F423" s="2157"/>
      <c r="G423" s="3609"/>
      <c r="H423" s="122"/>
    </row>
    <row r="424" spans="3:12" s="79" customFormat="1">
      <c r="D424" s="2164"/>
      <c r="E424" s="66"/>
      <c r="G424" s="1120"/>
      <c r="H424" s="324"/>
      <c r="I424" s="325"/>
    </row>
    <row r="425" spans="3:12" s="79" customFormat="1" ht="19">
      <c r="C425" t="s">
        <v>50</v>
      </c>
      <c r="D425" s="37" t="s">
        <v>81</v>
      </c>
      <c r="E425" s="24"/>
      <c r="F425" s="1"/>
      <c r="G425" s="1100"/>
      <c r="H425" s="286"/>
      <c r="I425" s="286"/>
      <c r="J425" s="289"/>
      <c r="K425" s="216"/>
    </row>
    <row r="426" spans="3:12" s="79" customFormat="1">
      <c r="C426"/>
      <c r="D426" s="24"/>
      <c r="E426" s="16"/>
      <c r="F426" s="1"/>
      <c r="G426" s="1100"/>
      <c r="J426" s="248"/>
      <c r="K426" s="248"/>
      <c r="L426" s="122"/>
    </row>
    <row r="427" spans="3:12" s="79" customFormat="1">
      <c r="C427"/>
      <c r="D427" s="160" t="s">
        <v>294</v>
      </c>
      <c r="E427" s="16"/>
      <c r="F427"/>
      <c r="G427" s="572"/>
      <c r="H427" s="122"/>
      <c r="I427" s="122"/>
      <c r="J427" s="248"/>
      <c r="K427" s="288"/>
      <c r="L427" s="122"/>
    </row>
    <row r="428" spans="3:12" s="79" customFormat="1">
      <c r="C428"/>
      <c r="D428" s="50"/>
      <c r="E428" s="16"/>
      <c r="F428"/>
      <c r="G428" s="572"/>
      <c r="H428" s="122"/>
      <c r="I428" s="122"/>
      <c r="J428" s="286"/>
      <c r="K428" s="286"/>
      <c r="L428" s="122"/>
    </row>
    <row r="429" spans="3:12" s="79" customFormat="1">
      <c r="C429"/>
      <c r="D429" s="51" t="s">
        <v>82</v>
      </c>
      <c r="E429" s="39"/>
      <c r="F429"/>
      <c r="G429" s="572"/>
      <c r="H429" s="286"/>
      <c r="I429" s="286"/>
      <c r="J429" s="289"/>
      <c r="K429" s="289"/>
    </row>
    <row r="430" spans="3:12" s="79" customFormat="1" ht="19">
      <c r="C430"/>
      <c r="D430" s="52">
        <f>'Overall Assumptions'!$C$68</f>
        <v>225</v>
      </c>
      <c r="E430" s="53" t="s">
        <v>99</v>
      </c>
      <c r="F430"/>
      <c r="G430" s="572"/>
      <c r="H430" s="122"/>
      <c r="I430" s="122"/>
      <c r="J430" s="290"/>
      <c r="K430" s="2164"/>
    </row>
    <row r="431" spans="3:12" s="79" customFormat="1" ht="19">
      <c r="C431"/>
      <c r="D431" s="54"/>
      <c r="E431" s="355"/>
      <c r="F431"/>
      <c r="G431" s="572"/>
      <c r="H431" s="122"/>
      <c r="I431" s="290"/>
      <c r="J431" s="122" t="s">
        <v>809</v>
      </c>
      <c r="K431" s="2164"/>
    </row>
    <row r="432" spans="3:12" s="79" customFormat="1" ht="19">
      <c r="C432"/>
      <c r="D432" s="54">
        <f>'Overall Assumptions'!$C$6</f>
        <v>100</v>
      </c>
      <c r="E432" s="355" t="s">
        <v>1791</v>
      </c>
      <c r="F432"/>
      <c r="G432" s="572"/>
      <c r="H432" s="122"/>
      <c r="I432" s="978"/>
      <c r="J432" s="122"/>
      <c r="K432" s="2164"/>
    </row>
    <row r="433" spans="3:11" s="79" customFormat="1" ht="19">
      <c r="C433"/>
      <c r="D433" s="54">
        <f>1</f>
        <v>1</v>
      </c>
      <c r="E433" s="355" t="s">
        <v>1796</v>
      </c>
      <c r="F433"/>
      <c r="G433" s="572"/>
      <c r="H433" s="122"/>
      <c r="I433" s="978"/>
      <c r="J433" s="122"/>
      <c r="K433" s="2164"/>
    </row>
    <row r="434" spans="3:11" s="79" customFormat="1" ht="19">
      <c r="C434"/>
      <c r="D434" s="54">
        <f>D432/D433</f>
        <v>100</v>
      </c>
      <c r="E434" s="355" t="s">
        <v>1797</v>
      </c>
      <c r="F434"/>
      <c r="G434" s="572"/>
      <c r="H434" s="122"/>
      <c r="I434" s="978"/>
      <c r="J434" s="122"/>
      <c r="K434" s="2164"/>
    </row>
    <row r="435" spans="3:11" s="79" customFormat="1">
      <c r="C435"/>
      <c r="D435" s="467">
        <f>'Overall Assumptions'!C130</f>
        <v>2</v>
      </c>
      <c r="E435" s="43" t="s">
        <v>84</v>
      </c>
      <c r="F435"/>
      <c r="G435" s="572"/>
      <c r="H435" s="122"/>
      <c r="I435" s="122"/>
      <c r="J435" s="290"/>
      <c r="K435" s="2164"/>
    </row>
    <row r="436" spans="3:11" s="79" customFormat="1">
      <c r="C436"/>
      <c r="D436" s="467"/>
      <c r="E436" s="43"/>
      <c r="F436"/>
      <c r="G436" s="572"/>
      <c r="H436" s="122"/>
      <c r="I436" s="122"/>
      <c r="J436" s="290"/>
      <c r="K436" s="2164"/>
    </row>
    <row r="437" spans="3:11" s="79" customFormat="1">
      <c r="C437"/>
      <c r="D437" s="354">
        <v>1</v>
      </c>
      <c r="E437" s="43" t="s">
        <v>1793</v>
      </c>
      <c r="F437"/>
      <c r="G437" s="572"/>
      <c r="H437" s="122"/>
      <c r="I437" s="122"/>
      <c r="J437" s="290"/>
      <c r="K437" s="2164"/>
    </row>
    <row r="438" spans="3:11" s="79" customFormat="1">
      <c r="C438"/>
      <c r="D438" s="354">
        <f>D417</f>
        <v>30</v>
      </c>
      <c r="E438" s="43" t="s">
        <v>1800</v>
      </c>
      <c r="F438"/>
      <c r="G438" s="572"/>
      <c r="H438" s="122"/>
      <c r="I438" s="122"/>
      <c r="J438" s="290"/>
      <c r="K438" s="2164"/>
    </row>
    <row r="439" spans="3:11" s="79" customFormat="1">
      <c r="C439"/>
      <c r="D439" s="506">
        <f>D438/60/7.5</f>
        <v>6.6666666666666666E-2</v>
      </c>
      <c r="E439" s="43" t="s">
        <v>1792</v>
      </c>
      <c r="F439"/>
      <c r="G439" s="572"/>
      <c r="H439" s="122"/>
      <c r="I439" s="122"/>
      <c r="J439" s="290"/>
      <c r="K439" s="2164"/>
    </row>
    <row r="440" spans="3:11" s="79" customFormat="1">
      <c r="C440"/>
      <c r="D440" s="506"/>
      <c r="E440" s="43"/>
      <c r="F440"/>
      <c r="G440" s="572"/>
      <c r="H440" s="122"/>
      <c r="I440" s="122"/>
      <c r="J440" s="290"/>
      <c r="K440" s="2164"/>
    </row>
    <row r="441" spans="3:11" s="79" customFormat="1">
      <c r="C441"/>
      <c r="D441" s="467"/>
      <c r="E441" s="43"/>
      <c r="F441"/>
      <c r="G441" s="572"/>
      <c r="H441" s="122"/>
      <c r="I441" s="122"/>
      <c r="J441" s="290"/>
      <c r="K441" s="2164"/>
    </row>
    <row r="442" spans="3:11" s="79" customFormat="1">
      <c r="C442"/>
      <c r="D442" s="467"/>
      <c r="E442" s="43"/>
      <c r="F442"/>
      <c r="G442" s="572"/>
      <c r="H442" s="122"/>
      <c r="I442" s="122"/>
      <c r="J442" s="290"/>
      <c r="K442" s="2164"/>
    </row>
    <row r="443" spans="3:11" s="79" customFormat="1">
      <c r="C443"/>
      <c r="D443" s="354"/>
      <c r="E443" s="43"/>
      <c r="F443"/>
      <c r="G443" s="572"/>
      <c r="H443" s="122"/>
      <c r="I443" s="122"/>
      <c r="J443" s="122"/>
      <c r="K443" s="122"/>
    </row>
    <row r="444" spans="3:11" s="79" customFormat="1">
      <c r="C444"/>
      <c r="D444" s="506"/>
      <c r="E444" s="43"/>
      <c r="F444"/>
      <c r="G444" s="572"/>
      <c r="H444" s="122"/>
      <c r="I444" s="122"/>
      <c r="J444" s="122"/>
      <c r="K444" s="122"/>
    </row>
    <row r="445" spans="3:11" s="79" customFormat="1">
      <c r="C445"/>
      <c r="D445" s="506"/>
      <c r="E445" s="43"/>
      <c r="F445"/>
      <c r="G445" s="572"/>
      <c r="H445" s="122"/>
      <c r="I445" s="122"/>
      <c r="J445" s="122"/>
      <c r="K445" s="122"/>
    </row>
    <row r="446" spans="3:11" s="79" customFormat="1">
      <c r="C446"/>
      <c r="D446" s="54">
        <f>'Overall Assumptions'!$C$10</f>
        <v>0</v>
      </c>
      <c r="E446" s="43" t="s">
        <v>85</v>
      </c>
      <c r="F446"/>
      <c r="G446" s="572"/>
      <c r="H446" s="122"/>
      <c r="I446" s="122" t="s">
        <v>477</v>
      </c>
      <c r="J446" s="122"/>
      <c r="K446" s="122"/>
    </row>
    <row r="447" spans="3:11" s="79" customFormat="1">
      <c r="C447"/>
      <c r="D447" s="354">
        <f>'Overall Assumptions'!$C$112</f>
        <v>25</v>
      </c>
      <c r="E447" s="43" t="s">
        <v>1799</v>
      </c>
      <c r="F447"/>
      <c r="G447" s="359"/>
    </row>
    <row r="448" spans="3:11" s="79" customFormat="1">
      <c r="C448"/>
      <c r="D448" s="56">
        <f>'Overall Assumptions'!$C$81</f>
        <v>210</v>
      </c>
      <c r="E448" s="45" t="s">
        <v>87</v>
      </c>
      <c r="F448"/>
      <c r="G448" s="359"/>
    </row>
    <row r="449" spans="3:11" s="79" customFormat="1">
      <c r="C449"/>
      <c r="D449" s="57"/>
      <c r="E449" s="16"/>
      <c r="F449"/>
      <c r="G449" s="359"/>
    </row>
    <row r="450" spans="3:11" s="79" customFormat="1">
      <c r="C450" s="21"/>
      <c r="D450" s="296">
        <f>2*D446/D447/7.5</f>
        <v>0</v>
      </c>
      <c r="E450" s="59" t="s">
        <v>95</v>
      </c>
      <c r="F450"/>
      <c r="G450" s="359"/>
      <c r="J450" s="129"/>
      <c r="K450" s="76"/>
    </row>
    <row r="451" spans="3:11" s="79" customFormat="1">
      <c r="C451" s="21"/>
      <c r="D451" s="296"/>
      <c r="E451" s="60" t="s">
        <v>100</v>
      </c>
      <c r="F451"/>
      <c r="G451" s="359"/>
      <c r="J451" s="65"/>
      <c r="K451" s="66"/>
    </row>
    <row r="452" spans="3:11" s="79" customFormat="1">
      <c r="C452" s="21"/>
      <c r="D452" s="296">
        <f>D432*D437*D439</f>
        <v>6.666666666666667</v>
      </c>
      <c r="E452" s="124" t="s">
        <v>1844</v>
      </c>
      <c r="F452"/>
      <c r="G452" s="359"/>
    </row>
    <row r="453" spans="3:11" s="79" customFormat="1">
      <c r="C453" s="21"/>
      <c r="D453" s="296"/>
      <c r="E453" s="124"/>
      <c r="F453"/>
      <c r="G453" s="359"/>
    </row>
    <row r="454" spans="3:11" s="79" customFormat="1">
      <c r="C454" s="21"/>
      <c r="D454" s="2456">
        <f>D432/D447/7.5</f>
        <v>0.53333333333333333</v>
      </c>
      <c r="E454" s="59" t="s">
        <v>1798</v>
      </c>
      <c r="G454" s="1119"/>
    </row>
    <row r="455" spans="3:11" s="79" customFormat="1" ht="28">
      <c r="C455" s="21"/>
      <c r="D455" s="296">
        <f>SUM(D450:D454)</f>
        <v>7.2</v>
      </c>
      <c r="E455" s="16" t="s">
        <v>157</v>
      </c>
      <c r="F455" s="19"/>
      <c r="G455" s="359"/>
    </row>
    <row r="456" spans="3:11" s="122" customFormat="1">
      <c r="C456" s="9"/>
      <c r="D456" s="105"/>
      <c r="E456" s="34" t="s">
        <v>88</v>
      </c>
      <c r="F456" s="9"/>
      <c r="G456" s="572"/>
    </row>
    <row r="457" spans="3:11" s="79" customFormat="1">
      <c r="C457"/>
      <c r="D457" s="77">
        <f>D455*D435</f>
        <v>14.4</v>
      </c>
      <c r="E457" s="16" t="s">
        <v>133</v>
      </c>
      <c r="F457"/>
      <c r="G457" s="359"/>
    </row>
    <row r="458" spans="3:11" s="79" customFormat="1">
      <c r="C458"/>
      <c r="D458" s="77"/>
      <c r="E458" s="16"/>
      <c r="F458"/>
      <c r="G458" s="359"/>
    </row>
    <row r="459" spans="3:11" s="79" customFormat="1">
      <c r="C459" s="21"/>
      <c r="D459" s="64">
        <f>D457*D430</f>
        <v>3240</v>
      </c>
      <c r="E459" s="39" t="s">
        <v>486</v>
      </c>
      <c r="F459"/>
      <c r="G459" s="359"/>
      <c r="H459" s="276"/>
      <c r="I459" s="2459"/>
    </row>
    <row r="460" spans="3:11" s="79" customFormat="1">
      <c r="C460" s="21"/>
      <c r="G460" s="1119"/>
      <c r="H460" s="119"/>
      <c r="I460" s="1092"/>
    </row>
    <row r="461" spans="3:11" s="79" customFormat="1"/>
    <row r="462" spans="3:11" s="79" customFormat="1">
      <c r="C462" s="2164" t="s">
        <v>4</v>
      </c>
      <c r="D462" s="2461">
        <f>D418</f>
        <v>150</v>
      </c>
      <c r="E462" s="280" t="s">
        <v>1802</v>
      </c>
      <c r="F462" s="280"/>
      <c r="G462" s="1120"/>
    </row>
    <row r="463" spans="3:11" s="79" customFormat="1">
      <c r="D463" s="2457">
        <f>D455</f>
        <v>7.2</v>
      </c>
      <c r="E463" s="76" t="s">
        <v>1803</v>
      </c>
      <c r="F463" s="280"/>
      <c r="G463" s="1120"/>
    </row>
    <row r="464" spans="3:11" s="79" customFormat="1">
      <c r="D464" s="2374">
        <f>D462*D463*7.5</f>
        <v>8100</v>
      </c>
      <c r="E464" s="39" t="s">
        <v>1804</v>
      </c>
      <c r="F464" s="280"/>
      <c r="G464" s="1120"/>
    </row>
    <row r="465" spans="3:11" s="79" customFormat="1">
      <c r="G465" s="1120"/>
    </row>
    <row r="466" spans="3:11" s="79" customFormat="1">
      <c r="D466" s="336"/>
      <c r="E466" s="124"/>
      <c r="G466" s="1120"/>
    </row>
    <row r="467" spans="3:11" s="79" customFormat="1">
      <c r="D467" s="2470"/>
      <c r="E467" s="124"/>
      <c r="G467" s="1120"/>
      <c r="H467" s="324"/>
    </row>
    <row r="468" spans="3:11" s="79" customFormat="1">
      <c r="D468" s="781"/>
      <c r="E468" s="513"/>
      <c r="F468" s="401"/>
      <c r="G468" s="401"/>
      <c r="H468" s="274"/>
      <c r="I468" s="1295"/>
    </row>
    <row r="469" spans="3:11" s="79" customFormat="1"/>
    <row r="470" spans="3:11" s="79" customFormat="1"/>
    <row r="471" spans="3:11" s="79" customFormat="1">
      <c r="D471" s="1606">
        <f>SUM(D464,D468)</f>
        <v>8100</v>
      </c>
      <c r="E471" s="186" t="s">
        <v>625</v>
      </c>
      <c r="F471" s="274"/>
    </row>
    <row r="472" spans="3:11" s="79" customFormat="1"/>
    <row r="473" spans="3:11" s="79" customFormat="1"/>
    <row r="474" spans="3:11" s="79" customFormat="1">
      <c r="G474" s="1120"/>
      <c r="H474" s="324"/>
    </row>
    <row r="475" spans="3:11" s="79" customFormat="1">
      <c r="C475" s="79" t="s">
        <v>21</v>
      </c>
      <c r="D475" s="2462">
        <f>D419</f>
        <v>1800</v>
      </c>
      <c r="E475" s="76" t="s">
        <v>1801</v>
      </c>
      <c r="G475" s="1120"/>
      <c r="H475" s="324"/>
    </row>
    <row r="476" spans="3:11" s="79" customFormat="1">
      <c r="D476" s="1606">
        <f>D475</f>
        <v>1800</v>
      </c>
      <c r="E476" s="970" t="s">
        <v>1812</v>
      </c>
      <c r="F476" s="280"/>
      <c r="G476" s="1120"/>
      <c r="H476" s="324"/>
    </row>
    <row r="477" spans="3:11" s="79" customFormat="1">
      <c r="C477" s="9"/>
      <c r="D477" s="2137">
        <v>10</v>
      </c>
      <c r="E477" s="124" t="s">
        <v>1811</v>
      </c>
      <c r="F477" s="147"/>
      <c r="G477" s="1121"/>
      <c r="H477" s="288"/>
      <c r="I477" s="1121"/>
      <c r="J477" s="289"/>
      <c r="K477" s="216"/>
    </row>
    <row r="478" spans="3:11" s="79" customFormat="1">
      <c r="C478" s="21"/>
      <c r="G478" s="1119"/>
      <c r="H478" s="119"/>
      <c r="I478" s="119"/>
    </row>
    <row r="479" spans="3:11" s="79" customFormat="1" ht="19">
      <c r="C479" s="2" t="s">
        <v>132</v>
      </c>
      <c r="D479" s="37" t="s">
        <v>89</v>
      </c>
      <c r="E479" s="16"/>
      <c r="F479"/>
      <c r="G479" s="359"/>
      <c r="H479"/>
      <c r="I479"/>
    </row>
    <row r="480" spans="3:11" s="79" customFormat="1">
      <c r="C480" t="s">
        <v>54</v>
      </c>
      <c r="D480" s="160" t="s">
        <v>296</v>
      </c>
      <c r="E480" s="16"/>
      <c r="F480"/>
      <c r="G480" s="359"/>
      <c r="H480"/>
      <c r="I480"/>
    </row>
    <row r="481" spans="3:9" s="79" customFormat="1">
      <c r="C481"/>
      <c r="D481" s="160"/>
      <c r="E481" s="16"/>
      <c r="F481"/>
      <c r="G481" s="359"/>
      <c r="H481"/>
      <c r="I481"/>
    </row>
    <row r="482" spans="3:9" s="79" customFormat="1">
      <c r="C482"/>
      <c r="D482" s="16"/>
      <c r="E482" s="16"/>
      <c r="F482"/>
      <c r="G482" s="359"/>
      <c r="H482"/>
      <c r="I482"/>
    </row>
    <row r="483" spans="3:9" s="79" customFormat="1">
      <c r="C483"/>
      <c r="D483" s="67" t="s">
        <v>91</v>
      </c>
      <c r="E483" s="41"/>
      <c r="F483"/>
      <c r="G483" s="359"/>
      <c r="H483"/>
      <c r="I483"/>
    </row>
    <row r="484" spans="3:9" s="79" customFormat="1">
      <c r="C484"/>
      <c r="D484" s="52">
        <f>'Overall Assumptions'!$C$93</f>
        <v>285</v>
      </c>
      <c r="E484" s="41" t="s">
        <v>93</v>
      </c>
      <c r="F484"/>
      <c r="G484" s="359"/>
      <c r="H484"/>
      <c r="I484"/>
    </row>
    <row r="485" spans="3:9" s="79" customFormat="1">
      <c r="C485"/>
      <c r="D485" s="54">
        <v>1</v>
      </c>
      <c r="E485" s="43" t="s">
        <v>302</v>
      </c>
      <c r="F485"/>
      <c r="G485" s="359"/>
      <c r="H485"/>
      <c r="I485"/>
    </row>
    <row r="486" spans="3:9" s="79" customFormat="1">
      <c r="C486"/>
      <c r="D486" s="54"/>
      <c r="E486" s="43"/>
      <c r="F486"/>
      <c r="G486" s="359"/>
      <c r="H486"/>
      <c r="I486"/>
    </row>
    <row r="487" spans="3:9" s="79" customFormat="1">
      <c r="C487"/>
      <c r="D487" s="56"/>
      <c r="E487" s="45"/>
      <c r="F487"/>
      <c r="G487" s="359"/>
      <c r="H487"/>
      <c r="I487"/>
    </row>
    <row r="488" spans="3:9" s="79" customFormat="1">
      <c r="C488"/>
      <c r="D488" s="75"/>
      <c r="E488" s="76"/>
      <c r="F488"/>
      <c r="G488" s="359"/>
      <c r="H488"/>
      <c r="I488"/>
    </row>
    <row r="489" spans="3:9" s="79" customFormat="1">
      <c r="C489"/>
      <c r="D489" s="46">
        <f>D450*D485</f>
        <v>0</v>
      </c>
      <c r="E489" s="59" t="s">
        <v>97</v>
      </c>
      <c r="F489"/>
      <c r="G489" s="359"/>
      <c r="H489"/>
      <c r="I489"/>
    </row>
    <row r="490" spans="3:9" s="79" customFormat="1">
      <c r="C490"/>
      <c r="D490" s="46">
        <f>D455</f>
        <v>7.2</v>
      </c>
      <c r="E490" s="59" t="s">
        <v>98</v>
      </c>
      <c r="F490"/>
      <c r="G490" s="359"/>
      <c r="H490"/>
      <c r="I490"/>
    </row>
    <row r="491" spans="3:9" s="79" customFormat="1">
      <c r="C491"/>
      <c r="D491" s="46"/>
      <c r="E491" s="59"/>
      <c r="F491"/>
      <c r="G491" s="359"/>
      <c r="H491"/>
      <c r="I491"/>
    </row>
    <row r="492" spans="3:9" s="79" customFormat="1">
      <c r="C492"/>
      <c r="D492" s="46">
        <f>SUM(D489:D491)</f>
        <v>7.2</v>
      </c>
      <c r="E492" s="59" t="s">
        <v>983</v>
      </c>
      <c r="F492"/>
      <c r="G492" s="359"/>
      <c r="H492"/>
      <c r="I492"/>
    </row>
    <row r="493" spans="3:9" s="79" customFormat="1">
      <c r="C493"/>
      <c r="D493" s="2463">
        <f>D492*D485</f>
        <v>7.2</v>
      </c>
      <c r="E493" s="59" t="s">
        <v>1581</v>
      </c>
      <c r="F493"/>
      <c r="G493" s="359"/>
      <c r="H493"/>
      <c r="I493"/>
    </row>
    <row r="494" spans="3:9" s="79" customFormat="1">
      <c r="C494"/>
      <c r="D494" s="63"/>
      <c r="E494" s="16"/>
      <c r="F494"/>
      <c r="G494" s="359"/>
      <c r="H494"/>
      <c r="I494"/>
    </row>
    <row r="495" spans="3:9" s="79" customFormat="1">
      <c r="C495"/>
      <c r="D495" s="68">
        <f>D492*D484*D485</f>
        <v>2052</v>
      </c>
      <c r="E495" s="47" t="s">
        <v>53</v>
      </c>
      <c r="F495"/>
      <c r="G495" s="359"/>
      <c r="H495"/>
      <c r="I495"/>
    </row>
    <row r="496" spans="3:9" s="79" customFormat="1">
      <c r="G496" s="1119"/>
    </row>
    <row r="497" spans="3:13" s="79" customFormat="1">
      <c r="D497" s="90">
        <f>ROUNDUP(D492/21,0)*D485</f>
        <v>1</v>
      </c>
      <c r="E497" s="359" t="s">
        <v>1614</v>
      </c>
      <c r="F497"/>
    </row>
    <row r="498" spans="3:13" s="79" customFormat="1">
      <c r="D498" s="532">
        <f>D492*D485</f>
        <v>7.2</v>
      </c>
      <c r="E498" s="359" t="s">
        <v>793</v>
      </c>
      <c r="F498" s="532"/>
    </row>
    <row r="499" spans="3:13" s="79" customFormat="1">
      <c r="G499" s="1119"/>
    </row>
    <row r="500" spans="3:13" s="79" customFormat="1">
      <c r="C500" s="225" t="s">
        <v>70</v>
      </c>
      <c r="D500" s="230"/>
      <c r="E500" s="224" t="s">
        <v>156</v>
      </c>
      <c r="F500" s="212"/>
      <c r="G500" s="1108"/>
      <c r="H500" s="212"/>
      <c r="I500" s="119"/>
    </row>
    <row r="501" spans="3:13" s="79" customFormat="1">
      <c r="C501" s="212"/>
      <c r="D501" s="230"/>
      <c r="E501" s="224"/>
      <c r="F501" s="212"/>
      <c r="G501" s="1108"/>
      <c r="H501" s="212"/>
      <c r="I501" s="119"/>
    </row>
    <row r="502" spans="3:13" s="79" customFormat="1">
      <c r="C502" s="212"/>
      <c r="D502" s="230"/>
      <c r="E502" s="224"/>
      <c r="F502" s="212"/>
      <c r="G502" s="1108"/>
      <c r="H502" s="212"/>
      <c r="I502" s="119"/>
    </row>
    <row r="503" spans="3:13" s="79" customFormat="1">
      <c r="C503" s="212"/>
      <c r="D503" s="222">
        <f>D455</f>
        <v>7.2</v>
      </c>
      <c r="E503" s="213" t="s">
        <v>157</v>
      </c>
      <c r="F503" s="212"/>
      <c r="G503" s="1108"/>
      <c r="H503" s="212"/>
      <c r="I503" s="119"/>
    </row>
    <row r="504" spans="3:13" s="79" customFormat="1">
      <c r="C504" s="212"/>
      <c r="D504" s="229">
        <f>FLOOR(D503,1)</f>
        <v>7</v>
      </c>
      <c r="E504" s="213" t="s">
        <v>73</v>
      </c>
      <c r="F504" s="212"/>
      <c r="G504" s="1108"/>
      <c r="H504" s="212"/>
      <c r="I504" s="119"/>
    </row>
    <row r="505" spans="3:13" s="79" customFormat="1">
      <c r="C505" s="212"/>
      <c r="D505" s="228">
        <f>D504*D435</f>
        <v>14</v>
      </c>
      <c r="E505" s="214" t="s">
        <v>175</v>
      </c>
      <c r="F505" s="212"/>
      <c r="G505" s="1108"/>
      <c r="H505" s="212"/>
      <c r="I505" s="119"/>
    </row>
    <row r="506" spans="3:13" s="79" customFormat="1">
      <c r="C506" s="212"/>
      <c r="D506" s="227"/>
      <c r="E506" s="214" t="s">
        <v>88</v>
      </c>
      <c r="F506" s="212"/>
      <c r="G506" s="1108"/>
      <c r="H506" s="212"/>
    </row>
    <row r="507" spans="3:13" s="79" customFormat="1">
      <c r="C507" s="212"/>
      <c r="D507" s="226">
        <f>D505*D448</f>
        <v>2940</v>
      </c>
      <c r="E507" s="221" t="s">
        <v>74</v>
      </c>
      <c r="F507" s="212"/>
      <c r="G507" s="1108"/>
      <c r="H507" s="212"/>
      <c r="J507" s="276"/>
      <c r="K507" s="276"/>
      <c r="L507" s="276"/>
      <c r="M507" s="276"/>
    </row>
    <row r="508" spans="3:13" s="79" customFormat="1">
      <c r="D508" s="282"/>
      <c r="E508" s="76"/>
      <c r="G508" s="1119"/>
      <c r="J508" s="122"/>
      <c r="K508" s="136"/>
      <c r="L508" s="119"/>
      <c r="M508" s="119"/>
    </row>
    <row r="509" spans="3:13" s="79" customFormat="1">
      <c r="D509" s="283"/>
      <c r="E509" s="284"/>
      <c r="F509" s="78"/>
      <c r="G509" s="1119"/>
      <c r="J509" s="122"/>
      <c r="K509" s="136"/>
      <c r="L509" s="119"/>
      <c r="M509" s="119"/>
    </row>
    <row r="510" spans="3:13" s="79" customFormat="1">
      <c r="D510" s="283"/>
      <c r="E510" s="76"/>
      <c r="G510" s="1119"/>
      <c r="J510" s="122"/>
      <c r="K510" s="136"/>
      <c r="L510" s="119"/>
      <c r="M510" s="119"/>
    </row>
    <row r="511" spans="3:13" s="79" customFormat="1">
      <c r="D511" s="143" t="s">
        <v>172</v>
      </c>
      <c r="E511" s="144" t="s">
        <v>155</v>
      </c>
      <c r="F511" s="144" t="s">
        <v>174</v>
      </c>
      <c r="G511" s="1094" t="s">
        <v>166</v>
      </c>
      <c r="H511" s="145" t="s">
        <v>69</v>
      </c>
      <c r="J511" s="122"/>
      <c r="K511" s="147"/>
      <c r="L511" s="119"/>
      <c r="M511" s="119"/>
    </row>
    <row r="512" spans="3:13" s="79" customFormat="1">
      <c r="D512" s="135" t="s">
        <v>3</v>
      </c>
      <c r="E512" s="136">
        <f>D457</f>
        <v>14.4</v>
      </c>
      <c r="F512" s="122"/>
      <c r="G512" s="1092">
        <f>D459</f>
        <v>3240</v>
      </c>
      <c r="H512" s="119" t="str">
        <f>E459</f>
        <v>Cost for labour</v>
      </c>
      <c r="I512" s="79">
        <f>D412</f>
        <v>5</v>
      </c>
    </row>
    <row r="513" spans="3:11" s="79" customFormat="1">
      <c r="D513" s="135" t="s">
        <v>132</v>
      </c>
      <c r="E513" s="136">
        <f>D492</f>
        <v>7.2</v>
      </c>
      <c r="F513" s="141"/>
      <c r="G513" s="1092">
        <f>D495</f>
        <v>2052</v>
      </c>
      <c r="H513" s="119" t="str">
        <f>E495</f>
        <v>Cost for ute hire for the whole activity</v>
      </c>
      <c r="I513" s="79">
        <f>I512</f>
        <v>5</v>
      </c>
    </row>
    <row r="514" spans="3:11" s="79" customFormat="1">
      <c r="D514" s="135" t="s">
        <v>169</v>
      </c>
      <c r="E514" s="136">
        <f>D505</f>
        <v>14</v>
      </c>
      <c r="F514" s="141"/>
      <c r="G514" s="1092">
        <f>SUM(D471,D507)</f>
        <v>11040</v>
      </c>
      <c r="H514" s="119" t="s">
        <v>1813</v>
      </c>
      <c r="I514" s="79">
        <f>I513</f>
        <v>5</v>
      </c>
    </row>
    <row r="515" spans="3:11" s="79" customFormat="1">
      <c r="D515" s="135" t="s">
        <v>21</v>
      </c>
      <c r="E515" s="136"/>
      <c r="F515" s="141"/>
      <c r="G515" s="1092">
        <f>D476</f>
        <v>1800</v>
      </c>
      <c r="H515" s="119" t="s">
        <v>1814</v>
      </c>
      <c r="I515" s="128">
        <f>D477</f>
        <v>10</v>
      </c>
    </row>
    <row r="516" spans="3:11" s="79" customFormat="1">
      <c r="D516" s="137"/>
      <c r="E516" s="138"/>
      <c r="F516" s="142"/>
      <c r="G516" s="1116">
        <f>SUM(G512:G514)</f>
        <v>16332</v>
      </c>
      <c r="H516" s="140" t="s">
        <v>165</v>
      </c>
    </row>
    <row r="517" spans="3:11" s="351" customFormat="1">
      <c r="D517" s="352"/>
      <c r="E517" s="353"/>
      <c r="G517" s="1122"/>
    </row>
    <row r="518" spans="3:11" s="7" customFormat="1">
      <c r="D518" s="69"/>
      <c r="E518" s="36"/>
      <c r="G518" s="1089"/>
    </row>
    <row r="519" spans="3:11" s="9" customFormat="1">
      <c r="E519" s="34"/>
      <c r="F519" s="34"/>
      <c r="G519" s="572"/>
    </row>
    <row r="520" spans="3:11" s="9" customFormat="1">
      <c r="C520" s="121" t="s">
        <v>226</v>
      </c>
      <c r="D520" s="34" t="s">
        <v>1846</v>
      </c>
      <c r="E520" s="34"/>
      <c r="G520" s="572"/>
    </row>
    <row r="521" spans="3:11" s="79" customFormat="1">
      <c r="D521" s="475"/>
      <c r="E521" s="66"/>
      <c r="G521" s="1119"/>
      <c r="J521" s="65"/>
      <c r="K521" s="66"/>
    </row>
    <row r="522" spans="3:11" s="79" customFormat="1">
      <c r="D522" s="330">
        <v>5</v>
      </c>
      <c r="E522" s="66" t="s">
        <v>263</v>
      </c>
      <c r="G522" s="1120"/>
      <c r="H522" s="324"/>
      <c r="I522" s="325"/>
    </row>
    <row r="523" spans="3:11" s="79" customFormat="1">
      <c r="D523" s="2164"/>
      <c r="E523" s="66"/>
      <c r="G523" s="1120"/>
      <c r="H523" s="324"/>
      <c r="I523" s="325"/>
    </row>
    <row r="524" spans="3:11" s="79" customFormat="1">
      <c r="D524" s="2455"/>
      <c r="E524" s="9"/>
      <c r="G524" s="1120"/>
      <c r="H524" s="324"/>
      <c r="I524" s="325"/>
    </row>
    <row r="525" spans="3:11" s="79" customFormat="1">
      <c r="D525" s="2455"/>
      <c r="G525" s="1120"/>
      <c r="H525" s="324"/>
      <c r="I525" s="325"/>
    </row>
    <row r="526" spans="3:11" s="79" customFormat="1" ht="17">
      <c r="D526" s="2164"/>
      <c r="E526" s="66"/>
      <c r="G526" s="1120"/>
      <c r="H526" s="324"/>
      <c r="I526" s="324"/>
      <c r="J526" s="2460"/>
    </row>
    <row r="527" spans="3:11" s="79" customFormat="1">
      <c r="D527" s="2164"/>
      <c r="E527" s="66"/>
      <c r="G527" s="1120"/>
      <c r="H527" s="324"/>
      <c r="I527" s="324"/>
      <c r="J527" s="1295"/>
    </row>
    <row r="528" spans="3:11" s="79" customFormat="1">
      <c r="D528" s="2461">
        <f>'Overall Assumptions'!$C$111</f>
        <v>150</v>
      </c>
      <c r="E528" s="280" t="s">
        <v>1802</v>
      </c>
      <c r="G528" s="1120"/>
      <c r="H528" s="324"/>
      <c r="I528" s="324"/>
      <c r="J528" s="2458"/>
    </row>
    <row r="529" spans="3:10" s="79" customFormat="1">
      <c r="D529" s="2462"/>
      <c r="E529" s="76"/>
      <c r="G529" s="1120"/>
      <c r="H529" s="324"/>
      <c r="I529" s="324"/>
      <c r="J529" s="1295"/>
    </row>
    <row r="530" spans="3:10" s="79" customFormat="1">
      <c r="D530" s="2164"/>
      <c r="E530" s="66"/>
      <c r="G530" s="1120"/>
      <c r="H530" s="324"/>
      <c r="I530" s="324"/>
      <c r="J530" s="2458"/>
    </row>
    <row r="531" spans="3:10" s="79" customFormat="1">
      <c r="D531" s="2164"/>
      <c r="E531" s="66"/>
      <c r="G531" s="1120"/>
      <c r="H531" s="324"/>
      <c r="I531" s="324"/>
      <c r="J531" s="1295"/>
    </row>
    <row r="532" spans="3:10" s="79" customFormat="1">
      <c r="D532" s="2164"/>
      <c r="E532" s="66"/>
      <c r="G532" s="1120"/>
      <c r="H532" s="324"/>
      <c r="I532" s="325"/>
    </row>
    <row r="533" spans="3:10" s="79" customFormat="1">
      <c r="C533" s="79" t="s">
        <v>1834</v>
      </c>
      <c r="D533" s="2154">
        <v>0.1</v>
      </c>
      <c r="E533" s="279" t="s">
        <v>1835</v>
      </c>
      <c r="G533" s="1120"/>
      <c r="H533" s="324"/>
      <c r="I533" s="65"/>
      <c r="J533" s="2138" t="s">
        <v>1817</v>
      </c>
    </row>
    <row r="534" spans="3:10" s="79" customFormat="1">
      <c r="D534" s="354">
        <v>60</v>
      </c>
      <c r="E534" s="43" t="s">
        <v>1824</v>
      </c>
      <c r="G534" s="1120"/>
      <c r="H534" s="324"/>
      <c r="I534" s="65"/>
      <c r="J534" s="2465" t="s">
        <v>1818</v>
      </c>
    </row>
    <row r="535" spans="3:10" s="79" customFormat="1">
      <c r="G535" s="1120"/>
      <c r="H535" s="324"/>
      <c r="I535" s="65"/>
      <c r="J535" s="2465" t="s">
        <v>1819</v>
      </c>
    </row>
    <row r="536" spans="3:10" s="79" customFormat="1">
      <c r="D536" s="346">
        <v>2</v>
      </c>
      <c r="E536" s="79" t="s">
        <v>1838</v>
      </c>
      <c r="G536" s="1120"/>
      <c r="H536" s="324"/>
      <c r="I536" s="65"/>
      <c r="J536" s="2465" t="s">
        <v>1820</v>
      </c>
    </row>
    <row r="537" spans="3:10" s="79" customFormat="1">
      <c r="D537" s="346">
        <v>4</v>
      </c>
      <c r="E537" s="122" t="s">
        <v>1839</v>
      </c>
      <c r="H537" s="324"/>
      <c r="I537" s="65"/>
      <c r="J537" s="2465" t="s">
        <v>1821</v>
      </c>
    </row>
    <row r="538" spans="3:10" s="79" customFormat="1">
      <c r="D538" s="79">
        <f>D536*D537</f>
        <v>8</v>
      </c>
      <c r="E538" s="122" t="s">
        <v>1840</v>
      </c>
      <c r="G538" s="1120"/>
      <c r="H538" s="324"/>
      <c r="J538" s="2465" t="s">
        <v>1822</v>
      </c>
    </row>
    <row r="539" spans="3:10" s="79" customFormat="1">
      <c r="D539" s="538">
        <v>9</v>
      </c>
      <c r="E539" s="79" t="s">
        <v>1836</v>
      </c>
      <c r="G539" s="1120"/>
      <c r="H539" s="1295"/>
      <c r="J539" s="2465" t="s">
        <v>1823</v>
      </c>
    </row>
    <row r="540" spans="3:10" s="79" customFormat="1">
      <c r="D540" s="2469">
        <v>3.0000000000000001E-3</v>
      </c>
      <c r="E540" s="79" t="s">
        <v>1826</v>
      </c>
      <c r="G540" s="324"/>
    </row>
    <row r="541" spans="3:10" s="79" customFormat="1">
      <c r="D541" s="2466">
        <f>1/D540</f>
        <v>333.33333333333331</v>
      </c>
      <c r="E541" s="122" t="s">
        <v>1830</v>
      </c>
      <c r="F541" s="1120"/>
      <c r="I541" s="324"/>
      <c r="J541" s="1295" t="s">
        <v>1829</v>
      </c>
    </row>
    <row r="542" spans="3:10" s="79" customFormat="1">
      <c r="D542" s="2468">
        <f>D539/D541</f>
        <v>2.7000000000000003E-2</v>
      </c>
      <c r="E542" s="122" t="s">
        <v>1831</v>
      </c>
      <c r="F542" s="1120"/>
      <c r="I542" s="324"/>
      <c r="J542" s="2467" t="s">
        <v>1828</v>
      </c>
    </row>
    <row r="543" spans="3:10" s="79" customFormat="1">
      <c r="D543" s="129"/>
      <c r="E543" s="122"/>
      <c r="F543" s="1120"/>
      <c r="I543" s="324"/>
      <c r="J543" s="1295" t="s">
        <v>1827</v>
      </c>
    </row>
    <row r="544" spans="3:10" s="79" customFormat="1">
      <c r="C544" s="124"/>
      <c r="D544" s="1480" t="s">
        <v>1837</v>
      </c>
      <c r="F544" s="1120"/>
      <c r="G544" s="324"/>
    </row>
    <row r="545" spans="3:12" s="79" customFormat="1">
      <c r="D545" s="2164"/>
      <c r="E545" s="66"/>
      <c r="G545" s="1120"/>
      <c r="H545" s="324"/>
      <c r="I545" s="325"/>
    </row>
    <row r="546" spans="3:12" s="79" customFormat="1" ht="19">
      <c r="C546" t="s">
        <v>50</v>
      </c>
      <c r="D546" s="37" t="s">
        <v>81</v>
      </c>
      <c r="E546" s="24"/>
      <c r="F546" s="1"/>
      <c r="G546" s="1100"/>
      <c r="H546" s="286"/>
      <c r="I546" s="286"/>
      <c r="J546" s="289"/>
      <c r="K546" s="216"/>
    </row>
    <row r="547" spans="3:12" s="79" customFormat="1">
      <c r="C547"/>
      <c r="D547" s="24"/>
      <c r="E547" s="16"/>
      <c r="F547" s="1"/>
      <c r="G547" s="1100"/>
      <c r="J547" s="248"/>
      <c r="K547" s="248"/>
      <c r="L547" s="122"/>
    </row>
    <row r="548" spans="3:12" s="79" customFormat="1">
      <c r="C548"/>
      <c r="D548" s="160" t="s">
        <v>294</v>
      </c>
      <c r="E548" s="16"/>
      <c r="F548"/>
      <c r="G548" s="359"/>
      <c r="J548" s="248"/>
      <c r="K548" s="288"/>
      <c r="L548" s="122"/>
    </row>
    <row r="549" spans="3:12" s="79" customFormat="1">
      <c r="C549"/>
      <c r="D549" s="50"/>
      <c r="E549" s="16"/>
      <c r="F549"/>
      <c r="G549" s="359"/>
      <c r="J549" s="286"/>
      <c r="K549" s="286"/>
      <c r="L549" s="122"/>
    </row>
    <row r="550" spans="3:12" s="79" customFormat="1">
      <c r="C550"/>
      <c r="D550" s="51" t="s">
        <v>82</v>
      </c>
      <c r="E550" s="39"/>
      <c r="F550"/>
      <c r="G550" s="359"/>
      <c r="H550" s="212"/>
      <c r="I550" s="212"/>
      <c r="J550" s="216"/>
      <c r="K550" s="216"/>
    </row>
    <row r="551" spans="3:12" s="79" customFormat="1" ht="19">
      <c r="C551"/>
      <c r="D551" s="52">
        <f>'Overall Assumptions'!$C$68</f>
        <v>225</v>
      </c>
      <c r="E551" s="53" t="s">
        <v>99</v>
      </c>
      <c r="F551"/>
      <c r="G551" s="359"/>
      <c r="J551" s="65"/>
      <c r="K551" s="66"/>
    </row>
    <row r="552" spans="3:12" s="79" customFormat="1" ht="19">
      <c r="C552"/>
      <c r="D552" s="54"/>
      <c r="E552" s="355"/>
      <c r="F552"/>
      <c r="G552" s="359"/>
      <c r="I552" s="65"/>
      <c r="J552" s="79" t="s">
        <v>809</v>
      </c>
      <c r="K552" s="66"/>
    </row>
    <row r="553" spans="3:12" s="79" customFormat="1" ht="19">
      <c r="C553"/>
      <c r="D553" s="54">
        <f>'Overall Assumptions'!$C$6</f>
        <v>100</v>
      </c>
      <c r="E553" s="355" t="s">
        <v>1876</v>
      </c>
      <c r="F553"/>
      <c r="G553" s="359"/>
      <c r="H553" s="846"/>
      <c r="I553" s="357"/>
      <c r="K553" s="66"/>
    </row>
    <row r="554" spans="3:12" s="79" customFormat="1" ht="19">
      <c r="C554"/>
      <c r="D554" s="54">
        <f>1</f>
        <v>1</v>
      </c>
      <c r="E554" s="355" t="s">
        <v>1796</v>
      </c>
      <c r="F554"/>
      <c r="G554" s="359"/>
      <c r="H554" s="846"/>
      <c r="I554" s="357"/>
      <c r="K554" s="66"/>
    </row>
    <row r="555" spans="3:12" s="79" customFormat="1" ht="19">
      <c r="C555"/>
      <c r="D555" s="54">
        <f>D553/D554</f>
        <v>100</v>
      </c>
      <c r="E555" s="355" t="s">
        <v>1797</v>
      </c>
      <c r="F555"/>
      <c r="G555" s="359"/>
      <c r="H555" s="846"/>
      <c r="I555" s="357"/>
      <c r="K555" s="66"/>
    </row>
    <row r="556" spans="3:12" s="79" customFormat="1">
      <c r="C556"/>
      <c r="D556" s="467">
        <f>'Overall Assumptions'!$C$130</f>
        <v>2</v>
      </c>
      <c r="E556" s="43" t="s">
        <v>84</v>
      </c>
      <c r="F556"/>
      <c r="G556" s="359"/>
      <c r="H556" s="846"/>
      <c r="J556" s="65"/>
      <c r="K556" s="66"/>
    </row>
    <row r="557" spans="3:12" s="79" customFormat="1">
      <c r="C557"/>
      <c r="D557" s="467"/>
      <c r="E557" s="43"/>
      <c r="F557"/>
      <c r="G557" s="359"/>
      <c r="H557" s="846"/>
      <c r="J557" s="65"/>
      <c r="K557" s="66"/>
    </row>
    <row r="558" spans="3:12" s="79" customFormat="1">
      <c r="C558"/>
      <c r="D558" s="354">
        <v>1</v>
      </c>
      <c r="E558" s="43" t="s">
        <v>1793</v>
      </c>
      <c r="F558"/>
      <c r="G558" s="359"/>
      <c r="H558" s="846"/>
      <c r="J558" s="65"/>
      <c r="K558" s="66"/>
    </row>
    <row r="559" spans="3:12" s="79" customFormat="1">
      <c r="C559"/>
      <c r="D559" s="467"/>
      <c r="E559" s="43"/>
      <c r="F559"/>
      <c r="G559" s="359"/>
      <c r="H559" s="846"/>
      <c r="J559" s="65"/>
      <c r="K559" s="66"/>
    </row>
    <row r="560" spans="3:12" s="79" customFormat="1">
      <c r="C560"/>
      <c r="D560" s="506"/>
      <c r="E560" s="43"/>
      <c r="F560"/>
      <c r="G560" s="359"/>
      <c r="H560" s="846"/>
      <c r="J560" s="65"/>
      <c r="K560" s="66"/>
    </row>
    <row r="561" spans="3:11" s="79" customFormat="1">
      <c r="C561"/>
      <c r="D561" s="506"/>
      <c r="E561" s="43"/>
      <c r="F561"/>
      <c r="G561" s="359"/>
      <c r="H561" s="846"/>
      <c r="J561" s="65"/>
      <c r="K561" s="66"/>
    </row>
    <row r="562" spans="3:11" s="79" customFormat="1">
      <c r="C562"/>
      <c r="D562" s="467">
        <f>D553*D533</f>
        <v>10</v>
      </c>
      <c r="E562" s="43" t="s">
        <v>1815</v>
      </c>
      <c r="F562"/>
      <c r="G562" s="359"/>
      <c r="H562" s="846"/>
      <c r="J562" s="65"/>
      <c r="K562" s="66"/>
    </row>
    <row r="563" spans="3:11" s="79" customFormat="1">
      <c r="C563"/>
      <c r="D563" s="467">
        <f>D562*D558</f>
        <v>10</v>
      </c>
      <c r="E563" s="43" t="s">
        <v>1816</v>
      </c>
      <c r="F563"/>
      <c r="G563" s="359"/>
      <c r="H563" s="846"/>
      <c r="J563" s="65"/>
      <c r="K563" s="66"/>
    </row>
    <row r="564" spans="3:11" s="79" customFormat="1">
      <c r="C564"/>
      <c r="D564" s="354">
        <f>D534</f>
        <v>60</v>
      </c>
      <c r="E564" s="43" t="s">
        <v>1847</v>
      </c>
      <c r="F564"/>
      <c r="G564" s="359"/>
      <c r="H564" s="846"/>
    </row>
    <row r="565" spans="3:11" s="79" customFormat="1">
      <c r="C565"/>
      <c r="D565" s="506">
        <f>D564/60/7.5</f>
        <v>0.13333333333333333</v>
      </c>
      <c r="E565" s="43" t="s">
        <v>1825</v>
      </c>
      <c r="F565"/>
      <c r="G565" s="359"/>
      <c r="H565" s="846"/>
    </row>
    <row r="566" spans="3:11" s="79" customFormat="1">
      <c r="C566"/>
      <c r="D566" s="506"/>
      <c r="E566" s="43"/>
      <c r="F566"/>
      <c r="G566" s="359"/>
      <c r="H566" s="846"/>
    </row>
    <row r="567" spans="3:11" s="79" customFormat="1">
      <c r="C567"/>
      <c r="D567" s="54">
        <f>'Overall Assumptions'!$C$10</f>
        <v>0</v>
      </c>
      <c r="E567" s="43" t="s">
        <v>85</v>
      </c>
      <c r="F567"/>
      <c r="G567" s="359"/>
      <c r="I567" s="122" t="s">
        <v>477</v>
      </c>
    </row>
    <row r="568" spans="3:11" s="79" customFormat="1">
      <c r="C568"/>
      <c r="D568" s="354">
        <f>'Overall Assumptions'!$C$112</f>
        <v>25</v>
      </c>
      <c r="E568" s="43" t="s">
        <v>1799</v>
      </c>
      <c r="F568"/>
      <c r="G568" s="359"/>
    </row>
    <row r="569" spans="3:11" s="79" customFormat="1">
      <c r="C569"/>
      <c r="D569" s="56">
        <f>'Overall Assumptions'!$C$81</f>
        <v>210</v>
      </c>
      <c r="E569" s="45" t="s">
        <v>87</v>
      </c>
      <c r="F569"/>
      <c r="G569" s="359"/>
    </row>
    <row r="570" spans="3:11" s="79" customFormat="1">
      <c r="C570"/>
      <c r="D570" s="57"/>
      <c r="E570" s="16"/>
      <c r="F570"/>
      <c r="G570" s="359"/>
    </row>
    <row r="571" spans="3:11" s="79" customFormat="1">
      <c r="C571" s="21"/>
      <c r="D571" s="296">
        <f>2*D567/D568/7.5</f>
        <v>0</v>
      </c>
      <c r="E571" s="59" t="s">
        <v>95</v>
      </c>
      <c r="F571"/>
      <c r="G571" s="359"/>
      <c r="J571" s="129"/>
      <c r="K571" s="76"/>
    </row>
    <row r="572" spans="3:11" s="79" customFormat="1">
      <c r="C572" s="21"/>
      <c r="D572" s="296"/>
      <c r="E572" s="60" t="s">
        <v>100</v>
      </c>
      <c r="F572"/>
      <c r="G572" s="359"/>
      <c r="J572" s="65"/>
      <c r="K572" s="66"/>
    </row>
    <row r="573" spans="3:11" s="79" customFormat="1">
      <c r="C573" s="21"/>
      <c r="D573" s="296"/>
      <c r="E573" s="124"/>
      <c r="F573"/>
      <c r="G573" s="359"/>
    </row>
    <row r="574" spans="3:11" s="79" customFormat="1">
      <c r="C574" s="21"/>
      <c r="D574" s="296">
        <f>D563*D565</f>
        <v>1.3333333333333333</v>
      </c>
      <c r="E574" s="124" t="s">
        <v>1845</v>
      </c>
      <c r="F574"/>
      <c r="G574" s="359"/>
    </row>
    <row r="575" spans="3:11" s="79" customFormat="1">
      <c r="C575" s="21"/>
      <c r="D575" s="2456">
        <f>D555/D568/7.5</f>
        <v>0.53333333333333333</v>
      </c>
      <c r="E575" s="59" t="s">
        <v>1854</v>
      </c>
      <c r="G575" s="1119"/>
    </row>
    <row r="576" spans="3:11" s="79" customFormat="1" ht="28">
      <c r="C576" s="21"/>
      <c r="D576" s="296">
        <f>SUM(D571:D575)</f>
        <v>1.8666666666666667</v>
      </c>
      <c r="E576" s="16" t="s">
        <v>157</v>
      </c>
      <c r="F576" s="19"/>
      <c r="G576" s="359"/>
    </row>
    <row r="577" spans="3:9" s="122" customFormat="1">
      <c r="C577" s="9"/>
      <c r="D577" s="105"/>
      <c r="E577" s="34" t="s">
        <v>88</v>
      </c>
      <c r="F577" s="9"/>
      <c r="G577" s="572"/>
    </row>
    <row r="578" spans="3:9" s="79" customFormat="1">
      <c r="C578"/>
      <c r="D578" s="77">
        <f>D576*D556</f>
        <v>3.7333333333333334</v>
      </c>
      <c r="E578" s="16" t="s">
        <v>133</v>
      </c>
      <c r="F578"/>
      <c r="G578" s="359"/>
    </row>
    <row r="579" spans="3:9" s="79" customFormat="1">
      <c r="C579"/>
      <c r="D579" s="77"/>
      <c r="E579" s="16"/>
      <c r="F579"/>
      <c r="G579" s="359"/>
    </row>
    <row r="580" spans="3:9" s="79" customFormat="1">
      <c r="C580" s="21"/>
      <c r="D580" s="64">
        <f>D578*D551</f>
        <v>840</v>
      </c>
      <c r="E580" s="39" t="s">
        <v>486</v>
      </c>
      <c r="F580"/>
      <c r="G580" s="359"/>
      <c r="H580" s="276"/>
      <c r="I580" s="2459"/>
    </row>
    <row r="581" spans="3:9" s="79" customFormat="1">
      <c r="C581" s="21"/>
      <c r="G581" s="1119"/>
      <c r="H581" s="119"/>
      <c r="I581" s="1092"/>
    </row>
    <row r="582" spans="3:9" s="79" customFormat="1"/>
    <row r="583" spans="3:9" s="79" customFormat="1">
      <c r="C583" s="2164" t="s">
        <v>4</v>
      </c>
      <c r="D583" s="2461">
        <f>D528</f>
        <v>150</v>
      </c>
      <c r="E583" s="280" t="s">
        <v>1802</v>
      </c>
      <c r="F583" s="280"/>
      <c r="G583" s="1120"/>
    </row>
    <row r="584" spans="3:9" s="79" customFormat="1">
      <c r="D584" s="2457">
        <f>D576</f>
        <v>1.8666666666666667</v>
      </c>
      <c r="E584" s="76" t="s">
        <v>1803</v>
      </c>
      <c r="F584" s="280"/>
      <c r="G584" s="1120"/>
    </row>
    <row r="585" spans="3:9" s="79" customFormat="1">
      <c r="D585" s="2374">
        <f>D583*D584*7.5</f>
        <v>2100</v>
      </c>
      <c r="E585" s="39" t="s">
        <v>1804</v>
      </c>
      <c r="F585" s="280"/>
      <c r="G585" s="1120"/>
    </row>
    <row r="586" spans="3:9" s="79" customFormat="1">
      <c r="G586" s="1120"/>
    </row>
    <row r="587" spans="3:9" s="79" customFormat="1">
      <c r="D587" s="336">
        <f>D562*D558*D538</f>
        <v>80</v>
      </c>
      <c r="E587" s="124" t="s">
        <v>1841</v>
      </c>
      <c r="G587" s="1120"/>
    </row>
    <row r="588" spans="3:9" s="79" customFormat="1">
      <c r="D588" s="2470">
        <f>D542</f>
        <v>2.7000000000000003E-2</v>
      </c>
      <c r="E588" s="124" t="s">
        <v>1842</v>
      </c>
      <c r="G588" s="1120"/>
      <c r="H588" s="324"/>
    </row>
    <row r="589" spans="3:9" s="79" customFormat="1">
      <c r="D589" s="781">
        <f>D587*D588</f>
        <v>2.16</v>
      </c>
      <c r="E589" s="513" t="s">
        <v>1843</v>
      </c>
      <c r="F589" s="401"/>
      <c r="G589" s="401"/>
      <c r="H589" s="274"/>
      <c r="I589" s="1295"/>
    </row>
    <row r="590" spans="3:9" s="79" customFormat="1"/>
    <row r="591" spans="3:9" s="79" customFormat="1"/>
    <row r="592" spans="3:9" s="79" customFormat="1">
      <c r="D592" s="1606">
        <f>SUM(D585,D589)</f>
        <v>2102.16</v>
      </c>
      <c r="E592" s="186" t="s">
        <v>625</v>
      </c>
      <c r="F592" s="274"/>
    </row>
    <row r="593" spans="3:11" s="79" customFormat="1"/>
    <row r="594" spans="3:11" s="79" customFormat="1"/>
    <row r="595" spans="3:11" s="79" customFormat="1">
      <c r="G595" s="1120"/>
      <c r="H595" s="324"/>
    </row>
    <row r="596" spans="3:11" s="79" customFormat="1">
      <c r="D596" s="2462"/>
      <c r="E596" s="76"/>
      <c r="G596" s="1120"/>
      <c r="H596" s="324"/>
    </row>
    <row r="597" spans="3:11" s="79" customFormat="1">
      <c r="D597" s="1606"/>
      <c r="E597" s="970"/>
      <c r="F597" s="280"/>
      <c r="G597" s="1120"/>
      <c r="H597" s="324"/>
    </row>
    <row r="598" spans="3:11" s="79" customFormat="1">
      <c r="C598" s="9"/>
      <c r="D598" s="2137"/>
      <c r="E598" s="124"/>
      <c r="F598" s="147"/>
      <c r="G598" s="1121"/>
      <c r="H598" s="288"/>
      <c r="I598" s="1121"/>
      <c r="J598" s="289"/>
      <c r="K598" s="216"/>
    </row>
    <row r="599" spans="3:11" s="79" customFormat="1">
      <c r="C599" s="21"/>
      <c r="G599" s="1119"/>
      <c r="H599" s="119"/>
      <c r="I599" s="119"/>
    </row>
    <row r="600" spans="3:11" s="79" customFormat="1" ht="19">
      <c r="C600" s="2" t="s">
        <v>132</v>
      </c>
      <c r="D600" s="37" t="s">
        <v>89</v>
      </c>
      <c r="E600" s="16"/>
      <c r="F600"/>
      <c r="G600" s="359"/>
      <c r="H600"/>
      <c r="I600"/>
    </row>
    <row r="601" spans="3:11" s="79" customFormat="1">
      <c r="C601" t="s">
        <v>54</v>
      </c>
      <c r="D601" s="160" t="s">
        <v>296</v>
      </c>
      <c r="E601" s="16"/>
      <c r="F601"/>
      <c r="G601" s="359"/>
      <c r="H601"/>
      <c r="I601"/>
    </row>
    <row r="602" spans="3:11" s="79" customFormat="1">
      <c r="C602"/>
      <c r="D602" s="160"/>
      <c r="E602" s="16"/>
      <c r="F602"/>
      <c r="G602" s="359"/>
      <c r="H602"/>
      <c r="I602"/>
    </row>
    <row r="603" spans="3:11" s="79" customFormat="1">
      <c r="C603"/>
      <c r="D603" s="16"/>
      <c r="E603" s="16"/>
      <c r="F603"/>
      <c r="G603" s="359"/>
      <c r="H603"/>
      <c r="I603"/>
    </row>
    <row r="604" spans="3:11" s="79" customFormat="1">
      <c r="C604"/>
      <c r="D604" s="67" t="s">
        <v>91</v>
      </c>
      <c r="E604" s="41"/>
      <c r="F604"/>
      <c r="G604" s="359"/>
      <c r="H604"/>
      <c r="I604"/>
    </row>
    <row r="605" spans="3:11" s="79" customFormat="1">
      <c r="C605"/>
      <c r="D605" s="52">
        <f>'Overall Assumptions'!$C$93</f>
        <v>285</v>
      </c>
      <c r="E605" s="41" t="s">
        <v>93</v>
      </c>
      <c r="F605"/>
      <c r="G605" s="359"/>
      <c r="H605"/>
      <c r="I605"/>
    </row>
    <row r="606" spans="3:11" s="79" customFormat="1">
      <c r="C606"/>
      <c r="D606" s="54">
        <v>1</v>
      </c>
      <c r="E606" s="43" t="s">
        <v>302</v>
      </c>
      <c r="F606"/>
      <c r="G606" s="359"/>
      <c r="H606"/>
      <c r="I606"/>
    </row>
    <row r="607" spans="3:11" s="79" customFormat="1">
      <c r="C607"/>
      <c r="D607" s="54"/>
      <c r="E607" s="43"/>
      <c r="F607"/>
      <c r="G607" s="359"/>
      <c r="H607"/>
      <c r="I607"/>
    </row>
    <row r="608" spans="3:11" s="79" customFormat="1">
      <c r="C608"/>
      <c r="D608" s="56"/>
      <c r="E608" s="45"/>
      <c r="F608"/>
      <c r="G608" s="359"/>
      <c r="H608"/>
      <c r="I608"/>
    </row>
    <row r="609" spans="3:9" s="79" customFormat="1">
      <c r="C609"/>
      <c r="D609" s="75"/>
      <c r="E609" s="76"/>
      <c r="F609"/>
      <c r="G609" s="359"/>
      <c r="H609"/>
      <c r="I609"/>
    </row>
    <row r="610" spans="3:9" s="79" customFormat="1">
      <c r="C610"/>
      <c r="D610" s="46">
        <f>D571*D606</f>
        <v>0</v>
      </c>
      <c r="E610" s="59" t="s">
        <v>97</v>
      </c>
      <c r="F610"/>
      <c r="G610" s="359"/>
      <c r="H610"/>
      <c r="I610"/>
    </row>
    <row r="611" spans="3:9" s="79" customFormat="1">
      <c r="C611"/>
      <c r="D611" s="46">
        <f>D576</f>
        <v>1.8666666666666667</v>
      </c>
      <c r="E611" s="59" t="s">
        <v>98</v>
      </c>
      <c r="F611"/>
      <c r="G611" s="359"/>
      <c r="H611"/>
      <c r="I611"/>
    </row>
    <row r="612" spans="3:9" s="79" customFormat="1">
      <c r="C612"/>
      <c r="D612" s="46"/>
      <c r="E612" s="59"/>
      <c r="F612"/>
      <c r="G612" s="359"/>
      <c r="H612"/>
      <c r="I612"/>
    </row>
    <row r="613" spans="3:9" s="79" customFormat="1">
      <c r="C613"/>
      <c r="D613" s="46">
        <f>SUM(D610:D612)</f>
        <v>1.8666666666666667</v>
      </c>
      <c r="E613" s="59" t="s">
        <v>983</v>
      </c>
      <c r="F613"/>
      <c r="G613" s="359"/>
      <c r="H613"/>
      <c r="I613"/>
    </row>
    <row r="614" spans="3:9" s="79" customFormat="1">
      <c r="C614"/>
      <c r="D614" s="2463">
        <f>D613*D606</f>
        <v>1.8666666666666667</v>
      </c>
      <c r="E614" s="59" t="s">
        <v>1581</v>
      </c>
      <c r="F614"/>
      <c r="G614" s="359"/>
      <c r="H614"/>
      <c r="I614"/>
    </row>
    <row r="615" spans="3:9" s="79" customFormat="1">
      <c r="C615"/>
      <c r="D615" s="63"/>
      <c r="E615" s="16"/>
      <c r="F615"/>
      <c r="G615" s="359"/>
      <c r="H615"/>
      <c r="I615"/>
    </row>
    <row r="616" spans="3:9" s="79" customFormat="1">
      <c r="C616"/>
      <c r="D616" s="68">
        <f>D613*D605*D606</f>
        <v>532</v>
      </c>
      <c r="E616" s="47" t="s">
        <v>53</v>
      </c>
      <c r="F616"/>
      <c r="G616" s="359"/>
      <c r="H616"/>
      <c r="I616"/>
    </row>
    <row r="617" spans="3:9" s="79" customFormat="1">
      <c r="G617" s="1119"/>
    </row>
    <row r="618" spans="3:9" s="79" customFormat="1">
      <c r="D618" s="90">
        <f>ROUNDUP(D613/21,0)*D606</f>
        <v>1</v>
      </c>
      <c r="E618" s="359" t="s">
        <v>1614</v>
      </c>
      <c r="F618"/>
    </row>
    <row r="619" spans="3:9" s="79" customFormat="1">
      <c r="D619" s="532">
        <f>D613*D606</f>
        <v>1.8666666666666667</v>
      </c>
      <c r="E619" s="359" t="s">
        <v>793</v>
      </c>
      <c r="F619" s="532"/>
    </row>
    <row r="620" spans="3:9" s="79" customFormat="1">
      <c r="G620" s="1119"/>
    </row>
    <row r="621" spans="3:9" s="79" customFormat="1">
      <c r="C621" s="225" t="s">
        <v>70</v>
      </c>
      <c r="D621" s="230"/>
      <c r="E621" s="224" t="s">
        <v>156</v>
      </c>
      <c r="F621" s="212"/>
      <c r="G621" s="1108"/>
      <c r="H621" s="212"/>
      <c r="I621" s="119"/>
    </row>
    <row r="622" spans="3:9" s="79" customFormat="1">
      <c r="C622" s="212"/>
      <c r="D622" s="230"/>
      <c r="E622" s="224"/>
      <c r="F622" s="212"/>
      <c r="G622" s="1108"/>
      <c r="H622" s="212"/>
      <c r="I622" s="119"/>
    </row>
    <row r="623" spans="3:9" s="79" customFormat="1">
      <c r="C623" s="212"/>
      <c r="D623" s="230"/>
      <c r="E623" s="224"/>
      <c r="F623" s="212"/>
      <c r="G623" s="1108"/>
      <c r="H623" s="212"/>
      <c r="I623" s="119"/>
    </row>
    <row r="624" spans="3:9" s="79" customFormat="1">
      <c r="C624" s="212"/>
      <c r="D624" s="222">
        <f>D576</f>
        <v>1.8666666666666667</v>
      </c>
      <c r="E624" s="213" t="s">
        <v>157</v>
      </c>
      <c r="F624" s="212"/>
      <c r="G624" s="1108"/>
      <c r="H624" s="212"/>
      <c r="I624" s="119"/>
    </row>
    <row r="625" spans="3:13" s="79" customFormat="1">
      <c r="C625" s="212"/>
      <c r="D625" s="229">
        <f>FLOOR(D624,1)</f>
        <v>1</v>
      </c>
      <c r="E625" s="213" t="s">
        <v>73</v>
      </c>
      <c r="F625" s="212"/>
      <c r="G625" s="1108"/>
      <c r="H625" s="212"/>
      <c r="I625" s="119"/>
    </row>
    <row r="626" spans="3:13" s="79" customFormat="1">
      <c r="C626" s="212"/>
      <c r="D626" s="228">
        <f>D625*D556</f>
        <v>2</v>
      </c>
      <c r="E626" s="214" t="s">
        <v>175</v>
      </c>
      <c r="F626" s="212"/>
      <c r="G626" s="1108"/>
      <c r="H626" s="212"/>
      <c r="I626" s="119"/>
    </row>
    <row r="627" spans="3:13" s="79" customFormat="1">
      <c r="C627" s="212"/>
      <c r="D627" s="227"/>
      <c r="E627" s="214" t="s">
        <v>88</v>
      </c>
      <c r="F627" s="212"/>
      <c r="G627" s="1108"/>
      <c r="H627" s="212"/>
    </row>
    <row r="628" spans="3:13" s="79" customFormat="1">
      <c r="C628" s="212"/>
      <c r="D628" s="226">
        <f>D626*D569</f>
        <v>420</v>
      </c>
      <c r="E628" s="221" t="s">
        <v>74</v>
      </c>
      <c r="F628" s="212"/>
      <c r="G628" s="1108"/>
      <c r="H628" s="212"/>
      <c r="J628" s="276"/>
      <c r="K628" s="276"/>
      <c r="L628" s="276"/>
      <c r="M628" s="276"/>
    </row>
    <row r="629" spans="3:13" s="79" customFormat="1">
      <c r="D629" s="282"/>
      <c r="E629" s="76"/>
      <c r="G629" s="1119"/>
      <c r="J629" s="122"/>
      <c r="K629" s="136"/>
      <c r="L629" s="119"/>
      <c r="M629" s="119"/>
    </row>
    <row r="630" spans="3:13" s="79" customFormat="1">
      <c r="D630" s="283"/>
      <c r="E630" s="284"/>
      <c r="F630" s="78"/>
      <c r="G630" s="1119"/>
      <c r="J630" s="122"/>
      <c r="K630" s="136"/>
      <c r="L630" s="119"/>
      <c r="M630" s="119"/>
    </row>
    <row r="631" spans="3:13" s="79" customFormat="1">
      <c r="D631" s="283"/>
      <c r="E631" s="76"/>
      <c r="G631" s="1119"/>
      <c r="J631" s="122"/>
      <c r="K631" s="136"/>
      <c r="L631" s="119"/>
      <c r="M631" s="119"/>
    </row>
    <row r="632" spans="3:13" s="79" customFormat="1">
      <c r="D632" s="143" t="s">
        <v>172</v>
      </c>
      <c r="E632" s="144" t="s">
        <v>155</v>
      </c>
      <c r="F632" s="144" t="s">
        <v>174</v>
      </c>
      <c r="G632" s="1094" t="s">
        <v>166</v>
      </c>
      <c r="H632" s="145" t="s">
        <v>69</v>
      </c>
      <c r="J632" s="122"/>
      <c r="K632" s="147"/>
      <c r="L632" s="119"/>
      <c r="M632" s="119"/>
    </row>
    <row r="633" spans="3:13" s="79" customFormat="1">
      <c r="D633" s="135" t="s">
        <v>3</v>
      </c>
      <c r="E633" s="136">
        <f>D578</f>
        <v>3.7333333333333334</v>
      </c>
      <c r="F633" s="122"/>
      <c r="G633" s="1092">
        <f>D580</f>
        <v>840</v>
      </c>
      <c r="H633" s="119" t="str">
        <f>E580</f>
        <v>Cost for labour</v>
      </c>
      <c r="I633" s="79">
        <f>D522</f>
        <v>5</v>
      </c>
    </row>
    <row r="634" spans="3:13" s="79" customFormat="1">
      <c r="D634" s="135" t="s">
        <v>132</v>
      </c>
      <c r="E634" s="136">
        <f>D613</f>
        <v>1.8666666666666667</v>
      </c>
      <c r="F634" s="141"/>
      <c r="G634" s="1092">
        <f>D616</f>
        <v>532</v>
      </c>
      <c r="H634" s="119" t="str">
        <f>E616</f>
        <v>Cost for ute hire for the whole activity</v>
      </c>
      <c r="I634" s="79">
        <f>I633</f>
        <v>5</v>
      </c>
    </row>
    <row r="635" spans="3:13" s="79" customFormat="1">
      <c r="D635" s="135" t="s">
        <v>169</v>
      </c>
      <c r="E635" s="136">
        <f>D626</f>
        <v>2</v>
      </c>
      <c r="F635" s="141"/>
      <c r="G635" s="1092">
        <f>SUM(D592,D628)</f>
        <v>2522.16</v>
      </c>
      <c r="H635" s="119" t="s">
        <v>1857</v>
      </c>
      <c r="I635" s="79">
        <f>I634</f>
        <v>5</v>
      </c>
    </row>
    <row r="636" spans="3:13" s="79" customFormat="1">
      <c r="D636" s="135" t="s">
        <v>21</v>
      </c>
      <c r="E636" s="136"/>
      <c r="F636" s="141"/>
      <c r="G636" s="1092">
        <f>D597</f>
        <v>0</v>
      </c>
      <c r="H636" s="119" t="s">
        <v>1814</v>
      </c>
      <c r="I636" s="128">
        <f>D598</f>
        <v>0</v>
      </c>
    </row>
    <row r="637" spans="3:13" s="79" customFormat="1">
      <c r="D637" s="137"/>
      <c r="E637" s="138"/>
      <c r="F637" s="142"/>
      <c r="G637" s="1116">
        <f>SUM(G633:G635)</f>
        <v>3894.16</v>
      </c>
      <c r="H637" s="140" t="s">
        <v>165</v>
      </c>
    </row>
    <row r="638" spans="3:13" s="351" customFormat="1">
      <c r="D638" s="352"/>
      <c r="E638" s="353"/>
      <c r="G638" s="1122"/>
    </row>
    <row r="639" spans="3:13" s="351" customFormat="1">
      <c r="D639" s="352"/>
      <c r="E639" s="353"/>
      <c r="G639" s="1122"/>
    </row>
    <row r="640" spans="3:13" s="9" customFormat="1">
      <c r="E640" s="34"/>
      <c r="F640" s="34"/>
      <c r="G640" s="572"/>
    </row>
    <row r="641" spans="3:13" s="9" customFormat="1">
      <c r="C641" s="121" t="s">
        <v>223</v>
      </c>
      <c r="D641" s="34" t="s">
        <v>1851</v>
      </c>
      <c r="E641" s="34"/>
      <c r="G641" s="572"/>
    </row>
    <row r="642" spans="3:13" s="79" customFormat="1" ht="19">
      <c r="C642" s="107"/>
      <c r="D642" s="255"/>
      <c r="E642" s="618" t="s">
        <v>1530</v>
      </c>
      <c r="F642" s="255"/>
      <c r="G642" s="161"/>
      <c r="H642" s="324"/>
      <c r="I642" s="2160" t="s">
        <v>1529</v>
      </c>
      <c r="J642" s="255"/>
      <c r="K642" s="320"/>
      <c r="L642" s="255"/>
      <c r="M642" s="161"/>
    </row>
    <row r="643" spans="3:13" s="79" customFormat="1">
      <c r="C643" s="135" t="s">
        <v>179</v>
      </c>
      <c r="D643" s="620">
        <f>'Overall Assumptions'!$C$6</f>
        <v>100</v>
      </c>
      <c r="E643" s="122" t="s">
        <v>1524</v>
      </c>
      <c r="G643" s="246"/>
      <c r="H643" s="288"/>
      <c r="I643" s="135"/>
      <c r="J643" s="79" t="s">
        <v>1499</v>
      </c>
      <c r="K643" s="122"/>
      <c r="M643" s="246"/>
    </row>
    <row r="644" spans="3:13" s="79" customFormat="1">
      <c r="C644" s="135"/>
      <c r="D644" s="2153">
        <f>'Overall Assumptions'!$C$143</f>
        <v>20</v>
      </c>
      <c r="E644" s="122" t="s">
        <v>1848</v>
      </c>
      <c r="G644" s="246"/>
      <c r="H644" s="288"/>
      <c r="I644" s="135"/>
      <c r="J644" s="79" t="s">
        <v>1538</v>
      </c>
      <c r="K644" s="122"/>
      <c r="M644" s="246"/>
    </row>
    <row r="645" spans="3:13" s="79" customFormat="1">
      <c r="C645" s="135"/>
      <c r="D645" s="2136">
        <f>'Overall Assumptions'!$C$144</f>
        <v>10</v>
      </c>
      <c r="E645" s="122" t="s">
        <v>1849</v>
      </c>
      <c r="G645" s="246"/>
      <c r="H645" s="288"/>
      <c r="I645" s="135"/>
      <c r="J645" s="1209" t="s">
        <v>1498</v>
      </c>
      <c r="K645" s="122"/>
      <c r="M645" s="246"/>
    </row>
    <row r="646" spans="3:13" s="79" customFormat="1">
      <c r="C646" s="135"/>
      <c r="D646" s="330">
        <v>1</v>
      </c>
      <c r="E646" s="66" t="s">
        <v>263</v>
      </c>
      <c r="G646" s="246"/>
      <c r="H646" s="288"/>
      <c r="I646" s="135"/>
      <c r="J646" s="122">
        <v>4.3</v>
      </c>
      <c r="K646" s="122" t="s">
        <v>1500</v>
      </c>
      <c r="M646" s="246"/>
    </row>
    <row r="647" spans="3:13" s="79" customFormat="1">
      <c r="C647" s="404"/>
      <c r="G647" s="246"/>
      <c r="H647" s="288"/>
      <c r="I647" s="135"/>
      <c r="J647" s="122">
        <v>7</v>
      </c>
      <c r="K647" s="122" t="s">
        <v>1501</v>
      </c>
      <c r="M647" s="246"/>
    </row>
    <row r="648" spans="3:13" s="79" customFormat="1">
      <c r="C648" s="135"/>
      <c r="D648" s="132">
        <f>D645*D643</f>
        <v>1000</v>
      </c>
      <c r="E648" s="79" t="s">
        <v>1850</v>
      </c>
      <c r="G648" s="246"/>
      <c r="H648" s="288"/>
      <c r="I648" s="135"/>
      <c r="J648" s="122">
        <v>350</v>
      </c>
      <c r="K648" s="122" t="s">
        <v>1502</v>
      </c>
      <c r="M648" s="246"/>
    </row>
    <row r="649" spans="3:13" s="79" customFormat="1">
      <c r="C649" s="135"/>
      <c r="D649" s="929">
        <f>D644</f>
        <v>20</v>
      </c>
      <c r="E649" s="79" t="s">
        <v>1848</v>
      </c>
      <c r="G649" s="246"/>
      <c r="H649" s="288"/>
      <c r="I649" s="135"/>
      <c r="J649" s="122">
        <f>AVERAGE(56,52)</f>
        <v>54</v>
      </c>
      <c r="K649" s="122" t="s">
        <v>1505</v>
      </c>
      <c r="M649" s="246"/>
    </row>
    <row r="650" spans="3:13" s="79" customFormat="1">
      <c r="C650" s="135"/>
      <c r="D650" s="128">
        <f>D645*D649/60/7.5</f>
        <v>0.44444444444444448</v>
      </c>
      <c r="E650" s="79" t="s">
        <v>1508</v>
      </c>
      <c r="G650" s="2148"/>
      <c r="H650" s="288"/>
      <c r="I650" s="135"/>
      <c r="J650" s="2151">
        <f>J648/J646</f>
        <v>81.395348837209312</v>
      </c>
      <c r="K650" s="186" t="s">
        <v>1517</v>
      </c>
      <c r="L650" s="401"/>
      <c r="M650" s="274"/>
    </row>
    <row r="651" spans="3:13" s="79" customFormat="1">
      <c r="C651" s="405"/>
      <c r="D651" s="2471">
        <f>D648*D649/60/7.5</f>
        <v>44.444444444444443</v>
      </c>
      <c r="E651" s="142" t="s">
        <v>1525</v>
      </c>
      <c r="F651" s="439"/>
      <c r="G651" s="2149"/>
      <c r="H651" s="288"/>
      <c r="I651" s="135"/>
      <c r="J651" s="2142">
        <f>J647/J648*7.5*60</f>
        <v>9</v>
      </c>
      <c r="K651" s="122" t="s">
        <v>1507</v>
      </c>
      <c r="M651" s="246"/>
    </row>
    <row r="652" spans="3:13" s="79" customFormat="1">
      <c r="H652" s="288"/>
      <c r="I652" s="135"/>
      <c r="J652" s="2142">
        <f>J647/J646</f>
        <v>1.6279069767441861</v>
      </c>
      <c r="K652" s="122" t="s">
        <v>1508</v>
      </c>
      <c r="M652" s="246"/>
    </row>
    <row r="653" spans="3:13" s="79" customFormat="1">
      <c r="H653" s="288"/>
      <c r="I653" s="135"/>
      <c r="K653" s="122"/>
      <c r="M653" s="246"/>
    </row>
    <row r="654" spans="3:13" s="79" customFormat="1">
      <c r="C654" s="122"/>
      <c r="H654" s="288"/>
      <c r="I654" s="135"/>
      <c r="K654" s="122"/>
      <c r="M654" s="246"/>
    </row>
    <row r="655" spans="3:13" s="79" customFormat="1">
      <c r="C655" s="122"/>
      <c r="G655" s="2157"/>
      <c r="H655" s="288"/>
      <c r="I655" s="135"/>
      <c r="J655" s="2142">
        <f>J649/J646</f>
        <v>12.558139534883722</v>
      </c>
      <c r="K655" s="2150" t="s">
        <v>1518</v>
      </c>
      <c r="M655" s="246"/>
    </row>
    <row r="656" spans="3:13" s="79" customFormat="1">
      <c r="H656" s="288"/>
      <c r="I656" s="137"/>
      <c r="J656" s="2152">
        <f>J655/J650</f>
        <v>0.15428571428571428</v>
      </c>
      <c r="K656" s="186" t="s">
        <v>1519</v>
      </c>
      <c r="L656" s="401"/>
      <c r="M656" s="274"/>
    </row>
    <row r="657" spans="3:12" s="79" customFormat="1">
      <c r="H657" s="288"/>
    </row>
    <row r="658" spans="3:12" s="79" customFormat="1">
      <c r="H658" s="288"/>
    </row>
    <row r="659" spans="3:12" s="79" customFormat="1">
      <c r="H659" s="288"/>
      <c r="I659" s="2145" t="s">
        <v>271</v>
      </c>
      <c r="J659"/>
    </row>
    <row r="660" spans="3:12" s="79" customFormat="1">
      <c r="C660" s="122"/>
      <c r="G660" s="2157"/>
      <c r="H660" s="288"/>
      <c r="I660" s="9" t="s">
        <v>275</v>
      </c>
    </row>
    <row r="661" spans="3:12" s="79" customFormat="1">
      <c r="C661" s="107" t="s">
        <v>1402</v>
      </c>
      <c r="D661" s="255"/>
      <c r="E661" s="255"/>
      <c r="F661" s="255"/>
      <c r="G661" s="161"/>
      <c r="H661" s="288"/>
      <c r="I661" s="349">
        <v>359</v>
      </c>
      <c r="J661" t="s">
        <v>272</v>
      </c>
    </row>
    <row r="662" spans="3:12" s="79" customFormat="1">
      <c r="C662" s="404"/>
      <c r="D662" s="538">
        <f>I663</f>
        <v>1.7949999999999999</v>
      </c>
      <c r="E662" s="122" t="str">
        <f>J663</f>
        <v>Cost per bullet</v>
      </c>
      <c r="G662" s="246"/>
      <c r="H662" s="288"/>
      <c r="I662">
        <v>200</v>
      </c>
      <c r="J662" t="s">
        <v>273</v>
      </c>
    </row>
    <row r="663" spans="3:12" s="79" customFormat="1">
      <c r="C663" s="405"/>
      <c r="D663" s="176">
        <f>D648*D662</f>
        <v>1795</v>
      </c>
      <c r="E663" s="142" t="s">
        <v>1526</v>
      </c>
      <c r="F663" s="138"/>
      <c r="G663" s="2149"/>
      <c r="H663" s="288"/>
      <c r="I663" s="2146">
        <f>I661/I662</f>
        <v>1.7949999999999999</v>
      </c>
      <c r="J663" t="s">
        <v>274</v>
      </c>
    </row>
    <row r="664" spans="3:12" s="79" customFormat="1">
      <c r="H664" s="288"/>
    </row>
    <row r="665" spans="3:12" s="79" customFormat="1">
      <c r="H665" s="288"/>
    </row>
    <row r="666" spans="3:12" s="79" customFormat="1">
      <c r="C666" s="9"/>
      <c r="D666" s="290"/>
      <c r="E666" s="147"/>
      <c r="F666" s="147"/>
      <c r="G666" s="1121"/>
      <c r="H666" s="288"/>
      <c r="I666" s="288"/>
    </row>
    <row r="667" spans="3:12" s="79" customFormat="1" ht="19">
      <c r="C667" t="s">
        <v>50</v>
      </c>
      <c r="D667" s="37" t="s">
        <v>81</v>
      </c>
      <c r="E667" s="24"/>
      <c r="F667" s="1"/>
      <c r="G667" s="1100"/>
      <c r="H667" s="286"/>
      <c r="I667" s="286"/>
      <c r="J667" s="289"/>
      <c r="K667" s="216"/>
    </row>
    <row r="668" spans="3:12" s="79" customFormat="1">
      <c r="C668"/>
      <c r="D668" s="24"/>
      <c r="E668" s="16"/>
      <c r="F668" s="1"/>
      <c r="G668" s="1100"/>
      <c r="J668" s="248"/>
      <c r="K668" s="248"/>
      <c r="L668" s="122"/>
    </row>
    <row r="669" spans="3:12" s="79" customFormat="1">
      <c r="C669"/>
      <c r="D669" s="160" t="s">
        <v>294</v>
      </c>
      <c r="E669" s="16"/>
      <c r="F669"/>
      <c r="G669" s="359"/>
      <c r="J669" s="248"/>
      <c r="K669" s="288"/>
      <c r="L669" s="122"/>
    </row>
    <row r="670" spans="3:12" s="79" customFormat="1">
      <c r="C670"/>
      <c r="D670" s="50"/>
      <c r="E670" s="16"/>
      <c r="F670"/>
      <c r="G670" s="359"/>
      <c r="J670" s="286"/>
      <c r="K670" s="286"/>
      <c r="L670" s="122"/>
    </row>
    <row r="671" spans="3:12" s="79" customFormat="1">
      <c r="C671"/>
      <c r="D671" s="484" t="s">
        <v>82</v>
      </c>
      <c r="E671" s="164"/>
      <c r="F671" s="255"/>
      <c r="G671" s="1139"/>
      <c r="I671" s="212"/>
      <c r="J671" s="212" t="s">
        <v>994</v>
      </c>
      <c r="K671" s="216"/>
    </row>
    <row r="672" spans="3:12" s="79" customFormat="1" ht="19">
      <c r="C672"/>
      <c r="D672" s="2161">
        <f>'Overall Assumptions'!$C$72</f>
        <v>337.5</v>
      </c>
      <c r="E672" s="1215" t="s">
        <v>99</v>
      </c>
      <c r="G672" s="1140"/>
      <c r="J672" s="1216">
        <f>AVERAGE(J674,J678)</f>
        <v>750</v>
      </c>
    </row>
    <row r="673" spans="3:21" s="79" customFormat="1" ht="19">
      <c r="C673"/>
      <c r="D673" s="381"/>
      <c r="E673" s="1215"/>
      <c r="G673" s="1140"/>
      <c r="H673" s="1216"/>
      <c r="K673" s="76" t="s">
        <v>480</v>
      </c>
    </row>
    <row r="674" spans="3:21" s="79" customFormat="1">
      <c r="C674"/>
      <c r="D674" s="54">
        <f>D643</f>
        <v>100</v>
      </c>
      <c r="E674" s="133" t="s">
        <v>1533</v>
      </c>
      <c r="G674" s="1140"/>
      <c r="I674" s="65"/>
      <c r="J674" s="122">
        <v>500</v>
      </c>
      <c r="K674" s="76" t="s">
        <v>478</v>
      </c>
    </row>
    <row r="675" spans="3:21" s="79" customFormat="1">
      <c r="C675"/>
      <c r="D675" s="482">
        <f>'Overall Assumptions'!$C$135</f>
        <v>0.2</v>
      </c>
      <c r="E675" s="76" t="s">
        <v>79</v>
      </c>
      <c r="G675" s="1140"/>
      <c r="H675" s="122"/>
      <c r="I675" s="978"/>
      <c r="J675" s="122">
        <v>350</v>
      </c>
      <c r="K675" s="124" t="s">
        <v>479</v>
      </c>
      <c r="U675" s="9"/>
    </row>
    <row r="676" spans="3:21" s="79" customFormat="1">
      <c r="C676"/>
      <c r="D676" s="54">
        <f>D674/D675</f>
        <v>500</v>
      </c>
      <c r="E676" s="2165" t="s">
        <v>972</v>
      </c>
      <c r="G676" s="1140"/>
      <c r="H676" s="122"/>
      <c r="I676" s="978"/>
      <c r="J676" s="129"/>
      <c r="K676" s="76"/>
      <c r="U676" s="9"/>
    </row>
    <row r="677" spans="3:21" s="79" customFormat="1">
      <c r="C677"/>
      <c r="D677" s="54"/>
      <c r="E677" s="2165"/>
      <c r="G677" s="1140"/>
      <c r="H677" s="122"/>
      <c r="I677" s="978"/>
      <c r="K677" s="79" t="s">
        <v>485</v>
      </c>
      <c r="U677" s="9"/>
    </row>
    <row r="678" spans="3:21" s="79" customFormat="1">
      <c r="C678"/>
      <c r="D678" s="42">
        <f>'Overall Assumptions'!$C$53</f>
        <v>4.46</v>
      </c>
      <c r="E678" s="629" t="s">
        <v>780</v>
      </c>
      <c r="G678" s="1140"/>
      <c r="H678" s="122"/>
      <c r="I678" s="978"/>
      <c r="J678" s="122">
        <v>1000</v>
      </c>
      <c r="K678" s="122" t="s">
        <v>484</v>
      </c>
      <c r="U678" s="9"/>
    </row>
    <row r="679" spans="3:21" s="79" customFormat="1">
      <c r="C679"/>
      <c r="D679" s="42">
        <f>'Overall Assumptions'!$C$54</f>
        <v>3.3449999999999998</v>
      </c>
      <c r="E679" s="629" t="s">
        <v>781</v>
      </c>
      <c r="G679" s="1140"/>
      <c r="H679" s="122"/>
      <c r="I679" s="978"/>
      <c r="K679" s="79" t="s">
        <v>483</v>
      </c>
      <c r="U679" s="9"/>
    </row>
    <row r="680" spans="3:21" s="79" customFormat="1">
      <c r="C680"/>
      <c r="D680" s="42">
        <f>'Overall Assumptions'!$C$55</f>
        <v>2.23</v>
      </c>
      <c r="E680" s="629" t="s">
        <v>782</v>
      </c>
      <c r="G680" s="1140"/>
      <c r="H680" s="122"/>
      <c r="I680" s="978"/>
      <c r="K680" s="79" t="s">
        <v>481</v>
      </c>
      <c r="U680" s="9"/>
    </row>
    <row r="681" spans="3:21" s="79" customFormat="1">
      <c r="C681"/>
      <c r="D681" s="354">
        <v>2</v>
      </c>
      <c r="E681" s="76" t="s">
        <v>84</v>
      </c>
      <c r="G681" s="1140"/>
      <c r="H681" s="122"/>
      <c r="I681" s="978"/>
      <c r="K681" s="473" t="s">
        <v>482</v>
      </c>
      <c r="U681" s="9"/>
    </row>
    <row r="682" spans="3:21" s="79" customFormat="1">
      <c r="C682"/>
      <c r="D682" s="44"/>
      <c r="E682" s="76"/>
      <c r="G682" s="1140"/>
      <c r="H682" s="122"/>
      <c r="I682" s="978"/>
      <c r="U682" s="9"/>
    </row>
    <row r="683" spans="3:21" s="79" customFormat="1">
      <c r="C683"/>
      <c r="D683" s="44"/>
      <c r="E683" s="66"/>
      <c r="G683" s="1140"/>
      <c r="H683" s="122"/>
      <c r="I683" s="978"/>
      <c r="K683" s="473"/>
      <c r="U683" s="9"/>
    </row>
    <row r="684" spans="3:21" s="79" customFormat="1">
      <c r="C684"/>
      <c r="D684" s="44">
        <f>D648</f>
        <v>1000</v>
      </c>
      <c r="E684" s="76" t="s">
        <v>1852</v>
      </c>
      <c r="G684" s="1140"/>
      <c r="H684" s="122"/>
      <c r="I684" s="978"/>
      <c r="K684" s="473"/>
      <c r="U684" s="9"/>
    </row>
    <row r="685" spans="3:21" s="79" customFormat="1">
      <c r="C685"/>
      <c r="D685" s="1245">
        <f>D651</f>
        <v>44.444444444444443</v>
      </c>
      <c r="E685" s="124" t="s">
        <v>1021</v>
      </c>
      <c r="G685" s="1140"/>
      <c r="U685"/>
    </row>
    <row r="686" spans="3:21" s="79" customFormat="1">
      <c r="C686"/>
      <c r="D686" s="1672"/>
      <c r="G686" s="1140"/>
      <c r="U686"/>
    </row>
    <row r="687" spans="3:21" s="79" customFormat="1">
      <c r="C687"/>
      <c r="D687" s="404"/>
      <c r="G687" s="1140"/>
      <c r="U687"/>
    </row>
    <row r="688" spans="3:21" s="79" customFormat="1">
      <c r="C688"/>
      <c r="D688" s="54">
        <f>'Overall Assumptions'!$C$10</f>
        <v>0</v>
      </c>
      <c r="E688" s="76" t="s">
        <v>85</v>
      </c>
      <c r="G688" s="1140"/>
      <c r="U688"/>
    </row>
    <row r="689" spans="3:21" s="79" customFormat="1">
      <c r="C689"/>
      <c r="D689" s="54">
        <f>'Overall Assumptions'!$C$90</f>
        <v>80</v>
      </c>
      <c r="E689" s="76" t="s">
        <v>86</v>
      </c>
      <c r="G689" s="1140"/>
      <c r="U689"/>
    </row>
    <row r="690" spans="3:21" s="79" customFormat="1">
      <c r="C690"/>
      <c r="D690" s="56">
        <f>'Overall Assumptions'!$C$81</f>
        <v>210</v>
      </c>
      <c r="E690" s="333" t="s">
        <v>87</v>
      </c>
      <c r="F690" s="439"/>
      <c r="G690" s="2166"/>
      <c r="U690"/>
    </row>
    <row r="691" spans="3:21" s="79" customFormat="1">
      <c r="C691"/>
      <c r="D691" s="75"/>
      <c r="E691" s="76"/>
      <c r="F691"/>
      <c r="G691" s="359"/>
      <c r="U691"/>
    </row>
    <row r="692" spans="3:21" s="79" customFormat="1">
      <c r="C692"/>
      <c r="E692" s="122" t="s">
        <v>996</v>
      </c>
      <c r="F692"/>
      <c r="G692" s="359"/>
      <c r="U692"/>
    </row>
    <row r="693" spans="3:21" s="79" customFormat="1">
      <c r="C693"/>
      <c r="F693"/>
      <c r="G693" s="359"/>
      <c r="U693"/>
    </row>
    <row r="694" spans="3:21" s="79" customFormat="1">
      <c r="C694"/>
      <c r="D694" s="79" t="s">
        <v>988</v>
      </c>
      <c r="F694"/>
      <c r="G694" s="359"/>
      <c r="U694"/>
    </row>
    <row r="695" spans="3:21" s="79" customFormat="1">
      <c r="C695"/>
      <c r="G695" s="1119"/>
      <c r="U695"/>
    </row>
    <row r="696" spans="3:21" s="79" customFormat="1">
      <c r="C696"/>
      <c r="D696" s="79" t="s">
        <v>735</v>
      </c>
      <c r="E696" s="79" t="s">
        <v>987</v>
      </c>
      <c r="F696" t="s">
        <v>733</v>
      </c>
      <c r="G696" s="359" t="s">
        <v>796</v>
      </c>
      <c r="U696"/>
    </row>
    <row r="697" spans="3:21" s="79" customFormat="1">
      <c r="C697"/>
      <c r="D697" s="132">
        <f>D678</f>
        <v>4.46</v>
      </c>
      <c r="E697" s="132">
        <f>D679</f>
        <v>3.3449999999999998</v>
      </c>
      <c r="F697" s="532">
        <f>D680</f>
        <v>2.23</v>
      </c>
      <c r="G697" s="359" t="s">
        <v>997</v>
      </c>
      <c r="U697"/>
    </row>
    <row r="698" spans="3:21" s="79" customFormat="1">
      <c r="C698"/>
      <c r="F698"/>
      <c r="G698" s="1093"/>
      <c r="U698"/>
    </row>
    <row r="699" spans="3:21" s="79" customFormat="1">
      <c r="C699" s="21"/>
      <c r="D699" s="296">
        <f>2*D688/D689/7.5</f>
        <v>0</v>
      </c>
      <c r="E699" s="979">
        <f>D699</f>
        <v>0</v>
      </c>
      <c r="F699" s="979">
        <f>E699</f>
        <v>0</v>
      </c>
      <c r="G699" s="693" t="s">
        <v>95</v>
      </c>
      <c r="I699"/>
      <c r="J699"/>
      <c r="U699"/>
    </row>
    <row r="700" spans="3:21" s="79" customFormat="1">
      <c r="C700" s="21"/>
      <c r="D700" s="296"/>
      <c r="G700" s="1123"/>
      <c r="I700"/>
      <c r="J700"/>
      <c r="U700"/>
    </row>
    <row r="701" spans="3:21" s="79" customFormat="1">
      <c r="C701" s="21"/>
      <c r="D701" s="296">
        <f>$D676/D697/7.5</f>
        <v>14.947683109118087</v>
      </c>
      <c r="E701" s="296">
        <f>$D676/E697/7.5</f>
        <v>19.930244145490786</v>
      </c>
      <c r="F701" s="296">
        <f>$D676/F697/7.5</f>
        <v>29.895366218236173</v>
      </c>
      <c r="G701" s="1124" t="s">
        <v>992</v>
      </c>
      <c r="I701"/>
      <c r="J701"/>
      <c r="U701"/>
    </row>
    <row r="702" spans="3:21" s="79" customFormat="1">
      <c r="C702" s="21"/>
      <c r="D702" s="297">
        <f>$D685</f>
        <v>44.444444444444443</v>
      </c>
      <c r="E702" s="297">
        <f>$D685</f>
        <v>44.444444444444443</v>
      </c>
      <c r="F702" s="297">
        <f>$D685</f>
        <v>44.444444444444443</v>
      </c>
      <c r="G702" s="693" t="s">
        <v>993</v>
      </c>
      <c r="U702"/>
    </row>
    <row r="703" spans="3:21" s="79" customFormat="1" ht="17" customHeight="1">
      <c r="C703" s="21"/>
      <c r="D703" s="296">
        <f>D699+D701+D702</f>
        <v>59.392127553562531</v>
      </c>
      <c r="E703" s="296">
        <f>E699+E701+E702</f>
        <v>64.374688589935232</v>
      </c>
      <c r="F703" s="296">
        <f>F699+F701+F702</f>
        <v>74.33981066268062</v>
      </c>
      <c r="G703" s="99" t="s">
        <v>157</v>
      </c>
      <c r="I703" s="19"/>
      <c r="J703"/>
      <c r="U703"/>
    </row>
    <row r="704" spans="3:21" s="122" customFormat="1">
      <c r="C704" s="9"/>
      <c r="D704" s="105"/>
      <c r="G704" s="1125"/>
      <c r="I704" s="9"/>
      <c r="J704" s="9"/>
      <c r="U704"/>
    </row>
    <row r="705" spans="3:21" s="79" customFormat="1">
      <c r="C705"/>
      <c r="D705" s="77">
        <f>D703*$D681</f>
        <v>118.78425510712506</v>
      </c>
      <c r="E705" s="77">
        <f>E703*$D681</f>
        <v>128.74937717987046</v>
      </c>
      <c r="F705" s="77">
        <f>F703*$D681</f>
        <v>148.67962132536124</v>
      </c>
      <c r="G705" s="99" t="s">
        <v>787</v>
      </c>
      <c r="I705"/>
      <c r="J705"/>
      <c r="U705"/>
    </row>
    <row r="706" spans="3:21" s="79" customFormat="1">
      <c r="C706"/>
      <c r="D706" s="77"/>
      <c r="E706" s="16"/>
      <c r="F706"/>
      <c r="G706" s="359"/>
      <c r="U706"/>
    </row>
    <row r="707" spans="3:21" s="79" customFormat="1">
      <c r="C707" s="21"/>
      <c r="D707" s="64">
        <f>D705*$D672</f>
        <v>40089.686098654711</v>
      </c>
      <c r="E707" s="64">
        <f>E705*$D672</f>
        <v>43452.914798206279</v>
      </c>
      <c r="F707" s="64">
        <f>F705*$D672</f>
        <v>50179.372197309422</v>
      </c>
      <c r="G707" s="1101" t="s">
        <v>486</v>
      </c>
      <c r="H707" s="276"/>
      <c r="I707" s="276"/>
      <c r="U707"/>
    </row>
    <row r="708" spans="3:21" s="79" customFormat="1">
      <c r="C708" s="21"/>
      <c r="G708" s="1119"/>
      <c r="H708" s="119"/>
      <c r="I708" s="119"/>
      <c r="L708"/>
      <c r="U708" s="3"/>
    </row>
    <row r="709" spans="3:21" s="79" customFormat="1" ht="19">
      <c r="C709" s="2" t="s">
        <v>132</v>
      </c>
      <c r="D709" s="37" t="s">
        <v>89</v>
      </c>
      <c r="E709" s="16"/>
      <c r="F709"/>
      <c r="G709" s="359"/>
      <c r="H709"/>
      <c r="I709"/>
      <c r="L709"/>
      <c r="U709" s="3"/>
    </row>
    <row r="710" spans="3:21" s="79" customFormat="1">
      <c r="C710" t="s">
        <v>54</v>
      </c>
      <c r="D710" s="160" t="s">
        <v>296</v>
      </c>
      <c r="E710" s="16"/>
      <c r="F710"/>
      <c r="G710" s="359"/>
      <c r="H710"/>
      <c r="I710"/>
      <c r="L710"/>
      <c r="U710" s="3"/>
    </row>
    <row r="711" spans="3:21" s="79" customFormat="1">
      <c r="C711"/>
      <c r="D711" s="160"/>
      <c r="E711" s="16"/>
      <c r="F711"/>
      <c r="G711" s="359"/>
      <c r="H711"/>
      <c r="I711"/>
      <c r="L711"/>
      <c r="M711" s="122"/>
    </row>
    <row r="712" spans="3:21" s="79" customFormat="1">
      <c r="C712"/>
      <c r="D712" s="16"/>
      <c r="E712" s="16"/>
      <c r="F712"/>
      <c r="G712" s="359"/>
      <c r="H712"/>
      <c r="I712"/>
      <c r="L712"/>
    </row>
    <row r="713" spans="3:21" s="79" customFormat="1">
      <c r="C713"/>
      <c r="D713" s="67" t="s">
        <v>91</v>
      </c>
      <c r="E713" s="41"/>
      <c r="F713"/>
      <c r="G713" s="359"/>
      <c r="H713"/>
      <c r="I713"/>
      <c r="L713"/>
    </row>
    <row r="714" spans="3:21" s="79" customFormat="1">
      <c r="C714"/>
      <c r="D714" s="52">
        <f>'Overall Assumptions'!$C$93</f>
        <v>285</v>
      </c>
      <c r="E714" s="41" t="s">
        <v>93</v>
      </c>
      <c r="F714"/>
      <c r="G714" s="359"/>
      <c r="H714"/>
      <c r="I714"/>
      <c r="L714"/>
    </row>
    <row r="715" spans="3:21" s="79" customFormat="1">
      <c r="C715"/>
      <c r="D715" s="54">
        <v>1</v>
      </c>
      <c r="E715" s="43" t="s">
        <v>995</v>
      </c>
      <c r="F715"/>
      <c r="G715" s="359"/>
      <c r="H715"/>
      <c r="I715"/>
      <c r="L715"/>
    </row>
    <row r="716" spans="3:21" s="79" customFormat="1">
      <c r="C716"/>
      <c r="D716" s="54"/>
      <c r="E716" s="43"/>
      <c r="F716"/>
      <c r="G716" s="359"/>
      <c r="H716"/>
      <c r="I716"/>
    </row>
    <row r="717" spans="3:21" s="79" customFormat="1">
      <c r="C717"/>
      <c r="D717" s="56"/>
      <c r="E717" s="45"/>
      <c r="F717"/>
      <c r="G717" s="359"/>
      <c r="H717"/>
      <c r="I717"/>
      <c r="L717"/>
    </row>
    <row r="718" spans="3:21" s="79" customFormat="1">
      <c r="C718"/>
      <c r="D718" s="75"/>
      <c r="E718" s="76"/>
      <c r="F718"/>
      <c r="G718" s="359"/>
      <c r="H718"/>
      <c r="I718"/>
      <c r="L718"/>
    </row>
    <row r="719" spans="3:21" s="79" customFormat="1">
      <c r="C719"/>
      <c r="D719" s="46">
        <f>D699</f>
        <v>0</v>
      </c>
      <c r="E719" s="46">
        <f>E699</f>
        <v>0</v>
      </c>
      <c r="F719" s="46">
        <f>F699</f>
        <v>0</v>
      </c>
      <c r="G719" s="693" t="s">
        <v>97</v>
      </c>
      <c r="H719"/>
      <c r="I719"/>
    </row>
    <row r="720" spans="3:21" s="79" customFormat="1">
      <c r="C720"/>
      <c r="D720" s="46">
        <f>D703</f>
        <v>59.392127553562531</v>
      </c>
      <c r="E720" s="46">
        <f>E703</f>
        <v>64.374688589935232</v>
      </c>
      <c r="F720" s="46">
        <f>F703</f>
        <v>74.33981066268062</v>
      </c>
      <c r="G720" s="693" t="s">
        <v>98</v>
      </c>
      <c r="H720"/>
      <c r="I720"/>
    </row>
    <row r="721" spans="3:13" s="79" customFormat="1">
      <c r="C721"/>
      <c r="D721" s="46"/>
      <c r="F721"/>
      <c r="G721" s="693"/>
      <c r="H721"/>
      <c r="I721"/>
    </row>
    <row r="722" spans="3:13" s="79" customFormat="1">
      <c r="C722"/>
      <c r="D722" s="46">
        <f>SUM(D719:D721)</f>
        <v>59.392127553562531</v>
      </c>
      <c r="E722" s="46">
        <f>SUM(E719:E721)</f>
        <v>64.374688589935232</v>
      </c>
      <c r="F722" s="46">
        <f>SUM(F719:F721)</f>
        <v>74.33981066268062</v>
      </c>
      <c r="G722" s="693" t="s">
        <v>135</v>
      </c>
      <c r="H722"/>
      <c r="I722"/>
    </row>
    <row r="723" spans="3:13" s="79" customFormat="1">
      <c r="C723"/>
      <c r="D723" s="63"/>
      <c r="E723" s="16"/>
      <c r="F723"/>
      <c r="G723" s="359"/>
      <c r="H723"/>
      <c r="I723"/>
    </row>
    <row r="724" spans="3:13" s="79" customFormat="1">
      <c r="C724"/>
      <c r="D724" s="63"/>
      <c r="E724" s="16"/>
      <c r="F724"/>
      <c r="G724" s="359"/>
      <c r="H724"/>
      <c r="I724"/>
    </row>
    <row r="725" spans="3:13" s="79" customFormat="1">
      <c r="C725" t="s">
        <v>998</v>
      </c>
      <c r="D725" s="68">
        <f>D722*$D714*$D715</f>
        <v>16926.756352765322</v>
      </c>
      <c r="E725" s="68">
        <f>E722*$D714*$D715</f>
        <v>18346.786248131542</v>
      </c>
      <c r="F725" s="68">
        <f>F722*$D714*$D715</f>
        <v>21186.846038863976</v>
      </c>
      <c r="G725" s="1126" t="s">
        <v>53</v>
      </c>
      <c r="H725"/>
      <c r="I725"/>
    </row>
    <row r="726" spans="3:13" s="79" customFormat="1">
      <c r="D726" s="46">
        <f>D720</f>
        <v>59.392127553562531</v>
      </c>
      <c r="E726" s="46">
        <f>E720</f>
        <v>64.374688589935232</v>
      </c>
      <c r="F726" s="46">
        <f>F720</f>
        <v>74.33981066268062</v>
      </c>
      <c r="G726" s="359" t="s">
        <v>795</v>
      </c>
    </row>
    <row r="727" spans="3:13" s="79" customFormat="1">
      <c r="D727" s="75">
        <f>ROUNDUP((D722/21),0)</f>
        <v>3</v>
      </c>
      <c r="E727" s="75">
        <f>ROUNDUP((E722/21),0)</f>
        <v>4</v>
      </c>
      <c r="F727" s="75">
        <f>ROUNDUP((F722/21),0)</f>
        <v>4</v>
      </c>
      <c r="G727" s="99" t="s">
        <v>739</v>
      </c>
    </row>
    <row r="728" spans="3:13" s="79" customFormat="1">
      <c r="D728" s="75"/>
      <c r="E728" s="75"/>
      <c r="F728" s="75"/>
      <c r="G728" s="99"/>
    </row>
    <row r="729" spans="3:13" s="79" customFormat="1">
      <c r="C729" s="215" t="s">
        <v>70</v>
      </c>
      <c r="D729" s="230"/>
      <c r="E729" s="224" t="s">
        <v>156</v>
      </c>
      <c r="F729" s="212"/>
      <c r="G729" s="1108"/>
      <c r="H729" s="212"/>
      <c r="I729" s="119"/>
    </row>
    <row r="730" spans="3:13" s="79" customFormat="1">
      <c r="C730" s="212"/>
      <c r="D730" s="230"/>
      <c r="E730" s="224"/>
      <c r="F730" s="212"/>
      <c r="G730" s="1108"/>
      <c r="H730" s="212"/>
      <c r="I730" s="119"/>
    </row>
    <row r="731" spans="3:13" s="79" customFormat="1">
      <c r="C731" s="212"/>
      <c r="D731" s="230"/>
      <c r="E731" s="224"/>
      <c r="F731" s="212"/>
      <c r="G731" s="1108"/>
      <c r="H731" s="212"/>
      <c r="I731" s="119"/>
    </row>
    <row r="732" spans="3:13" s="79" customFormat="1">
      <c r="C732" s="212"/>
      <c r="D732" s="222">
        <f>D722</f>
        <v>59.392127553562531</v>
      </c>
      <c r="E732" s="222">
        <f>E722</f>
        <v>64.374688589935232</v>
      </c>
      <c r="F732" s="222">
        <f>F722</f>
        <v>74.33981066268062</v>
      </c>
      <c r="G732" s="1127" t="s">
        <v>157</v>
      </c>
      <c r="H732" s="212"/>
      <c r="I732" s="119"/>
    </row>
    <row r="733" spans="3:13" s="79" customFormat="1">
      <c r="C733" s="212"/>
      <c r="D733" s="229">
        <f>FLOOR(D732,1)</f>
        <v>59</v>
      </c>
      <c r="E733" s="229">
        <f>FLOOR(E732,1)</f>
        <v>64</v>
      </c>
      <c r="F733" s="229">
        <f>FLOOR(F732,1)</f>
        <v>74</v>
      </c>
      <c r="G733" s="1127" t="s">
        <v>73</v>
      </c>
      <c r="H733" s="212"/>
      <c r="I733" s="119"/>
    </row>
    <row r="734" spans="3:13" s="79" customFormat="1">
      <c r="C734" s="212"/>
      <c r="D734" s="228">
        <f>D733*$D681</f>
        <v>118</v>
      </c>
      <c r="E734" s="228">
        <f>E733*$D681</f>
        <v>128</v>
      </c>
      <c r="F734" s="228">
        <f>F733*$D681</f>
        <v>148</v>
      </c>
      <c r="G734" s="1128" t="s">
        <v>175</v>
      </c>
      <c r="H734" s="212"/>
      <c r="I734" s="119"/>
    </row>
    <row r="735" spans="3:13" s="79" customFormat="1">
      <c r="C735" s="212"/>
      <c r="D735" s="227"/>
      <c r="E735" s="227"/>
      <c r="F735" s="227"/>
      <c r="G735" s="1128" t="s">
        <v>88</v>
      </c>
      <c r="H735" s="212"/>
    </row>
    <row r="736" spans="3:13" s="79" customFormat="1">
      <c r="C736" s="212"/>
      <c r="D736" s="226">
        <f>D734*$D690</f>
        <v>24780</v>
      </c>
      <c r="E736" s="226">
        <f>E734*$D690</f>
        <v>26880</v>
      </c>
      <c r="F736" s="226">
        <f>F734*$D690</f>
        <v>31080</v>
      </c>
      <c r="G736" s="1129" t="s">
        <v>74</v>
      </c>
      <c r="H736" s="212"/>
      <c r="J736" s="276"/>
      <c r="K736" s="276"/>
      <c r="L736" s="276"/>
      <c r="M736" s="276"/>
    </row>
    <row r="737" spans="3:13" s="79" customFormat="1">
      <c r="D737" s="282"/>
      <c r="E737" s="76"/>
      <c r="G737" s="1119"/>
      <c r="J737" s="122"/>
      <c r="K737" s="136"/>
      <c r="L737" s="119"/>
      <c r="M737" s="119"/>
    </row>
    <row r="738" spans="3:13" s="79" customFormat="1">
      <c r="C738" s="79" t="s">
        <v>1534</v>
      </c>
      <c r="D738" s="2162">
        <f>$D663</f>
        <v>1795</v>
      </c>
      <c r="E738" s="2162">
        <f>$D663</f>
        <v>1795</v>
      </c>
      <c r="F738" s="2162">
        <f>$D663</f>
        <v>1795</v>
      </c>
      <c r="G738" s="1118" t="s">
        <v>1535</v>
      </c>
      <c r="J738" s="122"/>
      <c r="K738" s="136"/>
      <c r="L738" s="119"/>
      <c r="M738" s="119"/>
    </row>
    <row r="739" spans="3:13" s="79" customFormat="1">
      <c r="D739" s="283"/>
      <c r="E739" s="284"/>
      <c r="F739" s="78"/>
      <c r="G739" s="1119"/>
      <c r="J739" s="122"/>
      <c r="K739" s="136"/>
      <c r="L739" s="119"/>
      <c r="M739" s="119"/>
    </row>
    <row r="740" spans="3:13" s="79" customFormat="1">
      <c r="D740" s="283"/>
      <c r="E740" s="1103" t="s">
        <v>788</v>
      </c>
      <c r="F740" s="618" t="s">
        <v>779</v>
      </c>
      <c r="G740" s="618" t="s">
        <v>789</v>
      </c>
      <c r="H740" s="1103" t="s">
        <v>788</v>
      </c>
      <c r="I740" s="618" t="s">
        <v>779</v>
      </c>
      <c r="J740" s="618" t="s">
        <v>789</v>
      </c>
      <c r="K740" s="122"/>
      <c r="L740" s="136"/>
      <c r="M740" s="119"/>
    </row>
    <row r="741" spans="3:13" s="79" customFormat="1">
      <c r="D741" s="143" t="s">
        <v>172</v>
      </c>
      <c r="E741" s="144" t="s">
        <v>155</v>
      </c>
      <c r="F741" s="144" t="s">
        <v>155</v>
      </c>
      <c r="G741" s="144" t="s">
        <v>155</v>
      </c>
      <c r="H741" s="1103" t="s">
        <v>166</v>
      </c>
      <c r="I741" s="1103" t="s">
        <v>166</v>
      </c>
      <c r="J741" s="1103" t="s">
        <v>166</v>
      </c>
      <c r="K741" s="145" t="s">
        <v>69</v>
      </c>
      <c r="M741" s="119"/>
    </row>
    <row r="742" spans="3:13" s="79" customFormat="1">
      <c r="D742" s="135" t="s">
        <v>3</v>
      </c>
      <c r="E742" s="136">
        <f>D705</f>
        <v>118.78425510712506</v>
      </c>
      <c r="F742" s="136">
        <f t="shared" ref="F742:G742" si="60">E705</f>
        <v>128.74937717987046</v>
      </c>
      <c r="G742" s="136">
        <f t="shared" si="60"/>
        <v>148.67962132536124</v>
      </c>
      <c r="H742" s="1092">
        <f>D707</f>
        <v>40089.686098654711</v>
      </c>
      <c r="I742" s="119">
        <f>E707</f>
        <v>43452.914798206279</v>
      </c>
      <c r="J742" s="119">
        <f>F707</f>
        <v>50179.372197309422</v>
      </c>
      <c r="K742" s="358" t="str">
        <f>G707</f>
        <v>Cost for labour</v>
      </c>
      <c r="L742" s="1216">
        <f>D646</f>
        <v>1</v>
      </c>
    </row>
    <row r="743" spans="3:13" s="79" customFormat="1">
      <c r="D743" s="135" t="s">
        <v>132</v>
      </c>
      <c r="E743" s="136">
        <f>D722</f>
        <v>59.392127553562531</v>
      </c>
      <c r="F743" s="136">
        <f t="shared" ref="F743:G743" si="61">E722</f>
        <v>64.374688589935232</v>
      </c>
      <c r="G743" s="136">
        <f t="shared" si="61"/>
        <v>74.33981066268062</v>
      </c>
      <c r="H743" s="1092">
        <f>D725</f>
        <v>16926.756352765322</v>
      </c>
      <c r="I743" s="119">
        <f>E725</f>
        <v>18346.786248131542</v>
      </c>
      <c r="J743" s="119">
        <f>F725</f>
        <v>21186.846038863976</v>
      </c>
      <c r="K743" s="358" t="s">
        <v>999</v>
      </c>
      <c r="L743" s="621">
        <f>L742</f>
        <v>1</v>
      </c>
    </row>
    <row r="744" spans="3:13" s="79" customFormat="1">
      <c r="D744" s="135" t="s">
        <v>169</v>
      </c>
      <c r="E744" s="136">
        <f>D734</f>
        <v>118</v>
      </c>
      <c r="F744" s="136">
        <f t="shared" ref="F744:G744" si="62">E734</f>
        <v>128</v>
      </c>
      <c r="G744" s="136">
        <f t="shared" si="62"/>
        <v>148</v>
      </c>
      <c r="H744" s="1092">
        <f>SUM(D736,D738)</f>
        <v>26575</v>
      </c>
      <c r="I744" s="1092">
        <f>SUM(E736,E738)</f>
        <v>28675</v>
      </c>
      <c r="J744" s="1092">
        <f>SUM(F736,F738)</f>
        <v>32875</v>
      </c>
      <c r="K744" s="358" t="s">
        <v>1536</v>
      </c>
      <c r="L744" s="621">
        <f>L743</f>
        <v>1</v>
      </c>
    </row>
    <row r="745" spans="3:13" s="79" customFormat="1">
      <c r="D745" s="137"/>
      <c r="E745" s="138"/>
      <c r="F745" s="142"/>
      <c r="H745" s="1116">
        <f>SUM(H742:H744)</f>
        <v>83591.442451420036</v>
      </c>
      <c r="I745" s="139">
        <f>SUM(I742:I744)</f>
        <v>90474.701046337825</v>
      </c>
      <c r="J745" s="139">
        <f>SUM(J742:J744)</f>
        <v>104241.2182361734</v>
      </c>
      <c r="K745" s="140" t="s">
        <v>165</v>
      </c>
    </row>
    <row r="746" spans="3:13">
      <c r="D746" s="25"/>
    </row>
    <row r="747" spans="3:13" s="7" customFormat="1">
      <c r="D747" s="69"/>
      <c r="E747" s="36"/>
      <c r="G747" s="1089"/>
    </row>
    <row r="748" spans="3:13">
      <c r="D748" s="432"/>
      <c r="E748" s="24"/>
    </row>
    <row r="749" spans="3:13" s="7" customFormat="1">
      <c r="D749" s="35"/>
      <c r="E749" s="36"/>
      <c r="G749" s="1089"/>
    </row>
    <row r="750" spans="3:13">
      <c r="C750" t="s">
        <v>1002</v>
      </c>
    </row>
    <row r="752" spans="3:13">
      <c r="D752" s="66" t="s">
        <v>1004</v>
      </c>
      <c r="E752" s="76"/>
      <c r="F752" s="79"/>
      <c r="G752" s="1119"/>
    </row>
    <row r="753" spans="4:12">
      <c r="D753" s="329"/>
      <c r="E753" s="76"/>
      <c r="F753" s="79"/>
      <c r="G753" s="1119"/>
    </row>
    <row r="754" spans="4:12">
      <c r="D754" s="117" t="s">
        <v>91</v>
      </c>
      <c r="E754" s="118"/>
      <c r="F754" s="9"/>
      <c r="G754" s="1119"/>
    </row>
    <row r="755" spans="4:12">
      <c r="D755" s="114">
        <v>0.3</v>
      </c>
      <c r="E755" s="115" t="s">
        <v>262</v>
      </c>
      <c r="F755" s="9"/>
      <c r="G755" s="1119"/>
    </row>
    <row r="756" spans="4:12">
      <c r="D756" s="472">
        <v>1</v>
      </c>
      <c r="E756" s="97" t="s">
        <v>260</v>
      </c>
      <c r="F756" s="9"/>
      <c r="G756" s="1119"/>
    </row>
    <row r="757" spans="4:12">
      <c r="D757" s="825"/>
      <c r="E757" s="825"/>
      <c r="H757" s="1" t="s">
        <v>788</v>
      </c>
      <c r="I757" s="1" t="s">
        <v>779</v>
      </c>
      <c r="J757" s="1" t="s">
        <v>789</v>
      </c>
    </row>
    <row r="758" spans="4:12">
      <c r="D758" s="617" t="str">
        <f t="shared" ref="D758:K761" si="63">D228</f>
        <v>Component</v>
      </c>
      <c r="E758" s="618" t="str">
        <f t="shared" si="63"/>
        <v>Days</v>
      </c>
      <c r="F758" s="618" t="str">
        <f t="shared" si="63"/>
        <v>Area covered</v>
      </c>
      <c r="G758" s="1103" t="str">
        <f t="shared" si="63"/>
        <v>distance</v>
      </c>
      <c r="H758" s="618" t="str">
        <f t="shared" si="63"/>
        <v>Cost</v>
      </c>
      <c r="I758" s="618" t="str">
        <f t="shared" si="63"/>
        <v>Cost</v>
      </c>
      <c r="J758" s="618" t="str">
        <f t="shared" si="63"/>
        <v>Cost</v>
      </c>
      <c r="K758" s="619" t="str">
        <f t="shared" si="63"/>
        <v>Description</v>
      </c>
    </row>
    <row r="759" spans="4:12">
      <c r="D759" s="404" t="str">
        <f t="shared" si="63"/>
        <v>Labour</v>
      </c>
      <c r="E759" s="90">
        <f t="shared" si="63"/>
        <v>6.2541106128550075</v>
      </c>
      <c r="F759" s="90">
        <f t="shared" ref="F759:G759" si="64">F229</f>
        <v>7.449925261584454</v>
      </c>
      <c r="G759" s="90">
        <f t="shared" si="64"/>
        <v>9.8415545590433489</v>
      </c>
      <c r="H759" s="432">
        <f t="shared" si="63"/>
        <v>1407.1748878923768</v>
      </c>
      <c r="I759" s="432">
        <f t="shared" si="63"/>
        <v>1676.2331838565024</v>
      </c>
      <c r="J759" s="432">
        <f t="shared" si="63"/>
        <v>2214.3497757847535</v>
      </c>
      <c r="K759" s="830" t="str">
        <f t="shared" si="63"/>
        <v>Cost for labour</v>
      </c>
      <c r="L759">
        <v>1</v>
      </c>
    </row>
    <row r="760" spans="4:12">
      <c r="D760" s="404" t="str">
        <f t="shared" si="63"/>
        <v>transport</v>
      </c>
      <c r="E760" s="90">
        <f t="shared" si="63"/>
        <v>3.1270553064275037</v>
      </c>
      <c r="F760" s="90">
        <f t="shared" ref="F760:G760" si="65">F230</f>
        <v>3.724962630792227</v>
      </c>
      <c r="G760" s="90">
        <f t="shared" si="65"/>
        <v>4.9207772795216744</v>
      </c>
      <c r="H760" s="432">
        <f t="shared" si="63"/>
        <v>891.21076233183862</v>
      </c>
      <c r="I760" s="432">
        <f t="shared" si="63"/>
        <v>1061.6143497757848</v>
      </c>
      <c r="J760" s="432">
        <f t="shared" si="63"/>
        <v>1402.4215246636772</v>
      </c>
      <c r="K760" s="830" t="str">
        <f t="shared" si="63"/>
        <v>Cost for ute hire for the whole activity</v>
      </c>
      <c r="L760">
        <v>1</v>
      </c>
    </row>
    <row r="761" spans="4:12">
      <c r="D761" s="404" t="str">
        <f t="shared" si="63"/>
        <v>Consumables (Accomodation)</v>
      </c>
      <c r="E761" s="90">
        <f t="shared" si="63"/>
        <v>6</v>
      </c>
      <c r="F761" s="90">
        <f t="shared" ref="F761:G761" si="66">F231</f>
        <v>6</v>
      </c>
      <c r="G761" s="90">
        <f t="shared" si="66"/>
        <v>8</v>
      </c>
      <c r="H761" s="432">
        <f t="shared" si="63"/>
        <v>1260</v>
      </c>
      <c r="I761" s="432">
        <f t="shared" si="63"/>
        <v>1260</v>
      </c>
      <c r="J761" s="432">
        <f t="shared" si="63"/>
        <v>1680</v>
      </c>
      <c r="K761" s="830" t="str">
        <f t="shared" si="63"/>
        <v>Accomodation + Food Cost</v>
      </c>
      <c r="L761">
        <v>1</v>
      </c>
    </row>
    <row r="762" spans="4:12">
      <c r="D762" s="404"/>
      <c r="E762" s="90"/>
      <c r="F762" s="531"/>
      <c r="H762" s="432"/>
      <c r="I762" s="259"/>
      <c r="J762" s="259"/>
      <c r="K762" s="830"/>
      <c r="L762" s="558"/>
    </row>
    <row r="763" spans="4:12">
      <c r="D763" s="404"/>
      <c r="E763" s="90"/>
      <c r="F763" s="531"/>
      <c r="H763" s="432"/>
      <c r="I763" s="259"/>
      <c r="J763" s="259"/>
      <c r="K763" s="830"/>
    </row>
    <row r="764" spans="4:12">
      <c r="D764" s="405"/>
      <c r="E764" s="439"/>
      <c r="F764" s="439"/>
      <c r="G764" s="1098"/>
      <c r="H764" s="622">
        <f>SUM(H759:H763)</f>
        <v>3558.3856502242152</v>
      </c>
      <c r="I764" s="622">
        <f>SUM(I759:I763)</f>
        <v>3997.8475336322872</v>
      </c>
      <c r="J764" s="622">
        <f>SUM(J759:J763)</f>
        <v>5296.7713004484303</v>
      </c>
      <c r="K764" s="623" t="s">
        <v>165</v>
      </c>
    </row>
    <row r="765" spans="4:12">
      <c r="D765"/>
      <c r="E765"/>
      <c r="F765" s="432"/>
      <c r="G765" s="1099"/>
    </row>
    <row r="766" spans="4:12">
      <c r="D766"/>
      <c r="E766"/>
      <c r="F766" s="432"/>
      <c r="G766" s="1099"/>
    </row>
    <row r="768" spans="4:12" s="7" customFormat="1">
      <c r="D768" s="35"/>
      <c r="E768" s="36"/>
      <c r="G768" s="1089"/>
    </row>
    <row r="769" spans="3:10" s="9" customFormat="1">
      <c r="D769" s="105"/>
      <c r="E769" s="34"/>
      <c r="G769" s="572"/>
    </row>
    <row r="770" spans="3:10" s="9" customFormat="1">
      <c r="C770" s="120" t="s">
        <v>247</v>
      </c>
      <c r="D770" s="105"/>
      <c r="E770" s="34"/>
      <c r="G770" s="572"/>
    </row>
    <row r="771" spans="3:10" s="9" customFormat="1">
      <c r="D771" s="34" t="s">
        <v>258</v>
      </c>
      <c r="E771" s="34"/>
      <c r="G771" s="572"/>
    </row>
    <row r="772" spans="3:10" s="9" customFormat="1">
      <c r="D772" s="38" t="s">
        <v>91</v>
      </c>
      <c r="E772" s="39"/>
      <c r="F772" s="105"/>
      <c r="G772" s="572"/>
    </row>
    <row r="773" spans="3:10" s="9" customFormat="1">
      <c r="D773" s="402"/>
      <c r="E773" s="161"/>
      <c r="G773" s="572"/>
    </row>
    <row r="774" spans="3:10" s="9" customFormat="1">
      <c r="D774" s="332">
        <f>'Overall Assumptions'!$C$125</f>
        <v>3</v>
      </c>
      <c r="E774" s="131" t="str">
        <f>'Overall Assumptions'!$D$115</f>
        <v>weeks</v>
      </c>
      <c r="G774" s="572"/>
    </row>
    <row r="775" spans="3:10" s="9" customFormat="1">
      <c r="C775" s="105"/>
      <c r="D775" s="332">
        <f>D774*5</f>
        <v>15</v>
      </c>
      <c r="E775" s="43" t="str">
        <f>'Overall Assumptions'!$D$116</f>
        <v>days</v>
      </c>
      <c r="G775" s="572"/>
    </row>
    <row r="776" spans="3:10" s="9" customFormat="1">
      <c r="C776" s="105"/>
      <c r="D776" s="332"/>
      <c r="E776" s="43"/>
      <c r="G776" s="572"/>
    </row>
    <row r="777" spans="3:10" s="9" customFormat="1">
      <c r="C777" s="105"/>
      <c r="D777" s="268">
        <v>1</v>
      </c>
      <c r="E777" s="43" t="s">
        <v>259</v>
      </c>
      <c r="G777" s="572"/>
    </row>
    <row r="778" spans="3:10" s="9" customFormat="1">
      <c r="C778" s="105"/>
      <c r="D778" s="332"/>
      <c r="E778" s="43"/>
      <c r="G778" s="572"/>
    </row>
    <row r="779" spans="3:10" s="9" customFormat="1">
      <c r="C779" s="105"/>
      <c r="D779" s="332"/>
      <c r="E779" s="246"/>
      <c r="G779" s="572"/>
    </row>
    <row r="780" spans="3:10" s="9" customFormat="1">
      <c r="D780" s="614">
        <f>'Overall Assumptions'!$C$68</f>
        <v>225</v>
      </c>
      <c r="E780" s="246" t="str">
        <f>'Overall Assumptions'!$B$67</f>
        <v>Labour 1- APS Low (Entry lvl)</v>
      </c>
      <c r="G780" s="572"/>
    </row>
    <row r="781" spans="3:10" s="9" customFormat="1">
      <c r="D781" s="399">
        <f>'Overall Assumptions'!$C$72</f>
        <v>337.5</v>
      </c>
      <c r="E781" s="530" t="str">
        <f>'Overall Assumptions'!$B$71</f>
        <v>Labour 2 - APS High (Experienced)</v>
      </c>
      <c r="G781" s="572"/>
    </row>
    <row r="782" spans="3:10" s="9" customFormat="1">
      <c r="D782" s="112">
        <f>'Overall Assumptions'!$C$76</f>
        <v>487.5</v>
      </c>
      <c r="E782" s="45" t="str">
        <f>'Overall Assumptions'!$B$75</f>
        <v>Labour 3 - EL (Management)</v>
      </c>
      <c r="G782" s="572"/>
    </row>
    <row r="783" spans="3:10" s="9" customFormat="1">
      <c r="D783" s="33"/>
      <c r="E783" s="34"/>
      <c r="G783" s="572"/>
    </row>
    <row r="784" spans="3:10">
      <c r="C784" s="9"/>
      <c r="D784" s="247"/>
      <c r="E784" s="33"/>
      <c r="F784" s="9"/>
      <c r="G784" s="572"/>
      <c r="H784" s="9"/>
      <c r="I784" s="9"/>
      <c r="J784" s="9"/>
    </row>
    <row r="785" spans="3:10">
      <c r="C785" s="9"/>
      <c r="D785" s="33"/>
      <c r="E785" s="34"/>
      <c r="F785" s="9"/>
      <c r="G785" s="572"/>
      <c r="H785" s="9"/>
      <c r="I785" s="9"/>
      <c r="J785" s="9"/>
    </row>
    <row r="786" spans="3:10">
      <c r="C786" s="9"/>
      <c r="D786" s="33"/>
      <c r="E786" s="34"/>
      <c r="F786" s="9"/>
      <c r="G786" s="572"/>
      <c r="H786" s="9"/>
      <c r="I786" s="9"/>
      <c r="J786" s="9"/>
    </row>
    <row r="787" spans="3:10">
      <c r="C787" s="9"/>
      <c r="D787" s="33"/>
      <c r="E787" s="34"/>
      <c r="F787" s="9"/>
      <c r="G787" s="572"/>
      <c r="H787" s="9"/>
      <c r="I787" s="9"/>
      <c r="J787" s="9"/>
    </row>
    <row r="788" spans="3:10">
      <c r="C788" s="9"/>
      <c r="D788" s="175"/>
      <c r="E788" s="164" t="s">
        <v>155</v>
      </c>
      <c r="F788" s="255" t="s">
        <v>166</v>
      </c>
      <c r="G788" s="1090" t="s">
        <v>69</v>
      </c>
      <c r="H788" s="161"/>
      <c r="I788" s="9"/>
      <c r="J788" s="9"/>
    </row>
    <row r="789" spans="3:10">
      <c r="C789" s="9"/>
      <c r="D789" s="405" t="s">
        <v>3</v>
      </c>
      <c r="E789" s="615">
        <f>D775</f>
        <v>15</v>
      </c>
      <c r="F789" s="321">
        <f>D775*D781</f>
        <v>5062.5</v>
      </c>
      <c r="G789" s="1091" t="s">
        <v>182</v>
      </c>
      <c r="H789" s="162"/>
      <c r="I789" s="9"/>
      <c r="J789" s="9"/>
    </row>
    <row r="790" spans="3:10">
      <c r="H790" s="9"/>
    </row>
    <row r="793" spans="3:10" s="182" customFormat="1">
      <c r="D793" s="183"/>
      <c r="E793" s="184"/>
      <c r="G793" s="1131"/>
    </row>
    <row r="794" spans="3:10">
      <c r="C794" s="1" t="s">
        <v>139</v>
      </c>
    </row>
    <row r="795" spans="3:10">
      <c r="C795" s="199">
        <f>'Overall Assumptions'!$C$6</f>
        <v>100</v>
      </c>
      <c r="D795" s="200" t="s">
        <v>195</v>
      </c>
    </row>
    <row r="796" spans="3:10">
      <c r="C796" s="201">
        <f>C795*100</f>
        <v>10000</v>
      </c>
      <c r="D796" s="202" t="s">
        <v>196</v>
      </c>
    </row>
    <row r="798" spans="3:10">
      <c r="C798" s="198"/>
    </row>
    <row r="800" spans="3:10">
      <c r="C800" s="160"/>
    </row>
    <row r="801" spans="1:42">
      <c r="C801" t="s">
        <v>280</v>
      </c>
    </row>
    <row r="802" spans="1:42">
      <c r="C802" t="s">
        <v>284</v>
      </c>
    </row>
    <row r="803" spans="1:42" s="359" customFormat="1">
      <c r="A803"/>
      <c r="B803"/>
      <c r="C803" t="s">
        <v>1032</v>
      </c>
      <c r="D803" s="1081">
        <v>234</v>
      </c>
      <c r="E803" s="16"/>
      <c r="F803"/>
      <c r="H803"/>
      <c r="I803"/>
      <c r="J803"/>
      <c r="K803"/>
      <c r="L803"/>
      <c r="M803"/>
      <c r="N803"/>
      <c r="O803"/>
      <c r="P803"/>
      <c r="Q803" s="2791"/>
      <c r="R803" s="2791"/>
      <c r="S803" s="2791"/>
      <c r="T803"/>
      <c r="U803"/>
      <c r="V803"/>
      <c r="W803"/>
      <c r="X803"/>
      <c r="Y803"/>
      <c r="Z803"/>
      <c r="AA803"/>
      <c r="AB803"/>
      <c r="AC803"/>
      <c r="AD803"/>
      <c r="AE803"/>
      <c r="AF803"/>
      <c r="AG803"/>
      <c r="AH803"/>
      <c r="AI803"/>
      <c r="AJ803"/>
      <c r="AK803"/>
      <c r="AL803"/>
      <c r="AM803"/>
      <c r="AN803"/>
      <c r="AO803"/>
      <c r="AP803"/>
    </row>
    <row r="804" spans="1:42" s="359" customFormat="1">
      <c r="A804"/>
      <c r="B804"/>
      <c r="C804" t="s">
        <v>285</v>
      </c>
      <c r="D804" s="58">
        <f>C796*2.34</f>
        <v>23400</v>
      </c>
      <c r="E804" s="16"/>
      <c r="F804"/>
      <c r="H804"/>
      <c r="I804"/>
      <c r="J804"/>
      <c r="K804"/>
      <c r="L804"/>
      <c r="M804"/>
      <c r="N804"/>
      <c r="O804"/>
      <c r="P804"/>
      <c r="Q804" s="2791"/>
      <c r="R804" s="2791"/>
      <c r="S804" s="2791"/>
      <c r="T804"/>
      <c r="U804"/>
      <c r="V804"/>
      <c r="W804"/>
      <c r="X804"/>
      <c r="Y804"/>
      <c r="Z804"/>
      <c r="AA804"/>
      <c r="AB804"/>
      <c r="AC804"/>
      <c r="AD804"/>
      <c r="AE804"/>
      <c r="AF804"/>
      <c r="AG804"/>
      <c r="AH804"/>
      <c r="AI804"/>
      <c r="AJ804"/>
      <c r="AK804"/>
      <c r="AL804"/>
      <c r="AM804"/>
      <c r="AN804"/>
      <c r="AO804"/>
      <c r="AP804"/>
    </row>
    <row r="806" spans="1:42" s="359" customFormat="1">
      <c r="A806"/>
      <c r="B806"/>
      <c r="C806" s="90" t="s">
        <v>281</v>
      </c>
      <c r="D806"/>
      <c r="E806" s="16"/>
      <c r="F806"/>
      <c r="H806"/>
      <c r="I806"/>
      <c r="J806"/>
      <c r="K806"/>
      <c r="L806"/>
      <c r="M806"/>
      <c r="N806"/>
      <c r="O806"/>
      <c r="P806"/>
      <c r="Q806" s="2791"/>
      <c r="R806" s="2791"/>
      <c r="S806" s="2791"/>
      <c r="T806"/>
      <c r="U806"/>
      <c r="V806"/>
      <c r="W806"/>
      <c r="X806"/>
      <c r="Y806"/>
      <c r="Z806"/>
      <c r="AA806"/>
      <c r="AB806"/>
      <c r="AC806"/>
      <c r="AD806"/>
      <c r="AE806"/>
      <c r="AF806"/>
      <c r="AG806"/>
      <c r="AH806"/>
      <c r="AI806"/>
      <c r="AJ806"/>
      <c r="AK806"/>
      <c r="AL806"/>
      <c r="AM806"/>
      <c r="AN806"/>
      <c r="AO806"/>
      <c r="AP806"/>
    </row>
    <row r="807" spans="1:42" s="359" customFormat="1" ht="24" customHeight="1">
      <c r="A807"/>
      <c r="B807"/>
      <c r="C807" s="436" t="s">
        <v>282</v>
      </c>
      <c r="D807" s="24"/>
      <c r="E807" s="16"/>
      <c r="F807"/>
      <c r="H807"/>
      <c r="I807"/>
      <c r="J807"/>
      <c r="K807"/>
      <c r="L807"/>
      <c r="M807"/>
      <c r="N807"/>
      <c r="O807"/>
      <c r="P807"/>
      <c r="Q807" s="2791"/>
      <c r="R807" s="2791"/>
      <c r="S807" s="2791"/>
      <c r="T807"/>
      <c r="U807"/>
      <c r="V807"/>
      <c r="W807"/>
      <c r="X807"/>
      <c r="Y807"/>
      <c r="Z807"/>
      <c r="AA807"/>
      <c r="AB807"/>
      <c r="AC807"/>
      <c r="AD807"/>
      <c r="AE807"/>
      <c r="AF807"/>
      <c r="AG807"/>
      <c r="AH807"/>
      <c r="AI807"/>
      <c r="AJ807"/>
      <c r="AK807"/>
      <c r="AL807"/>
      <c r="AM807"/>
      <c r="AN807"/>
      <c r="AO807"/>
      <c r="AP807"/>
    </row>
    <row r="808" spans="1:42" s="359" customFormat="1">
      <c r="A808"/>
      <c r="B808"/>
      <c r="C808" t="s">
        <v>283</v>
      </c>
      <c r="D808" s="58">
        <f>3883+0.84*(C796)</f>
        <v>12283</v>
      </c>
      <c r="E808" s="16"/>
      <c r="F808"/>
      <c r="H808"/>
      <c r="I808"/>
      <c r="J808"/>
      <c r="K808"/>
      <c r="L808"/>
      <c r="M808"/>
      <c r="N808"/>
      <c r="O808"/>
      <c r="P808"/>
      <c r="Q808" s="2791"/>
      <c r="R808" s="2791"/>
      <c r="S808" s="2791"/>
      <c r="T808"/>
      <c r="U808"/>
      <c r="V808"/>
      <c r="W808"/>
      <c r="X808"/>
      <c r="Y808"/>
      <c r="Z808"/>
      <c r="AA808"/>
      <c r="AB808"/>
      <c r="AC808"/>
      <c r="AD808"/>
      <c r="AE808"/>
      <c r="AF808"/>
      <c r="AG808"/>
      <c r="AH808"/>
      <c r="AI808"/>
      <c r="AJ808"/>
      <c r="AK808"/>
      <c r="AL808"/>
      <c r="AM808"/>
      <c r="AN808"/>
      <c r="AO808"/>
      <c r="AP808"/>
    </row>
    <row r="809" spans="1:42" s="359" customFormat="1">
      <c r="A809"/>
      <c r="B809"/>
      <c r="C809" t="s">
        <v>1033</v>
      </c>
      <c r="D809" s="58">
        <f>D808/100</f>
        <v>122.83</v>
      </c>
      <c r="E809" s="16"/>
      <c r="F809"/>
      <c r="H809"/>
      <c r="I809"/>
      <c r="J809"/>
      <c r="K809"/>
      <c r="L809"/>
      <c r="M809"/>
      <c r="N809"/>
      <c r="O809"/>
      <c r="P809"/>
      <c r="Q809" s="2791"/>
      <c r="R809" s="2791"/>
      <c r="S809" s="2791"/>
      <c r="T809"/>
      <c r="U809"/>
      <c r="V809"/>
      <c r="W809"/>
      <c r="X809"/>
      <c r="Y809"/>
      <c r="Z809"/>
      <c r="AA809"/>
      <c r="AB809"/>
      <c r="AC809"/>
      <c r="AD809"/>
      <c r="AE809"/>
      <c r="AF809"/>
      <c r="AG809"/>
      <c r="AH809"/>
      <c r="AI809"/>
      <c r="AJ809"/>
      <c r="AK809"/>
      <c r="AL809"/>
      <c r="AM809"/>
      <c r="AN809"/>
      <c r="AO809"/>
      <c r="AP809"/>
    </row>
    <row r="810" spans="1:42" s="359" customFormat="1">
      <c r="A810"/>
      <c r="B810"/>
      <c r="C810" s="204"/>
      <c r="D810" s="24"/>
      <c r="E810" s="16"/>
      <c r="F810"/>
      <c r="H810"/>
      <c r="I810"/>
      <c r="J810"/>
      <c r="K810"/>
      <c r="L810"/>
      <c r="M810"/>
      <c r="N810"/>
      <c r="O810"/>
      <c r="P810"/>
      <c r="Q810" s="2791"/>
      <c r="R810" s="2791"/>
      <c r="S810" s="2791"/>
      <c r="T810"/>
      <c r="U810"/>
      <c r="V810"/>
      <c r="W810"/>
      <c r="X810"/>
      <c r="Y810"/>
      <c r="Z810"/>
      <c r="AA810"/>
      <c r="AB810"/>
      <c r="AC810"/>
      <c r="AD810"/>
      <c r="AE810"/>
      <c r="AF810"/>
      <c r="AG810"/>
      <c r="AH810"/>
      <c r="AI810"/>
      <c r="AJ810"/>
      <c r="AK810"/>
      <c r="AL810"/>
      <c r="AM810"/>
      <c r="AN810"/>
      <c r="AO810"/>
      <c r="AP810"/>
    </row>
    <row r="812" spans="1:42" s="359" customFormat="1">
      <c r="A812"/>
      <c r="B812"/>
      <c r="C812" s="206"/>
      <c r="D812" s="24"/>
      <c r="E812" s="16"/>
      <c r="F812" s="2"/>
      <c r="H812"/>
      <c r="I812"/>
      <c r="J812"/>
      <c r="K812"/>
      <c r="L812"/>
      <c r="M812"/>
      <c r="N812"/>
      <c r="O812"/>
      <c r="P812"/>
      <c r="Q812" s="2791"/>
      <c r="R812" s="2791"/>
      <c r="S812" s="2791"/>
      <c r="T812"/>
      <c r="U812"/>
      <c r="V812"/>
      <c r="W812"/>
      <c r="X812"/>
      <c r="Y812"/>
      <c r="Z812"/>
      <c r="AA812"/>
      <c r="AB812"/>
      <c r="AC812"/>
      <c r="AD812"/>
      <c r="AE812"/>
      <c r="AF812"/>
      <c r="AG812"/>
      <c r="AH812"/>
      <c r="AI812"/>
      <c r="AJ812"/>
      <c r="AK812"/>
      <c r="AL812"/>
      <c r="AM812"/>
      <c r="AN812"/>
      <c r="AO812"/>
      <c r="AP812"/>
    </row>
    <row r="813" spans="1:42" s="359" customFormat="1" ht="15" customHeight="1">
      <c r="A813"/>
      <c r="B813"/>
      <c r="C813" s="2"/>
      <c r="D813" s="207"/>
      <c r="E813" s="16"/>
      <c r="F813" s="2"/>
      <c r="H813"/>
      <c r="I813"/>
      <c r="J813"/>
      <c r="K813"/>
      <c r="L813"/>
      <c r="M813"/>
      <c r="N813"/>
      <c r="O813"/>
      <c r="P813"/>
      <c r="Q813" s="2791"/>
      <c r="R813" s="2791"/>
      <c r="S813" s="2791"/>
      <c r="T813"/>
      <c r="U813"/>
      <c r="V813"/>
      <c r="W813"/>
      <c r="X813"/>
      <c r="Y813"/>
      <c r="Z813"/>
      <c r="AA813"/>
      <c r="AB813"/>
      <c r="AC813"/>
      <c r="AD813"/>
      <c r="AE813"/>
      <c r="AF813"/>
      <c r="AG813"/>
      <c r="AH813"/>
      <c r="AI813"/>
      <c r="AJ813"/>
      <c r="AK813"/>
      <c r="AL813"/>
      <c r="AM813"/>
      <c r="AN813"/>
      <c r="AO813"/>
      <c r="AP813"/>
    </row>
    <row r="814" spans="1:42" s="359" customFormat="1" ht="15" customHeight="1">
      <c r="A814"/>
      <c r="B814"/>
      <c r="C814" s="2"/>
      <c r="D814" s="207"/>
      <c r="E814" s="16"/>
      <c r="F814" s="2"/>
      <c r="H814"/>
      <c r="I814"/>
      <c r="J814"/>
      <c r="K814"/>
      <c r="L814"/>
      <c r="M814"/>
      <c r="N814"/>
      <c r="O814"/>
      <c r="P814"/>
      <c r="Q814" s="2791"/>
      <c r="R814" s="2791"/>
      <c r="S814" s="2791"/>
      <c r="T814"/>
      <c r="U814"/>
      <c r="V814"/>
      <c r="W814"/>
      <c r="X814"/>
      <c r="Y814"/>
      <c r="Z814"/>
      <c r="AA814"/>
      <c r="AB814"/>
      <c r="AC814"/>
      <c r="AD814"/>
      <c r="AE814"/>
      <c r="AF814"/>
      <c r="AG814"/>
      <c r="AH814"/>
      <c r="AI814"/>
      <c r="AJ814"/>
      <c r="AK814"/>
      <c r="AL814"/>
      <c r="AM814"/>
      <c r="AN814"/>
      <c r="AO814"/>
      <c r="AP814"/>
    </row>
    <row r="815" spans="1:42" s="359" customFormat="1" ht="15" customHeight="1">
      <c r="A815"/>
      <c r="B815"/>
      <c r="C815" s="2"/>
      <c r="D815" s="207"/>
      <c r="E815" s="16"/>
      <c r="F815" s="2"/>
      <c r="H815"/>
      <c r="I815"/>
      <c r="J815"/>
      <c r="K815"/>
      <c r="L815"/>
      <c r="M815"/>
      <c r="N815"/>
      <c r="O815"/>
      <c r="P815"/>
      <c r="Q815" s="2791"/>
      <c r="R815" s="2791"/>
      <c r="S815" s="2791"/>
      <c r="T815"/>
      <c r="U815"/>
      <c r="V815"/>
      <c r="W815"/>
      <c r="X815"/>
      <c r="Y815"/>
      <c r="Z815"/>
      <c r="AA815"/>
      <c r="AB815"/>
      <c r="AC815"/>
      <c r="AD815"/>
      <c r="AE815"/>
      <c r="AF815"/>
      <c r="AG815"/>
      <c r="AH815"/>
      <c r="AI815"/>
      <c r="AJ815"/>
      <c r="AK815"/>
      <c r="AL815"/>
      <c r="AM815"/>
      <c r="AN815"/>
      <c r="AO815"/>
      <c r="AP815"/>
    </row>
    <row r="816" spans="1:42" s="359" customFormat="1" ht="15" customHeight="1">
      <c r="A816"/>
      <c r="B816"/>
      <c r="C816" s="2"/>
      <c r="D816" s="207"/>
      <c r="E816" s="16"/>
      <c r="F816" s="2"/>
      <c r="H816"/>
      <c r="I816"/>
      <c r="J816"/>
      <c r="K816"/>
      <c r="L816"/>
      <c r="M816"/>
      <c r="N816"/>
      <c r="O816"/>
      <c r="P816"/>
      <c r="Q816" s="2791"/>
      <c r="R816" s="2791"/>
      <c r="S816" s="2791"/>
      <c r="T816"/>
      <c r="U816"/>
      <c r="V816"/>
      <c r="W816"/>
      <c r="X816"/>
      <c r="Y816"/>
      <c r="Z816"/>
      <c r="AA816"/>
      <c r="AB816"/>
      <c r="AC816"/>
      <c r="AD816"/>
      <c r="AE816"/>
      <c r="AF816"/>
      <c r="AG816"/>
      <c r="AH816"/>
      <c r="AI816"/>
      <c r="AJ816"/>
      <c r="AK816"/>
      <c r="AL816"/>
      <c r="AM816"/>
      <c r="AN816"/>
      <c r="AO816"/>
      <c r="AP816"/>
    </row>
    <row r="817" spans="1:42" s="359" customFormat="1" ht="15" customHeight="1">
      <c r="A817"/>
      <c r="B817"/>
      <c r="C817" s="206"/>
      <c r="D817" s="207"/>
      <c r="E817" s="16"/>
      <c r="F817" s="2"/>
      <c r="H817"/>
      <c r="I817"/>
      <c r="J817"/>
      <c r="K817"/>
      <c r="L817"/>
      <c r="M817"/>
      <c r="N817"/>
      <c r="O817"/>
      <c r="P817"/>
      <c r="Q817" s="2791"/>
      <c r="R817" s="2791"/>
      <c r="S817" s="2791"/>
      <c r="T817"/>
      <c r="U817"/>
      <c r="V817"/>
      <c r="W817"/>
      <c r="X817"/>
      <c r="Y817"/>
      <c r="Z817"/>
      <c r="AA817"/>
      <c r="AB817"/>
      <c r="AC817"/>
      <c r="AD817"/>
      <c r="AE817"/>
      <c r="AF817"/>
      <c r="AG817"/>
      <c r="AH817"/>
      <c r="AI817"/>
      <c r="AJ817"/>
      <c r="AK817"/>
      <c r="AL817"/>
      <c r="AM817"/>
      <c r="AN817"/>
      <c r="AO817"/>
      <c r="AP817"/>
    </row>
    <row r="818" spans="1:42" s="359" customFormat="1" ht="15" customHeight="1">
      <c r="A818"/>
      <c r="B818"/>
      <c r="C818"/>
      <c r="D818" s="207"/>
      <c r="E818" s="16"/>
      <c r="F818"/>
      <c r="H818"/>
      <c r="I818"/>
      <c r="J818"/>
      <c r="K818"/>
      <c r="L818"/>
      <c r="M818"/>
      <c r="N818"/>
      <c r="O818"/>
      <c r="P818"/>
      <c r="Q818" s="2791"/>
      <c r="R818" s="2791"/>
      <c r="S818" s="2791"/>
      <c r="T818"/>
      <c r="U818"/>
      <c r="V818"/>
      <c r="W818"/>
      <c r="X818"/>
      <c r="Y818"/>
      <c r="Z818"/>
      <c r="AA818"/>
      <c r="AB818"/>
      <c r="AC818"/>
      <c r="AD818"/>
      <c r="AE818"/>
      <c r="AF818"/>
      <c r="AG818"/>
      <c r="AH818"/>
      <c r="AI818"/>
      <c r="AJ818"/>
      <c r="AK818"/>
      <c r="AL818"/>
      <c r="AM818"/>
      <c r="AN818"/>
      <c r="AO818"/>
      <c r="AP818"/>
    </row>
    <row r="819" spans="1:42" ht="15" customHeight="1">
      <c r="D819" s="207"/>
      <c r="E819" s="2"/>
      <c r="F819" s="2"/>
    </row>
    <row r="820" spans="1:42" ht="15" customHeight="1">
      <c r="D820" s="207"/>
      <c r="F820" s="2"/>
    </row>
    <row r="821" spans="1:42" ht="15" customHeight="1">
      <c r="D821" s="207"/>
      <c r="F821" s="2"/>
    </row>
    <row r="822" spans="1:42" ht="15" customHeight="1">
      <c r="D822" s="207"/>
    </row>
    <row r="823" spans="1:42" ht="15" customHeight="1">
      <c r="D823" s="207"/>
    </row>
    <row r="824" spans="1:42" ht="15" customHeight="1">
      <c r="D824" s="57"/>
    </row>
    <row r="825" spans="1:42">
      <c r="D825" s="16"/>
    </row>
    <row r="826" spans="1:42">
      <c r="C826" s="206"/>
      <c r="D826" s="208"/>
      <c r="E826" s="6"/>
    </row>
    <row r="827" spans="1:42">
      <c r="D827" s="207"/>
    </row>
    <row r="828" spans="1:42">
      <c r="D828" s="207"/>
      <c r="F828" s="2"/>
    </row>
    <row r="829" spans="1:42">
      <c r="D829" s="207"/>
      <c r="F829" s="2"/>
    </row>
    <row r="830" spans="1:42">
      <c r="D830" s="156"/>
      <c r="F830" s="2"/>
    </row>
    <row r="831" spans="1:42">
      <c r="C831" s="206"/>
      <c r="F831" s="2"/>
    </row>
    <row r="832" spans="1:42">
      <c r="C832" s="206"/>
      <c r="D832" s="207"/>
      <c r="F832" s="2"/>
    </row>
    <row r="833" spans="4:10">
      <c r="D833" s="207"/>
      <c r="G833" s="99"/>
    </row>
    <row r="834" spans="4:10">
      <c r="D834" s="16"/>
      <c r="G834" s="99"/>
      <c r="H834" s="16"/>
    </row>
    <row r="835" spans="4:10">
      <c r="D835" s="207"/>
      <c r="G835" s="1132"/>
    </row>
    <row r="836" spans="4:10">
      <c r="D836" s="207"/>
      <c r="G836" s="1133"/>
    </row>
    <row r="837" spans="4:10">
      <c r="G837" s="99"/>
    </row>
    <row r="838" spans="4:10">
      <c r="D838" s="57"/>
      <c r="G838" s="1102"/>
      <c r="H838" s="16"/>
    </row>
    <row r="839" spans="4:10">
      <c r="G839" s="1102"/>
      <c r="H839" s="16"/>
    </row>
    <row r="840" spans="4:10">
      <c r="D840" s="156"/>
      <c r="J840" s="16"/>
    </row>
    <row r="841" spans="4:10">
      <c r="D841" s="156"/>
      <c r="J841" s="16"/>
    </row>
    <row r="843" spans="4:10">
      <c r="D843" s="16"/>
    </row>
    <row r="844" spans="4:10">
      <c r="D844" s="16"/>
    </row>
    <row r="845" spans="4:10">
      <c r="D845" s="16"/>
    </row>
    <row r="846" spans="4:10">
      <c r="D846" s="16"/>
    </row>
    <row r="849" spans="2:42" s="24" customFormat="1">
      <c r="B849"/>
      <c r="C849" s="206"/>
      <c r="E849" s="16"/>
      <c r="F849"/>
      <c r="G849" s="359"/>
      <c r="H849"/>
      <c r="I849"/>
      <c r="J849"/>
      <c r="K849"/>
      <c r="L849"/>
      <c r="M849"/>
      <c r="N849"/>
      <c r="O849"/>
      <c r="P849"/>
      <c r="Q849" s="2791"/>
      <c r="R849" s="2791"/>
      <c r="S849" s="2791"/>
      <c r="T849"/>
      <c r="U849"/>
      <c r="V849"/>
      <c r="W849"/>
      <c r="X849"/>
      <c r="Y849"/>
      <c r="Z849"/>
      <c r="AA849"/>
      <c r="AB849"/>
      <c r="AC849"/>
      <c r="AD849"/>
      <c r="AE849"/>
      <c r="AF849"/>
      <c r="AG849"/>
      <c r="AH849"/>
      <c r="AI849"/>
      <c r="AJ849"/>
      <c r="AK849"/>
      <c r="AL849"/>
      <c r="AM849"/>
      <c r="AN849"/>
      <c r="AO849"/>
      <c r="AP849"/>
    </row>
    <row r="850" spans="2:42" s="24" customFormat="1">
      <c r="B850"/>
      <c r="C850" s="206"/>
      <c r="E850" s="16"/>
      <c r="F850"/>
      <c r="G850" s="359"/>
      <c r="H850"/>
      <c r="I850"/>
      <c r="J850"/>
      <c r="K850"/>
      <c r="L850"/>
      <c r="M850"/>
      <c r="N850"/>
      <c r="O850"/>
      <c r="P850"/>
      <c r="Q850" s="2791"/>
      <c r="R850" s="2791"/>
      <c r="S850" s="2791"/>
      <c r="T850"/>
      <c r="U850"/>
      <c r="V850"/>
      <c r="W850"/>
      <c r="X850"/>
      <c r="Y850"/>
      <c r="Z850"/>
      <c r="AA850"/>
      <c r="AB850"/>
      <c r="AC850"/>
      <c r="AD850"/>
      <c r="AE850"/>
      <c r="AF850"/>
      <c r="AG850"/>
      <c r="AH850"/>
      <c r="AI850"/>
      <c r="AJ850"/>
      <c r="AK850"/>
      <c r="AL850"/>
      <c r="AM850"/>
      <c r="AN850"/>
      <c r="AO850"/>
      <c r="AP850"/>
    </row>
    <row r="851" spans="2:42" s="24" customFormat="1">
      <c r="B851"/>
      <c r="C851" s="206"/>
      <c r="E851" s="16"/>
      <c r="F851"/>
      <c r="G851" s="359"/>
      <c r="H851"/>
      <c r="I851"/>
      <c r="J851"/>
      <c r="K851"/>
      <c r="L851"/>
      <c r="M851"/>
      <c r="N851"/>
      <c r="O851"/>
      <c r="P851"/>
      <c r="Q851" s="2791"/>
      <c r="R851" s="2791"/>
      <c r="S851" s="2791"/>
      <c r="T851"/>
      <c r="U851"/>
      <c r="V851"/>
      <c r="W851"/>
      <c r="X851"/>
      <c r="Y851"/>
      <c r="Z851"/>
      <c r="AA851"/>
      <c r="AB851"/>
      <c r="AC851"/>
      <c r="AD851"/>
      <c r="AE851"/>
      <c r="AF851"/>
      <c r="AG851"/>
      <c r="AH851"/>
      <c r="AI851"/>
      <c r="AJ851"/>
      <c r="AK851"/>
      <c r="AL851"/>
      <c r="AM851"/>
      <c r="AN851"/>
      <c r="AO851"/>
      <c r="AP851"/>
    </row>
    <row r="852" spans="2:42" s="24" customFormat="1">
      <c r="B852"/>
      <c r="C852" s="206"/>
      <c r="E852" s="16"/>
      <c r="F852"/>
      <c r="G852" s="359"/>
      <c r="H852"/>
      <c r="I852"/>
      <c r="J852"/>
      <c r="K852"/>
      <c r="L852"/>
      <c r="M852"/>
      <c r="N852"/>
      <c r="O852"/>
      <c r="P852"/>
      <c r="Q852" s="2791"/>
      <c r="R852" s="2791"/>
      <c r="S852" s="2791"/>
      <c r="T852"/>
      <c r="U852"/>
      <c r="V852"/>
      <c r="W852"/>
      <c r="X852"/>
      <c r="Y852"/>
      <c r="Z852"/>
      <c r="AA852"/>
      <c r="AB852"/>
      <c r="AC852"/>
      <c r="AD852"/>
      <c r="AE852"/>
      <c r="AF852"/>
      <c r="AG852"/>
      <c r="AH852"/>
      <c r="AI852"/>
      <c r="AJ852"/>
      <c r="AK852"/>
      <c r="AL852"/>
      <c r="AM852"/>
      <c r="AN852"/>
      <c r="AO852"/>
      <c r="AP852"/>
    </row>
    <row r="853" spans="2:42" s="24" customFormat="1">
      <c r="B853"/>
      <c r="C853" s="206"/>
      <c r="E853" s="16"/>
      <c r="F853"/>
      <c r="G853" s="359"/>
      <c r="H853"/>
      <c r="I853"/>
      <c r="J853"/>
      <c r="K853"/>
      <c r="L853"/>
      <c r="M853"/>
      <c r="N853"/>
      <c r="O853"/>
      <c r="P853"/>
      <c r="Q853" s="2791"/>
      <c r="R853" s="2791"/>
      <c r="S853" s="2791"/>
      <c r="T853"/>
      <c r="U853"/>
      <c r="V853"/>
      <c r="W853"/>
      <c r="X853"/>
      <c r="Y853"/>
      <c r="Z853"/>
      <c r="AA853"/>
      <c r="AB853"/>
      <c r="AC853"/>
      <c r="AD853"/>
      <c r="AE853"/>
      <c r="AF853"/>
      <c r="AG853"/>
      <c r="AH853"/>
      <c r="AI853"/>
      <c r="AJ853"/>
      <c r="AK853"/>
      <c r="AL853"/>
      <c r="AM853"/>
      <c r="AN853"/>
      <c r="AO853"/>
      <c r="AP853"/>
    </row>
    <row r="854" spans="2:42" s="24" customFormat="1">
      <c r="B854"/>
      <c r="C854" s="206"/>
      <c r="E854" s="16"/>
      <c r="F854"/>
      <c r="G854" s="359"/>
      <c r="H854"/>
      <c r="I854"/>
      <c r="J854"/>
      <c r="K854"/>
      <c r="L854"/>
      <c r="M854"/>
      <c r="N854"/>
      <c r="O854"/>
      <c r="P854"/>
      <c r="Q854" s="2791"/>
      <c r="R854" s="2791"/>
      <c r="S854" s="2791"/>
      <c r="T854"/>
      <c r="U854"/>
      <c r="V854"/>
      <c r="W854"/>
      <c r="X854"/>
      <c r="Y854"/>
      <c r="Z854"/>
      <c r="AA854"/>
      <c r="AB854"/>
      <c r="AC854"/>
      <c r="AD854"/>
      <c r="AE854"/>
      <c r="AF854"/>
      <c r="AG854"/>
      <c r="AH854"/>
      <c r="AI854"/>
      <c r="AJ854"/>
      <c r="AK854"/>
      <c r="AL854"/>
      <c r="AM854"/>
      <c r="AN854"/>
      <c r="AO854"/>
      <c r="AP854"/>
    </row>
    <row r="855" spans="2:42" s="24" customFormat="1">
      <c r="B855"/>
      <c r="C855" s="206"/>
      <c r="E855" s="16"/>
      <c r="F855"/>
      <c r="G855" s="359"/>
      <c r="H855"/>
      <c r="I855"/>
      <c r="J855"/>
      <c r="K855"/>
      <c r="L855"/>
      <c r="M855"/>
      <c r="N855"/>
      <c r="O855"/>
      <c r="P855"/>
      <c r="Q855" s="2791"/>
      <c r="R855" s="2791"/>
      <c r="S855" s="2791"/>
      <c r="T855"/>
      <c r="U855"/>
      <c r="V855"/>
      <c r="W855"/>
      <c r="X855"/>
      <c r="Y855"/>
      <c r="Z855"/>
      <c r="AA855"/>
      <c r="AB855"/>
      <c r="AC855"/>
      <c r="AD855"/>
      <c r="AE855"/>
      <c r="AF855"/>
      <c r="AG855"/>
      <c r="AH855"/>
      <c r="AI855"/>
      <c r="AJ855"/>
      <c r="AK855"/>
      <c r="AL855"/>
      <c r="AM855"/>
      <c r="AN855"/>
      <c r="AO855"/>
      <c r="AP855"/>
    </row>
  </sheetData>
  <mergeCells count="62">
    <mergeCell ref="U17:AC18"/>
    <mergeCell ref="L19:P20"/>
    <mergeCell ref="U19:U20"/>
    <mergeCell ref="V19:Z20"/>
    <mergeCell ref="AA19:AB20"/>
    <mergeCell ref="Q17:S20"/>
    <mergeCell ref="AJ21:AJ22"/>
    <mergeCell ref="AK21:AK22"/>
    <mergeCell ref="C23:C26"/>
    <mergeCell ref="D23:D26"/>
    <mergeCell ref="V21:V22"/>
    <mergeCell ref="W21:W22"/>
    <mergeCell ref="X21:X22"/>
    <mergeCell ref="Y21:Y22"/>
    <mergeCell ref="Z21:Z22"/>
    <mergeCell ref="AA21:AA22"/>
    <mergeCell ref="AC19:AC22"/>
    <mergeCell ref="P21:P22"/>
    <mergeCell ref="U21:U22"/>
    <mergeCell ref="AH19:AK20"/>
    <mergeCell ref="Q21:Q22"/>
    <mergeCell ref="R21:R22"/>
    <mergeCell ref="C79:C82"/>
    <mergeCell ref="D79:D82"/>
    <mergeCell ref="D83:D86"/>
    <mergeCell ref="B17:K20"/>
    <mergeCell ref="L17:P18"/>
    <mergeCell ref="L21:M21"/>
    <mergeCell ref="N21:N22"/>
    <mergeCell ref="O21:O22"/>
    <mergeCell ref="AC6:AC9"/>
    <mergeCell ref="D67:D70"/>
    <mergeCell ref="C71:C74"/>
    <mergeCell ref="D71:D74"/>
    <mergeCell ref="C75:C78"/>
    <mergeCell ref="D75:D78"/>
    <mergeCell ref="C51:C54"/>
    <mergeCell ref="D51:D54"/>
    <mergeCell ref="D59:D62"/>
    <mergeCell ref="D63:D66"/>
    <mergeCell ref="D27:D30"/>
    <mergeCell ref="C55:C58"/>
    <mergeCell ref="D55:D58"/>
    <mergeCell ref="C21:C22"/>
    <mergeCell ref="D21:D22"/>
    <mergeCell ref="S21:S22"/>
    <mergeCell ref="AF6:AF9"/>
    <mergeCell ref="C47:C50"/>
    <mergeCell ref="D47:D50"/>
    <mergeCell ref="C43:C46"/>
    <mergeCell ref="D43:D46"/>
    <mergeCell ref="D31:D34"/>
    <mergeCell ref="D35:D38"/>
    <mergeCell ref="C39:C42"/>
    <mergeCell ref="D39:D42"/>
    <mergeCell ref="AB21:AB22"/>
    <mergeCell ref="AD21:AD22"/>
    <mergeCell ref="AE21:AE22"/>
    <mergeCell ref="AD19:AE20"/>
    <mergeCell ref="E21:E22"/>
    <mergeCell ref="F21:G21"/>
    <mergeCell ref="H21:I21"/>
  </mergeCells>
  <hyperlinks>
    <hyperlink ref="J417" r:id="rId1" display="https://www.agric.wa.gov.au/mechanical-physical-and-cultural/rabbit-warren-and-harbourage-destruction" xr:uid="{00000000-0004-0000-2100-000000000000}"/>
    <hyperlink ref="J419" r:id="rId2" xr:uid="{00000000-0004-0000-2100-000001000000}"/>
    <hyperlink ref="J421" r:id="rId3" xr:uid="{00000000-0004-0000-2100-000002000000}"/>
    <hyperlink ref="K681" r:id="rId4" xr:uid="{00000000-0004-0000-2100-000003000000}"/>
    <hyperlink ref="I659" r:id="rId5" xr:uid="{00000000-0004-0000-2100-000004000000}"/>
    <hyperlink ref="J533" r:id="rId6" display="https://www.agric.wa.gov.au/baits-poisons/rabbit-control-fumigation" xr:uid="{00000000-0004-0000-2100-000005000000}"/>
  </hyperlinks>
  <pageMargins left="0.7" right="0.7" top="0.75" bottom="0.75" header="0.3" footer="0.3"/>
  <pageSetup paperSize="9" orientation="portrait" horizontalDpi="0" verticalDpi="0"/>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B1:X68"/>
  <sheetViews>
    <sheetView showGridLines="0" zoomScaleNormal="100" workbookViewId="0">
      <selection activeCell="F36" sqref="F36:H36"/>
    </sheetView>
  </sheetViews>
  <sheetFormatPr baseColWidth="10" defaultColWidth="11" defaultRowHeight="16" outlineLevelRow="1"/>
  <cols>
    <col min="1" max="1" width="4.6640625" customWidth="1"/>
    <col min="2" max="2" width="17.5" customWidth="1"/>
    <col min="3" max="3" width="29" customWidth="1"/>
    <col min="4" max="4" width="16.83203125" customWidth="1"/>
    <col min="5" max="5" width="13.33203125" customWidth="1"/>
    <col min="6" max="7" width="14.33203125" customWidth="1"/>
    <col min="8" max="8" width="18.1640625" customWidth="1"/>
    <col min="9" max="9" width="16.6640625" customWidth="1"/>
    <col min="10" max="10" width="14.33203125" customWidth="1"/>
    <col min="11" max="12" width="11.83203125" customWidth="1"/>
    <col min="13" max="13" width="25.6640625" customWidth="1"/>
    <col min="14" max="14" width="11.83203125" customWidth="1"/>
    <col min="15" max="15" width="12.1640625" customWidth="1"/>
    <col min="16" max="19" width="13.5" customWidth="1"/>
  </cols>
  <sheetData>
    <row r="1" spans="2:23">
      <c r="B1" s="8" t="s">
        <v>1035</v>
      </c>
    </row>
    <row r="3" spans="2:23">
      <c r="B3" s="8" t="s">
        <v>844</v>
      </c>
      <c r="G3" s="692"/>
      <c r="H3" s="692"/>
      <c r="I3" s="692"/>
      <c r="J3" s="692"/>
    </row>
    <row r="4" spans="2:23" ht="17" thickBot="1">
      <c r="B4" t="s">
        <v>839</v>
      </c>
      <c r="C4" t="s">
        <v>845</v>
      </c>
      <c r="D4" s="1"/>
      <c r="E4" s="1"/>
      <c r="F4" s="1"/>
      <c r="G4" s="1"/>
      <c r="H4" s="1"/>
    </row>
    <row r="5" spans="2:23">
      <c r="C5" s="804" t="s">
        <v>838</v>
      </c>
      <c r="D5" s="805"/>
      <c r="E5" s="805"/>
      <c r="F5" s="805"/>
      <c r="G5" s="805"/>
      <c r="H5" s="805"/>
    </row>
    <row r="6" spans="2:23">
      <c r="C6" s="807"/>
      <c r="D6" t="s">
        <v>2189</v>
      </c>
      <c r="H6" s="79"/>
    </row>
    <row r="7" spans="2:23">
      <c r="C7" s="807" t="s">
        <v>827</v>
      </c>
      <c r="D7" t="s">
        <v>2389</v>
      </c>
      <c r="H7" s="79"/>
    </row>
    <row r="8" spans="2:23">
      <c r="C8" s="807" t="s">
        <v>827</v>
      </c>
      <c r="D8" t="s">
        <v>2278</v>
      </c>
      <c r="H8" s="79"/>
    </row>
    <row r="9" spans="2:23">
      <c r="C9" s="807"/>
      <c r="H9" s="79"/>
    </row>
    <row r="10" spans="2:23">
      <c r="C10" s="807"/>
      <c r="H10" s="79"/>
    </row>
    <row r="11" spans="2:23" ht="17" thickBot="1">
      <c r="C11" s="808"/>
      <c r="D11" s="574"/>
      <c r="E11" s="574"/>
      <c r="F11" s="574"/>
      <c r="G11" s="574"/>
      <c r="H11" s="574"/>
      <c r="W11" s="587">
        <v>0</v>
      </c>
    </row>
    <row r="12" spans="2:23">
      <c r="C12" s="360" t="s">
        <v>851</v>
      </c>
      <c r="W12" s="587"/>
    </row>
    <row r="13" spans="2:23">
      <c r="W13" s="587"/>
    </row>
    <row r="14" spans="2:23">
      <c r="B14" t="s">
        <v>942</v>
      </c>
      <c r="C14" s="359" t="s">
        <v>848</v>
      </c>
      <c r="W14" s="587"/>
    </row>
    <row r="16" spans="2:23">
      <c r="B16" s="8" t="s">
        <v>730</v>
      </c>
    </row>
    <row r="17" spans="2:13" ht="17">
      <c r="B17" s="3" t="s">
        <v>847</v>
      </c>
      <c r="G17" s="562"/>
      <c r="H17" s="562"/>
      <c r="I17" s="562"/>
      <c r="J17" s="562"/>
    </row>
    <row r="18" spans="2:13" ht="17">
      <c r="C18" t="s">
        <v>1866</v>
      </c>
      <c r="G18" s="562"/>
      <c r="H18" s="562"/>
      <c r="I18" s="562"/>
      <c r="J18" s="562"/>
    </row>
    <row r="19" spans="2:13">
      <c r="C19" t="s">
        <v>1865</v>
      </c>
      <c r="G19" s="692"/>
      <c r="H19" s="692"/>
      <c r="I19" s="692"/>
      <c r="J19" s="692"/>
    </row>
    <row r="20" spans="2:13">
      <c r="C20" s="1" t="s">
        <v>1867</v>
      </c>
      <c r="G20" s="692"/>
      <c r="H20" s="692"/>
      <c r="I20" s="692"/>
      <c r="J20" s="692"/>
    </row>
    <row r="21" spans="2:13" ht="17">
      <c r="C21" t="s">
        <v>843</v>
      </c>
      <c r="G21" s="562"/>
      <c r="H21" s="562"/>
      <c r="I21" s="562"/>
      <c r="J21" s="562"/>
    </row>
    <row r="22" spans="2:13" ht="17">
      <c r="C22" t="s">
        <v>867</v>
      </c>
      <c r="D22" s="31"/>
      <c r="G22" s="562"/>
      <c r="H22" s="562"/>
      <c r="I22" s="562"/>
      <c r="J22" s="562"/>
    </row>
    <row r="23" spans="2:13" ht="17">
      <c r="D23" s="31"/>
      <c r="G23" s="562"/>
      <c r="H23" s="562"/>
      <c r="I23" s="562"/>
      <c r="J23" s="562"/>
    </row>
    <row r="24" spans="2:13" ht="17">
      <c r="D24" s="31"/>
      <c r="G24" s="562"/>
      <c r="H24" s="562"/>
      <c r="I24" s="562"/>
      <c r="J24" s="562"/>
    </row>
    <row r="25" spans="2:13" ht="17">
      <c r="D25" s="31"/>
      <c r="G25" s="562"/>
      <c r="H25" s="562"/>
      <c r="I25" s="562"/>
      <c r="J25" s="562"/>
    </row>
    <row r="26" spans="2:13" ht="17">
      <c r="B26" s="3" t="s">
        <v>846</v>
      </c>
      <c r="G26" s="562"/>
      <c r="H26" s="562"/>
      <c r="I26" s="562"/>
      <c r="J26" s="562"/>
    </row>
    <row r="27" spans="2:13" ht="17">
      <c r="G27" s="562"/>
      <c r="H27" s="562"/>
      <c r="I27" s="562"/>
      <c r="J27" s="562"/>
    </row>
    <row r="28" spans="2:13" ht="17">
      <c r="C28" s="693" t="s">
        <v>1868</v>
      </c>
      <c r="D28" s="3631" t="s">
        <v>2520</v>
      </c>
      <c r="G28" s="562"/>
      <c r="H28" s="562"/>
      <c r="I28" s="562"/>
      <c r="J28" s="562"/>
    </row>
    <row r="29" spans="2:13">
      <c r="G29" s="692"/>
      <c r="H29" s="692"/>
      <c r="I29" s="692"/>
      <c r="J29" s="692"/>
    </row>
    <row r="30" spans="2:13">
      <c r="C30" t="s">
        <v>836</v>
      </c>
      <c r="G30" s="692"/>
      <c r="H30" s="692"/>
      <c r="I30" s="692"/>
      <c r="J30" s="692"/>
    </row>
    <row r="31" spans="2:13">
      <c r="D31" t="s">
        <v>2370</v>
      </c>
      <c r="G31" s="692"/>
      <c r="H31" s="692"/>
      <c r="I31" s="692"/>
      <c r="J31" s="692"/>
    </row>
    <row r="32" spans="2:13">
      <c r="C32" t="s">
        <v>1871</v>
      </c>
      <c r="H32" s="692"/>
      <c r="I32" s="692"/>
      <c r="J32" s="692"/>
      <c r="K32" s="692"/>
      <c r="L32" s="692"/>
      <c r="M32" s="692"/>
    </row>
    <row r="33" spans="2:24">
      <c r="D33" t="s">
        <v>1872</v>
      </c>
      <c r="H33" s="692"/>
      <c r="I33" s="692"/>
      <c r="J33" s="692"/>
      <c r="K33" s="692"/>
      <c r="L33" s="692"/>
      <c r="M33" s="692"/>
    </row>
    <row r="34" spans="2:24">
      <c r="G34" s="692"/>
      <c r="H34" s="692"/>
      <c r="I34" s="692"/>
      <c r="J34" s="692"/>
    </row>
    <row r="35" spans="2:24">
      <c r="B35" s="1"/>
      <c r="C35" s="360"/>
      <c r="W35" s="587"/>
    </row>
    <row r="36" spans="2:24">
      <c r="B36" s="8" t="s">
        <v>1036</v>
      </c>
      <c r="C36" s="100"/>
      <c r="F36" s="3881" t="s">
        <v>1432</v>
      </c>
      <c r="G36" s="3881"/>
      <c r="H36" s="3881"/>
      <c r="J36" s="1" t="s">
        <v>1430</v>
      </c>
      <c r="K36" s="1"/>
      <c r="L36" s="1"/>
      <c r="M36" s="1" t="s">
        <v>1874</v>
      </c>
      <c r="W36" s="587"/>
    </row>
    <row r="37" spans="2:24">
      <c r="B37" t="s">
        <v>841</v>
      </c>
      <c r="O37" t="s">
        <v>1053</v>
      </c>
      <c r="W37" s="587"/>
    </row>
    <row r="38" spans="2:24">
      <c r="C38" t="s">
        <v>829</v>
      </c>
      <c r="J38" s="259">
        <f>'Overall Assumptions'!$C$179</f>
        <v>208.4</v>
      </c>
      <c r="M38" s="259">
        <f>'Overall Assumptions'!C174</f>
        <v>179.20000000000002</v>
      </c>
      <c r="W38" s="587"/>
    </row>
    <row r="39" spans="2:24">
      <c r="C39" s="360" t="s">
        <v>1052</v>
      </c>
      <c r="D39" s="1"/>
      <c r="E39" s="1"/>
      <c r="J39" s="3882"/>
      <c r="K39" s="3882"/>
      <c r="L39" s="3882"/>
      <c r="M39" s="2475"/>
      <c r="W39" s="587"/>
    </row>
    <row r="40" spans="2:24">
      <c r="C40" s="4" t="s">
        <v>730</v>
      </c>
      <c r="D40" s="593" t="s">
        <v>832</v>
      </c>
      <c r="F40" s="3741" t="s">
        <v>1869</v>
      </c>
      <c r="G40" s="3742"/>
      <c r="H40" s="3743"/>
      <c r="I40" s="2475"/>
      <c r="J40" s="3741" t="s">
        <v>1870</v>
      </c>
      <c r="K40" s="3742"/>
      <c r="L40" s="3742"/>
      <c r="M40" s="2486" t="s">
        <v>1873</v>
      </c>
      <c r="O40">
        <v>0</v>
      </c>
      <c r="P40">
        <v>1</v>
      </c>
      <c r="Q40">
        <v>2</v>
      </c>
      <c r="R40">
        <v>3</v>
      </c>
      <c r="X40" s="587"/>
    </row>
    <row r="41" spans="2:24" ht="16" customHeight="1">
      <c r="C41" s="480" t="s">
        <v>819</v>
      </c>
      <c r="D41" s="3828" t="s">
        <v>801</v>
      </c>
      <c r="F41" s="3883"/>
      <c r="G41" s="3884"/>
      <c r="H41" s="3885"/>
      <c r="I41" s="2100"/>
      <c r="J41" s="3886"/>
      <c r="K41" s="3887"/>
      <c r="L41" s="3887"/>
      <c r="M41" s="2472"/>
      <c r="O41" s="402" t="s">
        <v>821</v>
      </c>
      <c r="P41" s="255"/>
      <c r="Q41" s="255"/>
      <c r="R41" s="161"/>
      <c r="X41" s="587"/>
    </row>
    <row r="42" spans="2:24" ht="16" customHeight="1">
      <c r="C42" s="591"/>
      <c r="D42" s="3829"/>
      <c r="F42" s="3889"/>
      <c r="G42" s="3890"/>
      <c r="H42" s="3891"/>
      <c r="I42" s="2473"/>
      <c r="J42" s="3892"/>
      <c r="K42" s="3893"/>
      <c r="L42" s="3893"/>
      <c r="M42" s="2472"/>
      <c r="O42" s="480" t="s">
        <v>3</v>
      </c>
      <c r="P42" s="161" t="s">
        <v>132</v>
      </c>
      <c r="Q42" s="161" t="s">
        <v>4</v>
      </c>
      <c r="R42" s="161" t="s">
        <v>21</v>
      </c>
      <c r="X42" s="587"/>
    </row>
    <row r="43" spans="2:24" ht="16" customHeight="1">
      <c r="C43" s="591"/>
      <c r="D43" s="3829"/>
      <c r="F43" s="3895" t="s">
        <v>796</v>
      </c>
      <c r="G43" s="3896"/>
      <c r="H43" s="3897"/>
      <c r="I43" s="2474"/>
      <c r="J43" s="3886" t="s">
        <v>796</v>
      </c>
      <c r="K43" s="3887"/>
      <c r="L43" s="3887"/>
      <c r="M43" s="2472"/>
      <c r="O43" s="2472"/>
      <c r="P43" s="2474"/>
      <c r="Q43" s="2474"/>
      <c r="R43" s="246"/>
      <c r="X43" s="587"/>
    </row>
    <row r="44" spans="2:24">
      <c r="B44" s="79"/>
      <c r="C44" s="481"/>
      <c r="D44" s="3830"/>
      <c r="F44" s="404" t="s">
        <v>802</v>
      </c>
      <c r="G44" s="79" t="s">
        <v>803</v>
      </c>
      <c r="H44" s="246" t="s">
        <v>733</v>
      </c>
      <c r="I44" s="246"/>
      <c r="J44" s="404" t="s">
        <v>802</v>
      </c>
      <c r="K44" s="79" t="s">
        <v>803</v>
      </c>
      <c r="L44" s="79" t="s">
        <v>733</v>
      </c>
      <c r="M44" s="987"/>
      <c r="O44" s="481"/>
      <c r="P44" s="162"/>
      <c r="Q44" s="162"/>
      <c r="R44" s="162"/>
      <c r="X44" s="587"/>
    </row>
    <row r="45" spans="2:24">
      <c r="B45" s="480" t="s">
        <v>862</v>
      </c>
      <c r="C45" s="246" t="s">
        <v>57</v>
      </c>
      <c r="D45" s="606"/>
      <c r="F45" s="1181">
        <f>'Invasive Rabbit Management'!$AB$23</f>
        <v>114.0749999999999</v>
      </c>
      <c r="G45" s="1182">
        <f>'Invasive Rabbit Management'!$AB$23</f>
        <v>114.0749999999999</v>
      </c>
      <c r="H45" s="1183">
        <f>'Invasive Rabbit Management'!$AB$23</f>
        <v>114.0749999999999</v>
      </c>
      <c r="I45" s="384"/>
      <c r="J45" s="2094"/>
      <c r="K45" s="2095"/>
      <c r="L45" s="2095"/>
      <c r="M45" s="2108"/>
      <c r="O45" s="1208">
        <f ca="1">OFFSET('Invasive Rabbit Management'!$AC$23,O$40+$S45,0)</f>
        <v>1</v>
      </c>
      <c r="P45" s="1208" t="str">
        <f ca="1">OFFSET('Invasive Rabbit Management'!$AC$23,P$40+$S45,0)</f>
        <v/>
      </c>
      <c r="Q45" s="1208" t="str">
        <f ca="1">OFFSET('Invasive Rabbit Management'!$AC$23,Q$40+$S45,0)</f>
        <v/>
      </c>
      <c r="R45" s="1208" t="str">
        <f ca="1">OFFSET('Invasive Rabbit Management'!$AC$23,R$40+$S45,0)</f>
        <v/>
      </c>
      <c r="S45" s="587">
        <v>0</v>
      </c>
      <c r="T45" s="578">
        <f t="shared" ref="T45:T52" ca="1" si="0">SUM(O45:R45)</f>
        <v>1</v>
      </c>
      <c r="X45" s="587"/>
    </row>
    <row r="46" spans="2:24" ht="16" customHeight="1">
      <c r="B46" s="591" t="s">
        <v>863</v>
      </c>
      <c r="C46" s="389" t="s">
        <v>1001</v>
      </c>
      <c r="D46" s="606"/>
      <c r="F46" s="841">
        <f>'Invasive Rabbit Management'!$AB$27</f>
        <v>56.921695067264523</v>
      </c>
      <c r="G46" s="337">
        <f>'Invasive Rabbit Management'!$AB$31</f>
        <v>64.360260089686051</v>
      </c>
      <c r="H46" s="842">
        <f>'Invasive Rabbit Management'!$AB$35</f>
        <v>85.243390134529079</v>
      </c>
      <c r="I46" s="384"/>
      <c r="J46" s="2882">
        <f>'Invasive Rabbit Management'!$S$28</f>
        <v>0.99999999999999911</v>
      </c>
      <c r="K46" s="2333">
        <f>'Invasive Rabbit Management'!$S$32</f>
        <v>0.99999999999999911</v>
      </c>
      <c r="L46" s="2333">
        <f>'Invasive Rabbit Management'!$S$36</f>
        <v>0.99999999999999911</v>
      </c>
      <c r="M46" s="3143"/>
      <c r="O46" s="751">
        <f ca="1">OFFSET('Invasive Rabbit Management'!$AC$23,O$40+$S46,0)</f>
        <v>0.45956785255615878</v>
      </c>
      <c r="P46" s="751">
        <f ca="1">OFFSET('Invasive Rabbit Management'!$AC$23,P$40+$S46,0)</f>
        <v>0.2238920307324877</v>
      </c>
      <c r="Q46" s="751">
        <f ca="1">OFFSET('Invasive Rabbit Management'!$AC$23,Q$40+$S46,0)</f>
        <v>0.31654011671135351</v>
      </c>
      <c r="R46" s="751">
        <f ca="1">OFFSET('Invasive Rabbit Management'!$AC$23,R$40+$S46,0)</f>
        <v>0</v>
      </c>
      <c r="S46" s="587">
        <v>4</v>
      </c>
      <c r="T46" s="578">
        <f t="shared" ca="1" si="0"/>
        <v>1</v>
      </c>
      <c r="X46" s="587"/>
    </row>
    <row r="47" spans="2:24" ht="16" customHeight="1">
      <c r="B47" s="591" t="s">
        <v>863</v>
      </c>
      <c r="C47" s="1375" t="s">
        <v>1861</v>
      </c>
      <c r="D47" s="606"/>
      <c r="F47" s="841">
        <f>'Invasive Rabbit Management'!$AB$39</f>
        <v>107.15049418382469</v>
      </c>
      <c r="G47" s="337">
        <f>'Invasive Rabbit Management'!$AB$43</f>
        <v>120.24086873251269</v>
      </c>
      <c r="H47" s="842">
        <f>'Invasive Rabbit Management'!$AB$47</f>
        <v>146.4216178298887</v>
      </c>
      <c r="I47" s="384"/>
      <c r="J47" s="2882">
        <f>'Invasive Rabbit Management'!$S$40</f>
        <v>0.23709796986564693</v>
      </c>
      <c r="K47" s="2333">
        <f>'Invasive Rabbit Management'!$S$44</f>
        <v>0.23709796986564693</v>
      </c>
      <c r="L47" s="2333">
        <f>'Invasive Rabbit Management'!$S$48</f>
        <v>0.35564695479847042</v>
      </c>
      <c r="M47" s="3111">
        <f>'Invasive Rabbit Management'!$R$40</f>
        <v>0.11854898493282347</v>
      </c>
      <c r="O47" s="751">
        <f ca="1">OFFSET('Invasive Rabbit Management'!$AC$23,O$40+$S47,0)</f>
        <v>0.28942172477247413</v>
      </c>
      <c r="P47" s="751">
        <f ca="1">OFFSET('Invasive Rabbit Management'!$AC$23,P$40+$S47,0)</f>
        <v>0.14100032745325666</v>
      </c>
      <c r="Q47" s="751">
        <f ca="1">OFFSET('Invasive Rabbit Management'!$AC$23,Q$40+$S47,0)</f>
        <v>0.4257487647298337</v>
      </c>
      <c r="R47" s="751">
        <f ca="1">OFFSET('Invasive Rabbit Management'!$AC$23,R$40+$S47,0)</f>
        <v>0.14382918304443554</v>
      </c>
      <c r="S47" s="587">
        <v>16</v>
      </c>
      <c r="T47" s="578">
        <f t="shared" ca="1" si="0"/>
        <v>1</v>
      </c>
      <c r="X47" s="587"/>
    </row>
    <row r="48" spans="2:24" ht="16" customHeight="1">
      <c r="B48" s="591" t="s">
        <v>862</v>
      </c>
      <c r="C48" s="452" t="s">
        <v>1862</v>
      </c>
      <c r="D48" s="606"/>
      <c r="F48" s="841">
        <f>'Invasive Rabbit Management'!$AB$51</f>
        <v>53.445529113397484</v>
      </c>
      <c r="G48" s="337">
        <f>'Invasive Rabbit Management'!$AB$51</f>
        <v>53.445529113397484</v>
      </c>
      <c r="H48" s="842">
        <f>'Invasive Rabbit Management'!$AB$51</f>
        <v>53.445529113397484</v>
      </c>
      <c r="I48" s="384"/>
      <c r="J48" s="2882">
        <f>'Invasive Rabbit Management'!$S$52</f>
        <v>0.2159876091279169</v>
      </c>
      <c r="K48" s="2333">
        <f>'Invasive Rabbit Management'!$S$52</f>
        <v>0.2159876091279169</v>
      </c>
      <c r="L48" s="2333">
        <f>'Invasive Rabbit Management'!$S$52</f>
        <v>0.2159876091279169</v>
      </c>
      <c r="M48" s="3143"/>
      <c r="O48" s="751">
        <f ca="1">OFFSET('Invasive Rabbit Management'!$AC$23,O$40+$S48,0)</f>
        <v>0.30722712595263796</v>
      </c>
      <c r="P48" s="751">
        <f ca="1">OFFSET('Invasive Rabbit Management'!$AC$23,P$40+$S48,0)</f>
        <v>0.14967475366923394</v>
      </c>
      <c r="Q48" s="751">
        <f ca="1">OFFSET('Invasive Rabbit Management'!$AC$23,Q$40+$S48,0)</f>
        <v>0.41492732284712297</v>
      </c>
      <c r="R48" s="751">
        <f ca="1">OFFSET('Invasive Rabbit Management'!$AC$23,R$40+$S48,0)</f>
        <v>0.1281707975310051</v>
      </c>
      <c r="S48" s="587">
        <v>20</v>
      </c>
      <c r="T48" s="578">
        <f t="shared" ca="1" si="0"/>
        <v>1</v>
      </c>
      <c r="X48" s="587"/>
    </row>
    <row r="49" spans="2:24">
      <c r="B49" s="591" t="s">
        <v>862</v>
      </c>
      <c r="C49" s="452" t="s">
        <v>1863</v>
      </c>
      <c r="D49" s="606"/>
      <c r="F49" s="841">
        <f>'Invasive Rabbit Management'!$AB$55</f>
        <v>12.8059243521038</v>
      </c>
      <c r="G49" s="337">
        <f>'Invasive Rabbit Management'!$AB$55</f>
        <v>12.8059243521038</v>
      </c>
      <c r="H49" s="842">
        <f>'Invasive Rabbit Management'!$AB$55</f>
        <v>12.8059243521038</v>
      </c>
      <c r="I49" s="384"/>
      <c r="J49" s="2882">
        <f>'Invasive Rabbit Management'!$S$56</f>
        <v>0.2159876091279169</v>
      </c>
      <c r="K49" s="2333">
        <f>'Invasive Rabbit Management'!$S$56</f>
        <v>0.2159876091279169</v>
      </c>
      <c r="L49" s="2333">
        <f>'Invasive Rabbit Management'!$S$56</f>
        <v>0.2159876091279169</v>
      </c>
      <c r="M49" s="3111">
        <f>'Invasive Rabbit Management'!$R$56</f>
        <v>0.2159876091279169</v>
      </c>
      <c r="O49" s="751">
        <f ca="1">OFFSET('Invasive Rabbit Management'!$AC$23,O$40+$S49,0)</f>
        <v>0.33328690542881279</v>
      </c>
      <c r="P49" s="751">
        <f ca="1">OFFSET('Invasive Rabbit Management'!$AC$23,P$40+$S49,0)</f>
        <v>0.16237054367044729</v>
      </c>
      <c r="Q49" s="751">
        <f ca="1">OFFSET('Invasive Rabbit Management'!$AC$23,Q$40+$S49,0)</f>
        <v>0.39908918551877942</v>
      </c>
      <c r="R49" s="751">
        <f ca="1">OFFSET('Invasive Rabbit Management'!$AC$23,R$40+$S49,0)</f>
        <v>0.10525336538196042</v>
      </c>
      <c r="S49" s="587">
        <v>24</v>
      </c>
      <c r="T49" s="578">
        <f t="shared" ca="1" si="0"/>
        <v>0.99999999999999989</v>
      </c>
      <c r="X49" s="587"/>
    </row>
    <row r="50" spans="2:24">
      <c r="B50" s="591" t="s">
        <v>863</v>
      </c>
      <c r="C50" s="165" t="s">
        <v>1864</v>
      </c>
      <c r="D50" s="606"/>
      <c r="F50" s="841">
        <f>'Invasive Rabbit Management'!$AB$59</f>
        <v>1367.342380418534</v>
      </c>
      <c r="G50" s="337">
        <f>'Invasive Rabbit Management'!$AB$63</f>
        <v>1480.2012294469346</v>
      </c>
      <c r="H50" s="842">
        <f>'Invasive Rabbit Management'!$AB$67</f>
        <v>1705.9189275037356</v>
      </c>
      <c r="I50" s="384"/>
      <c r="J50" s="2882">
        <f>'Invasive Rabbit Management'!$S$60</f>
        <v>2.9999999999999973</v>
      </c>
      <c r="K50" s="2333">
        <f>'Invasive Rabbit Management'!$S$64</f>
        <v>3.9999999999999964</v>
      </c>
      <c r="L50" s="2333">
        <f>'Invasive Rabbit Management'!$S$68</f>
        <v>3.9999999999999964</v>
      </c>
      <c r="M50" s="3143"/>
      <c r="O50" s="751">
        <f ca="1">OFFSET('Invasive Rabbit Management'!$AC$23,O$40+$S50,0)</f>
        <v>0.2434119278779473</v>
      </c>
      <c r="P50" s="751">
        <f ca="1">OFFSET('Invasive Rabbit Management'!$AC$23,P$40+$S50,0)</f>
        <v>0.11858529819694867</v>
      </c>
      <c r="Q50" s="751">
        <f ca="1">OFFSET('Invasive Rabbit Management'!$AC$23,Q$40+$S50,0)</f>
        <v>0.63800277392510407</v>
      </c>
      <c r="R50" s="751">
        <f ca="1">OFFSET('Invasive Rabbit Management'!$AC$23,R$40+$S50,0)</f>
        <v>0</v>
      </c>
      <c r="S50" s="587">
        <v>28</v>
      </c>
      <c r="T50" s="578">
        <f t="shared" ca="1" si="0"/>
        <v>1</v>
      </c>
      <c r="X50" s="587"/>
    </row>
    <row r="51" spans="2:24">
      <c r="B51" s="591" t="s">
        <v>863</v>
      </c>
      <c r="C51" s="389" t="s">
        <v>1044</v>
      </c>
      <c r="D51" s="606"/>
      <c r="F51" s="841">
        <f>'Invasive Rabbit Management'!$AB$71</f>
        <v>56.921695067264523</v>
      </c>
      <c r="G51" s="337">
        <f>'Invasive Rabbit Management'!$AB$75</f>
        <v>64.360260089686051</v>
      </c>
      <c r="H51" s="842">
        <f>'Invasive Rabbit Management'!$AB$79</f>
        <v>85.243390134529079</v>
      </c>
      <c r="I51" s="384"/>
      <c r="J51" s="2882">
        <f>'Invasive Rabbit Management'!$S$72</f>
        <v>0.99999999999999911</v>
      </c>
      <c r="K51" s="2333">
        <f>'Invasive Rabbit Management'!$S$76</f>
        <v>0.99999999999999911</v>
      </c>
      <c r="L51" s="2333">
        <f>'Invasive Rabbit Management'!$S$80</f>
        <v>0.99999999999999911</v>
      </c>
      <c r="M51" s="3143"/>
      <c r="O51" s="751">
        <f ca="1">OFFSET('Invasive Rabbit Management'!$AC$23,O$40+$S51,0)</f>
        <v>0.54572964136807156</v>
      </c>
      <c r="P51" s="751">
        <f ca="1">OFFSET('Invasive Rabbit Management'!$AC$23,P$40+$S51,0)</f>
        <v>0.17724552454689502</v>
      </c>
      <c r="Q51" s="751">
        <f ca="1">OFFSET('Invasive Rabbit Management'!$AC$23,Q$40+$S51,0)</f>
        <v>0.27702483408503353</v>
      </c>
      <c r="R51" s="751">
        <f ca="1">OFFSET('Invasive Rabbit Management'!$AC$23,R$40+$S51,0)</f>
        <v>0</v>
      </c>
      <c r="S51" s="587">
        <f>S50+12</f>
        <v>40</v>
      </c>
      <c r="T51" s="578">
        <f t="shared" ca="1" si="0"/>
        <v>1</v>
      </c>
    </row>
    <row r="52" spans="2:24">
      <c r="B52" s="481" t="s">
        <v>862</v>
      </c>
      <c r="C52" s="162" t="s">
        <v>736</v>
      </c>
      <c r="D52" s="607"/>
      <c r="F52" s="1263">
        <f>'Invasive Rabbit Management'!$AB$83</f>
        <v>85.55624999999992</v>
      </c>
      <c r="G52" s="338">
        <f>'Invasive Rabbit Management'!$AB$83</f>
        <v>85.55624999999992</v>
      </c>
      <c r="H52" s="1264">
        <f>'Invasive Rabbit Management'!$AB$83</f>
        <v>85.55624999999992</v>
      </c>
      <c r="I52" s="384"/>
      <c r="J52" s="3184"/>
      <c r="K52" s="3185"/>
      <c r="L52" s="3185"/>
      <c r="M52" s="3143"/>
      <c r="O52" s="752">
        <f ca="1">OFFSET('Invasive Rabbit Management'!$AC$23,O$40+$S52,0)</f>
        <v>0.48416794532012841</v>
      </c>
      <c r="P52" s="752">
        <f ca="1">OFFSET('Invasive Rabbit Management'!$AC$23,P$40+$S52,0)</f>
        <v>0.2358766913098061</v>
      </c>
      <c r="Q52" s="752">
        <f ca="1">OFFSET('Invasive Rabbit Management'!$AC$23,Q$40+$S52,0)</f>
        <v>0.27995536337006555</v>
      </c>
      <c r="R52" s="752" t="str">
        <f ca="1">OFFSET('Invasive Rabbit Management'!$AC$23,R$40+$S52,0)</f>
        <v/>
      </c>
      <c r="S52" s="587">
        <f>S51+12</f>
        <v>52</v>
      </c>
      <c r="T52" s="578">
        <f t="shared" ca="1" si="0"/>
        <v>1</v>
      </c>
    </row>
    <row r="53" spans="2:24">
      <c r="C53" s="771" t="s">
        <v>833</v>
      </c>
      <c r="D53" s="778">
        <f>SUM(D45:D52)</f>
        <v>0</v>
      </c>
      <c r="E53" s="2089" t="s">
        <v>826</v>
      </c>
      <c r="F53" s="1265">
        <f>SUM(F45:F52)</f>
        <v>1854.2189682023889</v>
      </c>
      <c r="G53" s="1260">
        <f>SUM(G45:G52)</f>
        <v>1995.0453218243204</v>
      </c>
      <c r="H53" s="1266">
        <f>SUM(H45:H52)</f>
        <v>2288.7100290681838</v>
      </c>
      <c r="I53" s="1271" t="s">
        <v>2226</v>
      </c>
      <c r="J53" s="3108">
        <f>SUM(J45:J52)</f>
        <v>5.6690731881214766</v>
      </c>
      <c r="K53" s="3109">
        <f>SUM(K45:K52)</f>
        <v>6.6690731881214758</v>
      </c>
      <c r="L53" s="3109">
        <f>SUM(L45:L52)</f>
        <v>6.7876221730542987</v>
      </c>
      <c r="M53" s="3007">
        <f>SUM(M45:M52)</f>
        <v>0.33453659406074038</v>
      </c>
      <c r="O53" s="609"/>
      <c r="P53" s="609"/>
      <c r="Q53" s="609"/>
      <c r="R53" s="1"/>
      <c r="S53" s="1"/>
    </row>
    <row r="54" spans="2:24">
      <c r="B54" s="811"/>
      <c r="E54" s="16"/>
      <c r="G54" s="1"/>
      <c r="M54" s="9"/>
      <c r="R54" s="609"/>
      <c r="S54" s="609"/>
      <c r="T54" s="609"/>
    </row>
    <row r="55" spans="2:24">
      <c r="B55" s="811"/>
      <c r="C55" s="16"/>
      <c r="D55" s="16"/>
      <c r="L55" s="543"/>
      <c r="M55" s="543"/>
      <c r="O55" s="609"/>
    </row>
    <row r="56" spans="2:24">
      <c r="B56" s="811"/>
      <c r="C56" s="28" t="s">
        <v>822</v>
      </c>
      <c r="D56" s="28"/>
      <c r="E56" s="3"/>
      <c r="F56" s="3"/>
      <c r="G56" s="3"/>
      <c r="H56" s="3"/>
      <c r="I56" s="3"/>
      <c r="L56" s="543"/>
      <c r="M56" s="543"/>
      <c r="O56" s="609"/>
    </row>
    <row r="57" spans="2:24" ht="15" customHeight="1">
      <c r="B57" s="811"/>
      <c r="C57" s="480" t="s">
        <v>57</v>
      </c>
      <c r="D57" s="749"/>
      <c r="E57" s="2101"/>
      <c r="F57" s="1181">
        <f>'Invasive Rabbit Management'!$Z$23</f>
        <v>46.57499999999996</v>
      </c>
      <c r="G57" s="1182">
        <f>'Invasive Rabbit Management'!$Z$23</f>
        <v>46.57499999999996</v>
      </c>
      <c r="H57" s="1183">
        <f>'Invasive Rabbit Management'!$Z$23</f>
        <v>46.57499999999996</v>
      </c>
      <c r="I57" s="768"/>
      <c r="J57" s="748"/>
      <c r="K57" s="748"/>
      <c r="L57" s="748"/>
      <c r="M57" s="748"/>
      <c r="O57" s="609"/>
    </row>
    <row r="58" spans="2:24">
      <c r="B58" s="811"/>
      <c r="C58" s="1080" t="s">
        <v>1001</v>
      </c>
      <c r="D58" s="606"/>
      <c r="E58" s="1209"/>
      <c r="F58" s="841">
        <f>'Invasive Rabbit Management'!$Z$27</f>
        <v>21.337838565022402</v>
      </c>
      <c r="G58" s="337">
        <f>'Invasive Rabbit Management'!$Z$31</f>
        <v>24.381784753363213</v>
      </c>
      <c r="H58" s="842">
        <f>'Invasive Rabbit Management'!$Z$35</f>
        <v>32.275677130044819</v>
      </c>
      <c r="I58" s="779"/>
      <c r="J58" s="79"/>
      <c r="K58" s="79"/>
      <c r="L58" s="79"/>
      <c r="M58" s="79"/>
      <c r="O58" s="609"/>
    </row>
    <row r="59" spans="2:24" ht="16" customHeight="1">
      <c r="B59" s="811"/>
      <c r="C59" s="2102" t="s">
        <v>1861</v>
      </c>
      <c r="D59" s="606"/>
      <c r="E59" s="1209"/>
      <c r="F59" s="841">
        <f>'Invasive Rabbit Management'!$Z$39</f>
        <v>36.14693526329475</v>
      </c>
      <c r="G59" s="337">
        <f>'Invasive Rabbit Management'!$Z$43</f>
        <v>41.040099372206221</v>
      </c>
      <c r="H59" s="842">
        <f>'Invasive Rabbit Management'!$Z$47</f>
        <v>50.826427590029169</v>
      </c>
      <c r="I59" s="779"/>
      <c r="J59" s="79"/>
      <c r="K59" s="79"/>
      <c r="L59" s="79"/>
      <c r="M59" s="79"/>
      <c r="O59" s="609"/>
    </row>
    <row r="60" spans="2:24" ht="16" customHeight="1">
      <c r="B60" s="811"/>
      <c r="C60" s="1287" t="s">
        <v>1862</v>
      </c>
      <c r="D60" s="606"/>
      <c r="F60" s="841">
        <f>'Invasive Rabbit Management'!$Z$51</f>
        <v>18.170432790626091</v>
      </c>
      <c r="G60" s="337">
        <f>'Invasive Rabbit Management'!$Z$51</f>
        <v>18.170432790626091</v>
      </c>
      <c r="H60" s="842">
        <f>'Invasive Rabbit Management'!$Z$51</f>
        <v>18.170432790626091</v>
      </c>
      <c r="I60" s="779"/>
      <c r="J60" s="79"/>
      <c r="K60" s="79"/>
      <c r="L60" s="79"/>
      <c r="M60" s="79"/>
      <c r="O60" s="609"/>
    </row>
    <row r="61" spans="2:24">
      <c r="B61" s="811"/>
      <c r="C61" s="1287" t="s">
        <v>1863</v>
      </c>
      <c r="D61" s="606"/>
      <c r="E61" s="1209"/>
      <c r="F61" s="841">
        <f>'Invasive Rabbit Management'!$Z$55</f>
        <v>4.3950212724881084</v>
      </c>
      <c r="G61" s="337">
        <f>'Invasive Rabbit Management'!$Z$55</f>
        <v>4.3950212724881084</v>
      </c>
      <c r="H61" s="842">
        <f>'Invasive Rabbit Management'!$Z$55</f>
        <v>4.3950212724881084</v>
      </c>
      <c r="I61" s="779"/>
      <c r="O61" s="609"/>
    </row>
    <row r="62" spans="2:24" outlineLevel="1">
      <c r="B62" s="811"/>
      <c r="C62" s="2369" t="s">
        <v>1864</v>
      </c>
      <c r="D62" s="606"/>
      <c r="E62" s="1209"/>
      <c r="F62" s="841">
        <f>'Invasive Rabbit Management'!$Z$59</f>
        <v>531.42795590433434</v>
      </c>
      <c r="G62" s="337">
        <f>'Invasive Rabbit Management'!$Z$63</f>
        <v>575.4542189835571</v>
      </c>
      <c r="H62" s="842">
        <f>'Invasive Rabbit Management'!$Z$67</f>
        <v>663.5067451420025</v>
      </c>
      <c r="I62" s="779"/>
      <c r="O62" s="609"/>
    </row>
    <row r="63" spans="2:24" outlineLevel="1">
      <c r="B63" s="811"/>
      <c r="C63" s="1080" t="s">
        <v>1044</v>
      </c>
      <c r="D63" s="606"/>
      <c r="E63" s="1209"/>
      <c r="F63" s="841">
        <f>'Invasive Rabbit Management'!$Z$71</f>
        <v>21.337838565022402</v>
      </c>
      <c r="G63" s="337">
        <f>'Invasive Rabbit Management'!$Z$75</f>
        <v>24.381784753363213</v>
      </c>
      <c r="H63" s="842">
        <f>'Invasive Rabbit Management'!$Z$79</f>
        <v>32.275677130044819</v>
      </c>
      <c r="I63" s="779"/>
      <c r="O63" s="609"/>
    </row>
    <row r="64" spans="2:24" outlineLevel="1">
      <c r="B64" s="811"/>
      <c r="C64" s="481" t="s">
        <v>736</v>
      </c>
      <c r="D64" s="606"/>
      <c r="E64" s="1209"/>
      <c r="F64" s="1263">
        <f>'Invasive Rabbit Management'!$Z$83</f>
        <v>34.931249999999963</v>
      </c>
      <c r="G64" s="338">
        <f>'Invasive Rabbit Management'!$Z$83</f>
        <v>34.931249999999963</v>
      </c>
      <c r="H64" s="1264">
        <f>'Invasive Rabbit Management'!$Z$83</f>
        <v>34.931249999999963</v>
      </c>
      <c r="I64" s="779"/>
      <c r="O64" s="609"/>
    </row>
    <row r="65" spans="2:23">
      <c r="B65" s="811"/>
      <c r="C65" s="2103" t="s">
        <v>766</v>
      </c>
      <c r="D65" s="2103"/>
      <c r="E65" s="2104"/>
      <c r="F65" s="765">
        <f>SUM(F57:F64)</f>
        <v>714.32227236078802</v>
      </c>
      <c r="G65" s="765">
        <f>SUM(G57:G64)</f>
        <v>769.32959192560395</v>
      </c>
      <c r="H65" s="766">
        <f>SUM(H57:H64)</f>
        <v>882.95623105523543</v>
      </c>
      <c r="I65" s="779"/>
      <c r="L65" s="543"/>
      <c r="M65" s="543"/>
      <c r="O65" s="609"/>
    </row>
    <row r="68" spans="2:23">
      <c r="W68" s="587"/>
    </row>
  </sheetData>
  <mergeCells count="11">
    <mergeCell ref="F36:H36"/>
    <mergeCell ref="J39:L39"/>
    <mergeCell ref="F40:H40"/>
    <mergeCell ref="J40:L40"/>
    <mergeCell ref="D41:D44"/>
    <mergeCell ref="F41:H41"/>
    <mergeCell ref="J41:L41"/>
    <mergeCell ref="F42:H42"/>
    <mergeCell ref="J42:L42"/>
    <mergeCell ref="F43:H43"/>
    <mergeCell ref="J43:L43"/>
  </mergeCells>
  <pageMargins left="0.7" right="0.7" top="0.75" bottom="0.75" header="0.3" footer="0.3"/>
  <pageSetup paperSize="9"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P742"/>
  <sheetViews>
    <sheetView showGridLines="0" zoomScaleNormal="100" workbookViewId="0">
      <selection activeCell="H36" sqref="H36"/>
    </sheetView>
  </sheetViews>
  <sheetFormatPr baseColWidth="10" defaultColWidth="11" defaultRowHeight="16"/>
  <cols>
    <col min="1" max="1" width="2.6640625" customWidth="1"/>
    <col min="2" max="2" width="10.33203125" customWidth="1"/>
    <col min="3" max="3" width="25.5" customWidth="1"/>
    <col min="4" max="4" width="16" style="24" customWidth="1"/>
    <col min="5" max="5" width="16" style="16" customWidth="1"/>
    <col min="6" max="6" width="16" customWidth="1"/>
    <col min="7" max="7" width="10.83203125" customWidth="1"/>
    <col min="8" max="8" width="18.6640625" customWidth="1"/>
    <col min="9" max="9" width="10.83203125" customWidth="1"/>
    <col min="10" max="10" width="17.33203125" customWidth="1"/>
    <col min="11" max="11" width="13.83203125" customWidth="1"/>
    <col min="12" max="12" width="13" customWidth="1"/>
    <col min="13" max="13" width="36" customWidth="1"/>
    <col min="14" max="14" width="33.83203125" customWidth="1"/>
    <col min="15" max="15" width="14.6640625" customWidth="1"/>
    <col min="16" max="16" width="20.83203125" customWidth="1"/>
    <col min="17" max="19" width="20.83203125" style="2791" customWidth="1"/>
    <col min="20" max="20" width="15.33203125" customWidth="1"/>
    <col min="21" max="21" width="19.83203125" customWidth="1"/>
    <col min="22" max="24" width="15.5" customWidth="1"/>
    <col min="25" max="25" width="15.83203125" customWidth="1"/>
    <col min="26" max="26" width="15.33203125" customWidth="1"/>
    <col min="27" max="28" width="19.83203125" customWidth="1"/>
    <col min="29" max="29" width="19.33203125" customWidth="1"/>
    <col min="30" max="30" width="21" customWidth="1"/>
    <col min="31" max="31" width="23.5" customWidth="1"/>
    <col min="32" max="32" width="37.5" customWidth="1"/>
    <col min="34" max="34" width="14.33203125" customWidth="1"/>
    <col min="35" max="35" width="12.6640625" bestFit="1" customWidth="1"/>
    <col min="42" max="42" width="12.5" bestFit="1" customWidth="1"/>
  </cols>
  <sheetData>
    <row r="1" spans="2:35">
      <c r="B1" s="3" t="s">
        <v>19</v>
      </c>
      <c r="C1" s="24"/>
      <c r="D1" s="59" t="s">
        <v>695</v>
      </c>
      <c r="E1"/>
    </row>
    <row r="2" spans="2:35">
      <c r="C2" s="24" t="s">
        <v>10</v>
      </c>
      <c r="D2" s="16" t="s">
        <v>321</v>
      </c>
      <c r="E2"/>
    </row>
    <row r="3" spans="2:35">
      <c r="C3" s="24" t="s">
        <v>0</v>
      </c>
      <c r="D3" s="16" t="s">
        <v>314</v>
      </c>
      <c r="E3"/>
    </row>
    <row r="4" spans="2:35">
      <c r="B4" s="3"/>
      <c r="C4" s="24" t="s">
        <v>1</v>
      </c>
      <c r="D4" s="59" t="s">
        <v>696</v>
      </c>
      <c r="E4"/>
    </row>
    <row r="5" spans="2:35">
      <c r="B5" s="3" t="s">
        <v>20</v>
      </c>
      <c r="C5" s="24"/>
      <c r="D5" s="16"/>
      <c r="E5"/>
      <c r="F5" s="1"/>
    </row>
    <row r="6" spans="2:35">
      <c r="C6" s="24" t="s">
        <v>2</v>
      </c>
      <c r="D6" s="16" t="s">
        <v>315</v>
      </c>
      <c r="E6"/>
      <c r="F6" s="6"/>
      <c r="T6" s="15"/>
    </row>
    <row r="7" spans="2:35">
      <c r="C7" s="24" t="s">
        <v>22</v>
      </c>
      <c r="D7" s="59" t="s">
        <v>2563</v>
      </c>
      <c r="E7"/>
      <c r="F7" s="6"/>
    </row>
    <row r="8" spans="2:35">
      <c r="C8" s="24" t="s">
        <v>7</v>
      </c>
      <c r="D8" s="16" t="s">
        <v>29</v>
      </c>
      <c r="E8"/>
      <c r="F8" s="6"/>
      <c r="W8" s="15"/>
    </row>
    <row r="9" spans="2:35">
      <c r="C9" s="24" t="s">
        <v>8</v>
      </c>
      <c r="D9" s="238" t="s">
        <v>583</v>
      </c>
      <c r="E9"/>
      <c r="F9" s="6"/>
      <c r="U9" s="5"/>
    </row>
    <row r="10" spans="2:35">
      <c r="C10" s="24"/>
      <c r="D10" s="16"/>
      <c r="E10"/>
      <c r="F10" s="6"/>
      <c r="U10" s="5"/>
    </row>
    <row r="11" spans="2:35" ht="19">
      <c r="B11" s="904" t="s">
        <v>140</v>
      </c>
      <c r="C11" s="113"/>
      <c r="D11" s="16"/>
      <c r="F11" s="359"/>
      <c r="G11" s="359"/>
      <c r="I11" s="359"/>
      <c r="AA11" s="2953" t="s">
        <v>2305</v>
      </c>
      <c r="AB11" s="2953"/>
      <c r="AC11" s="1233"/>
      <c r="AF11" s="1234"/>
    </row>
    <row r="12" spans="2:35" ht="19">
      <c r="C12" s="31" t="s">
        <v>960</v>
      </c>
      <c r="D12" s="16"/>
      <c r="F12" s="359"/>
      <c r="G12" s="359"/>
      <c r="I12" s="359"/>
      <c r="AA12" s="204">
        <f ca="1">SUMIF(T23:T104,"L",AA23:AA104)-AA13-AA15+AA16</f>
        <v>13658.477189459989</v>
      </c>
      <c r="AB12" s="2953" t="s">
        <v>2303</v>
      </c>
      <c r="AC12" s="1233"/>
      <c r="AF12" s="1234"/>
    </row>
    <row r="13" spans="2:35" ht="19">
      <c r="C13" s="955" t="s">
        <v>961</v>
      </c>
      <c r="D13" s="16"/>
      <c r="F13" s="359"/>
      <c r="G13" s="359"/>
      <c r="I13" s="359"/>
      <c r="AA13" s="454">
        <v>0</v>
      </c>
      <c r="AB13" s="2953" t="s">
        <v>2304</v>
      </c>
      <c r="AC13" s="1233"/>
      <c r="AF13" s="1234"/>
    </row>
    <row r="14" spans="2:35" ht="16" customHeight="1">
      <c r="C14" t="s">
        <v>976</v>
      </c>
      <c r="D14" s="16"/>
      <c r="F14" s="359"/>
      <c r="G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SUM(AA31,AA35,AA43,,AA39,AA51,AA55)</f>
        <v>98165.748127153376</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3714">
        <f ca="1">AA39*'GIS - Invasive Weed Mgt_New'!N42</f>
        <v>13435.045927128149</v>
      </c>
      <c r="AB16" s="3715" t="s">
        <v>2601</v>
      </c>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1235"/>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1232"/>
      <c r="AG21" s="1232"/>
      <c r="AH21" s="909" t="s">
        <v>66</v>
      </c>
      <c r="AI21" s="895"/>
      <c r="AJ21" s="3748" t="s">
        <v>190</v>
      </c>
      <c r="AK21" s="3748" t="s">
        <v>181</v>
      </c>
    </row>
    <row r="22" spans="1:37" s="893" customFormat="1" ht="38" customHeight="1">
      <c r="B22" s="1236"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1232"/>
      <c r="AG22" s="893" t="s">
        <v>732</v>
      </c>
      <c r="AH22" s="1237" t="s">
        <v>17</v>
      </c>
      <c r="AI22" s="898" t="s">
        <v>18</v>
      </c>
      <c r="AJ22" s="3749"/>
      <c r="AK22" s="3749"/>
    </row>
    <row r="23" spans="1:37" ht="19" customHeight="1">
      <c r="B23" s="260">
        <v>1</v>
      </c>
      <c r="C23" s="3844" t="s">
        <v>201</v>
      </c>
      <c r="D23" s="3847" t="s">
        <v>131</v>
      </c>
      <c r="E23" s="12" t="s">
        <v>3</v>
      </c>
      <c r="F23" s="1172"/>
      <c r="G23" s="1172">
        <f>$E$123</f>
        <v>15</v>
      </c>
      <c r="H23" s="188">
        <f>F123</f>
        <v>5062.5</v>
      </c>
      <c r="I23" s="921" t="s">
        <v>407</v>
      </c>
      <c r="J23" s="377" t="str">
        <f>IF(K23=1,"Annual","Done every "&amp;K23&amp;" years")</f>
        <v>Annual</v>
      </c>
      <c r="K23" s="11">
        <f>D110</f>
        <v>1</v>
      </c>
      <c r="L23" s="1043">
        <f>$L$16/K23</f>
        <v>80</v>
      </c>
      <c r="M23" s="171">
        <f>$L$16/L23</f>
        <v>1</v>
      </c>
      <c r="N23" s="240">
        <f>$H23*(1-(1+$L$15)^-(L23*M23))/((1+$L$15)^M23-1)*(1+((1+$L$15)^M23-1))</f>
        <v>125914.53807358607</v>
      </c>
      <c r="O23" s="191">
        <f t="shared" ref="O23:O59" si="0">N23/(1+$L$15)*($L$15)/(1-(1+$L$15)^-$L$16)</f>
        <v>5062.4999999999955</v>
      </c>
      <c r="P23" s="195">
        <f>SUM(O23:O26)</f>
        <v>5062.4999999999955</v>
      </c>
      <c r="Q23" s="2859"/>
      <c r="R23" s="2859"/>
      <c r="S23" s="2859"/>
      <c r="T23" s="1031" t="s">
        <v>808</v>
      </c>
      <c r="U23" s="583">
        <f>O23/$U$16</f>
        <v>50.624999999999957</v>
      </c>
      <c r="V23" s="583">
        <f>IF($T23="L",SUM($U23:U23)*V$16,"")</f>
        <v>15.187499999999986</v>
      </c>
      <c r="W23" s="583"/>
      <c r="X23" s="583">
        <f>IF($T23="L",SUM($U23:W23)*X$16,"")</f>
        <v>19.743749999999981</v>
      </c>
      <c r="Y23" s="240">
        <f t="shared" ref="Y23:Y29" si="1">IF($U23="","",SUM(V23:X23))</f>
        <v>34.931249999999963</v>
      </c>
      <c r="Z23" s="240">
        <f>SUM(V23:X26)</f>
        <v>34.931249999999963</v>
      </c>
      <c r="AA23" s="191">
        <f t="shared" ref="AA23:AA29" si="2">IF($U23="","",SUM(U23,Y23))</f>
        <v>85.55624999999992</v>
      </c>
      <c r="AB23" s="195">
        <f>SUM(AA23:AA26)</f>
        <v>85.55624999999992</v>
      </c>
      <c r="AC23" s="889">
        <f t="shared" ref="AC23:AC29" ca="1" si="3">IF(AA23="","",AA23/OFFSET($AB$23,AF23,0))</f>
        <v>1</v>
      </c>
      <c r="AD23" s="941"/>
      <c r="AE23" s="1063"/>
      <c r="AF23" s="587">
        <v>0</v>
      </c>
      <c r="AG23" s="816">
        <f ca="1">SUM(AC23:AC26)-1</f>
        <v>0</v>
      </c>
      <c r="AH23" s="13">
        <f>$AH$16/K23</f>
        <v>5</v>
      </c>
      <c r="AI23" s="13">
        <f>$AH$16/AH23</f>
        <v>1</v>
      </c>
      <c r="AJ23" s="14">
        <f>$H23*(1-(1+$L$15)^-(AH23*AI23))/((1+$L$15)^AI23-1)*(1+((1+$L$15)^AI23-1))</f>
        <v>23438.844572800335</v>
      </c>
      <c r="AK23" s="191">
        <f>SUM(AJ23:AJ26)</f>
        <v>23438.844572800335</v>
      </c>
    </row>
    <row r="24" spans="1:37" ht="19" customHeight="1">
      <c r="B24" s="261"/>
      <c r="C24" s="3845"/>
      <c r="D24" s="3848"/>
      <c r="E24" s="12" t="s">
        <v>308</v>
      </c>
      <c r="F24" s="1172"/>
      <c r="G24" s="1172"/>
      <c r="H24" s="188"/>
      <c r="I24" s="921"/>
      <c r="J24" s="377"/>
      <c r="K24" s="11"/>
      <c r="L24" s="1044"/>
      <c r="M24" s="944"/>
      <c r="N24" s="241"/>
      <c r="O24" s="342">
        <f t="shared" si="0"/>
        <v>0</v>
      </c>
      <c r="P24" s="193"/>
      <c r="Q24" s="2860">
        <v>0</v>
      </c>
      <c r="R24" s="2860">
        <v>0</v>
      </c>
      <c r="S24" s="2860">
        <v>0</v>
      </c>
      <c r="T24" s="1032" t="s">
        <v>809</v>
      </c>
      <c r="U24" s="585"/>
      <c r="V24" s="585" t="str">
        <f>IF($T24="L",SUM($U24:U24)*V$16,"")</f>
        <v/>
      </c>
      <c r="W24" s="585" t="str">
        <f>IF($U24="","",IF(OR($T24="L",$T24="T",$T24="C"),SUM($U24:V24)*W$16,""))</f>
        <v/>
      </c>
      <c r="X24" s="585" t="str">
        <f>IF($T24="L",SUM($U24:W24)*X$16,"")</f>
        <v/>
      </c>
      <c r="Y24" s="242" t="str">
        <f t="shared" si="1"/>
        <v/>
      </c>
      <c r="Z24" s="242"/>
      <c r="AA24" s="342" t="str">
        <f t="shared" si="2"/>
        <v/>
      </c>
      <c r="AB24" s="193"/>
      <c r="AC24" s="890" t="str">
        <f t="shared" ca="1" si="3"/>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f t="shared" si="0"/>
        <v>0</v>
      </c>
      <c r="P25" s="193"/>
      <c r="Q25" s="2860"/>
      <c r="R25" s="2860"/>
      <c r="S25" s="2860"/>
      <c r="T25" s="1032" t="s">
        <v>810</v>
      </c>
      <c r="U25" s="585"/>
      <c r="V25" s="585" t="str">
        <f>IF($T25="L",SUM($U25:U25)*V$16,"")</f>
        <v/>
      </c>
      <c r="W25" s="585" t="str">
        <f>IF($U25="","",IF(OR($T25="L",$T25="T",$T25="C"),SUM($U25:V25)*W$16,""))</f>
        <v/>
      </c>
      <c r="X25" s="585" t="str">
        <f>IF($T25="L",SUM($U25:W25)*X$16,"")</f>
        <v/>
      </c>
      <c r="Y25" s="242" t="str">
        <f t="shared" si="1"/>
        <v/>
      </c>
      <c r="Z25" s="242"/>
      <c r="AA25" s="342" t="str">
        <f t="shared" si="2"/>
        <v/>
      </c>
      <c r="AB25" s="193"/>
      <c r="AC25" s="890" t="str">
        <f t="shared" ca="1" si="3"/>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f t="shared" si="0"/>
        <v>0</v>
      </c>
      <c r="P26" s="196"/>
      <c r="Q26" s="2861"/>
      <c r="R26" s="2861"/>
      <c r="S26" s="2861"/>
      <c r="T26" s="1033" t="s">
        <v>811</v>
      </c>
      <c r="U26" s="891"/>
      <c r="V26" s="891" t="str">
        <f>IF($T26="L",SUM($U26:U26)*V$16,"")</f>
        <v/>
      </c>
      <c r="W26" s="891" t="str">
        <f>IF($U26="","",IF(OR($T26="L",$T26="T",$T26="C"),SUM($U26:V26)*W$16,""))</f>
        <v/>
      </c>
      <c r="X26" s="891" t="str">
        <f>IF($T26="L",SUM($U26:W26)*X$16,"")</f>
        <v/>
      </c>
      <c r="Y26" s="244" t="str">
        <f t="shared" si="1"/>
        <v/>
      </c>
      <c r="Z26" s="244"/>
      <c r="AA26" s="343" t="str">
        <f t="shared" si="2"/>
        <v/>
      </c>
      <c r="AB26" s="196"/>
      <c r="AC26" s="892" t="str">
        <f t="shared" ca="1" si="3"/>
        <v/>
      </c>
      <c r="AD26" s="942"/>
      <c r="AE26" s="1065"/>
      <c r="AF26" s="587">
        <f>AF25</f>
        <v>0</v>
      </c>
      <c r="AG26" s="587"/>
      <c r="AH26" s="13"/>
      <c r="AI26" s="13"/>
      <c r="AJ26" s="189"/>
      <c r="AK26" s="342"/>
    </row>
    <row r="27" spans="1:37" ht="18" customHeight="1">
      <c r="A27" s="390"/>
      <c r="B27" s="710">
        <v>2.1</v>
      </c>
      <c r="C27" s="1227" t="s">
        <v>1099</v>
      </c>
      <c r="D27" s="3850" t="s">
        <v>1136</v>
      </c>
      <c r="E27" s="373" t="s">
        <v>3</v>
      </c>
      <c r="F27" s="1176"/>
      <c r="G27" s="1176">
        <f t="shared" ref="G27:G29" si="4">E220</f>
        <v>6.2541106128550075</v>
      </c>
      <c r="H27" s="370">
        <f>H220</f>
        <v>1407.1748878923768</v>
      </c>
      <c r="I27" s="613" t="s">
        <v>475</v>
      </c>
      <c r="J27" s="375" t="str">
        <f>IF(K27=1,"Annual","Done every "&amp;K27&amp;" years")</f>
        <v>Annual</v>
      </c>
      <c r="K27" s="371">
        <f>L220</f>
        <v>1</v>
      </c>
      <c r="L27" s="386">
        <f t="shared" ref="L27:M29" si="5">$L$16/K27</f>
        <v>80</v>
      </c>
      <c r="M27" s="371">
        <f t="shared" si="5"/>
        <v>1</v>
      </c>
      <c r="N27" s="370">
        <f>$H27*(1-(1+$L$15)^-(L27*M27))/((1+$L$15)^M27-1)*(1+((1+$L$15)^M27-1))</f>
        <v>34999.264394611135</v>
      </c>
      <c r="O27" s="640">
        <f t="shared" si="0"/>
        <v>1407.1748878923752</v>
      </c>
      <c r="P27" s="980">
        <f>SUM(O27:O30)</f>
        <v>3558.385650224212</v>
      </c>
      <c r="Q27" s="3049"/>
      <c r="R27" s="3049"/>
      <c r="S27" s="3049"/>
      <c r="T27" s="1034" t="s">
        <v>808</v>
      </c>
      <c r="U27" s="642">
        <f t="shared" ref="U27:U33" si="6">O27/$U$16</f>
        <v>14.071748878923751</v>
      </c>
      <c r="V27" s="644">
        <f>IF($T27="L",SUM($U27:U27)*V$16,"")</f>
        <v>4.2215246636771253</v>
      </c>
      <c r="W27" s="644">
        <f>IF($U27="","",IF(OR($T27="L",$T27="T",$T27="C"),SUM($U27:V27)*W$16,""))</f>
        <v>1.8293273542600876</v>
      </c>
      <c r="X27" s="644">
        <f>IF($U27="","",SUM($U27:W27)*X$16)</f>
        <v>6.0367802690582888</v>
      </c>
      <c r="Y27" s="388">
        <f t="shared" si="1"/>
        <v>12.087632286995502</v>
      </c>
      <c r="Z27" s="392">
        <f>SUM(V27:X30)</f>
        <v>21.337838565022402</v>
      </c>
      <c r="AA27" s="734">
        <f t="shared" si="2"/>
        <v>26.159381165919253</v>
      </c>
      <c r="AB27" s="392">
        <f>SUM(AA27:AA30)</f>
        <v>56.921695067264523</v>
      </c>
      <c r="AC27" s="888">
        <f t="shared" ca="1" si="3"/>
        <v>0.45956785255615878</v>
      </c>
      <c r="AD27" s="641"/>
      <c r="AE27" s="1066"/>
      <c r="AF27" s="587">
        <f>AF23+4</f>
        <v>4</v>
      </c>
      <c r="AG27" s="816">
        <f ca="1">SUM(AC27:AC30)-1</f>
        <v>0</v>
      </c>
      <c r="AH27" s="387">
        <f>$AH$16/K27</f>
        <v>5</v>
      </c>
      <c r="AI27" s="387">
        <f>$AH$16/AH27</f>
        <v>1</v>
      </c>
      <c r="AJ27" s="370">
        <f>$H27*(1-(1+$L$15)^-(AH27*AI27))/((1+$L$15)^AI27-1)*(1+((1+$L$15)^AI27-1))</f>
        <v>6515.0722931470918</v>
      </c>
      <c r="AK27" s="980">
        <f>SUM(AJ27:AJ30)</f>
        <v>16474.95272803722</v>
      </c>
    </row>
    <row r="28" spans="1:37" ht="19" customHeight="1">
      <c r="A28" s="390"/>
      <c r="B28" s="710"/>
      <c r="C28" s="1228" t="s">
        <v>749</v>
      </c>
      <c r="D28" s="3851"/>
      <c r="E28" s="373" t="s">
        <v>308</v>
      </c>
      <c r="F28" s="1176">
        <f>D207</f>
        <v>1</v>
      </c>
      <c r="G28" s="1176">
        <f t="shared" si="4"/>
        <v>3.1270553064275037</v>
      </c>
      <c r="H28" s="370">
        <f>H221</f>
        <v>891.21076233183851</v>
      </c>
      <c r="I28" s="613" t="s">
        <v>797</v>
      </c>
      <c r="J28" s="375" t="str">
        <f>IF(K28=1,"Annual","Done every "&amp;K28&amp;" years")</f>
        <v>Annual</v>
      </c>
      <c r="K28" s="371">
        <f>L221</f>
        <v>1</v>
      </c>
      <c r="L28" s="386">
        <f t="shared" si="5"/>
        <v>80</v>
      </c>
      <c r="M28" s="371">
        <f t="shared" si="5"/>
        <v>1</v>
      </c>
      <c r="N28" s="370">
        <f>$H28*(1-(1+$L$15)^-(L28*M28))/((1+$L$15)^M28-1)*(1+((1+$L$15)^M28-1))</f>
        <v>22166.20078325372</v>
      </c>
      <c r="O28" s="640">
        <f t="shared" si="0"/>
        <v>891.21076233183771</v>
      </c>
      <c r="P28" s="981"/>
      <c r="Q28" s="2956">
        <f>1*(1-(1+$L$15)^-(L28*M28))/((1+$L$15)^M28-1)*(1+((1+$L$15)^M28-1))</f>
        <v>24.872007520708362</v>
      </c>
      <c r="R28" s="2956">
        <f>Q28/(1+$L$15)*($L$15)/(1-(1+$L$15)^-$L$16)</f>
        <v>0.99999999999999911</v>
      </c>
      <c r="S28" s="2956">
        <f>F28*R28</f>
        <v>0.99999999999999911</v>
      </c>
      <c r="T28" s="1034" t="s">
        <v>809</v>
      </c>
      <c r="U28" s="639">
        <f t="shared" si="6"/>
        <v>8.9121076233183771</v>
      </c>
      <c r="V28" s="644" t="str">
        <f>IF($T28="L",SUM($U28:U28)*V$16,"")</f>
        <v/>
      </c>
      <c r="W28" s="644">
        <f>IF($U28="","",IF(OR($T28="L",$T28="T",$T28="C"),SUM($U28:V28)*W$16,""))</f>
        <v>0.89121076233183771</v>
      </c>
      <c r="X28" s="644">
        <f>IF($U28="","",SUM($U28:W28)*X$16)</f>
        <v>2.9409955156950645</v>
      </c>
      <c r="Y28" s="394">
        <f t="shared" si="1"/>
        <v>3.8322062780269022</v>
      </c>
      <c r="Z28" s="392"/>
      <c r="AA28" s="734">
        <f t="shared" si="2"/>
        <v>12.744313901345279</v>
      </c>
      <c r="AB28" s="392"/>
      <c r="AC28" s="729">
        <f t="shared" ca="1" si="3"/>
        <v>0.22389203073248765</v>
      </c>
      <c r="AD28" s="641"/>
      <c r="AE28" s="1066"/>
      <c r="AF28" s="587">
        <f>AF27</f>
        <v>4</v>
      </c>
      <c r="AG28" s="587"/>
      <c r="AH28" s="387">
        <f>$AH$16/K28</f>
        <v>5</v>
      </c>
      <c r="AI28" s="387">
        <f>$AH$16/AH28</f>
        <v>1</v>
      </c>
      <c r="AJ28" s="370">
        <f>$H28*(1-(1+$L$15)^-(AH28*AI28))/((1+$L$15)^AI28-1)*(1+((1+$L$15)^AI28-1))</f>
        <v>4126.2124523264911</v>
      </c>
      <c r="AK28" s="981"/>
    </row>
    <row r="29" spans="1:37" ht="19" customHeight="1">
      <c r="A29" s="390"/>
      <c r="B29" s="710"/>
      <c r="C29" s="1228"/>
      <c r="D29" s="3851"/>
      <c r="E29" s="373" t="s">
        <v>4</v>
      </c>
      <c r="F29" s="1176"/>
      <c r="G29" s="1176">
        <f t="shared" si="4"/>
        <v>6</v>
      </c>
      <c r="H29" s="370">
        <f>H222</f>
        <v>1260</v>
      </c>
      <c r="I29" s="613" t="s">
        <v>70</v>
      </c>
      <c r="J29" s="375" t="str">
        <f>IF(K29=1,"Annual","Done every "&amp;K29&amp;" years")</f>
        <v>Annual</v>
      </c>
      <c r="K29" s="371">
        <f>L222</f>
        <v>1</v>
      </c>
      <c r="L29" s="386">
        <f t="shared" si="5"/>
        <v>80</v>
      </c>
      <c r="M29" s="371">
        <f t="shared" si="5"/>
        <v>1</v>
      </c>
      <c r="N29" s="370">
        <f>$H29*(1-(1+$L$15)^-(L29*M29))/((1+$L$15)^M29-1)*(1+((1+$L$15)^M29-1))</f>
        <v>31338.729476092536</v>
      </c>
      <c r="O29" s="640">
        <f t="shared" si="0"/>
        <v>1259.9999999999991</v>
      </c>
      <c r="P29" s="982"/>
      <c r="Q29" s="2956"/>
      <c r="R29" s="2956"/>
      <c r="S29" s="2956"/>
      <c r="T29" s="1034" t="s">
        <v>810</v>
      </c>
      <c r="U29" s="639">
        <f t="shared" si="6"/>
        <v>12.599999999999991</v>
      </c>
      <c r="V29" s="644" t="str">
        <f>IF($T29="L",SUM($U29:U29)*V$16,"")</f>
        <v/>
      </c>
      <c r="W29" s="644">
        <f>IF($U29="","",IF(OR($T29="L",$T29="T",$T29="C"),SUM($U29:V29)*W$16,""))</f>
        <v>1.2599999999999991</v>
      </c>
      <c r="X29" s="644">
        <f>IF($U29="","",SUM($U29:W29)*X$16)</f>
        <v>4.1579999999999968</v>
      </c>
      <c r="Y29" s="394">
        <f t="shared" si="1"/>
        <v>5.4179999999999957</v>
      </c>
      <c r="Z29" s="393"/>
      <c r="AA29" s="735">
        <f t="shared" si="2"/>
        <v>18.017999999999986</v>
      </c>
      <c r="AB29" s="393"/>
      <c r="AC29" s="729">
        <f t="shared" ca="1" si="3"/>
        <v>0.31654011671135351</v>
      </c>
      <c r="AD29" s="643"/>
      <c r="AE29" s="1066"/>
      <c r="AF29" s="587">
        <f>AF28</f>
        <v>4</v>
      </c>
      <c r="AG29" s="587"/>
      <c r="AH29" s="387">
        <f>$AH$16/K29</f>
        <v>5</v>
      </c>
      <c r="AI29" s="387">
        <f>$AH$16/AH29</f>
        <v>1</v>
      </c>
      <c r="AJ29" s="370">
        <f>$H29*(1-(1+$L$15)^-(AH29*AI29))/((1+$L$15)^AI29-1)*(1+((1+$L$15)^AI29-1))</f>
        <v>5833.6679825636384</v>
      </c>
      <c r="AK29" s="982"/>
    </row>
    <row r="30" spans="1:37" ht="19" customHeight="1">
      <c r="A30" s="390"/>
      <c r="B30" s="710"/>
      <c r="C30" s="1228"/>
      <c r="D30" s="3851"/>
      <c r="E30" s="373" t="s">
        <v>21</v>
      </c>
      <c r="F30" s="1176"/>
      <c r="G30" s="1176"/>
      <c r="H30" s="370"/>
      <c r="I30" s="1086"/>
      <c r="J30" s="375"/>
      <c r="K30" s="371"/>
      <c r="L30" s="386"/>
      <c r="M30" s="371"/>
      <c r="N30" s="370"/>
      <c r="O30" s="640">
        <f t="shared" si="0"/>
        <v>0</v>
      </c>
      <c r="P30" s="982"/>
      <c r="Q30" s="2956"/>
      <c r="R30" s="2956"/>
      <c r="S30" s="2956"/>
      <c r="T30" s="1034" t="s">
        <v>811</v>
      </c>
      <c r="U30" s="639">
        <f t="shared" si="6"/>
        <v>0</v>
      </c>
      <c r="V30" s="644" t="str">
        <f>IF($T30="L",SUM($U30:U30)*V$16,"")</f>
        <v/>
      </c>
      <c r="W30" s="644" t="str">
        <f>IF($U30="","",IF(OR($T30="L",$T30="T",$T30="C"),SUM($U30:V30)*W$16,""))</f>
        <v/>
      </c>
      <c r="X30" s="644"/>
      <c r="Y30" s="394"/>
      <c r="Z30" s="393"/>
      <c r="AA30" s="735"/>
      <c r="AB30" s="393"/>
      <c r="AC30" s="729"/>
      <c r="AD30" s="643"/>
      <c r="AE30" s="1066"/>
      <c r="AF30" s="587">
        <f>AF29</f>
        <v>4</v>
      </c>
      <c r="AG30" s="587"/>
      <c r="AH30" s="387"/>
      <c r="AI30" s="387"/>
      <c r="AJ30" s="370"/>
      <c r="AK30" s="982"/>
    </row>
    <row r="31" spans="1:37" ht="18" customHeight="1">
      <c r="A31" s="676"/>
      <c r="B31" s="711">
        <v>2.2000000000000002</v>
      </c>
      <c r="C31" s="1222" t="s">
        <v>202</v>
      </c>
      <c r="D31" s="3852" t="str">
        <f>D27</f>
        <v xml:space="preserve">1) Surveying area and collecting disease samples by foot </v>
      </c>
      <c r="E31" s="685" t="s">
        <v>3</v>
      </c>
      <c r="F31" s="1177"/>
      <c r="G31" s="1177">
        <f>F220</f>
        <v>7.449925261584454</v>
      </c>
      <c r="H31" s="665">
        <f>I220</f>
        <v>1676.2331838565021</v>
      </c>
      <c r="I31" s="818" t="str">
        <f>I27</f>
        <v xml:space="preserve">Labour to get tracking done, cameras, sandpads and collars. </v>
      </c>
      <c r="J31" s="666" t="str">
        <f>IF(K31=1,"Annual","Done every "&amp;K31&amp;" years")</f>
        <v>Annual</v>
      </c>
      <c r="K31" s="667">
        <f>K27</f>
        <v>1</v>
      </c>
      <c r="L31" s="671">
        <f t="shared" ref="L31:M33" si="7">$L$16/K31</f>
        <v>80</v>
      </c>
      <c r="M31" s="880">
        <f t="shared" si="7"/>
        <v>1</v>
      </c>
      <c r="N31" s="883">
        <f>$H31*(1-(1+$L$15)^-(L31*M31))/((1+$L$15)^M31-1)*(1+((1+$L$15)^M31-1))</f>
        <v>41691.284355339842</v>
      </c>
      <c r="O31" s="673">
        <f t="shared" si="0"/>
        <v>1676.2331838565005</v>
      </c>
      <c r="P31" s="983">
        <f>SUM(O31:O34)</f>
        <v>3997.8475336322836</v>
      </c>
      <c r="Q31" s="3050"/>
      <c r="R31" s="3050"/>
      <c r="S31" s="3050"/>
      <c r="T31" s="1035" t="s">
        <v>808</v>
      </c>
      <c r="U31" s="675">
        <f t="shared" si="6"/>
        <v>16.762331838565004</v>
      </c>
      <c r="V31" s="675">
        <f>IF($T31="L",SUM($U31:U31)*V$16,"")</f>
        <v>5.0286995515695008</v>
      </c>
      <c r="W31" s="675">
        <f>IF($U31="","",IF(OR($T31="L",$T31="T",$T31="C"),SUM($U31:V31)*W$16,""))</f>
        <v>2.1791031390134505</v>
      </c>
      <c r="X31" s="675">
        <f>IF($U31="","",SUM($U31:W31)*X$16)</f>
        <v>7.1910403587443863</v>
      </c>
      <c r="Y31" s="670">
        <f>IF($U31="","",SUM(V31:X31))</f>
        <v>14.398843049327338</v>
      </c>
      <c r="Z31" s="716">
        <f>SUM(V31:X34)</f>
        <v>24.381784753363203</v>
      </c>
      <c r="AA31" s="736">
        <f>IF($U31="","",SUM(U31,Y31))</f>
        <v>31.161174887892344</v>
      </c>
      <c r="AB31" s="716">
        <f>SUM(AA31:AA34)</f>
        <v>64.360260089686037</v>
      </c>
      <c r="AC31" s="730">
        <f ca="1">IF(AA31="","",AA31/OFFSET($AB$23,AF31,0))</f>
        <v>0.4841679453201283</v>
      </c>
      <c r="AD31" s="674"/>
      <c r="AE31" s="1067"/>
      <c r="AF31" s="587">
        <f>AF27+4</f>
        <v>8</v>
      </c>
      <c r="AG31" s="816">
        <f ca="1">SUM(AC31:AC34)-1</f>
        <v>0</v>
      </c>
      <c r="AH31" s="669">
        <f>$AH$16/K31</f>
        <v>5</v>
      </c>
      <c r="AI31" s="669">
        <f>$AH$16/AH31</f>
        <v>1</v>
      </c>
      <c r="AJ31" s="665">
        <f>$H31*(1-(1+$L$15)^-(AH31*AI31))/((1+$L$15)^AI31-1)*(1+((1+$L$15)^AI31-1))</f>
        <v>7760.7840126780839</v>
      </c>
      <c r="AK31" s="983">
        <f>SUM(AJ31:AJ34)</f>
        <v>18509.615203271176</v>
      </c>
    </row>
    <row r="32" spans="1:37" ht="18" customHeight="1">
      <c r="A32" s="676"/>
      <c r="B32" s="712"/>
      <c r="C32" s="1223" t="s">
        <v>779</v>
      </c>
      <c r="D32" s="3853"/>
      <c r="E32" s="685" t="s">
        <v>308</v>
      </c>
      <c r="F32" s="1177">
        <f>E207</f>
        <v>1</v>
      </c>
      <c r="G32" s="1177">
        <f t="shared" ref="G32:G33" si="8">F221</f>
        <v>3.724962630792227</v>
      </c>
      <c r="H32" s="665">
        <f>I221</f>
        <v>1061.6143497757846</v>
      </c>
      <c r="I32" s="818" t="str">
        <f>I28</f>
        <v>Transport at site</v>
      </c>
      <c r="J32" s="666" t="str">
        <f>IF(K32=1,"Annual","Done every "&amp;K32&amp;" years")</f>
        <v>Annual</v>
      </c>
      <c r="K32" s="667">
        <f>K28</f>
        <v>1</v>
      </c>
      <c r="L32" s="668">
        <f t="shared" si="7"/>
        <v>80</v>
      </c>
      <c r="M32" s="667">
        <f t="shared" si="7"/>
        <v>1</v>
      </c>
      <c r="N32" s="665">
        <f>$H32*(1-(1+$L$15)^-(L32*M32))/((1+$L$15)^M32-1)*(1+((1+$L$15)^M32-1))</f>
        <v>26404.480091715228</v>
      </c>
      <c r="O32" s="680">
        <f t="shared" si="0"/>
        <v>1061.6143497757837</v>
      </c>
      <c r="P32" s="984"/>
      <c r="Q32" s="3051">
        <f>1*(1-(1+$L$15)^-(L32*M32))/((1+$L$15)^M32-1)*(1+((1+$L$15)^M32-1))</f>
        <v>24.872007520708362</v>
      </c>
      <c r="R32" s="3051">
        <f>Q32/(1+$L$15)*($L$15)/(1-(1+$L$15)^-$L$16)</f>
        <v>0.99999999999999911</v>
      </c>
      <c r="S32" s="3051">
        <f>F32*R32</f>
        <v>0.99999999999999911</v>
      </c>
      <c r="T32" s="1036" t="s">
        <v>809</v>
      </c>
      <c r="U32" s="675">
        <f t="shared" si="6"/>
        <v>10.616143497757838</v>
      </c>
      <c r="V32" s="682" t="str">
        <f>IF($T32="L",SUM($U32:U32)*V$16,"")</f>
        <v/>
      </c>
      <c r="W32" s="682">
        <f>IF($U32="","",IF(OR($T32="L",$T32="T",$T32="C"),SUM($U32:V32)*W$16,""))</f>
        <v>1.0616143497757837</v>
      </c>
      <c r="X32" s="682">
        <f>IF($U32="","",SUM($U32:W32)*X$16)</f>
        <v>3.5033273542600862</v>
      </c>
      <c r="Y32" s="679">
        <f>IF($U32="","",SUM(V32:X32))</f>
        <v>4.5649417040358697</v>
      </c>
      <c r="Z32" s="720"/>
      <c r="AA32" s="737">
        <f>IF($U32="","",SUM(U32,Y32))</f>
        <v>15.181085201793707</v>
      </c>
      <c r="AB32" s="720"/>
      <c r="AC32" s="730">
        <f ca="1">IF(AA32="","",AA32/OFFSET($AB$23,AF32,0))</f>
        <v>0.2358766913098061</v>
      </c>
      <c r="AD32" s="681"/>
      <c r="AE32" s="1067"/>
      <c r="AF32" s="587">
        <f>AF31</f>
        <v>8</v>
      </c>
      <c r="AG32" s="587"/>
      <c r="AH32" s="669">
        <f>$AH$16/K32</f>
        <v>5</v>
      </c>
      <c r="AI32" s="669">
        <f>$AH$16/AH32</f>
        <v>1</v>
      </c>
      <c r="AJ32" s="665">
        <f>$H32*(1-(1+$L$15)^-(AH32*AI32))/((1+$L$15)^AI32-1)*(1+((1+$L$15)^AI32-1))</f>
        <v>4915.1632080294521</v>
      </c>
      <c r="AK32" s="984"/>
    </row>
    <row r="33" spans="1:37" ht="18" customHeight="1">
      <c r="A33" s="676"/>
      <c r="B33" s="712"/>
      <c r="C33" s="1223"/>
      <c r="D33" s="3853"/>
      <c r="E33" s="685" t="s">
        <v>4</v>
      </c>
      <c r="F33" s="1177"/>
      <c r="G33" s="1177">
        <f t="shared" si="8"/>
        <v>6</v>
      </c>
      <c r="H33" s="665">
        <f>I222</f>
        <v>1260</v>
      </c>
      <c r="I33" s="818" t="str">
        <f>I29</f>
        <v>Accomodation</v>
      </c>
      <c r="J33" s="666" t="str">
        <f>IF(K33=1,"Annual","Done every "&amp;K33&amp;" years")</f>
        <v>Annual</v>
      </c>
      <c r="K33" s="667">
        <f>K29</f>
        <v>1</v>
      </c>
      <c r="L33" s="668">
        <f t="shared" si="7"/>
        <v>80</v>
      </c>
      <c r="M33" s="667">
        <f t="shared" si="7"/>
        <v>1</v>
      </c>
      <c r="N33" s="665">
        <f>$H33*(1-(1+$L$15)^-(L33*M33))/((1+$L$15)^M33-1)*(1+((1+$L$15)^M33-1))</f>
        <v>31338.729476092536</v>
      </c>
      <c r="O33" s="680">
        <f t="shared" si="0"/>
        <v>1259.9999999999991</v>
      </c>
      <c r="P33" s="985"/>
      <c r="Q33" s="3051"/>
      <c r="R33" s="3051"/>
      <c r="S33" s="3051"/>
      <c r="T33" s="1036" t="s">
        <v>810</v>
      </c>
      <c r="U33" s="675">
        <f t="shared" si="6"/>
        <v>12.599999999999991</v>
      </c>
      <c r="V33" s="684" t="str">
        <f>IF($T33="L",SUM($U33:U33)*V$16,"")</f>
        <v/>
      </c>
      <c r="W33" s="684">
        <f>IF($U33="","",IF(OR($T33="L",$T33="T",$T33="C"),SUM($U33:V33)*W$16,""))</f>
        <v>1.2599999999999991</v>
      </c>
      <c r="X33" s="684">
        <f>IF($U33="","",SUM($U33:W33)*X$16)</f>
        <v>4.1579999999999968</v>
      </c>
      <c r="Y33" s="1024">
        <f>IF($U33="","",SUM(V33:X33))</f>
        <v>5.4179999999999957</v>
      </c>
      <c r="Z33" s="721"/>
      <c r="AA33" s="738">
        <f>IF($U33="","",SUM(U33,Y33))</f>
        <v>18.017999999999986</v>
      </c>
      <c r="AB33" s="721"/>
      <c r="AC33" s="730">
        <f ca="1">IF(AA33="","",AA33/OFFSET($AB$23,AF33,0))</f>
        <v>0.2799553633700656</v>
      </c>
      <c r="AD33" s="683"/>
      <c r="AE33" s="1067"/>
      <c r="AF33" s="587">
        <f>AF32</f>
        <v>8</v>
      </c>
      <c r="AG33" s="587"/>
      <c r="AH33" s="669">
        <f>$AH$16/K33</f>
        <v>5</v>
      </c>
      <c r="AI33" s="669">
        <f>$AH$16/AH33</f>
        <v>1</v>
      </c>
      <c r="AJ33" s="665">
        <f>$H33*(1-(1+$L$15)^-(AH33*AI33))/((1+$L$15)^AI33-1)*(1+((1+$L$15)^AI33-1))</f>
        <v>5833.6679825636384</v>
      </c>
      <c r="AK33" s="985"/>
    </row>
    <row r="34" spans="1:37" ht="18" customHeight="1">
      <c r="A34" s="676"/>
      <c r="B34" s="712"/>
      <c r="C34" s="1223"/>
      <c r="D34" s="3854"/>
      <c r="E34" s="1082" t="s">
        <v>21</v>
      </c>
      <c r="F34" s="1177"/>
      <c r="G34" s="1177"/>
      <c r="H34" s="665"/>
      <c r="I34" s="818"/>
      <c r="J34" s="666"/>
      <c r="K34" s="667"/>
      <c r="L34" s="668"/>
      <c r="M34" s="667"/>
      <c r="N34" s="665"/>
      <c r="O34" s="680">
        <f t="shared" si="0"/>
        <v>0</v>
      </c>
      <c r="P34" s="985"/>
      <c r="Q34" s="3051"/>
      <c r="R34" s="3051"/>
      <c r="S34" s="3051"/>
      <c r="T34" s="1036" t="s">
        <v>811</v>
      </c>
      <c r="U34" s="675"/>
      <c r="V34" s="684" t="str">
        <f>IF($T34="L",SUM($U34:U34)*V$16,"")</f>
        <v/>
      </c>
      <c r="W34" s="684" t="str">
        <f>IF($U34="","",IF(OR($T34="L",$T34="T",$T34="C"),SUM($U34:V34)*W$16,""))</f>
        <v/>
      </c>
      <c r="X34" s="684"/>
      <c r="Y34" s="1024"/>
      <c r="Z34" s="721"/>
      <c r="AA34" s="738"/>
      <c r="AB34" s="721"/>
      <c r="AC34" s="730"/>
      <c r="AD34" s="683"/>
      <c r="AE34" s="1067"/>
      <c r="AF34" s="587">
        <f>AF33</f>
        <v>8</v>
      </c>
      <c r="AG34" s="587"/>
      <c r="AH34" s="669"/>
      <c r="AI34" s="669"/>
      <c r="AJ34" s="665"/>
      <c r="AK34" s="985"/>
    </row>
    <row r="35" spans="1:37" ht="18" customHeight="1">
      <c r="A35" s="656"/>
      <c r="B35" s="713">
        <v>2.2999999999999998</v>
      </c>
      <c r="C35" s="1224" t="s">
        <v>202</v>
      </c>
      <c r="D35" s="3852" t="str">
        <f>D31</f>
        <v xml:space="preserve">1) Surveying area and collecting disease samples by foot </v>
      </c>
      <c r="E35" s="686" t="s">
        <v>3</v>
      </c>
      <c r="F35" s="1178"/>
      <c r="G35" s="1178">
        <f>G220</f>
        <v>9.8415545590433489</v>
      </c>
      <c r="H35" s="645">
        <f>J220</f>
        <v>2214.3497757847535</v>
      </c>
      <c r="I35" s="820" t="s">
        <v>475</v>
      </c>
      <c r="J35" s="646" t="str">
        <f>IF(K35=1,"Annual","Done every "&amp;K35&amp;" years")</f>
        <v>Annual</v>
      </c>
      <c r="K35" s="647">
        <f>K31</f>
        <v>1</v>
      </c>
      <c r="L35" s="651">
        <f t="shared" ref="L35:M37" si="9">$L$16/K35</f>
        <v>80</v>
      </c>
      <c r="M35" s="881">
        <f t="shared" si="9"/>
        <v>1</v>
      </c>
      <c r="N35" s="884">
        <f>$H35*(1-(1+$L$15)^-(L35*M35))/((1+$L$15)^M35-1)*(1+((1+$L$15)^M35-1))</f>
        <v>55075.324276797262</v>
      </c>
      <c r="O35" s="653">
        <f t="shared" si="0"/>
        <v>2214.3497757847517</v>
      </c>
      <c r="P35" s="931">
        <f>SUM(O35:O38)</f>
        <v>5296.7713004484267</v>
      </c>
      <c r="Q35" s="3052"/>
      <c r="R35" s="3052"/>
      <c r="S35" s="3052"/>
      <c r="T35" s="1037" t="s">
        <v>808</v>
      </c>
      <c r="U35" s="655">
        <f>O35/$U$16</f>
        <v>22.143497757847516</v>
      </c>
      <c r="V35" s="655">
        <f>IF($T35="L",SUM($U35:U35)*V$16,"")</f>
        <v>6.6430493273542544</v>
      </c>
      <c r="W35" s="655">
        <f>IF($U35="","",IF(OR($T35="L",$T35="T",$T35="C"),SUM($U35:V35)*W$16,""))</f>
        <v>2.8786547085201772</v>
      </c>
      <c r="X35" s="655">
        <f>IF($U35="","",SUM($U35:W35)*X$16)</f>
        <v>9.4995605381165849</v>
      </c>
      <c r="Y35" s="650">
        <f>IF($U35="","",SUM(V35:X35))</f>
        <v>19.021264573991019</v>
      </c>
      <c r="Z35" s="717">
        <f>SUM(V35:X38)</f>
        <v>32.275677130044819</v>
      </c>
      <c r="AA35" s="739">
        <f>IF($U35="","",SUM(U35,Y35))</f>
        <v>41.164762331838531</v>
      </c>
      <c r="AB35" s="717">
        <f>SUM(AA35:AA38)</f>
        <v>85.243390134529079</v>
      </c>
      <c r="AC35" s="731">
        <f ca="1">IF(AA35="","",AA35/OFFSET($AB$23,AF35,0))</f>
        <v>0.48290855474979688</v>
      </c>
      <c r="AD35" s="654"/>
      <c r="AE35" s="1068"/>
      <c r="AF35" s="587">
        <f>AF31+4</f>
        <v>12</v>
      </c>
      <c r="AG35" s="816">
        <f ca="1">SUM(AC35:AC38)-1</f>
        <v>0</v>
      </c>
      <c r="AH35" s="649">
        <f>$AH$16/K35</f>
        <v>5</v>
      </c>
      <c r="AI35" s="649">
        <f>$AH$16/AH35</f>
        <v>1</v>
      </c>
      <c r="AJ35" s="645">
        <f>$H35*(1-(1+$L$15)^-(AH35*AI35))/((1+$L$15)^AI35-1)*(1+((1+$L$15)^AI35-1))</f>
        <v>10252.207451740071</v>
      </c>
      <c r="AK35" s="931">
        <f>SUM(AJ35:AJ38)</f>
        <v>24523.496147926966</v>
      </c>
    </row>
    <row r="36" spans="1:37" ht="19" customHeight="1">
      <c r="A36" s="656"/>
      <c r="B36" s="714"/>
      <c r="C36" s="1225" t="s">
        <v>789</v>
      </c>
      <c r="D36" s="3853"/>
      <c r="E36" s="686" t="s">
        <v>308</v>
      </c>
      <c r="F36" s="1178">
        <f>F207</f>
        <v>1</v>
      </c>
      <c r="G36" s="1178">
        <f t="shared" ref="G36:G37" si="10">G221</f>
        <v>4.9207772795216744</v>
      </c>
      <c r="H36" s="645">
        <f>J221</f>
        <v>1402.4215246636772</v>
      </c>
      <c r="I36" s="820" t="s">
        <v>797</v>
      </c>
      <c r="J36" s="646" t="str">
        <f>IF(K36=1,"Annual","Done every "&amp;K36&amp;" years")</f>
        <v>Annual</v>
      </c>
      <c r="K36" s="647">
        <f>K32</f>
        <v>1</v>
      </c>
      <c r="L36" s="648">
        <f t="shared" si="9"/>
        <v>80</v>
      </c>
      <c r="M36" s="647">
        <f t="shared" si="9"/>
        <v>1</v>
      </c>
      <c r="N36" s="645">
        <f>$H36*(1-(1+$L$15)^-(L36*M36))/((1+$L$15)^M36-1)*(1+((1+$L$15)^M36-1))</f>
        <v>34881.038708638262</v>
      </c>
      <c r="O36" s="660">
        <f t="shared" si="0"/>
        <v>1402.4215246636759</v>
      </c>
      <c r="P36" s="932"/>
      <c r="Q36" s="3053">
        <f>1*(1-(1+$L$15)^-(L36*M36))/((1+$L$15)^M36-1)*(1+((1+$L$15)^M36-1))</f>
        <v>24.872007520708362</v>
      </c>
      <c r="R36" s="3053">
        <f>Q36/(1+$L$15)*($L$15)/(1-(1+$L$15)^-$L$16)</f>
        <v>0.99999999999999911</v>
      </c>
      <c r="S36" s="3053">
        <f>F36*R36</f>
        <v>0.99999999999999911</v>
      </c>
      <c r="T36" s="1038" t="s">
        <v>809</v>
      </c>
      <c r="U36" s="655">
        <f>O36/$U$16</f>
        <v>14.024215246636759</v>
      </c>
      <c r="V36" s="662" t="str">
        <f>IF($T36="L",SUM($U36:U36)*V$16,"")</f>
        <v/>
      </c>
      <c r="W36" s="662">
        <f>IF($U36="","",IF(OR($T36="L",$T36="T",$T36="C"),SUM($U36:V36)*W$16,""))</f>
        <v>1.402421524663676</v>
      </c>
      <c r="X36" s="662">
        <f>IF($U36="","",SUM($U36:W36)*X$16)</f>
        <v>4.6279910313901302</v>
      </c>
      <c r="Y36" s="659">
        <f>IF($U36="","",SUM(V36:X36))</f>
        <v>6.0304125560538058</v>
      </c>
      <c r="Z36" s="722"/>
      <c r="AA36" s="740">
        <f>IF($U36="","",SUM(U36,Y36))</f>
        <v>20.054627802690565</v>
      </c>
      <c r="AB36" s="722"/>
      <c r="AC36" s="731">
        <f ca="1">IF(AA36="","",AA36/OFFSET($AB$23,AF36,0))</f>
        <v>0.23526314205759333</v>
      </c>
      <c r="AD36" s="661"/>
      <c r="AE36" s="1068"/>
      <c r="AF36" s="587">
        <f>AF35</f>
        <v>12</v>
      </c>
      <c r="AG36" s="587"/>
      <c r="AH36" s="649">
        <f>$AH$16/K36</f>
        <v>5</v>
      </c>
      <c r="AI36" s="649">
        <f>$AH$16/AH36</f>
        <v>1</v>
      </c>
      <c r="AJ36" s="645">
        <f>$H36*(1-(1+$L$15)^-(AH36*AI36))/((1+$L$15)^AI36-1)*(1+((1+$L$15)^AI36-1))</f>
        <v>6493.0647194353778</v>
      </c>
      <c r="AK36" s="932"/>
    </row>
    <row r="37" spans="1:37" ht="19" customHeight="1">
      <c r="A37" s="656"/>
      <c r="B37" s="714"/>
      <c r="C37" s="1225"/>
      <c r="D37" s="3853"/>
      <c r="E37" s="686" t="s">
        <v>4</v>
      </c>
      <c r="F37" s="1178"/>
      <c r="G37" s="1178">
        <f t="shared" si="10"/>
        <v>8</v>
      </c>
      <c r="H37" s="645">
        <f>J222</f>
        <v>1680</v>
      </c>
      <c r="I37" s="820" t="s">
        <v>70</v>
      </c>
      <c r="J37" s="646" t="str">
        <f>IF(K37=1,"Annual","Done every "&amp;K37&amp;" years")</f>
        <v>Annual</v>
      </c>
      <c r="K37" s="647">
        <f>K33</f>
        <v>1</v>
      </c>
      <c r="L37" s="648">
        <f t="shared" si="9"/>
        <v>80</v>
      </c>
      <c r="M37" s="647">
        <f t="shared" si="9"/>
        <v>1</v>
      </c>
      <c r="N37" s="645">
        <f>$H37*(1-(1+$L$15)^-(L37*M37))/((1+$L$15)^M37-1)*(1+((1+$L$15)^M37-1))</f>
        <v>41784.972634790051</v>
      </c>
      <c r="O37" s="660">
        <f t="shared" si="0"/>
        <v>1679.9999999999986</v>
      </c>
      <c r="P37" s="933"/>
      <c r="Q37" s="3053"/>
      <c r="R37" s="3053"/>
      <c r="S37" s="3053"/>
      <c r="T37" s="1038" t="s">
        <v>810</v>
      </c>
      <c r="U37" s="655">
        <f>O37/$U$16</f>
        <v>16.799999999999986</v>
      </c>
      <c r="V37" s="664" t="str">
        <f>IF($T37="L",SUM($U37:U37)*V$16,"")</f>
        <v/>
      </c>
      <c r="W37" s="664">
        <f>IF($U37="","",IF(OR($T37="L",$T37="T",$T37="C"),SUM($U37:V37)*W$16,""))</f>
        <v>1.6799999999999988</v>
      </c>
      <c r="X37" s="664">
        <f>IF($U37="","",SUM($U37:W37)*X$16)</f>
        <v>5.543999999999996</v>
      </c>
      <c r="Y37" s="1025">
        <f>IF($U37="","",SUM(V37:X37))</f>
        <v>7.2239999999999949</v>
      </c>
      <c r="Z37" s="723"/>
      <c r="AA37" s="741">
        <f>IF($U37="","",SUM(U37,Y37))</f>
        <v>24.02399999999998</v>
      </c>
      <c r="AB37" s="723"/>
      <c r="AC37" s="731">
        <f ca="1">IF(AA37="","",AA37/OFFSET($AB$23,AF37,0))</f>
        <v>0.28182830319260976</v>
      </c>
      <c r="AD37" s="663"/>
      <c r="AE37" s="1068"/>
      <c r="AF37" s="587">
        <f>AF36</f>
        <v>12</v>
      </c>
      <c r="AG37" s="587"/>
      <c r="AH37" s="649">
        <f>$AH$16/K37</f>
        <v>5</v>
      </c>
      <c r="AI37" s="649">
        <f>$AH$16/AH37</f>
        <v>1</v>
      </c>
      <c r="AJ37" s="645">
        <f>$H37*(1-(1+$L$15)^-(AH37*AI37))/((1+$L$15)^AI37-1)*(1+((1+$L$15)^AI37-1))</f>
        <v>7778.2239767515175</v>
      </c>
      <c r="AK37" s="933"/>
    </row>
    <row r="38" spans="1:37" ht="19" customHeight="1">
      <c r="A38" s="656"/>
      <c r="B38" s="714"/>
      <c r="C38" s="1226"/>
      <c r="D38" s="3854"/>
      <c r="E38" s="686" t="s">
        <v>21</v>
      </c>
      <c r="F38" s="1178"/>
      <c r="G38" s="1178"/>
      <c r="H38" s="645"/>
      <c r="I38" s="1087"/>
      <c r="J38" s="646"/>
      <c r="K38" s="647"/>
      <c r="L38" s="648"/>
      <c r="M38" s="647"/>
      <c r="N38" s="645"/>
      <c r="O38" s="660">
        <f t="shared" si="0"/>
        <v>0</v>
      </c>
      <c r="P38" s="934"/>
      <c r="Q38" s="3054"/>
      <c r="R38" s="3054"/>
      <c r="S38" s="3054"/>
      <c r="T38" s="1038"/>
      <c r="U38" s="655"/>
      <c r="V38" s="664" t="str">
        <f>IF($T38="L",SUM($U38:U38)*V$16,"")</f>
        <v/>
      </c>
      <c r="W38" s="664" t="str">
        <f>IF($U38="","",IF(OR($T38="L",$T38="T",$T38="C"),SUM($U38:V38)*W$16,""))</f>
        <v/>
      </c>
      <c r="X38" s="664"/>
      <c r="Y38" s="1025"/>
      <c r="Z38" s="723"/>
      <c r="AA38" s="741"/>
      <c r="AB38" s="723"/>
      <c r="AC38" s="731"/>
      <c r="AD38" s="663"/>
      <c r="AE38" s="1068"/>
      <c r="AF38" s="587">
        <f>AF37</f>
        <v>12</v>
      </c>
      <c r="AG38" s="587"/>
      <c r="AH38" s="649"/>
      <c r="AI38" s="649"/>
      <c r="AJ38" s="645"/>
      <c r="AK38" s="933"/>
    </row>
    <row r="39" spans="1:37" s="266" customFormat="1" ht="19" customHeight="1">
      <c r="B39" s="2642">
        <v>3</v>
      </c>
      <c r="C39" s="3955" t="s">
        <v>316</v>
      </c>
      <c r="D39" s="4040" t="s">
        <v>1137</v>
      </c>
      <c r="E39" s="1955" t="s">
        <v>3</v>
      </c>
      <c r="F39" s="1956"/>
      <c r="G39" s="1956">
        <f t="shared" ref="G39:G41" si="11">E393</f>
        <v>19272.07592200561</v>
      </c>
      <c r="H39" s="1957">
        <f t="shared" ref="H39:I42" si="12">H393</f>
        <v>4336217.0824512625</v>
      </c>
      <c r="I39" s="1957" t="str">
        <f t="shared" si="12"/>
        <v>Cost for person hours</v>
      </c>
      <c r="J39" s="1959" t="str">
        <f t="shared" ref="J39:J46" si="13">IF(K39=1,"Annual","Done every "&amp;K39&amp;" years")</f>
        <v>Annual</v>
      </c>
      <c r="K39" s="802">
        <f>J393</f>
        <v>1</v>
      </c>
      <c r="L39" s="1961">
        <f t="shared" ref="L39:M45" si="14">$L$16/K39</f>
        <v>80</v>
      </c>
      <c r="M39" s="1960">
        <f t="shared" si="14"/>
        <v>1</v>
      </c>
      <c r="N39" s="1957">
        <f t="shared" ref="N39:N45" si="15">$H39*(1-(1+$L$15)^-(L39*M39))/((1+$L$15)^M39-1)*(1+((1+$L$15)^M39-1))</f>
        <v>107850423.88615188</v>
      </c>
      <c r="O39" s="1962">
        <f t="shared" si="0"/>
        <v>4336217.0824512588</v>
      </c>
      <c r="P39" s="1963">
        <f>SUM(O39:O42)</f>
        <v>11953543.420823628</v>
      </c>
      <c r="Q39" s="2842"/>
      <c r="R39" s="2842"/>
      <c r="S39" s="2842"/>
      <c r="T39" s="1964" t="s">
        <v>808</v>
      </c>
      <c r="U39" s="2644">
        <f t="shared" ref="U39:U49" si="16">O39/$U$16</f>
        <v>43362.170824512585</v>
      </c>
      <c r="V39" s="1965">
        <f>IF($T39="L",SUM($U39:U39)*V$16,"")</f>
        <v>13008.651247353775</v>
      </c>
      <c r="W39" s="1965">
        <f>IF($U39="","",IF(OR($T39="L",$T39="T",$T39="C"),SUM($U39:V39)*W$16,""))</f>
        <v>5637.082207186636</v>
      </c>
      <c r="X39" s="1965">
        <f>IF($U39="","",SUM($U39:W39)*X$16)</f>
        <v>18602.371283715896</v>
      </c>
      <c r="Y39" s="1966">
        <f t="shared" ref="Y39:Y62" si="17">IF($U39="","",SUM(V39:X39))</f>
        <v>37248.104738256312</v>
      </c>
      <c r="Z39" s="1963">
        <f>SUM(V39:X42)</f>
        <v>70001.066817924933</v>
      </c>
      <c r="AA39" s="1967">
        <f t="shared" ref="AA39:AA62" si="18">IF($U39="","",SUM(U39,Y39))</f>
        <v>80610.275562768889</v>
      </c>
      <c r="AB39" s="1963">
        <f>SUM(AA39:AA42)</f>
        <v>189536.50102616122</v>
      </c>
      <c r="AC39" s="1968">
        <f t="shared" ref="AC39:AC62" ca="1" si="19">IF(AA39="","",AA39/OFFSET($AB$23,AF39,0))</f>
        <v>0.42530211925587075</v>
      </c>
      <c r="AD39" s="2645"/>
      <c r="AE39" s="1970"/>
      <c r="AF39" s="1482">
        <f>AF35+4</f>
        <v>16</v>
      </c>
      <c r="AG39" s="1971">
        <f ca="1">SUM(AC39:AC42)-1</f>
        <v>0</v>
      </c>
      <c r="AH39" s="1972">
        <f t="shared" ref="AH39:AH45" si="20">$AH$16/K39</f>
        <v>5</v>
      </c>
      <c r="AI39" s="1972">
        <f t="shared" ref="AI39:AI45" si="21">$AH$16/AH39</f>
        <v>1</v>
      </c>
      <c r="AJ39" s="1957">
        <f t="shared" ref="AJ39:AJ45" si="22">$H39*(1-(1+$L$15)^-(AH39*AI39))/((1+$L$15)^AI39-1)*(1+((1+$L$15)^AI39-1))</f>
        <v>20076230.761382099</v>
      </c>
      <c r="AK39" s="1973">
        <f>SUM(AJ39:AJ42)</f>
        <v>55343653.597018324</v>
      </c>
    </row>
    <row r="40" spans="1:37" s="266" customFormat="1" ht="19" customHeight="1">
      <c r="B40" s="2646"/>
      <c r="C40" s="3956"/>
      <c r="D40" s="4041"/>
      <c r="E40" s="1955" t="s">
        <v>308</v>
      </c>
      <c r="F40" s="1956">
        <f>D377</f>
        <v>459</v>
      </c>
      <c r="G40" s="1956">
        <f t="shared" si="11"/>
        <v>9636.0379610028049</v>
      </c>
      <c r="H40" s="1957">
        <f t="shared" si="12"/>
        <v>2746270.8188857995</v>
      </c>
      <c r="I40" s="1957" t="str">
        <f t="shared" si="12"/>
        <v>Cost for ute hire for the whole activity</v>
      </c>
      <c r="J40" s="1959" t="str">
        <f t="shared" si="13"/>
        <v>Annual</v>
      </c>
      <c r="K40" s="802">
        <f>J394</f>
        <v>1</v>
      </c>
      <c r="L40" s="1961">
        <f t="shared" si="14"/>
        <v>80</v>
      </c>
      <c r="M40" s="1960">
        <f t="shared" si="14"/>
        <v>1</v>
      </c>
      <c r="N40" s="1957">
        <f t="shared" si="15"/>
        <v>68305268.461229518</v>
      </c>
      <c r="O40" s="1962">
        <f t="shared" si="0"/>
        <v>2746270.8188857976</v>
      </c>
      <c r="P40" s="1976"/>
      <c r="Q40" s="2844">
        <f>1*(1-(1+$L$15)^-(L40*M40))/((1+$L$15)^M40-1)*(1+((1+$L$15)^M40-1))</f>
        <v>24.872007520708362</v>
      </c>
      <c r="R40" s="2844">
        <f>Q40/(1+$L$15)*($L$15)/(1-(1+$L$15)^-$L$16)</f>
        <v>0.99999999999999911</v>
      </c>
      <c r="S40" s="2844">
        <f>F40*R40</f>
        <v>458.9999999999996</v>
      </c>
      <c r="T40" s="1977" t="s">
        <v>809</v>
      </c>
      <c r="U40" s="1965">
        <f t="shared" si="16"/>
        <v>27462.708188857978</v>
      </c>
      <c r="V40" s="1978" t="str">
        <f>IF($T40="L",SUM($U40:U40)*V$16,"")</f>
        <v/>
      </c>
      <c r="W40" s="1978">
        <f>IF($U40="","",IF(OR($T40="L",$T40="T",$T40="C"),SUM($U40:V40)*W$16,""))</f>
        <v>2746.2708188857978</v>
      </c>
      <c r="X40" s="1978">
        <f>IF($U40="","",SUM($U40:W40)*X$16)</f>
        <v>9062.693702323133</v>
      </c>
      <c r="Y40" s="1979">
        <f t="shared" si="17"/>
        <v>11808.964521208931</v>
      </c>
      <c r="Z40" s="1976"/>
      <c r="AA40" s="1980">
        <f t="shared" si="18"/>
        <v>39271.672710066909</v>
      </c>
      <c r="AB40" s="1976"/>
      <c r="AC40" s="1968">
        <f t="shared" ca="1" si="19"/>
        <v>0.2071984683554243</v>
      </c>
      <c r="AD40" s="1981"/>
      <c r="AE40" s="1970"/>
      <c r="AF40" s="1482">
        <f>AF39</f>
        <v>16</v>
      </c>
      <c r="AG40" s="1482"/>
      <c r="AH40" s="1972">
        <f t="shared" si="20"/>
        <v>5</v>
      </c>
      <c r="AI40" s="1972">
        <f t="shared" si="21"/>
        <v>1</v>
      </c>
      <c r="AJ40" s="1957">
        <f t="shared" si="22"/>
        <v>12714946.14887533</v>
      </c>
      <c r="AK40" s="1982"/>
    </row>
    <row r="41" spans="1:37" s="266" customFormat="1" ht="16" customHeight="1">
      <c r="B41" s="2646"/>
      <c r="C41" s="3956"/>
      <c r="D41" s="4041"/>
      <c r="E41" s="1955" t="s">
        <v>4</v>
      </c>
      <c r="F41" s="1956"/>
      <c r="G41" s="1956">
        <f t="shared" si="11"/>
        <v>19272</v>
      </c>
      <c r="H41" s="1957">
        <f t="shared" si="12"/>
        <v>4869870</v>
      </c>
      <c r="I41" s="1957" t="str">
        <f t="shared" si="12"/>
        <v>Accomodation + Food Cost</v>
      </c>
      <c r="J41" s="1959" t="str">
        <f t="shared" si="13"/>
        <v>Annual</v>
      </c>
      <c r="K41" s="802">
        <f>J395</f>
        <v>1</v>
      </c>
      <c r="L41" s="1961">
        <f t="shared" si="14"/>
        <v>80</v>
      </c>
      <c r="M41" s="1960">
        <f t="shared" si="14"/>
        <v>1</v>
      </c>
      <c r="N41" s="1957">
        <f t="shared" si="15"/>
        <v>121123443.26487203</v>
      </c>
      <c r="O41" s="1962">
        <f t="shared" si="0"/>
        <v>4869869.9999999963</v>
      </c>
      <c r="P41" s="1976"/>
      <c r="Q41" s="2844"/>
      <c r="R41" s="2844"/>
      <c r="S41" s="2844"/>
      <c r="T41" s="1977" t="s">
        <v>810</v>
      </c>
      <c r="U41" s="1965">
        <f t="shared" si="16"/>
        <v>48698.699999999961</v>
      </c>
      <c r="V41" s="1978" t="str">
        <f>IF($T41="L",SUM($U41:U41)*V$16,"")</f>
        <v/>
      </c>
      <c r="W41" s="1978">
        <f>IF($U41="","",IF(OR($T41="L",$T41="T",$T41="C"),SUM($U41:V41)*W$16,""))</f>
        <v>4869.8699999999963</v>
      </c>
      <c r="X41" s="1978">
        <f>IF($U41="","",SUM($U41:W41)*X$16)</f>
        <v>16070.570999999985</v>
      </c>
      <c r="Y41" s="1979">
        <f t="shared" si="17"/>
        <v>20940.440999999981</v>
      </c>
      <c r="Z41" s="1976"/>
      <c r="AA41" s="1980">
        <f t="shared" si="18"/>
        <v>69639.140999999945</v>
      </c>
      <c r="AB41" s="1976"/>
      <c r="AC41" s="1968">
        <f t="shared" ca="1" si="19"/>
        <v>0.36741809953739646</v>
      </c>
      <c r="AD41" s="2645"/>
      <c r="AE41" s="1970"/>
      <c r="AF41" s="1482">
        <f>AF40</f>
        <v>16</v>
      </c>
      <c r="AG41" s="1482"/>
      <c r="AH41" s="1972">
        <f t="shared" si="20"/>
        <v>5</v>
      </c>
      <c r="AI41" s="1972">
        <f t="shared" si="21"/>
        <v>1</v>
      </c>
      <c r="AJ41" s="1957">
        <f t="shared" si="22"/>
        <v>22546987.855751734</v>
      </c>
      <c r="AK41" s="1982"/>
    </row>
    <row r="42" spans="1:37" s="266" customFormat="1" ht="19" customHeight="1">
      <c r="B42" s="2646"/>
      <c r="C42" s="3957"/>
      <c r="D42" s="4042"/>
      <c r="E42" s="1955" t="s">
        <v>21</v>
      </c>
      <c r="F42" s="1956"/>
      <c r="G42" s="1956"/>
      <c r="H42" s="1957">
        <f t="shared" si="12"/>
        <v>10000.25</v>
      </c>
      <c r="I42" s="1957" t="str">
        <f t="shared" si="12"/>
        <v>Total equipment cost</v>
      </c>
      <c r="J42" s="1959" t="str">
        <f t="shared" si="13"/>
        <v>Done every 10 years</v>
      </c>
      <c r="K42" s="802">
        <f>J396</f>
        <v>10</v>
      </c>
      <c r="L42" s="1961">
        <f t="shared" si="14"/>
        <v>8</v>
      </c>
      <c r="M42" s="1960">
        <f t="shared" si="14"/>
        <v>10</v>
      </c>
      <c r="N42" s="1957">
        <f t="shared" si="15"/>
        <v>29486.249586026501</v>
      </c>
      <c r="O42" s="1962">
        <f t="shared" si="0"/>
        <v>1185.5194865744677</v>
      </c>
      <c r="P42" s="1976"/>
      <c r="Q42" s="2844"/>
      <c r="R42" s="2844"/>
      <c r="S42" s="2844"/>
      <c r="T42" s="1993" t="s">
        <v>811</v>
      </c>
      <c r="U42" s="1965">
        <f t="shared" si="16"/>
        <v>11.855194865744677</v>
      </c>
      <c r="V42" s="1978" t="str">
        <f>IF($T42="L",SUM($U42:U42)*V$16,"")</f>
        <v/>
      </c>
      <c r="W42" s="1978" t="str">
        <f>IF($U42="","",IF(OR($T42="L",$T42="T",$T42="C"),SUM($U42:V42)*W$16,""))</f>
        <v/>
      </c>
      <c r="X42" s="1978">
        <f>IF($U42="","",SUM($U42:W42)*X$16)</f>
        <v>3.5565584597234028</v>
      </c>
      <c r="Y42" s="1979">
        <f t="shared" si="17"/>
        <v>3.5565584597234028</v>
      </c>
      <c r="Z42" s="1976"/>
      <c r="AA42" s="1980">
        <f t="shared" si="18"/>
        <v>15.41175332546808</v>
      </c>
      <c r="AB42" s="1976"/>
      <c r="AC42" s="1968">
        <f t="shared" ca="1" si="19"/>
        <v>8.1312851308470857E-5</v>
      </c>
      <c r="AD42" s="2645"/>
      <c r="AE42" s="3611"/>
      <c r="AF42" s="1482">
        <f>AF41</f>
        <v>16</v>
      </c>
      <c r="AG42" s="1482"/>
      <c r="AH42" s="1972">
        <f t="shared" si="20"/>
        <v>0.5</v>
      </c>
      <c r="AI42" s="1972">
        <f t="shared" si="21"/>
        <v>10</v>
      </c>
      <c r="AJ42" s="1957">
        <f t="shared" si="22"/>
        <v>5488.8310091545727</v>
      </c>
      <c r="AK42" s="1982"/>
    </row>
    <row r="43" spans="1:37" s="3647" customFormat="1" ht="19" customHeight="1">
      <c r="B43" s="3648">
        <v>4</v>
      </c>
      <c r="C43" s="4055" t="s">
        <v>654</v>
      </c>
      <c r="D43" s="4058" t="s">
        <v>1138</v>
      </c>
      <c r="E43" s="3649" t="s">
        <v>3</v>
      </c>
      <c r="F43" s="3650"/>
      <c r="G43" s="3650">
        <f t="shared" ref="G43:G45" si="23">E542</f>
        <v>19272.07592200561</v>
      </c>
      <c r="H43" s="3651">
        <f t="shared" ref="H43:I46" si="24">H542</f>
        <v>4336217.0824512625</v>
      </c>
      <c r="I43" s="3651" t="str">
        <f t="shared" si="24"/>
        <v>Cost for person hours</v>
      </c>
      <c r="J43" s="3652" t="str">
        <f t="shared" si="13"/>
        <v>Done every 5 years</v>
      </c>
      <c r="K43" s="3653">
        <f>J542</f>
        <v>5</v>
      </c>
      <c r="L43" s="3654">
        <f t="shared" si="14"/>
        <v>16</v>
      </c>
      <c r="M43" s="3655">
        <f t="shared" si="14"/>
        <v>5</v>
      </c>
      <c r="N43" s="3651">
        <f t="shared" si="15"/>
        <v>23294355.198602345</v>
      </c>
      <c r="O43" s="3656">
        <f t="shared" si="0"/>
        <v>936569.1602982796</v>
      </c>
      <c r="P43" s="3657">
        <f>SUM(O43:O46)</f>
        <v>7750736.2169062374</v>
      </c>
      <c r="Q43" s="3658"/>
      <c r="R43" s="3658"/>
      <c r="S43" s="3658"/>
      <c r="T43" s="3659" t="s">
        <v>808</v>
      </c>
      <c r="U43" s="3660">
        <f t="shared" si="16"/>
        <v>9365.6916029827953</v>
      </c>
      <c r="V43" s="3661">
        <f>IF($T43="L",SUM($U43:U43)*V$16,"")</f>
        <v>2809.7074808948387</v>
      </c>
      <c r="W43" s="3661">
        <f>IF($U43="","",IF(OR($T43="L",$T43="T",$T43="C"),SUM($U43:V43)*W$16,""))</f>
        <v>1217.5399083877635</v>
      </c>
      <c r="X43" s="3661">
        <f>IF($U43="","",SUM($U43:W43)*X$16)</f>
        <v>4017.8816976796188</v>
      </c>
      <c r="Y43" s="3662">
        <f t="shared" si="17"/>
        <v>8045.1290869622208</v>
      </c>
      <c r="Z43" s="3657">
        <f>SUM(V43:X46)</f>
        <v>37344.506293572311</v>
      </c>
      <c r="AA43" s="3663">
        <f t="shared" si="18"/>
        <v>17410.820689945016</v>
      </c>
      <c r="AB43" s="3657">
        <f>SUM(AA43:AA46)</f>
        <v>114851.86846263469</v>
      </c>
      <c r="AC43" s="3664">
        <f t="shared" ca="1" si="19"/>
        <v>0.15159370868754618</v>
      </c>
      <c r="AD43" s="3663"/>
      <c r="AE43" s="3663"/>
      <c r="AF43" s="3665">
        <f>AF39+4</f>
        <v>20</v>
      </c>
      <c r="AG43" s="3666">
        <f ca="1">SUM(AC43:AC46)-1</f>
        <v>0</v>
      </c>
      <c r="AH43" s="3667">
        <f t="shared" si="20"/>
        <v>1</v>
      </c>
      <c r="AI43" s="3667">
        <f t="shared" si="21"/>
        <v>5</v>
      </c>
      <c r="AJ43" s="3651">
        <f t="shared" si="22"/>
        <v>4336217.0824512625</v>
      </c>
      <c r="AK43" s="3668">
        <f>SUM(AJ43:AJ46)</f>
        <v>35879607.901337065</v>
      </c>
    </row>
    <row r="44" spans="1:37" s="3647" customFormat="1" ht="19" customHeight="1">
      <c r="B44" s="3669"/>
      <c r="C44" s="4056"/>
      <c r="D44" s="4059"/>
      <c r="E44" s="3649" t="s">
        <v>308</v>
      </c>
      <c r="F44" s="3650">
        <f>$D$523</f>
        <v>459</v>
      </c>
      <c r="G44" s="3650">
        <f t="shared" si="23"/>
        <v>9636.0379610028049</v>
      </c>
      <c r="H44" s="3651">
        <f t="shared" si="24"/>
        <v>2746270.8188857995</v>
      </c>
      <c r="I44" s="3651" t="str">
        <f t="shared" si="24"/>
        <v>Cost for ute hire for the whole activity</v>
      </c>
      <c r="J44" s="3652" t="str">
        <f t="shared" si="13"/>
        <v>Done every 5 years</v>
      </c>
      <c r="K44" s="3653">
        <f>J543</f>
        <v>5</v>
      </c>
      <c r="L44" s="3654">
        <f t="shared" si="14"/>
        <v>16</v>
      </c>
      <c r="M44" s="3655">
        <f t="shared" si="14"/>
        <v>5</v>
      </c>
      <c r="N44" s="3651">
        <f t="shared" si="15"/>
        <v>14753091.625781486</v>
      </c>
      <c r="O44" s="3656">
        <f t="shared" si="0"/>
        <v>593160.46818891051</v>
      </c>
      <c r="P44" s="3670"/>
      <c r="Q44" s="3671">
        <f>1*(1-(1+$L$15)^-(L44*M44))/((1+$L$15)^M44-1)*(1+((1+$L$15)^M44-1))</f>
        <v>5.3720454386093719</v>
      </c>
      <c r="R44" s="3671">
        <f>Q44/(1+$L$15)*($L$15)/(1-(1+$L$15)^-$L$16)</f>
        <v>0.2159876091279169</v>
      </c>
      <c r="S44" s="3671">
        <f>F44*R44</f>
        <v>99.138312589713848</v>
      </c>
      <c r="T44" s="3672" t="s">
        <v>809</v>
      </c>
      <c r="U44" s="3661">
        <f t="shared" si="16"/>
        <v>5931.6046818891054</v>
      </c>
      <c r="V44" s="3673" t="str">
        <f>IF($T44="L",SUM($U44:U44)*V$16,"")</f>
        <v/>
      </c>
      <c r="W44" s="3673">
        <f>IF($U44="","",IF(OR($T44="L",$T44="T",$T44="C"),SUM($U44:V44)*W$16,""))</f>
        <v>593.16046818891061</v>
      </c>
      <c r="X44" s="3673">
        <f>IF($U44="","",SUM($U44:W44)*X$16)</f>
        <v>1957.4295450234047</v>
      </c>
      <c r="Y44" s="3674">
        <f t="shared" si="17"/>
        <v>2550.5900132123152</v>
      </c>
      <c r="Z44" s="3670"/>
      <c r="AA44" s="3675">
        <f t="shared" si="18"/>
        <v>8482.1946951014215</v>
      </c>
      <c r="AB44" s="3670"/>
      <c r="AC44" s="3664">
        <f t="shared" ca="1" si="19"/>
        <v>7.3853345258035344E-2</v>
      </c>
      <c r="AD44" s="3675"/>
      <c r="AE44" s="3675"/>
      <c r="AF44" s="3665">
        <f>AF43</f>
        <v>20</v>
      </c>
      <c r="AG44" s="3665"/>
      <c r="AH44" s="3667">
        <f t="shared" si="20"/>
        <v>1</v>
      </c>
      <c r="AI44" s="3667">
        <f t="shared" si="21"/>
        <v>5</v>
      </c>
      <c r="AJ44" s="3651">
        <f t="shared" si="22"/>
        <v>2746270.8188857995</v>
      </c>
      <c r="AK44" s="3676"/>
    </row>
    <row r="45" spans="1:37" s="3647" customFormat="1" ht="16" customHeight="1">
      <c r="B45" s="3669"/>
      <c r="C45" s="4056"/>
      <c r="D45" s="4059"/>
      <c r="E45" s="3649" t="s">
        <v>4</v>
      </c>
      <c r="F45" s="3650"/>
      <c r="G45" s="3650">
        <f t="shared" si="23"/>
        <v>19272</v>
      </c>
      <c r="H45" s="3651">
        <f t="shared" si="24"/>
        <v>28797120</v>
      </c>
      <c r="I45" s="3651" t="str">
        <f t="shared" si="24"/>
        <v>Consumables (Bush regen material + Accomodation)</v>
      </c>
      <c r="J45" s="3652" t="str">
        <f t="shared" si="13"/>
        <v>Done every 5 years</v>
      </c>
      <c r="K45" s="3653">
        <f>J544</f>
        <v>5</v>
      </c>
      <c r="L45" s="3654">
        <f t="shared" si="14"/>
        <v>16</v>
      </c>
      <c r="M45" s="3655">
        <f t="shared" si="14"/>
        <v>5</v>
      </c>
      <c r="N45" s="3651">
        <f t="shared" si="15"/>
        <v>154699437.14108673</v>
      </c>
      <c r="O45" s="3656">
        <f t="shared" si="0"/>
        <v>6219821.0985697191</v>
      </c>
      <c r="P45" s="3670"/>
      <c r="Q45" s="3671"/>
      <c r="R45" s="3671"/>
      <c r="S45" s="3671"/>
      <c r="T45" s="3672" t="s">
        <v>810</v>
      </c>
      <c r="U45" s="3661">
        <f t="shared" si="16"/>
        <v>62198.210985697195</v>
      </c>
      <c r="V45" s="3673" t="str">
        <f>IF($T45="L",SUM($U45:U45)*V$16,"")</f>
        <v/>
      </c>
      <c r="W45" s="3673">
        <f>IF($U45="","",IF(OR($T45="L",$T45="T",$T45="C"),SUM($U45:V45)*W$16,""))</f>
        <v>6219.8210985697197</v>
      </c>
      <c r="X45" s="3673">
        <f>IF($U45="","",SUM($U45:W45)*X$16)</f>
        <v>20525.409625280074</v>
      </c>
      <c r="Y45" s="3674">
        <f t="shared" si="17"/>
        <v>26745.230723849792</v>
      </c>
      <c r="Z45" s="3670"/>
      <c r="AA45" s="3675">
        <f t="shared" si="18"/>
        <v>88943.441709546983</v>
      </c>
      <c r="AB45" s="3670"/>
      <c r="AC45" s="3664">
        <f t="shared" ca="1" si="19"/>
        <v>0.77441876131500098</v>
      </c>
      <c r="AD45" s="3675"/>
      <c r="AE45" s="3675"/>
      <c r="AF45" s="3665">
        <f>AF44</f>
        <v>20</v>
      </c>
      <c r="AG45" s="3665"/>
      <c r="AH45" s="3667">
        <f t="shared" si="20"/>
        <v>1</v>
      </c>
      <c r="AI45" s="3667">
        <f t="shared" si="21"/>
        <v>5</v>
      </c>
      <c r="AJ45" s="3651">
        <f t="shared" si="22"/>
        <v>28797120</v>
      </c>
      <c r="AK45" s="3676"/>
    </row>
    <row r="46" spans="1:37" s="3647" customFormat="1" ht="19" customHeight="1">
      <c r="B46" s="3669"/>
      <c r="C46" s="4057"/>
      <c r="D46" s="4060"/>
      <c r="E46" s="3649" t="s">
        <v>21</v>
      </c>
      <c r="F46" s="3650"/>
      <c r="G46" s="3650"/>
      <c r="H46" s="3651">
        <f t="shared" si="24"/>
        <v>10000</v>
      </c>
      <c r="I46" s="3651" t="str">
        <f t="shared" si="24"/>
        <v>Total equipment cost</v>
      </c>
      <c r="J46" s="3652" t="str">
        <f t="shared" si="13"/>
        <v>Done every 10 years</v>
      </c>
      <c r="K46" s="3655">
        <f>J545</f>
        <v>10</v>
      </c>
      <c r="L46" s="3654">
        <f>$L$16/K46</f>
        <v>8</v>
      </c>
      <c r="M46" s="3655">
        <f>$L$16/L46</f>
        <v>10</v>
      </c>
      <c r="N46" s="3651">
        <f>$H46*(1-(1+$L$15)^-(L46*M46))/((1+$L$15)^M46-1)*(1+((1+$L$15)^M46-1))</f>
        <v>29485.512448215297</v>
      </c>
      <c r="O46" s="3656">
        <f t="shared" si="0"/>
        <v>1185.4898493282344</v>
      </c>
      <c r="P46" s="3670"/>
      <c r="Q46" s="3671"/>
      <c r="R46" s="3671"/>
      <c r="S46" s="3671"/>
      <c r="T46" s="3677" t="s">
        <v>811</v>
      </c>
      <c r="U46" s="3661">
        <f t="shared" si="16"/>
        <v>11.854898493282343</v>
      </c>
      <c r="V46" s="3673" t="str">
        <f>IF($T46="L",SUM($U46:U46)*V$16,"")</f>
        <v/>
      </c>
      <c r="W46" s="3673" t="str">
        <f>IF($U46="","",IF(OR($T46="L",$T46="T",$T46="C"),SUM($U46:V46)*W$16,""))</f>
        <v/>
      </c>
      <c r="X46" s="3673">
        <f>IF($U46="","",SUM($U46:W46)*X$16)</f>
        <v>3.5564695479847028</v>
      </c>
      <c r="Y46" s="3674">
        <f t="shared" si="17"/>
        <v>3.5564695479847028</v>
      </c>
      <c r="Z46" s="3670"/>
      <c r="AA46" s="3675">
        <f t="shared" si="18"/>
        <v>15.411368041267046</v>
      </c>
      <c r="AB46" s="3670"/>
      <c r="AC46" s="3664">
        <f t="shared" ca="1" si="19"/>
        <v>1.3418473941746015E-4</v>
      </c>
      <c r="AD46" s="3675"/>
      <c r="AE46" s="3675"/>
      <c r="AF46" s="3665">
        <f>AF45</f>
        <v>20</v>
      </c>
      <c r="AG46" s="3665"/>
      <c r="AH46" s="3667"/>
      <c r="AI46" s="3667"/>
      <c r="AJ46" s="3651"/>
      <c r="AK46" s="3676"/>
    </row>
    <row r="47" spans="1:37" ht="19" customHeight="1">
      <c r="A47" s="390"/>
      <c r="B47" s="709">
        <v>5.0999999999999996</v>
      </c>
      <c r="C47" s="3859" t="s">
        <v>1097</v>
      </c>
      <c r="D47" s="3850" t="s">
        <v>1139</v>
      </c>
      <c r="E47" s="373" t="s">
        <v>3</v>
      </c>
      <c r="F47" s="1176"/>
      <c r="G47" s="1176">
        <f t="shared" ref="G47:G49" si="25">E646</f>
        <v>6.2541106128550075</v>
      </c>
      <c r="H47" s="370">
        <f>H646</f>
        <v>1407.1748878923768</v>
      </c>
      <c r="I47" s="613" t="s">
        <v>474</v>
      </c>
      <c r="J47" s="375" t="str">
        <f>IF(K47=1,"Annual","Done every "&amp;K47&amp;" years")</f>
        <v>Annual</v>
      </c>
      <c r="K47" s="371">
        <f>L646</f>
        <v>1</v>
      </c>
      <c r="L47" s="386">
        <f t="shared" ref="L47:M49" si="26">$L$16/K47</f>
        <v>80</v>
      </c>
      <c r="M47" s="371">
        <f t="shared" si="26"/>
        <v>1</v>
      </c>
      <c r="N47" s="370">
        <f>$H47*(1-(1+$L$15)^-(L47*M47))/((1+$L$15)^M47-1)*(1+((1+$L$15)^M47-1))</f>
        <v>34999.264394611135</v>
      </c>
      <c r="O47" s="640">
        <f t="shared" si="0"/>
        <v>1407.1748878923752</v>
      </c>
      <c r="P47" s="392">
        <f>SUM(O47:O50)</f>
        <v>3558.385650224212</v>
      </c>
      <c r="Q47" s="3067"/>
      <c r="R47" s="3067"/>
      <c r="S47" s="3067"/>
      <c r="T47" s="1039" t="s">
        <v>808</v>
      </c>
      <c r="U47" s="639">
        <f t="shared" si="16"/>
        <v>14.071748878923751</v>
      </c>
      <c r="V47" s="639">
        <f>IF($T47="L",SUM($U47:U47)*V$16,"")</f>
        <v>4.2215246636771253</v>
      </c>
      <c r="W47" s="639">
        <f>IF($U47="","",IF(OR($T47="L",$T47="T",$T47="C"),SUM($U47:V47)*W$16,""))</f>
        <v>1.8293273542600876</v>
      </c>
      <c r="X47" s="639">
        <f>IF($U47="","",SUM($U47:W47)*X$16)</f>
        <v>6.0367802690582888</v>
      </c>
      <c r="Y47" s="388">
        <f t="shared" si="17"/>
        <v>12.087632286995502</v>
      </c>
      <c r="Z47" s="392">
        <f>SUM(V47:X50)</f>
        <v>21.337838565022402</v>
      </c>
      <c r="AA47" s="734">
        <f t="shared" si="18"/>
        <v>26.159381165919253</v>
      </c>
      <c r="AB47" s="391">
        <f>SUM(AA47:AA50)</f>
        <v>56.921695067264523</v>
      </c>
      <c r="AC47" s="936">
        <f t="shared" ca="1" si="19"/>
        <v>0.45956785255615878</v>
      </c>
      <c r="AD47" s="638"/>
      <c r="AE47" s="638"/>
      <c r="AF47" s="587">
        <f>AF43+4</f>
        <v>24</v>
      </c>
      <c r="AG47" s="816">
        <f ca="1">SUM(AC47:AC50)-1</f>
        <v>0</v>
      </c>
      <c r="AH47" s="387">
        <f>$AH$16/K47</f>
        <v>5</v>
      </c>
      <c r="AI47" s="387">
        <f>$AH$16/AH47</f>
        <v>1</v>
      </c>
      <c r="AJ47" s="370">
        <f>$H47*(1-(1+$L$15)^-(AH47*AI47))/((1+$L$15)^AI47-1)*(1+((1+$L$15)^AI47-1))</f>
        <v>6515.0722931470918</v>
      </c>
      <c r="AK47" s="981">
        <f>SUM(AJ47:AJ50)</f>
        <v>16474.95272803722</v>
      </c>
    </row>
    <row r="48" spans="1:37" ht="19" customHeight="1">
      <c r="A48" s="390"/>
      <c r="B48" s="372"/>
      <c r="C48" s="3860"/>
      <c r="D48" s="3851"/>
      <c r="E48" s="373" t="s">
        <v>308</v>
      </c>
      <c r="F48" s="1176">
        <f>$D$633</f>
        <v>1</v>
      </c>
      <c r="G48" s="1176">
        <f t="shared" si="25"/>
        <v>3.1270553064275037</v>
      </c>
      <c r="H48" s="370">
        <f>H647</f>
        <v>891.21076233183851</v>
      </c>
      <c r="I48" s="613" t="s">
        <v>65</v>
      </c>
      <c r="J48" s="375" t="str">
        <f>IF(K48=1,"Annual","Done every "&amp;K48&amp;" years")</f>
        <v>Annual</v>
      </c>
      <c r="K48" s="371">
        <f>L647</f>
        <v>1</v>
      </c>
      <c r="L48" s="386">
        <f t="shared" si="26"/>
        <v>80</v>
      </c>
      <c r="M48" s="371">
        <f t="shared" si="26"/>
        <v>1</v>
      </c>
      <c r="N48" s="370">
        <f>$H48*(1-(1+$L$15)^-(L48*M48))/((1+$L$15)^M48-1)*(1+((1+$L$15)^M48-1))</f>
        <v>22166.20078325372</v>
      </c>
      <c r="O48" s="640">
        <f t="shared" si="0"/>
        <v>891.21076233183771</v>
      </c>
      <c r="P48" s="392"/>
      <c r="Q48" s="3067">
        <f>1*(1-(1+$L$15)^-(L48*M48))/((1+$L$15)^M48-1)*(1+((1+$L$15)^M48-1))</f>
        <v>24.872007520708362</v>
      </c>
      <c r="R48" s="3067">
        <f>Q48/(1+$L$15)*($L$15)/(1-(1+$L$15)^-$L$16)</f>
        <v>0.99999999999999911</v>
      </c>
      <c r="S48" s="3067">
        <f>F48*R48</f>
        <v>0.99999999999999911</v>
      </c>
      <c r="T48" s="1034" t="s">
        <v>809</v>
      </c>
      <c r="U48" s="639">
        <f t="shared" si="16"/>
        <v>8.9121076233183771</v>
      </c>
      <c r="V48" s="642" t="str">
        <f>IF($T48="L",SUM($U48:U48)*V$16,"")</f>
        <v/>
      </c>
      <c r="W48" s="642">
        <f>IF($U48="","",IF(OR($T48="L",$T48="T",$T48="C"),SUM($U48:V48)*W$16,""))</f>
        <v>0.89121076233183771</v>
      </c>
      <c r="X48" s="642">
        <f>IF($U48="","",SUM($U48:W48)*X$16)</f>
        <v>2.9409955156950645</v>
      </c>
      <c r="Y48" s="388">
        <f t="shared" si="17"/>
        <v>3.8322062780269022</v>
      </c>
      <c r="Z48" s="392"/>
      <c r="AA48" s="734">
        <f t="shared" si="18"/>
        <v>12.744313901345279</v>
      </c>
      <c r="AB48" s="391"/>
      <c r="AC48" s="936">
        <f t="shared" ca="1" si="19"/>
        <v>0.22389203073248765</v>
      </c>
      <c r="AD48" s="641"/>
      <c r="AE48" s="641"/>
      <c r="AF48" s="587">
        <f>AF47</f>
        <v>24</v>
      </c>
      <c r="AG48" s="587"/>
      <c r="AH48" s="387">
        <f>$AH$16/K48</f>
        <v>5</v>
      </c>
      <c r="AI48" s="387">
        <f>$AH$16/AH48</f>
        <v>1</v>
      </c>
      <c r="AJ48" s="370">
        <f>$H48*(1-(1+$L$15)^-(AH48*AI48))/((1+$L$15)^AI48-1)*(1+((1+$L$15)^AI48-1))</f>
        <v>4126.2124523264911</v>
      </c>
      <c r="AK48" s="981"/>
    </row>
    <row r="49" spans="1:37" ht="19" customHeight="1">
      <c r="A49" s="390"/>
      <c r="B49" s="372"/>
      <c r="C49" s="3860"/>
      <c r="D49" s="3851"/>
      <c r="E49" s="373" t="s">
        <v>4</v>
      </c>
      <c r="F49" s="1176"/>
      <c r="G49" s="1176">
        <f t="shared" si="25"/>
        <v>6</v>
      </c>
      <c r="H49" s="370">
        <f>H648</f>
        <v>1260</v>
      </c>
      <c r="I49" s="613" t="s">
        <v>70</v>
      </c>
      <c r="J49" s="375" t="str">
        <f>IF(K49=1,"Annual","Done every "&amp;K49&amp;" years")</f>
        <v>Annual</v>
      </c>
      <c r="K49" s="371">
        <f>L648</f>
        <v>1</v>
      </c>
      <c r="L49" s="386">
        <f t="shared" si="26"/>
        <v>80</v>
      </c>
      <c r="M49" s="371">
        <f t="shared" si="26"/>
        <v>1</v>
      </c>
      <c r="N49" s="370">
        <f>$H49*(1-(1+$L$15)^-(L49*M49))/((1+$L$15)^M49-1)*(1+((1+$L$15)^M49-1))</f>
        <v>31338.729476092536</v>
      </c>
      <c r="O49" s="640">
        <f t="shared" si="0"/>
        <v>1259.9999999999991</v>
      </c>
      <c r="P49" s="392"/>
      <c r="Q49" s="3067"/>
      <c r="R49" s="3067"/>
      <c r="S49" s="3067"/>
      <c r="T49" s="1034" t="s">
        <v>810</v>
      </c>
      <c r="U49" s="639">
        <f t="shared" si="16"/>
        <v>12.599999999999991</v>
      </c>
      <c r="V49" s="642" t="str">
        <f>IF($T49="L",SUM($U49:U49)*V$16,"")</f>
        <v/>
      </c>
      <c r="W49" s="642">
        <f>IF($U49="","",IF(OR($T49="L",$T49="T",$T49="C"),SUM($U49:V49)*W$16,""))</f>
        <v>1.2599999999999991</v>
      </c>
      <c r="X49" s="642">
        <f>IF($U49="","",SUM($U49:W49)*X$16)</f>
        <v>4.1579999999999968</v>
      </c>
      <c r="Y49" s="388">
        <f t="shared" si="17"/>
        <v>5.4179999999999957</v>
      </c>
      <c r="Z49" s="392"/>
      <c r="AA49" s="734">
        <f t="shared" si="18"/>
        <v>18.017999999999986</v>
      </c>
      <c r="AB49" s="391"/>
      <c r="AC49" s="936">
        <f t="shared" ca="1" si="19"/>
        <v>0.31654011671135351</v>
      </c>
      <c r="AD49" s="641"/>
      <c r="AE49" s="641"/>
      <c r="AF49" s="587">
        <f>AF48</f>
        <v>24</v>
      </c>
      <c r="AG49" s="587"/>
      <c r="AH49" s="387">
        <f>$AH$16/K49</f>
        <v>5</v>
      </c>
      <c r="AI49" s="387">
        <f>$AH$16/AH49</f>
        <v>1</v>
      </c>
      <c r="AJ49" s="370">
        <f>$H49*(1-(1+$L$15)^-(AH49*AI49))/((1+$L$15)^AI49-1)*(1+((1+$L$15)^AI49-1))</f>
        <v>5833.6679825636384</v>
      </c>
      <c r="AK49" s="981"/>
    </row>
    <row r="50" spans="1:37" ht="19" customHeight="1">
      <c r="A50" s="390"/>
      <c r="B50" s="698"/>
      <c r="C50" s="3861"/>
      <c r="D50" s="3862"/>
      <c r="E50" s="373" t="s">
        <v>21</v>
      </c>
      <c r="F50" s="1176"/>
      <c r="G50" s="1176"/>
      <c r="H50" s="370"/>
      <c r="I50" s="613"/>
      <c r="J50" s="375"/>
      <c r="K50" s="374"/>
      <c r="L50" s="386"/>
      <c r="M50" s="371"/>
      <c r="N50" s="370"/>
      <c r="O50" s="699">
        <f t="shared" si="0"/>
        <v>0</v>
      </c>
      <c r="P50" s="396"/>
      <c r="Q50" s="3068"/>
      <c r="R50" s="3068"/>
      <c r="S50" s="3068"/>
      <c r="T50" s="1040" t="s">
        <v>811</v>
      </c>
      <c r="U50" s="700"/>
      <c r="V50" s="700" t="str">
        <f>IF($T50="L",SUM($U50:U50)*V$16,"")</f>
        <v/>
      </c>
      <c r="W50" s="700" t="str">
        <f>IF($U50="","",IF(OR($T50="L",$T50="T",$T50="C"),SUM($U50:V50)*W$16,""))</f>
        <v/>
      </c>
      <c r="X50" s="700" t="str">
        <f>IF($U50="","",SUM($U50:W50)*X$16)</f>
        <v/>
      </c>
      <c r="Y50" s="699" t="str">
        <f t="shared" si="17"/>
        <v/>
      </c>
      <c r="Z50" s="396"/>
      <c r="AA50" s="743" t="str">
        <f t="shared" si="18"/>
        <v/>
      </c>
      <c r="AB50" s="395"/>
      <c r="AC50" s="937" t="str">
        <f t="shared" ca="1" si="19"/>
        <v/>
      </c>
      <c r="AD50" s="822"/>
      <c r="AE50" s="822"/>
      <c r="AF50" s="587">
        <f>AF49</f>
        <v>24</v>
      </c>
      <c r="AG50" s="587"/>
      <c r="AH50" s="387"/>
      <c r="AI50" s="387"/>
      <c r="AJ50" s="370"/>
      <c r="AK50" s="882"/>
    </row>
    <row r="51" spans="1:37" ht="19" customHeight="1">
      <c r="A51" s="676"/>
      <c r="B51" s="711">
        <v>5.2</v>
      </c>
      <c r="C51" s="3875" t="s">
        <v>203</v>
      </c>
      <c r="D51" s="3852" t="str">
        <f>D47</f>
        <v>post-action monitoring of invasive weed management and bush regeneration</v>
      </c>
      <c r="E51" s="685" t="s">
        <v>3</v>
      </c>
      <c r="F51" s="1177"/>
      <c r="G51" s="1177">
        <f>F646</f>
        <v>7.449925261584454</v>
      </c>
      <c r="H51" s="665">
        <f>I646</f>
        <v>1676.2331838565021</v>
      </c>
      <c r="I51" s="818" t="s">
        <v>474</v>
      </c>
      <c r="J51" s="666" t="str">
        <f>IF(K51=1,"Annual","Done every "&amp;K51&amp;" years")</f>
        <v>Annual</v>
      </c>
      <c r="K51" s="701">
        <f>K47</f>
        <v>1</v>
      </c>
      <c r="L51" s="668">
        <f t="shared" ref="L51:M53" si="27">$L$16/K51</f>
        <v>80</v>
      </c>
      <c r="M51" s="667">
        <f t="shared" si="27"/>
        <v>1</v>
      </c>
      <c r="N51" s="665">
        <f>$H51*(1-(1+$L$15)^-(L51*M51))/((1+$L$15)^M51-1)*(1+((1+$L$15)^M51-1))</f>
        <v>41691.284355339842</v>
      </c>
      <c r="O51" s="680">
        <f t="shared" si="0"/>
        <v>1676.2331838565005</v>
      </c>
      <c r="P51" s="720">
        <f>SUM(O51:O54)</f>
        <v>3997.8475336322836</v>
      </c>
      <c r="Q51" s="2825"/>
      <c r="R51" s="2825"/>
      <c r="S51" s="2825"/>
      <c r="T51" s="1035" t="s">
        <v>808</v>
      </c>
      <c r="U51" s="675">
        <f>O51/$U$16</f>
        <v>16.762331838565004</v>
      </c>
      <c r="V51" s="675">
        <f>IF($T51="L",SUM($U51:U51)*V$16,"")</f>
        <v>5.0286995515695008</v>
      </c>
      <c r="W51" s="675">
        <f>IF($U51="","",IF(OR($T51="L",$T51="T",$T51="C"),SUM($U51:V51)*W$16,""))</f>
        <v>2.1791031390134505</v>
      </c>
      <c r="X51" s="675">
        <f>IF($U51="","",SUM($U51:W51)*X$16)</f>
        <v>7.1910403587443863</v>
      </c>
      <c r="Y51" s="679">
        <f t="shared" si="17"/>
        <v>14.398843049327338</v>
      </c>
      <c r="Z51" s="720">
        <f>SUM(V51:X54)</f>
        <v>24.381784753363203</v>
      </c>
      <c r="AA51" s="737">
        <f t="shared" si="18"/>
        <v>31.161174887892344</v>
      </c>
      <c r="AB51" s="678">
        <f>SUM(AA51:AA54)</f>
        <v>64.360260089686037</v>
      </c>
      <c r="AC51" s="935">
        <f t="shared" ca="1" si="19"/>
        <v>0.4841679453201283</v>
      </c>
      <c r="AD51" s="674"/>
      <c r="AE51" s="674"/>
      <c r="AF51" s="587">
        <f>AF47+4</f>
        <v>28</v>
      </c>
      <c r="AG51" s="816">
        <f ca="1">SUM(AC51:AC54)-1</f>
        <v>0</v>
      </c>
      <c r="AH51" s="669">
        <f>$AH$16/K51</f>
        <v>5</v>
      </c>
      <c r="AI51" s="669">
        <f>$AH$16/AH51</f>
        <v>1</v>
      </c>
      <c r="AJ51" s="665">
        <f>$H51*(1-(1+$L$15)^-(AH51*AI51))/((1+$L$15)^AI51-1)*(1+((1+$L$15)^AI51-1))</f>
        <v>7760.7840126780839</v>
      </c>
      <c r="AK51" s="984">
        <f>SUM(AJ51:AJ54)</f>
        <v>18509.615203271176</v>
      </c>
    </row>
    <row r="52" spans="1:37" ht="19" customHeight="1">
      <c r="A52" s="676"/>
      <c r="B52" s="677"/>
      <c r="C52" s="3876"/>
      <c r="D52" s="3853"/>
      <c r="E52" s="685" t="s">
        <v>308</v>
      </c>
      <c r="F52" s="1177">
        <f>$E$633</f>
        <v>1</v>
      </c>
      <c r="G52" s="1177">
        <f t="shared" ref="G52:G53" si="28">F647</f>
        <v>3.724962630792227</v>
      </c>
      <c r="H52" s="665">
        <f>I647</f>
        <v>1061.6143497757846</v>
      </c>
      <c r="I52" s="818" t="s">
        <v>65</v>
      </c>
      <c r="J52" s="666" t="str">
        <f>IF(K52=1,"Annual","Done every "&amp;K52&amp;" years")</f>
        <v>Annual</v>
      </c>
      <c r="K52" s="701">
        <f>K48</f>
        <v>1</v>
      </c>
      <c r="L52" s="668">
        <f t="shared" si="27"/>
        <v>80</v>
      </c>
      <c r="M52" s="667">
        <f t="shared" si="27"/>
        <v>1</v>
      </c>
      <c r="N52" s="665">
        <f>$H52*(1-(1+$L$15)^-(L52*M52))/((1+$L$15)^M52-1)*(1+((1+$L$15)^M52-1))</f>
        <v>26404.480091715228</v>
      </c>
      <c r="O52" s="680">
        <f t="shared" si="0"/>
        <v>1061.6143497757837</v>
      </c>
      <c r="P52" s="720"/>
      <c r="Q52" s="2825">
        <f>1*(1-(1+$L$15)^-(L52*M52))/((1+$L$15)^M52-1)*(1+((1+$L$15)^M52-1))</f>
        <v>24.872007520708362</v>
      </c>
      <c r="R52" s="2825">
        <f>Q52/(1+$L$15)*($L$15)/(1-(1+$L$15)^-$L$16)</f>
        <v>0.99999999999999911</v>
      </c>
      <c r="S52" s="2825">
        <f>F52*R52</f>
        <v>0.99999999999999911</v>
      </c>
      <c r="T52" s="1036" t="s">
        <v>809</v>
      </c>
      <c r="U52" s="675">
        <f>O52/$U$16</f>
        <v>10.616143497757838</v>
      </c>
      <c r="V52" s="682" t="str">
        <f>IF($T52="L",SUM($U52:U52)*V$16,"")</f>
        <v/>
      </c>
      <c r="W52" s="682">
        <f>IF($U52="","",IF(OR($T52="L",$T52="T",$T52="C"),SUM($U52:V52)*W$16,""))</f>
        <v>1.0616143497757837</v>
      </c>
      <c r="X52" s="682">
        <f>IF($U52="","",SUM($U52:W52)*X$16)</f>
        <v>3.5033273542600862</v>
      </c>
      <c r="Y52" s="679">
        <f t="shared" si="17"/>
        <v>4.5649417040358697</v>
      </c>
      <c r="Z52" s="720"/>
      <c r="AA52" s="737">
        <f t="shared" si="18"/>
        <v>15.181085201793707</v>
      </c>
      <c r="AB52" s="678"/>
      <c r="AC52" s="935">
        <f t="shared" ca="1" si="19"/>
        <v>0.2358766913098061</v>
      </c>
      <c r="AD52" s="681"/>
      <c r="AE52" s="681"/>
      <c r="AF52" s="587">
        <f>AF51</f>
        <v>28</v>
      </c>
      <c r="AG52" s="587"/>
      <c r="AH52" s="669">
        <f>$AH$16/K52</f>
        <v>5</v>
      </c>
      <c r="AI52" s="669">
        <f>$AH$16/AH52</f>
        <v>1</v>
      </c>
      <c r="AJ52" s="665">
        <f>$H52*(1-(1+$L$15)^-(AH52*AI52))/((1+$L$15)^AI52-1)*(1+((1+$L$15)^AI52-1))</f>
        <v>4915.1632080294521</v>
      </c>
      <c r="AK52" s="984"/>
    </row>
    <row r="53" spans="1:37" ht="19" customHeight="1">
      <c r="A53" s="676"/>
      <c r="B53" s="677"/>
      <c r="C53" s="3876"/>
      <c r="D53" s="3853"/>
      <c r="E53" s="685" t="s">
        <v>4</v>
      </c>
      <c r="F53" s="1177"/>
      <c r="G53" s="1177">
        <f t="shared" si="28"/>
        <v>6</v>
      </c>
      <c r="H53" s="665">
        <f>I648</f>
        <v>1260</v>
      </c>
      <c r="I53" s="818" t="s">
        <v>70</v>
      </c>
      <c r="J53" s="666" t="str">
        <f>IF(K53=1,"Annual","Done every "&amp;K53&amp;" years")</f>
        <v>Annual</v>
      </c>
      <c r="K53" s="701">
        <f>K49</f>
        <v>1</v>
      </c>
      <c r="L53" s="668">
        <f t="shared" si="27"/>
        <v>80</v>
      </c>
      <c r="M53" s="667">
        <f t="shared" si="27"/>
        <v>1</v>
      </c>
      <c r="N53" s="665">
        <f>$H53*(1-(1+$L$15)^-(L53*M53))/((1+$L$15)^M53-1)*(1+((1+$L$15)^M53-1))</f>
        <v>31338.729476092536</v>
      </c>
      <c r="O53" s="680">
        <f t="shared" si="0"/>
        <v>1259.9999999999991</v>
      </c>
      <c r="P53" s="720"/>
      <c r="Q53" s="2825"/>
      <c r="R53" s="2825"/>
      <c r="S53" s="2825"/>
      <c r="T53" s="1036" t="s">
        <v>810</v>
      </c>
      <c r="U53" s="675">
        <f>O53/$U$16</f>
        <v>12.599999999999991</v>
      </c>
      <c r="V53" s="682" t="str">
        <f>IF($T53="L",SUM($U53:U53)*V$16,"")</f>
        <v/>
      </c>
      <c r="W53" s="682">
        <f>IF($U53="","",IF(OR($T53="L",$T53="T",$T53="C"),SUM($U53:V53)*W$16,""))</f>
        <v>1.2599999999999991</v>
      </c>
      <c r="X53" s="682">
        <f>IF($U53="","",SUM($U53:W53)*X$16)</f>
        <v>4.1579999999999968</v>
      </c>
      <c r="Y53" s="679">
        <f t="shared" si="17"/>
        <v>5.4179999999999957</v>
      </c>
      <c r="Z53" s="720"/>
      <c r="AA53" s="737">
        <f t="shared" si="18"/>
        <v>18.017999999999986</v>
      </c>
      <c r="AB53" s="678"/>
      <c r="AC53" s="935">
        <f t="shared" ca="1" si="19"/>
        <v>0.2799553633700656</v>
      </c>
      <c r="AD53" s="681"/>
      <c r="AE53" s="681"/>
      <c r="AF53" s="587">
        <f>AF52</f>
        <v>28</v>
      </c>
      <c r="AG53" s="587"/>
      <c r="AH53" s="669">
        <f>$AH$16/K53</f>
        <v>5</v>
      </c>
      <c r="AI53" s="669">
        <f>$AH$16/AH53</f>
        <v>1</v>
      </c>
      <c r="AJ53" s="665">
        <f>$H53*(1-(1+$L$15)^-(AH53*AI53))/((1+$L$15)^AI53-1)*(1+((1+$L$15)^AI53-1))</f>
        <v>5833.6679825636384</v>
      </c>
      <c r="AK53" s="984"/>
    </row>
    <row r="54" spans="1:37" ht="19" customHeight="1">
      <c r="A54" s="676"/>
      <c r="B54" s="702"/>
      <c r="C54" s="3877"/>
      <c r="D54" s="3854"/>
      <c r="E54" s="685" t="s">
        <v>21</v>
      </c>
      <c r="F54" s="1177"/>
      <c r="G54" s="1177"/>
      <c r="H54" s="665"/>
      <c r="I54" s="818"/>
      <c r="J54" s="666"/>
      <c r="K54" s="701"/>
      <c r="L54" s="668"/>
      <c r="M54" s="667"/>
      <c r="N54" s="665"/>
      <c r="O54" s="703">
        <f t="shared" si="0"/>
        <v>0</v>
      </c>
      <c r="P54" s="718"/>
      <c r="Q54" s="3069"/>
      <c r="R54" s="3069"/>
      <c r="S54" s="3069"/>
      <c r="T54" s="1041" t="s">
        <v>811</v>
      </c>
      <c r="U54" s="704"/>
      <c r="V54" s="704" t="str">
        <f>IF($T54="L",SUM($U54:U54)*V$16,"")</f>
        <v/>
      </c>
      <c r="W54" s="704" t="str">
        <f>IF($U54="","",IF(OR($T54="L",$T54="T",$T54="C"),SUM($U54:V54)*W$16,""))</f>
        <v/>
      </c>
      <c r="X54" s="704" t="str">
        <f>IF($U54="","",SUM($U54:W54)*X$16)</f>
        <v/>
      </c>
      <c r="Y54" s="703" t="str">
        <f t="shared" si="17"/>
        <v/>
      </c>
      <c r="Z54" s="718"/>
      <c r="AA54" s="744" t="str">
        <f t="shared" si="18"/>
        <v/>
      </c>
      <c r="AB54" s="672"/>
      <c r="AC54" s="938" t="str">
        <f t="shared" ca="1" si="19"/>
        <v/>
      </c>
      <c r="AD54" s="823"/>
      <c r="AE54" s="823"/>
      <c r="AF54" s="587">
        <f>AF53</f>
        <v>28</v>
      </c>
      <c r="AG54" s="587"/>
      <c r="AH54" s="669"/>
      <c r="AI54" s="669"/>
      <c r="AJ54" s="665"/>
      <c r="AK54" s="883"/>
    </row>
    <row r="55" spans="1:37" ht="19" customHeight="1">
      <c r="A55" s="656"/>
      <c r="B55" s="713">
        <v>5.3</v>
      </c>
      <c r="C55" s="3878" t="s">
        <v>203</v>
      </c>
      <c r="D55" s="3863" t="str">
        <f>D51</f>
        <v>post-action monitoring of invasive weed management and bush regeneration</v>
      </c>
      <c r="E55" s="686" t="s">
        <v>3</v>
      </c>
      <c r="F55" s="1178"/>
      <c r="G55" s="1178">
        <f>G646</f>
        <v>9.8415545590433489</v>
      </c>
      <c r="H55" s="645">
        <f>J646</f>
        <v>2214.3497757847535</v>
      </c>
      <c r="I55" s="820" t="s">
        <v>474</v>
      </c>
      <c r="J55" s="646" t="str">
        <f>IF(K55=1,"Annual","Done every "&amp;K55&amp;" years")</f>
        <v>Annual</v>
      </c>
      <c r="K55" s="705">
        <f>K51</f>
        <v>1</v>
      </c>
      <c r="L55" s="648">
        <f t="shared" ref="L55:M57" si="29">$L$16/K55</f>
        <v>80</v>
      </c>
      <c r="M55" s="647">
        <f t="shared" si="29"/>
        <v>1</v>
      </c>
      <c r="N55" s="645">
        <f>$H55*(1-(1+$L$15)^-(L55*M55))/((1+$L$15)^M55-1)*(1+((1+$L$15)^M55-1))</f>
        <v>55075.324276797262</v>
      </c>
      <c r="O55" s="660">
        <f t="shared" si="0"/>
        <v>2214.3497757847517</v>
      </c>
      <c r="P55" s="722">
        <f>SUM(O55:O58)</f>
        <v>5296.7713004484267</v>
      </c>
      <c r="Q55" s="3070"/>
      <c r="R55" s="3070"/>
      <c r="S55" s="3070"/>
      <c r="T55" s="1037" t="s">
        <v>808</v>
      </c>
      <c r="U55" s="655">
        <f>O55/$U$16</f>
        <v>22.143497757847516</v>
      </c>
      <c r="V55" s="655">
        <f>IF($T55="L",SUM($U55:U55)*V$16,"")</f>
        <v>6.6430493273542544</v>
      </c>
      <c r="W55" s="655">
        <f>IF($U55="","",IF(OR($T55="L",$T55="T",$T55="C"),SUM($U55:V55)*W$16,""))</f>
        <v>2.8786547085201772</v>
      </c>
      <c r="X55" s="655">
        <f>IF($U55="","",SUM($U55:W55)*X$16)</f>
        <v>9.4995605381165849</v>
      </c>
      <c r="Y55" s="659">
        <f t="shared" si="17"/>
        <v>19.021264573991019</v>
      </c>
      <c r="Z55" s="722">
        <f>SUM(V55:X58)</f>
        <v>32.275677130044819</v>
      </c>
      <c r="AA55" s="740">
        <f t="shared" si="18"/>
        <v>41.164762331838531</v>
      </c>
      <c r="AB55" s="658">
        <f>SUM(AA55:AA58)</f>
        <v>85.243390134529079</v>
      </c>
      <c r="AC55" s="939">
        <f t="shared" ca="1" si="19"/>
        <v>0.48290855474979688</v>
      </c>
      <c r="AD55" s="654"/>
      <c r="AE55" s="654"/>
      <c r="AF55" s="587">
        <f>AF51+4</f>
        <v>32</v>
      </c>
      <c r="AG55" s="816">
        <f ca="1">SUM(AC55:AC58)-1</f>
        <v>0</v>
      </c>
      <c r="AH55" s="649">
        <f>$AH$16/K55</f>
        <v>5</v>
      </c>
      <c r="AI55" s="649">
        <f>$AH$16/AH55</f>
        <v>1</v>
      </c>
      <c r="AJ55" s="645">
        <f>$H55*(1-(1+$L$15)^-(AH55*AI55))/((1+$L$15)^AI55-1)*(1+((1+$L$15)^AI55-1))</f>
        <v>10252.207451740071</v>
      </c>
      <c r="AK55" s="932">
        <f>SUM(AJ55:AJ58)</f>
        <v>24523.496147926966</v>
      </c>
    </row>
    <row r="56" spans="1:37" ht="19" customHeight="1">
      <c r="A56" s="656"/>
      <c r="B56" s="657"/>
      <c r="C56" s="3879"/>
      <c r="D56" s="3864"/>
      <c r="E56" s="686" t="s">
        <v>308</v>
      </c>
      <c r="F56" s="1178">
        <f>$F$633</f>
        <v>1</v>
      </c>
      <c r="G56" s="1178">
        <f t="shared" ref="G56:G57" si="30">G647</f>
        <v>4.9207772795216744</v>
      </c>
      <c r="H56" s="645">
        <f>J647</f>
        <v>1402.4215246636772</v>
      </c>
      <c r="I56" s="820" t="s">
        <v>65</v>
      </c>
      <c r="J56" s="646" t="str">
        <f>IF(K56=1,"Annual","Done every "&amp;K56&amp;" years")</f>
        <v>Annual</v>
      </c>
      <c r="K56" s="705">
        <f>K52</f>
        <v>1</v>
      </c>
      <c r="L56" s="648">
        <f t="shared" si="29"/>
        <v>80</v>
      </c>
      <c r="M56" s="647">
        <f t="shared" si="29"/>
        <v>1</v>
      </c>
      <c r="N56" s="645">
        <f>$H56*(1-(1+$L$15)^-(L56*M56))/((1+$L$15)^M56-1)*(1+((1+$L$15)^M56-1))</f>
        <v>34881.038708638262</v>
      </c>
      <c r="O56" s="660">
        <f t="shared" si="0"/>
        <v>1402.4215246636759</v>
      </c>
      <c r="P56" s="722"/>
      <c r="Q56" s="3070">
        <f>1*(1-(1+$L$15)^-(L56*M56))/((1+$L$15)^M56-1)*(1+((1+$L$15)^M56-1))</f>
        <v>24.872007520708362</v>
      </c>
      <c r="R56" s="3070">
        <f>Q56/(1+$L$15)*($L$15)/(1-(1+$L$15)^-$L$16)</f>
        <v>0.99999999999999911</v>
      </c>
      <c r="S56" s="3070">
        <f>F56*R56</f>
        <v>0.99999999999999911</v>
      </c>
      <c r="T56" s="1038" t="s">
        <v>809</v>
      </c>
      <c r="U56" s="655">
        <f>O56/$U$16</f>
        <v>14.024215246636759</v>
      </c>
      <c r="V56" s="662" t="str">
        <f>IF($T56="L",SUM($U56:U56)*V$16,"")</f>
        <v/>
      </c>
      <c r="W56" s="662">
        <f>IF($U56="","",IF(OR($T56="L",$T56="T",$T56="C"),SUM($U56:V56)*W$16,""))</f>
        <v>1.402421524663676</v>
      </c>
      <c r="X56" s="662">
        <f>IF($U56="","",SUM($U56:W56)*X$16)</f>
        <v>4.6279910313901302</v>
      </c>
      <c r="Y56" s="659">
        <f t="shared" si="17"/>
        <v>6.0304125560538058</v>
      </c>
      <c r="Z56" s="722"/>
      <c r="AA56" s="740">
        <f t="shared" si="18"/>
        <v>20.054627802690565</v>
      </c>
      <c r="AB56" s="658"/>
      <c r="AC56" s="939">
        <f t="shared" ca="1" si="19"/>
        <v>0.23526314205759333</v>
      </c>
      <c r="AD56" s="661"/>
      <c r="AE56" s="661"/>
      <c r="AF56" s="587">
        <f>AF55</f>
        <v>32</v>
      </c>
      <c r="AG56" s="587"/>
      <c r="AH56" s="649">
        <f>$AH$16/K56</f>
        <v>5</v>
      </c>
      <c r="AI56" s="649">
        <f>$AH$16/AH56</f>
        <v>1</v>
      </c>
      <c r="AJ56" s="645">
        <f>$H56*(1-(1+$L$15)^-(AH56*AI56))/((1+$L$15)^AI56-1)*(1+((1+$L$15)^AI56-1))</f>
        <v>6493.0647194353778</v>
      </c>
      <c r="AK56" s="932"/>
    </row>
    <row r="57" spans="1:37" ht="19" customHeight="1">
      <c r="A57" s="656"/>
      <c r="B57" s="657"/>
      <c r="C57" s="3879"/>
      <c r="D57" s="3864"/>
      <c r="E57" s="686" t="s">
        <v>4</v>
      </c>
      <c r="F57" s="1178"/>
      <c r="G57" s="1178">
        <f t="shared" si="30"/>
        <v>8</v>
      </c>
      <c r="H57" s="645">
        <f>J648</f>
        <v>1680</v>
      </c>
      <c r="I57" s="820" t="s">
        <v>70</v>
      </c>
      <c r="J57" s="646" t="str">
        <f>IF(K57=1,"Annual","Done every "&amp;K57&amp;" years")</f>
        <v>Annual</v>
      </c>
      <c r="K57" s="705">
        <f>K53</f>
        <v>1</v>
      </c>
      <c r="L57" s="648">
        <f t="shared" si="29"/>
        <v>80</v>
      </c>
      <c r="M57" s="647">
        <f t="shared" si="29"/>
        <v>1</v>
      </c>
      <c r="N57" s="645">
        <f>$H57*(1-(1+$L$15)^-(L57*M57))/((1+$L$15)^M57-1)*(1+((1+$L$15)^M57-1))</f>
        <v>41784.972634790051</v>
      </c>
      <c r="O57" s="660">
        <f t="shared" si="0"/>
        <v>1679.9999999999986</v>
      </c>
      <c r="P57" s="722"/>
      <c r="Q57" s="3070"/>
      <c r="R57" s="3070"/>
      <c r="S57" s="3070"/>
      <c r="T57" s="1038" t="s">
        <v>810</v>
      </c>
      <c r="U57" s="655">
        <f>O57/$U$16</f>
        <v>16.799999999999986</v>
      </c>
      <c r="V57" s="662" t="str">
        <f>IF($T57="L",SUM($U57:U57)*V$16,"")</f>
        <v/>
      </c>
      <c r="W57" s="662">
        <f>IF($U57="","",IF(OR($T57="L",$T57="T",$T57="C"),SUM($U57:V57)*W$16,""))</f>
        <v>1.6799999999999988</v>
      </c>
      <c r="X57" s="662">
        <f>IF($U57="","",SUM($U57:W57)*X$16)</f>
        <v>5.543999999999996</v>
      </c>
      <c r="Y57" s="659">
        <f t="shared" si="17"/>
        <v>7.2239999999999949</v>
      </c>
      <c r="Z57" s="722"/>
      <c r="AA57" s="740">
        <f t="shared" si="18"/>
        <v>24.02399999999998</v>
      </c>
      <c r="AB57" s="658"/>
      <c r="AC57" s="939">
        <f t="shared" ca="1" si="19"/>
        <v>0.28182830319260976</v>
      </c>
      <c r="AD57" s="661"/>
      <c r="AE57" s="661"/>
      <c r="AF57" s="587">
        <f>AF56</f>
        <v>32</v>
      </c>
      <c r="AG57" s="587"/>
      <c r="AH57" s="649">
        <f>$AH$16/K57</f>
        <v>5</v>
      </c>
      <c r="AI57" s="649">
        <f>$AH$16/AH57</f>
        <v>1</v>
      </c>
      <c r="AJ57" s="645">
        <f>$H57*(1-(1+$L$15)^-(AH57*AI57))/((1+$L$15)^AI57-1)*(1+((1+$L$15)^AI57-1))</f>
        <v>7778.2239767515175</v>
      </c>
      <c r="AK57" s="932"/>
    </row>
    <row r="58" spans="1:37" ht="19" customHeight="1">
      <c r="A58" s="656"/>
      <c r="B58" s="706"/>
      <c r="C58" s="3880"/>
      <c r="D58" s="3865"/>
      <c r="E58" s="686" t="s">
        <v>21</v>
      </c>
      <c r="F58" s="1178"/>
      <c r="G58" s="1178"/>
      <c r="H58" s="645"/>
      <c r="I58" s="820"/>
      <c r="J58" s="646"/>
      <c r="K58" s="705"/>
      <c r="L58" s="648"/>
      <c r="M58" s="647"/>
      <c r="N58" s="645"/>
      <c r="O58" s="707">
        <f t="shared" si="0"/>
        <v>0</v>
      </c>
      <c r="P58" s="719"/>
      <c r="Q58" s="3071"/>
      <c r="R58" s="3071"/>
      <c r="S58" s="3071"/>
      <c r="T58" s="1042" t="s">
        <v>811</v>
      </c>
      <c r="U58" s="708"/>
      <c r="V58" s="708" t="str">
        <f>IF($T58="L",SUM($U58:U58)*V$16,"")</f>
        <v/>
      </c>
      <c r="W58" s="708" t="str">
        <f>IF($U58="","",IF(OR($T58="L",$T58="T",$T58="C"),SUM($U58:V58)*W$16,""))</f>
        <v/>
      </c>
      <c r="X58" s="708" t="str">
        <f>IF($U58="","",SUM($U58:W58)*X$16)</f>
        <v/>
      </c>
      <c r="Y58" s="707" t="str">
        <f t="shared" si="17"/>
        <v/>
      </c>
      <c r="Z58" s="719"/>
      <c r="AA58" s="745" t="str">
        <f t="shared" si="18"/>
        <v/>
      </c>
      <c r="AB58" s="652"/>
      <c r="AC58" s="940" t="str">
        <f t="shared" ca="1" si="19"/>
        <v/>
      </c>
      <c r="AD58" s="824"/>
      <c r="AE58" s="824"/>
      <c r="AF58" s="587">
        <f>AF57</f>
        <v>32</v>
      </c>
      <c r="AG58" s="587"/>
      <c r="AH58" s="649"/>
      <c r="AI58" s="649"/>
      <c r="AJ58" s="645"/>
      <c r="AK58" s="884"/>
    </row>
    <row r="59" spans="1:37" ht="19" customHeight="1">
      <c r="B59" s="926">
        <v>6</v>
      </c>
      <c r="C59" s="1229" t="s">
        <v>397</v>
      </c>
      <c r="D59" s="3847" t="s">
        <v>192</v>
      </c>
      <c r="E59" s="12" t="s">
        <v>3</v>
      </c>
      <c r="F59" s="1172"/>
      <c r="G59" s="1172">
        <f>$E$676</f>
        <v>15</v>
      </c>
      <c r="H59" s="188">
        <f>F676</f>
        <v>5062.5</v>
      </c>
      <c r="I59" s="188" t="str">
        <f>G676</f>
        <v>Cost for reporting, analysis and feedback</v>
      </c>
      <c r="J59" s="377" t="str">
        <f>IF(K59=1,"Annual","Done every "&amp;K59&amp;" years")</f>
        <v>Annual</v>
      </c>
      <c r="K59" s="586">
        <f>$D$664</f>
        <v>1</v>
      </c>
      <c r="L59" s="158">
        <f>$L$16/K59</f>
        <v>80</v>
      </c>
      <c r="M59" s="586">
        <f>$L$16/L59</f>
        <v>1</v>
      </c>
      <c r="N59" s="188">
        <f>$H59*(1-(1+$L$15)^-(L59*M59))/((1+$L$15)^M59-1)*(1+((1+$L$15)^M59-1))</f>
        <v>125914.53807358607</v>
      </c>
      <c r="O59" s="242">
        <f t="shared" si="0"/>
        <v>5062.4999999999955</v>
      </c>
      <c r="P59" s="192">
        <f>SUM(O59:O62)</f>
        <v>5062.4999999999955</v>
      </c>
      <c r="Q59" s="2817"/>
      <c r="R59" s="2817"/>
      <c r="S59" s="2817"/>
      <c r="T59" s="1039" t="s">
        <v>808</v>
      </c>
      <c r="U59" s="583">
        <f>O59/$U$16</f>
        <v>50.624999999999957</v>
      </c>
      <c r="V59" s="583">
        <f>IF($T59="L",SUM($U59:U59)*V$16,"")</f>
        <v>15.187499999999986</v>
      </c>
      <c r="W59" s="583"/>
      <c r="X59" s="583">
        <f>IF($U59="","",SUM($U59:W59)*X$16)</f>
        <v>19.743749999999981</v>
      </c>
      <c r="Y59" s="240">
        <f t="shared" si="17"/>
        <v>34.931249999999963</v>
      </c>
      <c r="Z59" s="192">
        <f>SUM(V59:X62)</f>
        <v>34.931249999999963</v>
      </c>
      <c r="AA59" s="742">
        <f t="shared" si="18"/>
        <v>85.55624999999992</v>
      </c>
      <c r="AB59" s="192">
        <f>SUM(AA59:AA62)</f>
        <v>85.55624999999992</v>
      </c>
      <c r="AC59" s="727">
        <f t="shared" ca="1" si="19"/>
        <v>1</v>
      </c>
      <c r="AD59" s="589"/>
      <c r="AE59" s="589"/>
      <c r="AF59" s="587">
        <f>AF55+4</f>
        <v>36</v>
      </c>
      <c r="AG59" s="816">
        <f ca="1">SUM(AC59:AC62)-1</f>
        <v>0</v>
      </c>
      <c r="AH59" s="13">
        <f>$AH$16/K59</f>
        <v>5</v>
      </c>
      <c r="AI59" s="13">
        <f>$AH$16/AH59</f>
        <v>1</v>
      </c>
      <c r="AJ59" s="188">
        <f>$H59*(1-(1+$L$15)^-(AH59*AI59))/((1+$L$15)^AI59-1)*(1+((1+$L$15)^AI59-1))</f>
        <v>23438.844572800335</v>
      </c>
      <c r="AK59" s="191">
        <f>SUM(AJ59:AJ62)</f>
        <v>23438.844572800335</v>
      </c>
    </row>
    <row r="60" spans="1:37" ht="19" customHeight="1">
      <c r="B60" s="261"/>
      <c r="C60" s="1230"/>
      <c r="D60" s="3848"/>
      <c r="E60" s="12" t="s">
        <v>308</v>
      </c>
      <c r="F60" s="1172"/>
      <c r="G60" s="1172"/>
      <c r="H60" s="188"/>
      <c r="I60" s="921"/>
      <c r="J60" s="377"/>
      <c r="K60" s="586"/>
      <c r="L60" s="158"/>
      <c r="M60" s="586"/>
      <c r="N60" s="188"/>
      <c r="O60" s="242"/>
      <c r="P60" s="194"/>
      <c r="Q60" s="2819">
        <v>0</v>
      </c>
      <c r="R60" s="2819">
        <v>0</v>
      </c>
      <c r="S60" s="2819">
        <v>0</v>
      </c>
      <c r="T60" s="1034" t="s">
        <v>809</v>
      </c>
      <c r="U60" s="585"/>
      <c r="V60" s="585" t="str">
        <f>IF($T60="L",SUM($U60:U60)*V$16,"")</f>
        <v/>
      </c>
      <c r="W60" s="585" t="str">
        <f>IF($U60="","",IF(OR($T60="L",$T60="T",$T60="C"),SUM($U60:V60)*W$16,""))</f>
        <v/>
      </c>
      <c r="X60" s="585" t="str">
        <f>IF($U60="","",SUM($U60:W60)*X$16)</f>
        <v/>
      </c>
      <c r="Y60" s="242" t="str">
        <f t="shared" si="17"/>
        <v/>
      </c>
      <c r="Z60" s="194"/>
      <c r="AA60" s="733" t="str">
        <f t="shared" si="18"/>
        <v/>
      </c>
      <c r="AB60" s="194"/>
      <c r="AC60" s="728" t="str">
        <f t="shared" ca="1" si="19"/>
        <v/>
      </c>
      <c r="AD60" s="589"/>
      <c r="AE60" s="589"/>
      <c r="AF60" s="587">
        <f>AF59</f>
        <v>36</v>
      </c>
      <c r="AG60" s="587"/>
      <c r="AH60" s="13"/>
      <c r="AI60" s="13"/>
      <c r="AJ60" s="209"/>
      <c r="AK60" s="342"/>
    </row>
    <row r="61" spans="1:37" ht="19" customHeight="1">
      <c r="B61" s="261"/>
      <c r="C61" s="1230"/>
      <c r="D61" s="3848"/>
      <c r="E61" s="12" t="s">
        <v>4</v>
      </c>
      <c r="F61" s="1172"/>
      <c r="G61" s="1172"/>
      <c r="H61" s="188"/>
      <c r="I61" s="921"/>
      <c r="J61" s="377"/>
      <c r="K61" s="586"/>
      <c r="L61" s="158"/>
      <c r="M61" s="586"/>
      <c r="N61" s="188"/>
      <c r="O61" s="241"/>
      <c r="P61" s="210"/>
      <c r="Q61" s="2819"/>
      <c r="R61" s="2819"/>
      <c r="S61" s="2819"/>
      <c r="T61" s="1034" t="s">
        <v>810</v>
      </c>
      <c r="U61" s="584"/>
      <c r="V61" s="584" t="str">
        <f>IF($T61="L",SUM($U61:U61)*V$16,"")</f>
        <v/>
      </c>
      <c r="W61" s="584" t="str">
        <f>IF($U61="","",IF(OR($T61="L",$T61="T",$T61="C"),SUM($U61:V61)*W$16,""))</f>
        <v/>
      </c>
      <c r="X61" s="584" t="str">
        <f>IF($U61="","",SUM($U61:W61)*X$16)</f>
        <v/>
      </c>
      <c r="Y61" s="241" t="str">
        <f t="shared" si="17"/>
        <v/>
      </c>
      <c r="Z61" s="210"/>
      <c r="AA61" s="746" t="str">
        <f t="shared" si="18"/>
        <v/>
      </c>
      <c r="AB61" s="210"/>
      <c r="AC61" s="732" t="str">
        <f t="shared" ca="1" si="19"/>
        <v/>
      </c>
      <c r="AD61" s="815"/>
      <c r="AE61" s="815"/>
      <c r="AF61" s="587">
        <f>AF60</f>
        <v>36</v>
      </c>
      <c r="AG61" s="587"/>
      <c r="AH61" s="13"/>
      <c r="AI61" s="13"/>
      <c r="AJ61" s="188"/>
      <c r="AK61" s="477"/>
    </row>
    <row r="62" spans="1:37" ht="19" customHeight="1" thickBot="1">
      <c r="B62" s="261"/>
      <c r="C62" s="1231"/>
      <c r="D62" s="3849"/>
      <c r="E62" s="12" t="s">
        <v>21</v>
      </c>
      <c r="F62" s="1172"/>
      <c r="G62" s="1172"/>
      <c r="H62" s="188"/>
      <c r="I62" s="921"/>
      <c r="J62" s="377"/>
      <c r="K62" s="11"/>
      <c r="L62" s="1046"/>
      <c r="M62" s="1047"/>
      <c r="N62" s="1048"/>
      <c r="O62" s="726"/>
      <c r="P62" s="725"/>
      <c r="Q62" s="2858"/>
      <c r="R62" s="2858"/>
      <c r="S62" s="2858"/>
      <c r="T62" s="1040" t="s">
        <v>811</v>
      </c>
      <c r="U62" s="724"/>
      <c r="V62" s="724" t="str">
        <f>IF($T62="L",SUM($U62:U62)*V$16,"")</f>
        <v/>
      </c>
      <c r="W62" s="724" t="str">
        <f>IF($U62="","",IF(OR($T62="L",$T62="T",$T62="C"),SUM($U62:V62)*W$16,""))</f>
        <v/>
      </c>
      <c r="X62" s="724" t="str">
        <f>IF($U62="","",SUM($U62:W62)*X$16)</f>
        <v/>
      </c>
      <c r="Y62" s="726" t="str">
        <f t="shared" si="17"/>
        <v/>
      </c>
      <c r="Z62" s="725"/>
      <c r="AA62" s="747" t="str">
        <f t="shared" si="18"/>
        <v/>
      </c>
      <c r="AB62" s="725"/>
      <c r="AC62" s="767" t="str">
        <f t="shared" ca="1" si="19"/>
        <v/>
      </c>
      <c r="AD62" s="1073"/>
      <c r="AE62" s="1073"/>
      <c r="AF62" s="587">
        <f>AF61</f>
        <v>36</v>
      </c>
      <c r="AG62" s="587"/>
      <c r="AH62" s="13"/>
      <c r="AI62" s="13"/>
      <c r="AJ62" s="188"/>
      <c r="AK62" s="478"/>
    </row>
    <row r="63" spans="1:37">
      <c r="C63" s="24"/>
      <c r="D63" s="238"/>
      <c r="E63"/>
      <c r="F63" s="359"/>
      <c r="G63" s="359"/>
      <c r="H63" s="6"/>
      <c r="I63" s="359"/>
      <c r="U63" s="5"/>
    </row>
    <row r="64" spans="1:37">
      <c r="C64" s="24"/>
      <c r="D64" s="238"/>
      <c r="E64"/>
      <c r="F64" s="359"/>
      <c r="G64" s="359"/>
      <c r="H64" s="6"/>
      <c r="I64" s="359"/>
      <c r="U64" s="5"/>
    </row>
    <row r="65" spans="3:21">
      <c r="C65" s="24"/>
      <c r="D65" s="238"/>
      <c r="E65"/>
      <c r="F65" s="359"/>
      <c r="G65" s="359"/>
      <c r="H65" s="6"/>
      <c r="I65" s="359"/>
      <c r="U65" s="5"/>
    </row>
    <row r="66" spans="3:21">
      <c r="C66" s="24"/>
      <c r="D66" s="238"/>
      <c r="E66"/>
      <c r="F66" s="359"/>
      <c r="G66" s="359"/>
      <c r="H66" s="6"/>
      <c r="I66" s="359"/>
      <c r="U66" s="5"/>
    </row>
    <row r="67" spans="3:21">
      <c r="C67" s="24"/>
      <c r="D67" s="238"/>
      <c r="E67"/>
      <c r="F67" s="359"/>
      <c r="G67" s="359"/>
      <c r="H67" s="6"/>
      <c r="I67" s="359"/>
      <c r="U67" s="5"/>
    </row>
    <row r="68" spans="3:21">
      <c r="C68" s="24"/>
      <c r="D68" s="238"/>
      <c r="E68"/>
      <c r="F68" s="359"/>
      <c r="G68" s="359"/>
      <c r="H68" s="6"/>
      <c r="I68" s="359"/>
      <c r="U68" s="5"/>
    </row>
    <row r="69" spans="3:21">
      <c r="C69" s="24"/>
      <c r="D69" s="238"/>
      <c r="E69"/>
      <c r="F69" s="359"/>
      <c r="G69" s="359"/>
      <c r="H69" s="6"/>
      <c r="I69" s="359"/>
      <c r="U69" s="5"/>
    </row>
    <row r="70" spans="3:21">
      <c r="C70" s="24"/>
      <c r="D70" s="238"/>
      <c r="E70"/>
      <c r="F70" s="359"/>
      <c r="G70" s="359"/>
      <c r="H70" s="6"/>
      <c r="I70" s="359"/>
      <c r="U70" s="5"/>
    </row>
    <row r="71" spans="3:21">
      <c r="C71" s="24"/>
      <c r="D71" s="238"/>
      <c r="E71"/>
      <c r="F71" s="359"/>
      <c r="G71" s="359"/>
      <c r="H71" s="6"/>
      <c r="I71" s="359"/>
      <c r="U71" s="5"/>
    </row>
    <row r="72" spans="3:21">
      <c r="C72" s="24"/>
      <c r="D72" s="238"/>
      <c r="E72"/>
      <c r="F72" s="359"/>
      <c r="G72" s="359"/>
      <c r="H72" s="6"/>
      <c r="I72" s="359"/>
      <c r="U72" s="5"/>
    </row>
    <row r="73" spans="3:21">
      <c r="C73" s="24"/>
      <c r="D73" s="238"/>
      <c r="E73"/>
      <c r="F73" s="359"/>
      <c r="G73" s="359"/>
      <c r="H73" s="6"/>
      <c r="I73" s="359"/>
      <c r="U73" s="5"/>
    </row>
    <row r="74" spans="3:21">
      <c r="C74" s="24"/>
      <c r="D74" s="238"/>
      <c r="E74"/>
      <c r="F74" s="359"/>
      <c r="G74" s="359"/>
      <c r="H74" s="6"/>
      <c r="I74" s="359"/>
      <c r="U74" s="5"/>
    </row>
    <row r="75" spans="3:21">
      <c r="C75" s="24"/>
      <c r="D75" s="238"/>
      <c r="E75"/>
      <c r="F75" s="359"/>
      <c r="G75" s="359"/>
      <c r="H75" s="6"/>
      <c r="I75" s="359"/>
      <c r="U75" s="5"/>
    </row>
    <row r="76" spans="3:21">
      <c r="C76" s="24"/>
      <c r="D76" s="238"/>
      <c r="E76"/>
      <c r="F76" s="359"/>
      <c r="G76" s="359"/>
      <c r="H76" s="6"/>
      <c r="I76" s="359"/>
      <c r="U76" s="5"/>
    </row>
    <row r="77" spans="3:21">
      <c r="C77" s="24"/>
      <c r="D77" s="238"/>
      <c r="E77"/>
      <c r="F77" s="359"/>
      <c r="G77" s="359"/>
      <c r="H77" s="6"/>
      <c r="I77" s="359"/>
      <c r="U77" s="5"/>
    </row>
    <row r="78" spans="3:21">
      <c r="C78" s="24"/>
      <c r="D78" s="238"/>
      <c r="E78"/>
      <c r="F78" s="359"/>
      <c r="G78" s="359"/>
      <c r="H78" s="6"/>
      <c r="I78" s="359"/>
      <c r="U78" s="5"/>
    </row>
    <row r="79" spans="3:21">
      <c r="C79" s="24"/>
      <c r="D79" s="238"/>
      <c r="E79"/>
      <c r="F79" s="359"/>
      <c r="G79" s="359"/>
      <c r="H79" s="6"/>
      <c r="I79" s="359"/>
      <c r="U79" s="5"/>
    </row>
    <row r="80" spans="3:21">
      <c r="C80" s="24"/>
      <c r="D80" s="238"/>
      <c r="E80"/>
      <c r="F80" s="359"/>
      <c r="G80" s="359"/>
      <c r="H80" s="6"/>
      <c r="I80" s="359"/>
      <c r="U80" s="5"/>
    </row>
    <row r="81" spans="3:21">
      <c r="C81" s="24"/>
      <c r="D81" s="238"/>
      <c r="E81"/>
      <c r="F81" s="359"/>
      <c r="G81" s="359"/>
      <c r="H81" s="6"/>
      <c r="I81" s="359"/>
      <c r="U81" s="5"/>
    </row>
    <row r="82" spans="3:21">
      <c r="C82" s="24"/>
      <c r="D82" s="238"/>
      <c r="E82"/>
      <c r="F82" s="359"/>
      <c r="G82" s="359"/>
      <c r="H82" s="6"/>
      <c r="I82" s="359"/>
      <c r="U82" s="5"/>
    </row>
    <row r="83" spans="3:21">
      <c r="C83" s="24"/>
      <c r="D83" s="238"/>
      <c r="E83"/>
      <c r="F83" s="359"/>
      <c r="G83" s="359"/>
      <c r="H83" s="6"/>
      <c r="I83" s="359"/>
      <c r="U83" s="5"/>
    </row>
    <row r="84" spans="3:21">
      <c r="C84" s="24"/>
      <c r="D84" s="238" t="s">
        <v>299</v>
      </c>
      <c r="E84"/>
      <c r="F84" s="359"/>
      <c r="G84" s="359"/>
      <c r="H84" s="6"/>
      <c r="I84" s="359"/>
      <c r="U84" s="5"/>
    </row>
    <row r="85" spans="3:21">
      <c r="C85" s="24"/>
      <c r="D85" s="238"/>
      <c r="E85"/>
      <c r="F85" s="359"/>
      <c r="G85" s="359"/>
      <c r="H85" s="6"/>
      <c r="I85" s="359"/>
      <c r="U85" s="5"/>
    </row>
    <row r="86" spans="3:21">
      <c r="C86" s="24"/>
      <c r="D86" s="238"/>
      <c r="E86"/>
      <c r="F86" s="359"/>
      <c r="G86" s="359"/>
      <c r="H86" s="6"/>
      <c r="I86" s="359"/>
      <c r="U86" s="5"/>
    </row>
    <row r="87" spans="3:21">
      <c r="C87" s="24"/>
      <c r="D87" s="238"/>
      <c r="E87"/>
      <c r="F87" s="359"/>
      <c r="G87" s="359"/>
      <c r="H87" s="6"/>
      <c r="I87" s="359"/>
      <c r="U87" s="5"/>
    </row>
    <row r="88" spans="3:21">
      <c r="C88" s="24"/>
      <c r="D88" s="238"/>
      <c r="E88"/>
      <c r="F88" s="359"/>
      <c r="G88" s="359"/>
      <c r="H88" s="6"/>
      <c r="I88" s="359"/>
      <c r="U88" s="5"/>
    </row>
    <row r="89" spans="3:21">
      <c r="C89" s="24"/>
      <c r="D89" s="238"/>
      <c r="E89"/>
      <c r="F89" s="359"/>
      <c r="G89" s="359"/>
      <c r="H89" s="6"/>
      <c r="I89" s="359"/>
      <c r="U89" s="5"/>
    </row>
    <row r="90" spans="3:21">
      <c r="C90" s="24"/>
      <c r="D90" s="238"/>
      <c r="E90"/>
      <c r="F90" s="359"/>
      <c r="G90" s="359"/>
      <c r="H90" s="6"/>
      <c r="I90" s="359"/>
      <c r="U90" s="5"/>
    </row>
    <row r="91" spans="3:21">
      <c r="C91" s="24"/>
      <c r="D91" s="238"/>
      <c r="E91"/>
      <c r="F91" s="359"/>
      <c r="G91" s="359"/>
      <c r="H91" s="6"/>
      <c r="I91" s="359"/>
      <c r="U91" s="5"/>
    </row>
    <row r="92" spans="3:21">
      <c r="C92" s="24"/>
      <c r="D92" s="238"/>
      <c r="E92"/>
      <c r="F92" s="359"/>
      <c r="G92" s="359"/>
      <c r="H92" s="6"/>
      <c r="I92" s="359"/>
      <c r="U92" s="5"/>
    </row>
    <row r="93" spans="3:21">
      <c r="C93" s="24"/>
      <c r="D93" s="238"/>
      <c r="E93"/>
      <c r="F93" s="359"/>
      <c r="G93" s="359"/>
      <c r="H93" s="6"/>
      <c r="I93" s="359"/>
      <c r="U93" s="5"/>
    </row>
    <row r="94" spans="3:21">
      <c r="C94" s="24"/>
      <c r="D94" s="238"/>
      <c r="E94"/>
      <c r="F94" s="359"/>
      <c r="G94" s="359"/>
      <c r="H94" s="6"/>
      <c r="I94" s="359"/>
      <c r="U94" s="5"/>
    </row>
    <row r="95" spans="3:21">
      <c r="C95" s="24"/>
      <c r="D95" s="238"/>
      <c r="E95"/>
      <c r="F95" s="359"/>
      <c r="G95" s="359"/>
      <c r="H95" s="6"/>
      <c r="I95" s="359"/>
      <c r="U95" s="5"/>
    </row>
    <row r="96" spans="3:21">
      <c r="C96" s="24"/>
      <c r="D96" s="238"/>
      <c r="E96"/>
      <c r="F96" s="359"/>
      <c r="G96" s="359"/>
      <c r="H96" s="6"/>
      <c r="I96" s="359"/>
      <c r="U96" s="5"/>
    </row>
    <row r="97" spans="3:21">
      <c r="C97" s="24"/>
      <c r="D97" s="238"/>
      <c r="E97"/>
      <c r="F97" s="359"/>
      <c r="G97" s="359"/>
      <c r="H97" s="6"/>
      <c r="I97" s="359"/>
      <c r="U97" s="5"/>
    </row>
    <row r="98" spans="3:21">
      <c r="C98" s="24"/>
      <c r="D98" s="238"/>
      <c r="E98"/>
      <c r="F98" s="359"/>
      <c r="G98" s="359"/>
      <c r="H98" s="6"/>
      <c r="I98" s="359"/>
      <c r="U98" s="5"/>
    </row>
    <row r="99" spans="3:21">
      <c r="C99" s="24"/>
      <c r="D99" s="238"/>
      <c r="E99"/>
      <c r="F99" s="359"/>
      <c r="G99" s="359"/>
      <c r="H99" s="6"/>
      <c r="I99" s="359"/>
      <c r="U99" s="5"/>
    </row>
    <row r="100" spans="3:21">
      <c r="C100" s="24"/>
      <c r="D100" s="238"/>
      <c r="E100"/>
      <c r="F100" s="359"/>
      <c r="G100" s="359"/>
      <c r="H100" s="6"/>
      <c r="I100" s="359"/>
      <c r="U100" s="5"/>
    </row>
    <row r="101" spans="3:21" s="7" customFormat="1">
      <c r="D101" s="35"/>
      <c r="E101" s="36"/>
    </row>
    <row r="102" spans="3:21" s="9" customFormat="1">
      <c r="D102" s="105"/>
      <c r="E102" s="34"/>
    </row>
    <row r="103" spans="3:21" s="9" customFormat="1">
      <c r="C103" s="120" t="s">
        <v>57</v>
      </c>
      <c r="D103" s="34" t="s">
        <v>1054</v>
      </c>
      <c r="E103" s="34"/>
      <c r="G103" s="572"/>
    </row>
    <row r="104" spans="3:21" s="9" customFormat="1">
      <c r="D104" s="592" t="s">
        <v>237</v>
      </c>
      <c r="E104" s="970"/>
      <c r="G104" s="572"/>
    </row>
    <row r="105" spans="3:21" s="9" customFormat="1">
      <c r="D105" s="332" t="s">
        <v>91</v>
      </c>
      <c r="E105" s="43"/>
      <c r="F105" s="24"/>
      <c r="G105" s="359"/>
    </row>
    <row r="106" spans="3:21" s="9" customFormat="1">
      <c r="D106" s="135">
        <f>'Overall Assumptions'!$C$6</f>
        <v>100</v>
      </c>
      <c r="E106" s="246" t="s">
        <v>967</v>
      </c>
      <c r="F106"/>
      <c r="G106" s="359"/>
    </row>
    <row r="107" spans="3:21" s="9" customFormat="1">
      <c r="D107" s="332">
        <f>'Overall Assumptions'!$C$115</f>
        <v>3</v>
      </c>
      <c r="E107" s="131" t="str">
        <f>'Overall Assumptions'!$D$115</f>
        <v>weeks</v>
      </c>
      <c r="F107"/>
      <c r="G107" s="359"/>
    </row>
    <row r="108" spans="3:21" s="9" customFormat="1">
      <c r="C108" s="105"/>
      <c r="D108" s="332">
        <f>'Overall Assumptions'!$C$116</f>
        <v>15</v>
      </c>
      <c r="E108" s="131" t="str">
        <f>'Overall Assumptions'!$D$116</f>
        <v>days</v>
      </c>
      <c r="F108"/>
      <c r="G108" s="359"/>
    </row>
    <row r="109" spans="3:21" s="9" customFormat="1">
      <c r="C109" s="105"/>
      <c r="D109" s="332"/>
      <c r="E109" s="43"/>
      <c r="F109"/>
      <c r="G109" s="359"/>
    </row>
    <row r="110" spans="3:21" s="9" customFormat="1">
      <c r="C110" s="105"/>
      <c r="D110" s="268">
        <v>1</v>
      </c>
      <c r="E110" s="43" t="s">
        <v>245</v>
      </c>
      <c r="F110"/>
      <c r="G110" s="359"/>
    </row>
    <row r="111" spans="3:21" s="9" customFormat="1">
      <c r="C111" s="105"/>
      <c r="D111" s="332"/>
      <c r="E111" s="43"/>
      <c r="F111"/>
      <c r="G111" s="359"/>
    </row>
    <row r="112" spans="3:21" s="9" customFormat="1">
      <c r="C112" s="105"/>
      <c r="D112" s="332"/>
      <c r="E112" s="43"/>
      <c r="F112"/>
      <c r="G112" s="359"/>
    </row>
    <row r="113" spans="3:8" s="9" customFormat="1">
      <c r="C113" s="105"/>
      <c r="D113" s="332" t="str">
        <f>'Overall Assumptions'!$D$76</f>
        <v>Daily rate (AUD) for labour assuming 7.5 hours/day</v>
      </c>
      <c r="E113" s="246"/>
      <c r="F113"/>
      <c r="G113" s="359"/>
    </row>
    <row r="114" spans="3:8" s="9" customFormat="1">
      <c r="D114" s="614">
        <f>'Overall Assumptions'!$C$68</f>
        <v>225</v>
      </c>
      <c r="E114" s="246" t="str">
        <f>'Overall Assumptions'!$B$67</f>
        <v>Labour 1- APS Low (Entry lvl)</v>
      </c>
      <c r="F114"/>
      <c r="G114" s="359"/>
    </row>
    <row r="115" spans="3:8" s="9" customFormat="1">
      <c r="D115" s="399">
        <f>'Overall Assumptions'!$C$72</f>
        <v>337.5</v>
      </c>
      <c r="E115" s="530" t="str">
        <f>'Overall Assumptions'!$B$71</f>
        <v>Labour 2 - APS High (Experienced)</v>
      </c>
      <c r="F115"/>
      <c r="G115" s="359"/>
    </row>
    <row r="116" spans="3:8" s="9" customFormat="1">
      <c r="D116" s="112">
        <f>'Overall Assumptions'!$C$76</f>
        <v>487.5</v>
      </c>
      <c r="E116" s="45" t="str">
        <f>'Overall Assumptions'!$B$75</f>
        <v>Labour 3 - EL (Management)</v>
      </c>
      <c r="F116"/>
      <c r="G116" s="359"/>
    </row>
    <row r="117" spans="3:8" s="9" customFormat="1">
      <c r="D117" s="33"/>
      <c r="E117" s="16"/>
      <c r="F117"/>
      <c r="G117" s="359"/>
    </row>
    <row r="118" spans="3:8" s="9" customFormat="1">
      <c r="D118" s="531"/>
      <c r="E118" s="33"/>
      <c r="F118"/>
      <c r="G118" s="359"/>
    </row>
    <row r="119" spans="3:8" s="9" customFormat="1">
      <c r="D119" s="912"/>
      <c r="E119" s="16"/>
      <c r="F119"/>
      <c r="G119" s="359"/>
    </row>
    <row r="120" spans="3:8" s="9" customFormat="1">
      <c r="D120" s="33"/>
      <c r="E120" s="16"/>
      <c r="F120"/>
      <c r="G120" s="359"/>
    </row>
    <row r="121" spans="3:8" s="9" customFormat="1">
      <c r="D121" s="33"/>
      <c r="E121" s="16"/>
      <c r="F121"/>
      <c r="G121" s="359"/>
    </row>
    <row r="122" spans="3:8" s="9" customFormat="1">
      <c r="D122" s="175"/>
      <c r="E122" s="164" t="s">
        <v>155</v>
      </c>
      <c r="F122" s="255" t="s">
        <v>166</v>
      </c>
      <c r="G122" s="1090" t="s">
        <v>69</v>
      </c>
      <c r="H122" s="108"/>
    </row>
    <row r="123" spans="3:8" s="9" customFormat="1">
      <c r="D123" s="405" t="s">
        <v>3</v>
      </c>
      <c r="E123" s="509">
        <f>D108</f>
        <v>15</v>
      </c>
      <c r="F123" s="321">
        <f>D108*D115</f>
        <v>5062.5</v>
      </c>
      <c r="G123" s="1091" t="s">
        <v>162</v>
      </c>
      <c r="H123" s="323"/>
    </row>
    <row r="124" spans="3:8" s="9" customFormat="1">
      <c r="D124" s="105"/>
      <c r="E124" s="34"/>
    </row>
    <row r="125" spans="3:8" s="7" customFormat="1">
      <c r="D125" s="35"/>
      <c r="E125" s="36"/>
    </row>
    <row r="126" spans="3:8">
      <c r="C126" s="8" t="s">
        <v>1109</v>
      </c>
      <c r="D126" s="16" t="s">
        <v>163</v>
      </c>
      <c r="G126" s="359"/>
    </row>
    <row r="127" spans="3:8">
      <c r="D127"/>
      <c r="G127" s="359"/>
    </row>
    <row r="128" spans="3:8">
      <c r="D128"/>
      <c r="E128"/>
      <c r="G128" s="359"/>
    </row>
    <row r="129" spans="4:8">
      <c r="D129" s="592" t="s">
        <v>179</v>
      </c>
      <c r="E129" s="274"/>
      <c r="G129" s="359"/>
    </row>
    <row r="130" spans="4:8">
      <c r="D130" s="974">
        <f>'Overall Assumptions'!$C$6</f>
        <v>100</v>
      </c>
      <c r="E130" s="246" t="s">
        <v>451</v>
      </c>
      <c r="G130" s="359"/>
    </row>
    <row r="131" spans="4:8">
      <c r="D131" s="408">
        <f>'Overall Assumptions'!$C$120</f>
        <v>0.3</v>
      </c>
      <c r="E131" s="483" t="str">
        <f>'Overall Assumptions'!$D$120</f>
        <v>Percentage of field that needs to be surveyed (ground)</v>
      </c>
      <c r="G131" s="359"/>
    </row>
    <row r="132" spans="4:8">
      <c r="D132" s="332">
        <f>D130*D131</f>
        <v>30</v>
      </c>
      <c r="E132" s="483" t="s">
        <v>450</v>
      </c>
      <c r="G132" s="359"/>
    </row>
    <row r="133" spans="4:8">
      <c r="D133" s="447">
        <v>1</v>
      </c>
      <c r="E133" s="483" t="s">
        <v>246</v>
      </c>
      <c r="G133" s="359"/>
    </row>
    <row r="134" spans="4:8">
      <c r="D134" s="482">
        <f>'Overall Assumptions'!$C$132</f>
        <v>0.5</v>
      </c>
      <c r="E134" s="43" t="s">
        <v>79</v>
      </c>
      <c r="G134" s="359"/>
    </row>
    <row r="135" spans="4:8">
      <c r="D135" s="54">
        <f>D132/D134</f>
        <v>60</v>
      </c>
      <c r="E135" s="483" t="s">
        <v>972</v>
      </c>
      <c r="G135" s="359"/>
    </row>
    <row r="136" spans="4:8">
      <c r="D136" s="42">
        <f>'Overall Assumptions'!$C$53</f>
        <v>4.46</v>
      </c>
      <c r="E136" s="631" t="s">
        <v>780</v>
      </c>
      <c r="G136" s="359"/>
    </row>
    <row r="137" spans="4:8">
      <c r="D137" s="42">
        <f>'Overall Assumptions'!$C$54</f>
        <v>3.3449999999999998</v>
      </c>
      <c r="E137" s="631" t="s">
        <v>781</v>
      </c>
      <c r="G137" s="359"/>
    </row>
    <row r="138" spans="4:8">
      <c r="D138" s="125">
        <f>'Overall Assumptions'!$C$55</f>
        <v>2.23</v>
      </c>
      <c r="E138" s="635" t="s">
        <v>782</v>
      </c>
      <c r="G138" s="359"/>
    </row>
    <row r="139" spans="4:8">
      <c r="G139" s="359"/>
    </row>
    <row r="140" spans="4:8">
      <c r="D140" s="25"/>
      <c r="G140" s="359"/>
    </row>
    <row r="141" spans="4:8">
      <c r="D141" s="151" t="s">
        <v>179</v>
      </c>
      <c r="E141" s="164"/>
      <c r="F141" s="255"/>
      <c r="G141" s="1090"/>
      <c r="H141" s="161"/>
    </row>
    <row r="142" spans="4:8">
      <c r="D142" s="444">
        <f>10/60</f>
        <v>0.16666666666666666</v>
      </c>
      <c r="E142" s="443" t="s">
        <v>1134</v>
      </c>
      <c r="F142" s="465"/>
      <c r="G142" s="1097"/>
      <c r="H142" s="466"/>
    </row>
    <row r="143" spans="4:8">
      <c r="D143" s="332">
        <f>D132/D134</f>
        <v>60</v>
      </c>
      <c r="E143" s="76" t="s">
        <v>253</v>
      </c>
      <c r="F143" s="79"/>
      <c r="G143" s="1119"/>
      <c r="H143" s="246"/>
    </row>
    <row r="144" spans="4:8">
      <c r="D144" s="154">
        <f>D142*D143</f>
        <v>10</v>
      </c>
      <c r="E144" s="333" t="s">
        <v>1135</v>
      </c>
      <c r="F144" s="439"/>
      <c r="G144" s="1098"/>
      <c r="H144" s="162"/>
    </row>
    <row r="145" spans="3:10" s="79" customFormat="1">
      <c r="D145" s="66"/>
      <c r="E145" s="76"/>
      <c r="G145" s="1119"/>
    </row>
    <row r="146" spans="3:10">
      <c r="D146"/>
      <c r="E146"/>
      <c r="F146" s="432"/>
      <c r="G146" s="1099"/>
    </row>
    <row r="147" spans="3:10" ht="19">
      <c r="C147" t="s">
        <v>50</v>
      </c>
      <c r="D147" s="37" t="s">
        <v>81</v>
      </c>
      <c r="E147" s="24"/>
      <c r="F147" s="1"/>
      <c r="G147" s="1100"/>
      <c r="H147" s="3"/>
      <c r="I147" s="3"/>
      <c r="J147" s="3"/>
    </row>
    <row r="148" spans="3:10">
      <c r="F148" s="1"/>
      <c r="G148" s="1100"/>
      <c r="H148" s="3"/>
      <c r="I148" s="3"/>
      <c r="J148" s="3"/>
    </row>
    <row r="149" spans="3:10">
      <c r="D149" s="160" t="s">
        <v>408</v>
      </c>
      <c r="G149" s="359"/>
    </row>
    <row r="150" spans="3:10">
      <c r="G150" s="359"/>
    </row>
    <row r="151" spans="3:10">
      <c r="D151" s="50"/>
      <c r="G151" s="359"/>
    </row>
    <row r="152" spans="3:10">
      <c r="D152" s="51" t="s">
        <v>82</v>
      </c>
      <c r="E152" s="273"/>
      <c r="F152" s="274"/>
      <c r="G152" s="359"/>
    </row>
    <row r="153" spans="3:10" ht="19">
      <c r="D153" s="54">
        <f>'Overall Assumptions'!$C$68</f>
        <v>225</v>
      </c>
      <c r="E153" s="1215" t="s">
        <v>99</v>
      </c>
      <c r="F153" s="246"/>
      <c r="G153" s="359"/>
    </row>
    <row r="154" spans="3:10">
      <c r="D154" s="54">
        <f>'Overall Assumptions'!$C$130</f>
        <v>2</v>
      </c>
      <c r="E154" s="76" t="s">
        <v>84</v>
      </c>
      <c r="F154" s="246"/>
      <c r="G154" s="359"/>
    </row>
    <row r="155" spans="3:10">
      <c r="D155" s="152"/>
      <c r="E155" s="76"/>
      <c r="F155" s="246"/>
      <c r="G155" s="359"/>
    </row>
    <row r="156" spans="3:10">
      <c r="D156" s="42">
        <f>'Overall Assumptions'!$C$53</f>
        <v>4.46</v>
      </c>
      <c r="E156" s="629" t="s">
        <v>780</v>
      </c>
      <c r="F156" s="246"/>
      <c r="G156" s="359"/>
    </row>
    <row r="157" spans="3:10">
      <c r="D157" s="42">
        <f>'Overall Assumptions'!$C$54</f>
        <v>3.3449999999999998</v>
      </c>
      <c r="E157" s="629" t="s">
        <v>781</v>
      </c>
      <c r="F157" s="246"/>
      <c r="G157" s="359"/>
    </row>
    <row r="158" spans="3:10">
      <c r="D158" s="42">
        <f>'Overall Assumptions'!$C$55</f>
        <v>2.23</v>
      </c>
      <c r="E158" s="629" t="s">
        <v>782</v>
      </c>
      <c r="F158" s="246"/>
      <c r="G158" s="359"/>
    </row>
    <row r="159" spans="3:10">
      <c r="D159" s="616"/>
      <c r="E159" s="833"/>
      <c r="F159" s="246"/>
      <c r="G159" s="359"/>
    </row>
    <row r="160" spans="3:10">
      <c r="D160" s="467">
        <f>D135</f>
        <v>60</v>
      </c>
      <c r="E160" s="1216" t="str">
        <f>E135</f>
        <v>Effective distance to be walked along</v>
      </c>
      <c r="F160" s="246"/>
      <c r="G160" s="359"/>
    </row>
    <row r="161" spans="3:10">
      <c r="D161" s="467"/>
      <c r="E161" s="76"/>
      <c r="F161" s="246"/>
      <c r="G161" s="359"/>
    </row>
    <row r="162" spans="3:10">
      <c r="D162" s="468">
        <f>D144/7.5</f>
        <v>1.3333333333333333</v>
      </c>
      <c r="E162" s="76" t="s">
        <v>464</v>
      </c>
      <c r="F162" s="246"/>
      <c r="G162" s="359"/>
    </row>
    <row r="163" spans="3:10">
      <c r="D163" s="54">
        <f>'Overall Assumptions'!$C$10</f>
        <v>0</v>
      </c>
      <c r="E163" s="76" t="s">
        <v>85</v>
      </c>
      <c r="F163" s="246"/>
      <c r="G163" s="359"/>
    </row>
    <row r="164" spans="3:10">
      <c r="D164" s="54">
        <f>'Overall Assumptions'!$C$90</f>
        <v>80</v>
      </c>
      <c r="E164" s="76" t="s">
        <v>86</v>
      </c>
      <c r="F164" s="246"/>
      <c r="G164" s="359"/>
    </row>
    <row r="165" spans="3:10">
      <c r="D165" s="56">
        <f>'Overall Assumptions'!$C$81</f>
        <v>210</v>
      </c>
      <c r="E165" s="333" t="s">
        <v>87</v>
      </c>
      <c r="F165" s="162"/>
      <c r="G165" s="359"/>
      <c r="J165" s="578"/>
    </row>
    <row r="166" spans="3:10">
      <c r="D166" s="57"/>
      <c r="G166" s="359"/>
    </row>
    <row r="167" spans="3:10">
      <c r="C167" s="21"/>
      <c r="G167" s="359"/>
      <c r="J167" s="90"/>
    </row>
    <row r="168" spans="3:10">
      <c r="C168" s="21"/>
      <c r="D168" s="59" t="s">
        <v>735</v>
      </c>
      <c r="E168" s="2" t="s">
        <v>218</v>
      </c>
      <c r="F168" s="2" t="s">
        <v>733</v>
      </c>
      <c r="G168" s="359" t="s">
        <v>796</v>
      </c>
    </row>
    <row r="169" spans="3:10">
      <c r="C169" s="21"/>
      <c r="D169" s="46">
        <f>D156</f>
        <v>4.46</v>
      </c>
      <c r="E169" s="46">
        <f>D157</f>
        <v>3.3449999999999998</v>
      </c>
      <c r="F169" s="1219">
        <f>D158</f>
        <v>2.23</v>
      </c>
      <c r="G169" s="359" t="s">
        <v>254</v>
      </c>
      <c r="J169" s="90"/>
    </row>
    <row r="170" spans="3:10">
      <c r="C170" s="21"/>
      <c r="D170" s="77">
        <f>2*D163/D164/7.5</f>
        <v>0</v>
      </c>
      <c r="E170" s="77">
        <f>D170</f>
        <v>0</v>
      </c>
      <c r="F170" s="77">
        <f>E170</f>
        <v>0</v>
      </c>
      <c r="G170" s="59" t="s">
        <v>95</v>
      </c>
      <c r="J170" s="90"/>
    </row>
    <row r="171" spans="3:10">
      <c r="C171" s="21"/>
      <c r="D171" s="77"/>
      <c r="G171" s="16" t="s">
        <v>778</v>
      </c>
      <c r="J171" s="90"/>
    </row>
    <row r="172" spans="3:10">
      <c r="C172" s="21"/>
      <c r="G172" s="359"/>
    </row>
    <row r="173" spans="3:10" ht="18" customHeight="1">
      <c r="C173" s="21"/>
      <c r="D173" s="77">
        <f>$D160/D169/7.5</f>
        <v>1.7937219730941705</v>
      </c>
      <c r="E173" s="77">
        <f>$D160/E169/7.5</f>
        <v>2.391629297458894</v>
      </c>
      <c r="F173" s="77">
        <f>$D160/F169/7.5</f>
        <v>3.5874439461883409</v>
      </c>
      <c r="G173" s="693" t="s">
        <v>96</v>
      </c>
    </row>
    <row r="174" spans="3:10" ht="18" customHeight="1">
      <c r="C174" s="21"/>
      <c r="D174" s="77">
        <f>$D162</f>
        <v>1.3333333333333333</v>
      </c>
      <c r="E174" s="77">
        <f>$D162</f>
        <v>1.3333333333333333</v>
      </c>
      <c r="F174" s="77">
        <f>$D162</f>
        <v>1.3333333333333333</v>
      </c>
      <c r="G174" s="693" t="s">
        <v>786</v>
      </c>
    </row>
    <row r="175" spans="3:10" ht="18" customHeight="1">
      <c r="C175" s="21"/>
      <c r="D175" s="77">
        <f>SUM(D173:D174)</f>
        <v>3.1270553064275037</v>
      </c>
      <c r="E175" s="77">
        <f>SUM(E173:E174)</f>
        <v>3.724962630792227</v>
      </c>
      <c r="F175" s="77">
        <f>SUM(F173:F174)</f>
        <v>4.9207772795216744</v>
      </c>
      <c r="G175" s="693" t="s">
        <v>171</v>
      </c>
    </row>
    <row r="176" spans="3:10" ht="18" customHeight="1">
      <c r="C176" s="21"/>
      <c r="D176" s="16"/>
      <c r="E176"/>
      <c r="G176" s="359"/>
    </row>
    <row r="177" spans="3:11" ht="18" customHeight="1">
      <c r="C177" s="21"/>
      <c r="D177" s="77">
        <f>D175*$D154</f>
        <v>6.2541106128550075</v>
      </c>
      <c r="E177" s="77">
        <f>E175*$D154</f>
        <v>7.449925261584454</v>
      </c>
      <c r="F177" s="77">
        <f>F175*$D154</f>
        <v>9.8415545590433489</v>
      </c>
      <c r="G177" s="99" t="s">
        <v>787</v>
      </c>
    </row>
    <row r="178" spans="3:11">
      <c r="C178" s="21"/>
      <c r="D178" s="16"/>
      <c r="E178"/>
      <c r="G178" s="99"/>
    </row>
    <row r="179" spans="3:11">
      <c r="C179" s="21"/>
      <c r="D179" s="63"/>
      <c r="E179" s="63"/>
      <c r="F179" s="63"/>
      <c r="G179" s="99"/>
      <c r="J179" s="90"/>
    </row>
    <row r="180" spans="3:11">
      <c r="C180" s="21"/>
      <c r="D180" s="63"/>
      <c r="E180" s="63"/>
      <c r="F180" s="63"/>
      <c r="G180" s="99"/>
      <c r="J180" s="259"/>
      <c r="K180" s="16"/>
    </row>
    <row r="181" spans="3:11">
      <c r="C181" s="21"/>
      <c r="D181" s="64">
        <f>D177*$D153</f>
        <v>1407.1748878923768</v>
      </c>
      <c r="E181" s="905">
        <f>E177*$D153</f>
        <v>1676.2331838565021</v>
      </c>
      <c r="F181" s="905">
        <f>F177*$D153</f>
        <v>2214.3497757847535</v>
      </c>
      <c r="G181" s="1101" t="s">
        <v>486</v>
      </c>
      <c r="J181" s="259"/>
      <c r="K181" s="16"/>
    </row>
    <row r="182" spans="3:11">
      <c r="F182" s="16"/>
      <c r="G182" s="99"/>
    </row>
    <row r="183" spans="3:11">
      <c r="D183" s="75"/>
      <c r="E183" s="75"/>
      <c r="F183" s="75"/>
      <c r="G183" s="99"/>
      <c r="J183" s="65"/>
      <c r="K183" s="24"/>
    </row>
    <row r="184" spans="3:11" ht="19">
      <c r="C184" t="s">
        <v>64</v>
      </c>
      <c r="D184" s="37" t="s">
        <v>89</v>
      </c>
      <c r="G184" s="359"/>
    </row>
    <row r="185" spans="3:11">
      <c r="C185" t="s">
        <v>54</v>
      </c>
      <c r="G185" s="359"/>
    </row>
    <row r="186" spans="3:11">
      <c r="G186" s="359"/>
    </row>
    <row r="187" spans="3:11">
      <c r="D187" s="16"/>
      <c r="G187" s="359"/>
    </row>
    <row r="188" spans="3:11">
      <c r="D188" s="67" t="s">
        <v>91</v>
      </c>
      <c r="E188" s="41"/>
      <c r="G188" s="359"/>
    </row>
    <row r="189" spans="3:11">
      <c r="D189" s="52">
        <f>'Overall Assumptions'!$C$93</f>
        <v>285</v>
      </c>
      <c r="E189" s="41" t="s">
        <v>93</v>
      </c>
      <c r="G189" s="359"/>
    </row>
    <row r="190" spans="3:11">
      <c r="D190" s="54">
        <f>'Overall Assumptions'!$C$10</f>
        <v>0</v>
      </c>
      <c r="E190" s="43" t="s">
        <v>85</v>
      </c>
      <c r="G190" s="359"/>
    </row>
    <row r="191" spans="3:11">
      <c r="D191" s="54"/>
      <c r="E191" s="43"/>
      <c r="G191" s="359"/>
    </row>
    <row r="192" spans="3:11">
      <c r="D192" s="616"/>
      <c r="E192" s="43"/>
      <c r="G192" s="359"/>
    </row>
    <row r="193" spans="4:11">
      <c r="D193" s="56"/>
      <c r="E193" s="45"/>
      <c r="G193" s="359"/>
      <c r="J193" s="578"/>
    </row>
    <row r="194" spans="4:11">
      <c r="D194" s="75"/>
      <c r="G194" s="359"/>
    </row>
    <row r="195" spans="4:11">
      <c r="D195" s="46">
        <f>D167</f>
        <v>0</v>
      </c>
      <c r="E195" s="46">
        <f>D195</f>
        <v>0</v>
      </c>
      <c r="F195" s="46">
        <f>E195</f>
        <v>0</v>
      </c>
      <c r="G195" s="693"/>
      <c r="J195" s="532"/>
      <c r="K195" s="59"/>
    </row>
    <row r="196" spans="4:11">
      <c r="D196" s="46">
        <f t="shared" ref="D196:F197" si="31">D173</f>
        <v>1.7937219730941705</v>
      </c>
      <c r="E196" s="46">
        <f t="shared" si="31"/>
        <v>2.391629297458894</v>
      </c>
      <c r="F196" s="46">
        <f t="shared" si="31"/>
        <v>3.5874439461883409</v>
      </c>
      <c r="G196" s="693" t="s">
        <v>98</v>
      </c>
      <c r="K196" s="59"/>
    </row>
    <row r="197" spans="4:11">
      <c r="D197" s="46">
        <f t="shared" si="31"/>
        <v>1.3333333333333333</v>
      </c>
      <c r="E197" s="46">
        <f t="shared" si="31"/>
        <v>1.3333333333333333</v>
      </c>
      <c r="F197" s="46">
        <f t="shared" si="31"/>
        <v>1.3333333333333333</v>
      </c>
      <c r="G197" s="693" t="str">
        <f>G174</f>
        <v>3rd term is the days required to do all activities (for one person)</v>
      </c>
      <c r="K197" s="59"/>
    </row>
    <row r="198" spans="4:11">
      <c r="D198" s="46"/>
      <c r="E198" s="46"/>
      <c r="F198" s="46"/>
      <c r="G198" s="693"/>
      <c r="K198" s="59"/>
    </row>
    <row r="199" spans="4:11">
      <c r="D199" s="46">
        <f>SUM(D195:D197)</f>
        <v>3.1270553064275037</v>
      </c>
      <c r="E199" s="46">
        <f>SUM(E195:E197)</f>
        <v>3.724962630792227</v>
      </c>
      <c r="F199" s="46">
        <f>SUM(F195:F197)</f>
        <v>4.9207772795216744</v>
      </c>
      <c r="G199" s="693" t="s">
        <v>135</v>
      </c>
      <c r="J199" s="90"/>
    </row>
    <row r="200" spans="4:11">
      <c r="D200" s="46"/>
      <c r="E200" s="59"/>
      <c r="G200" s="359"/>
      <c r="J200" s="90"/>
    </row>
    <row r="201" spans="4:11">
      <c r="D201" s="63"/>
      <c r="E201" s="63"/>
      <c r="F201" s="63"/>
      <c r="G201" s="99"/>
      <c r="J201" s="259"/>
      <c r="K201" s="16"/>
    </row>
    <row r="202" spans="4:11">
      <c r="D202" s="63"/>
      <c r="E202" s="63"/>
      <c r="F202" s="63"/>
      <c r="G202" s="99"/>
      <c r="J202" s="259"/>
      <c r="K202" s="16"/>
    </row>
    <row r="203" spans="4:11">
      <c r="D203" s="63"/>
      <c r="E203" s="63"/>
      <c r="F203" s="63"/>
      <c r="G203" s="99"/>
      <c r="J203" s="259"/>
      <c r="K203" s="16"/>
    </row>
    <row r="204" spans="4:11">
      <c r="D204" s="68">
        <f>D199*$D189</f>
        <v>891.21076233183851</v>
      </c>
      <c r="E204" s="906">
        <f>E199*$D189</f>
        <v>1061.6143497757846</v>
      </c>
      <c r="F204" s="906">
        <f>F199*$D189</f>
        <v>1402.4215246636772</v>
      </c>
      <c r="G204" s="1101" t="s">
        <v>53</v>
      </c>
      <c r="J204" s="65"/>
      <c r="K204" s="24"/>
    </row>
    <row r="205" spans="4:11">
      <c r="D205" s="432"/>
      <c r="G205" s="359"/>
      <c r="J205" s="65"/>
      <c r="K205" s="24"/>
    </row>
    <row r="206" spans="4:11">
      <c r="D206" s="46">
        <f>D199</f>
        <v>3.1270553064275037</v>
      </c>
      <c r="E206" s="46">
        <f>E199</f>
        <v>3.724962630792227</v>
      </c>
      <c r="F206" s="46">
        <f>F199</f>
        <v>4.9207772795216744</v>
      </c>
      <c r="G206" s="359" t="s">
        <v>795</v>
      </c>
      <c r="J206" s="65"/>
      <c r="K206" s="24"/>
    </row>
    <row r="207" spans="4:11">
      <c r="D207" s="75">
        <f>ROUNDUP((D199/21),0)</f>
        <v>1</v>
      </c>
      <c r="E207" s="75">
        <f>ROUNDUP((E199/21),0)</f>
        <v>1</v>
      </c>
      <c r="F207" s="75">
        <f>ROUNDUP((F199/21),0)</f>
        <v>1</v>
      </c>
      <c r="G207" s="99" t="s">
        <v>739</v>
      </c>
      <c r="J207" s="65"/>
      <c r="K207" s="24"/>
    </row>
    <row r="208" spans="4:11">
      <c r="D208" s="432"/>
      <c r="G208" s="359"/>
      <c r="J208" s="65"/>
      <c r="K208" s="24"/>
    </row>
    <row r="209" spans="3:12">
      <c r="D209" s="65"/>
      <c r="E209" s="24"/>
      <c r="G209" s="359"/>
      <c r="J209" s="65"/>
      <c r="K209" s="24"/>
    </row>
    <row r="210" spans="3:12">
      <c r="C210" t="s">
        <v>70</v>
      </c>
      <c r="D210" s="58"/>
      <c r="E210" s="59" t="s">
        <v>156</v>
      </c>
      <c r="G210" s="359"/>
      <c r="J210" s="65"/>
      <c r="K210" s="24"/>
    </row>
    <row r="211" spans="3:12">
      <c r="D211" s="160" t="s">
        <v>238</v>
      </c>
      <c r="E211" s="59"/>
      <c r="G211" s="359"/>
      <c r="J211" s="65"/>
      <c r="K211" s="24"/>
    </row>
    <row r="212" spans="3:12">
      <c r="D212" s="58"/>
      <c r="E212" s="59"/>
      <c r="G212" s="359"/>
      <c r="J212" s="65"/>
      <c r="K212" s="24"/>
    </row>
    <row r="213" spans="3:12">
      <c r="D213" s="25">
        <f>D175</f>
        <v>3.1270553064275037</v>
      </c>
      <c r="E213" s="25">
        <f>E175</f>
        <v>3.724962630792227</v>
      </c>
      <c r="F213" s="25">
        <f>F175</f>
        <v>4.9207772795216744</v>
      </c>
      <c r="G213" s="99" t="s">
        <v>157</v>
      </c>
      <c r="J213" s="65"/>
      <c r="K213" s="24"/>
    </row>
    <row r="214" spans="3:12">
      <c r="D214" s="61">
        <f>FLOOR(D213,1)</f>
        <v>3</v>
      </c>
      <c r="E214" s="61">
        <f>FLOOR(E213,1)</f>
        <v>3</v>
      </c>
      <c r="F214" s="61">
        <f>FLOOR(F213,1)</f>
        <v>4</v>
      </c>
      <c r="G214" s="99" t="s">
        <v>73</v>
      </c>
      <c r="J214" s="65"/>
      <c r="K214" s="24"/>
    </row>
    <row r="215" spans="3:12">
      <c r="D215" s="65"/>
      <c r="G215" s="1102"/>
      <c r="J215" s="65"/>
      <c r="K215" s="24"/>
    </row>
    <row r="216" spans="3:12">
      <c r="D216" s="65">
        <f>D214*$D154</f>
        <v>6</v>
      </c>
      <c r="E216" s="65">
        <f>E214*$D154</f>
        <v>6</v>
      </c>
      <c r="F216" s="65">
        <f>F214*$D154</f>
        <v>8</v>
      </c>
      <c r="G216" s="1102" t="s">
        <v>88</v>
      </c>
      <c r="J216" s="65"/>
      <c r="K216" s="24"/>
    </row>
    <row r="217" spans="3:12">
      <c r="D217" s="102">
        <f>D216*$D165</f>
        <v>1260</v>
      </c>
      <c r="E217" s="907">
        <f>E216*$D165</f>
        <v>1260</v>
      </c>
      <c r="F217" s="907">
        <f>F216*$D165</f>
        <v>1680</v>
      </c>
      <c r="G217" s="1101" t="s">
        <v>74</v>
      </c>
      <c r="J217" s="259"/>
      <c r="K217" s="16"/>
    </row>
    <row r="218" spans="3:12">
      <c r="D218" s="825"/>
      <c r="E218" s="1" t="s">
        <v>788</v>
      </c>
      <c r="F218" s="1" t="s">
        <v>779</v>
      </c>
      <c r="G218" s="1" t="s">
        <v>789</v>
      </c>
      <c r="H218" s="1" t="s">
        <v>788</v>
      </c>
      <c r="I218" s="1" t="s">
        <v>779</v>
      </c>
      <c r="J218" s="1" t="s">
        <v>789</v>
      </c>
    </row>
    <row r="219" spans="3:12">
      <c r="D219" s="617" t="s">
        <v>172</v>
      </c>
      <c r="E219" s="618" t="s">
        <v>155</v>
      </c>
      <c r="F219" s="618" t="s">
        <v>173</v>
      </c>
      <c r="G219" s="1103" t="s">
        <v>174</v>
      </c>
      <c r="H219" s="618" t="s">
        <v>166</v>
      </c>
      <c r="I219" s="618" t="s">
        <v>166</v>
      </c>
      <c r="J219" s="618" t="s">
        <v>166</v>
      </c>
      <c r="K219" s="619" t="s">
        <v>69</v>
      </c>
    </row>
    <row r="220" spans="3:12">
      <c r="D220" s="404" t="s">
        <v>3</v>
      </c>
      <c r="E220" s="90">
        <f>D177</f>
        <v>6.2541106128550075</v>
      </c>
      <c r="F220" s="90">
        <f t="shared" ref="F220:G220" si="32">E177</f>
        <v>7.449925261584454</v>
      </c>
      <c r="G220" s="90">
        <f t="shared" si="32"/>
        <v>9.8415545590433489</v>
      </c>
      <c r="H220" s="432">
        <f>D181</f>
        <v>1407.1748878923768</v>
      </c>
      <c r="I220" s="432">
        <f>E181</f>
        <v>1676.2331838565021</v>
      </c>
      <c r="J220" s="432">
        <f>F181</f>
        <v>2214.3497757847535</v>
      </c>
      <c r="K220" s="830" t="str">
        <f>G181</f>
        <v>Cost for labour</v>
      </c>
      <c r="L220" s="558">
        <f>D133</f>
        <v>1</v>
      </c>
    </row>
    <row r="221" spans="3:12">
      <c r="D221" s="404" t="s">
        <v>490</v>
      </c>
      <c r="E221" s="90">
        <f>D199</f>
        <v>3.1270553064275037</v>
      </c>
      <c r="F221" s="90">
        <f t="shared" ref="F221:G221" si="33">E199</f>
        <v>3.724962630792227</v>
      </c>
      <c r="G221" s="90">
        <f t="shared" si="33"/>
        <v>4.9207772795216744</v>
      </c>
      <c r="H221" s="432">
        <f>D204</f>
        <v>891.21076233183851</v>
      </c>
      <c r="I221" s="432">
        <f>E204</f>
        <v>1061.6143497757846</v>
      </c>
      <c r="J221" s="432">
        <f>F204</f>
        <v>1402.4215246636772</v>
      </c>
      <c r="K221" s="830" t="str">
        <f>G204</f>
        <v>Cost for ute hire for the whole activity</v>
      </c>
      <c r="L221" s="558">
        <f>L220</f>
        <v>1</v>
      </c>
    </row>
    <row r="222" spans="3:12">
      <c r="D222" s="404" t="s">
        <v>169</v>
      </c>
      <c r="E222" s="90">
        <f>D216</f>
        <v>6</v>
      </c>
      <c r="F222" s="90">
        <f t="shared" ref="F222:G222" si="34">E216</f>
        <v>6</v>
      </c>
      <c r="G222" s="90">
        <f t="shared" si="34"/>
        <v>8</v>
      </c>
      <c r="H222" s="432">
        <f>D217</f>
        <v>1260</v>
      </c>
      <c r="I222" s="432">
        <f>E217</f>
        <v>1260</v>
      </c>
      <c r="J222" s="432">
        <f>F217</f>
        <v>1680</v>
      </c>
      <c r="K222" s="830" t="str">
        <f>G217</f>
        <v>Accomodation + Food Cost</v>
      </c>
      <c r="L222" s="558">
        <f>L221</f>
        <v>1</v>
      </c>
    </row>
    <row r="223" spans="3:12">
      <c r="D223" s="404"/>
      <c r="E223" s="90"/>
      <c r="F223" s="531"/>
      <c r="G223" s="359"/>
      <c r="H223" s="432"/>
      <c r="I223" s="259"/>
      <c r="J223" s="259"/>
      <c r="K223" s="830"/>
      <c r="L223" s="558"/>
    </row>
    <row r="224" spans="3:12">
      <c r="D224" s="404"/>
      <c r="E224" s="90"/>
      <c r="F224" s="531"/>
      <c r="G224" s="359"/>
      <c r="H224" s="432"/>
      <c r="I224" s="259"/>
      <c r="J224" s="259"/>
      <c r="K224" s="830"/>
    </row>
    <row r="225" spans="3:11">
      <c r="D225" s="405"/>
      <c r="E225" s="439"/>
      <c r="F225" s="439"/>
      <c r="G225" s="1098"/>
      <c r="H225" s="622">
        <f>SUM(H220:H224)</f>
        <v>3558.3856502242152</v>
      </c>
      <c r="I225" s="622">
        <f>SUM(I220:I224)</f>
        <v>3997.8475336322867</v>
      </c>
      <c r="J225" s="622">
        <f>SUM(J220:J224)</f>
        <v>5296.7713004484303</v>
      </c>
      <c r="K225" s="623" t="s">
        <v>165</v>
      </c>
    </row>
    <row r="226" spans="3:11">
      <c r="D226"/>
      <c r="E226"/>
      <c r="F226" s="432"/>
      <c r="G226" s="1099"/>
    </row>
    <row r="227" spans="3:11">
      <c r="D227" s="25"/>
      <c r="G227" s="359"/>
    </row>
    <row r="228" spans="3:11" s="7" customFormat="1">
      <c r="D228" s="69"/>
      <c r="E228" s="36"/>
    </row>
    <row r="229" spans="3:11" s="9" customFormat="1">
      <c r="E229" s="34"/>
      <c r="F229" s="34"/>
    </row>
    <row r="230" spans="3:11" s="9" customFormat="1">
      <c r="C230" s="120" t="s">
        <v>1110</v>
      </c>
      <c r="E230" s="34"/>
      <c r="F230" s="9" t="s">
        <v>1237</v>
      </c>
    </row>
    <row r="231" spans="3:11" s="9" customFormat="1">
      <c r="E231" s="34"/>
      <c r="F231" s="9" t="s">
        <v>627</v>
      </c>
    </row>
    <row r="232" spans="3:11" s="9" customFormat="1">
      <c r="F232" s="34" t="s">
        <v>614</v>
      </c>
    </row>
    <row r="233" spans="3:11" s="9" customFormat="1">
      <c r="F233" s="9" t="s">
        <v>615</v>
      </c>
    </row>
    <row r="234" spans="3:11" s="9" customFormat="1">
      <c r="F234" s="9" t="s">
        <v>616</v>
      </c>
    </row>
    <row r="235" spans="3:11" s="9" customFormat="1">
      <c r="F235" s="9" t="s">
        <v>617</v>
      </c>
    </row>
    <row r="236" spans="3:11" s="9" customFormat="1"/>
    <row r="237" spans="3:11" s="9" customFormat="1">
      <c r="D237" s="1309" t="s">
        <v>91</v>
      </c>
      <c r="E237" s="970"/>
    </row>
    <row r="238" spans="3:11" s="9" customFormat="1">
      <c r="D238" s="98">
        <f>'Overall Assumptions'!$C$6</f>
        <v>100</v>
      </c>
      <c r="E238" s="96" t="s">
        <v>902</v>
      </c>
      <c r="H238" s="9">
        <v>7</v>
      </c>
      <c r="I238" s="9" t="s">
        <v>2444</v>
      </c>
    </row>
    <row r="239" spans="3:11" s="9" customFormat="1">
      <c r="D239" s="535">
        <v>10</v>
      </c>
      <c r="E239" s="96" t="s">
        <v>611</v>
      </c>
      <c r="H239" s="533">
        <f>D238</f>
        <v>100</v>
      </c>
      <c r="I239" s="9" t="s">
        <v>2446</v>
      </c>
    </row>
    <row r="240" spans="3:11" s="9" customFormat="1">
      <c r="D240" s="1302">
        <f>1000000/D239</f>
        <v>100000</v>
      </c>
      <c r="E240" s="253" t="s">
        <v>610</v>
      </c>
      <c r="H240" s="1310">
        <f>D241</f>
        <v>3.1622776601683794E-3</v>
      </c>
      <c r="I240" s="9" t="s">
        <v>2522</v>
      </c>
    </row>
    <row r="241" spans="3:11" s="9" customFormat="1">
      <c r="D241" s="1310">
        <f>SQRT(D239/1000000)</f>
        <v>3.1622776601683794E-3</v>
      </c>
      <c r="E241" s="96" t="s">
        <v>1123</v>
      </c>
      <c r="H241" s="533">
        <f>H239/H240</f>
        <v>31622.776601683792</v>
      </c>
      <c r="I241" s="9" t="s">
        <v>2447</v>
      </c>
    </row>
    <row r="242" spans="3:11" s="9" customFormat="1">
      <c r="D242" s="1308">
        <f>D238/D241</f>
        <v>31622.776601683792</v>
      </c>
      <c r="E242" s="109" t="s">
        <v>1124</v>
      </c>
      <c r="F242" s="9" t="s">
        <v>1155</v>
      </c>
      <c r="H242" s="533">
        <f>H241/H238</f>
        <v>4517.5395145262564</v>
      </c>
      <c r="I242" s="9" t="s">
        <v>2445</v>
      </c>
    </row>
    <row r="243" spans="3:11" s="9" customFormat="1">
      <c r="D243" s="450">
        <v>1</v>
      </c>
      <c r="E243" s="97" t="s">
        <v>1125</v>
      </c>
      <c r="F243" s="1348">
        <v>0.3</v>
      </c>
      <c r="G243" s="108" t="s">
        <v>1156</v>
      </c>
      <c r="H243" s="533">
        <f>D240</f>
        <v>100000</v>
      </c>
      <c r="I243" s="247" t="str">
        <f>E240</f>
        <v>units /km2</v>
      </c>
    </row>
    <row r="244" spans="3:11" s="9" customFormat="1">
      <c r="D244" s="1341">
        <f>F244</f>
        <v>4.9999999999999996E-2</v>
      </c>
      <c r="E244" s="95" t="s">
        <v>1150</v>
      </c>
      <c r="F244" s="1345">
        <f>G244/SUM($G$244:$G$246)*F$243</f>
        <v>4.9999999999999996E-2</v>
      </c>
      <c r="G244" s="1341">
        <f>'Overall Assumptions'!$C$153</f>
        <v>0.05</v>
      </c>
      <c r="H244" s="2797">
        <f>H242/H243</f>
        <v>4.5175395145262566E-2</v>
      </c>
      <c r="I244" s="9" t="s">
        <v>2448</v>
      </c>
    </row>
    <row r="245" spans="3:11" s="9" customFormat="1">
      <c r="D245" s="1342">
        <f>F245</f>
        <v>9.9999999999999992E-2</v>
      </c>
      <c r="E245" s="96" t="s">
        <v>1151</v>
      </c>
      <c r="F245" s="1346">
        <f>G245/SUM($G$244:$G$246)*F$243</f>
        <v>9.9999999999999992E-2</v>
      </c>
      <c r="G245" s="1342">
        <f>'Overall Assumptions'!$C$154</f>
        <v>0.1</v>
      </c>
      <c r="H245" s="3628">
        <f>H244*60</f>
        <v>2.7105237087157539</v>
      </c>
      <c r="I245" s="256" t="s">
        <v>2449</v>
      </c>
    </row>
    <row r="246" spans="3:11" s="9" customFormat="1">
      <c r="D246" s="1343">
        <f>F246</f>
        <v>0.14999999999999997</v>
      </c>
      <c r="E246" s="97" t="s">
        <v>1149</v>
      </c>
      <c r="F246" s="1347">
        <f>G246/SUM($G$244:$G$246)*F$243</f>
        <v>0.14999999999999997</v>
      </c>
      <c r="G246" s="1343">
        <f>'Overall Assumptions'!$C$155</f>
        <v>0.15</v>
      </c>
      <c r="I246"/>
      <c r="K246" s="9">
        <f>3.16/1000</f>
        <v>3.16E-3</v>
      </c>
    </row>
    <row r="247" spans="3:11" s="9" customFormat="1">
      <c r="C247" s="1339"/>
      <c r="D247" s="124"/>
      <c r="I247"/>
    </row>
    <row r="248" spans="3:11" s="9" customFormat="1">
      <c r="C248" s="367"/>
      <c r="D248" s="124"/>
      <c r="I248" s="539"/>
    </row>
    <row r="249" spans="3:11" s="9" customFormat="1">
      <c r="C249" s="256" t="s">
        <v>1122</v>
      </c>
      <c r="I249">
        <f>10/1000000</f>
        <v>1.0000000000000001E-5</v>
      </c>
    </row>
    <row r="250" spans="3:11" s="9" customFormat="1">
      <c r="C250" s="256"/>
      <c r="I250" s="539">
        <f>100/I249</f>
        <v>10000000</v>
      </c>
    </row>
    <row r="251" spans="3:11" s="9" customFormat="1">
      <c r="D251" t="s">
        <v>692</v>
      </c>
      <c r="E251" s="9" t="s">
        <v>675</v>
      </c>
      <c r="F251" s="838" t="s">
        <v>676</v>
      </c>
      <c r="I251" s="3627">
        <f>I250/100</f>
        <v>100000</v>
      </c>
    </row>
    <row r="252" spans="3:11" s="9" customFormat="1">
      <c r="D252" s="567">
        <v>199</v>
      </c>
      <c r="E252" s="567">
        <v>699</v>
      </c>
      <c r="F252" s="1290">
        <v>385</v>
      </c>
      <c r="G252" t="s">
        <v>664</v>
      </c>
      <c r="H252"/>
    </row>
    <row r="253" spans="3:11" s="9" customFormat="1">
      <c r="D253" s="204">
        <f>D252/20</f>
        <v>9.9499999999999993</v>
      </c>
      <c r="E253" s="204">
        <f>E252/20</f>
        <v>34.950000000000003</v>
      </c>
      <c r="F253" s="1290">
        <f>F252/20</f>
        <v>19.25</v>
      </c>
      <c r="G253" t="s">
        <v>435</v>
      </c>
      <c r="H253"/>
    </row>
    <row r="254" spans="3:11" s="9" customFormat="1">
      <c r="D254" s="266">
        <v>1000</v>
      </c>
      <c r="E254" s="266">
        <v>500</v>
      </c>
      <c r="F254" s="838">
        <v>500</v>
      </c>
      <c r="G254" t="s">
        <v>669</v>
      </c>
      <c r="H254"/>
    </row>
    <row r="255" spans="3:11" s="9" customFormat="1">
      <c r="D255">
        <f>D254/100/1000</f>
        <v>0.01</v>
      </c>
      <c r="E255">
        <f>E254/100/1000</f>
        <v>5.0000000000000001E-3</v>
      </c>
      <c r="F255" s="838">
        <f>F254/100/1000</f>
        <v>5.0000000000000001E-3</v>
      </c>
      <c r="G255" t="s">
        <v>668</v>
      </c>
      <c r="H255"/>
    </row>
    <row r="256" spans="3:11" s="9" customFormat="1">
      <c r="D256" s="531">
        <f>$D$240</f>
        <v>100000</v>
      </c>
      <c r="E256" s="531">
        <f>$D$240</f>
        <v>100000</v>
      </c>
      <c r="F256" s="1291">
        <f>$D$240</f>
        <v>100000</v>
      </c>
      <c r="G256" t="s">
        <v>673</v>
      </c>
      <c r="H256"/>
    </row>
    <row r="257" spans="4:13" s="9" customFormat="1">
      <c r="D257"/>
      <c r="E257"/>
      <c r="F257" s="838"/>
      <c r="G257"/>
      <c r="H257"/>
    </row>
    <row r="258" spans="4:13" s="9" customFormat="1">
      <c r="D258" s="1" t="s">
        <v>599</v>
      </c>
      <c r="E258" s="1" t="s">
        <v>599</v>
      </c>
      <c r="F258" s="1292" t="s">
        <v>599</v>
      </c>
      <c r="G258"/>
      <c r="H258"/>
    </row>
    <row r="259" spans="4:13" s="9" customFormat="1">
      <c r="D259" s="566">
        <v>4000</v>
      </c>
      <c r="E259" s="566">
        <v>4000</v>
      </c>
      <c r="F259" s="1293">
        <v>4000</v>
      </c>
      <c r="G259" t="s">
        <v>666</v>
      </c>
      <c r="H259"/>
    </row>
    <row r="260" spans="4:13" s="9" customFormat="1">
      <c r="D260" s="540">
        <f>D259*100</f>
        <v>400000</v>
      </c>
      <c r="E260" s="540">
        <f>E259*100</f>
        <v>400000</v>
      </c>
      <c r="F260" s="1293">
        <f>F259*100</f>
        <v>400000</v>
      </c>
      <c r="G260" t="s">
        <v>670</v>
      </c>
      <c r="H260"/>
    </row>
    <row r="261" spans="4:13" s="9" customFormat="1">
      <c r="D261" s="531">
        <f>D255*D260</f>
        <v>4000</v>
      </c>
      <c r="E261" s="531">
        <f>E255*E260</f>
        <v>2000</v>
      </c>
      <c r="F261" s="1291">
        <f>F255*F260</f>
        <v>2000</v>
      </c>
      <c r="G261" t="s">
        <v>667</v>
      </c>
      <c r="H261"/>
    </row>
    <row r="262" spans="4:13" s="9" customFormat="1">
      <c r="D262" s="204">
        <f>D261*D253</f>
        <v>39800</v>
      </c>
      <c r="E262" s="204">
        <f>E261*E253</f>
        <v>69900</v>
      </c>
      <c r="F262" s="1290">
        <f>F261*F253</f>
        <v>38500</v>
      </c>
      <c r="G262" t="s">
        <v>671</v>
      </c>
    </row>
    <row r="263" spans="4:13" s="9" customFormat="1">
      <c r="D263" s="568">
        <f>D262/D256</f>
        <v>0.39800000000000002</v>
      </c>
      <c r="E263" s="568">
        <f>E262/E256</f>
        <v>0.69899999999999995</v>
      </c>
      <c r="F263" s="1294">
        <f>F262/F256</f>
        <v>0.38500000000000001</v>
      </c>
      <c r="G263" t="s">
        <v>674</v>
      </c>
    </row>
    <row r="264" spans="4:13" s="9" customFormat="1">
      <c r="D264"/>
      <c r="E264"/>
      <c r="F264" s="838"/>
      <c r="G264"/>
    </row>
    <row r="265" spans="4:13" s="9" customFormat="1">
      <c r="D265" s="1" t="s">
        <v>672</v>
      </c>
      <c r="E265" s="1" t="s">
        <v>672</v>
      </c>
      <c r="F265" s="1292" t="s">
        <v>672</v>
      </c>
      <c r="G265"/>
      <c r="H265"/>
    </row>
    <row r="266" spans="4:13" s="9" customFormat="1">
      <c r="D266" s="266">
        <v>1000</v>
      </c>
      <c r="E266" s="266">
        <v>1000</v>
      </c>
      <c r="F266" s="838">
        <v>1000</v>
      </c>
      <c r="G266" t="s">
        <v>665</v>
      </c>
      <c r="H266"/>
    </row>
    <row r="267" spans="4:13" s="9" customFormat="1">
      <c r="D267" s="540">
        <f>D266*100</f>
        <v>100000</v>
      </c>
      <c r="E267" s="540">
        <f>E266*100</f>
        <v>100000</v>
      </c>
      <c r="F267" s="1293">
        <f>F266*100</f>
        <v>100000</v>
      </c>
      <c r="G267" t="s">
        <v>670</v>
      </c>
      <c r="H267"/>
    </row>
    <row r="268" spans="4:13" s="9" customFormat="1">
      <c r="D268" s="531">
        <f>D255*D267</f>
        <v>1000</v>
      </c>
      <c r="E268" s="531">
        <f>E255*E267</f>
        <v>500</v>
      </c>
      <c r="F268" s="1291">
        <f>F255*F267</f>
        <v>500</v>
      </c>
      <c r="G268" t="s">
        <v>667</v>
      </c>
      <c r="H268"/>
    </row>
    <row r="269" spans="4:13" s="9" customFormat="1">
      <c r="D269" s="204">
        <f>D268*D253</f>
        <v>9950</v>
      </c>
      <c r="E269" s="204">
        <f>E268*E253</f>
        <v>17475</v>
      </c>
      <c r="F269" s="1290">
        <f>F268*F253</f>
        <v>9625</v>
      </c>
      <c r="G269" t="s">
        <v>671</v>
      </c>
    </row>
    <row r="270" spans="4:13" s="9" customFormat="1">
      <c r="D270" s="568">
        <f>D269/D256</f>
        <v>9.9500000000000005E-2</v>
      </c>
      <c r="E270" s="568">
        <f>E269/E256</f>
        <v>0.17474999999999999</v>
      </c>
      <c r="F270" s="1294">
        <f>F269/F256</f>
        <v>9.6250000000000002E-2</v>
      </c>
      <c r="G270" t="s">
        <v>674</v>
      </c>
      <c r="M270" s="572"/>
    </row>
    <row r="271" spans="4:13" s="9" customFormat="1">
      <c r="H271"/>
      <c r="I271"/>
      <c r="J271"/>
      <c r="K271"/>
      <c r="M271" s="572"/>
    </row>
    <row r="272" spans="4:13" s="9" customFormat="1">
      <c r="L272" s="1296" t="s">
        <v>657</v>
      </c>
      <c r="M272" s="572"/>
    </row>
    <row r="273" spans="3:15" s="9" customFormat="1">
      <c r="D273" s="259">
        <f>AVERAGE(D263,E263)</f>
        <v>0.54849999999999999</v>
      </c>
      <c r="E273" t="s">
        <v>677</v>
      </c>
      <c r="L273" s="1296" t="s">
        <v>658</v>
      </c>
      <c r="M273" s="572"/>
    </row>
    <row r="274" spans="3:15" s="9" customFormat="1">
      <c r="D274" s="259">
        <f>AVERAGE(D270,E270)</f>
        <v>0.137125</v>
      </c>
      <c r="E274" t="s">
        <v>678</v>
      </c>
      <c r="I274"/>
      <c r="L274" s="1296" t="s">
        <v>659</v>
      </c>
      <c r="M274" s="359"/>
      <c r="N274"/>
      <c r="O274"/>
    </row>
    <row r="275" spans="3:15" s="9" customFormat="1">
      <c r="I275"/>
      <c r="L275" s="1296" t="s">
        <v>660</v>
      </c>
      <c r="M275" s="359"/>
      <c r="N275"/>
      <c r="O275"/>
    </row>
    <row r="276" spans="3:15" s="9" customFormat="1">
      <c r="I276"/>
      <c r="L276" s="1297" t="s">
        <v>661</v>
      </c>
      <c r="M276" s="359"/>
      <c r="N276"/>
      <c r="O276"/>
    </row>
    <row r="277" spans="3:15" s="9" customFormat="1">
      <c r="D277" s="592" t="s">
        <v>681</v>
      </c>
      <c r="E277" s="401" t="s">
        <v>682</v>
      </c>
      <c r="F277" s="401" t="s">
        <v>683</v>
      </c>
      <c r="G277" s="118" t="s">
        <v>304</v>
      </c>
      <c r="L277" s="1297" t="s">
        <v>662</v>
      </c>
    </row>
    <row r="278" spans="3:15" s="9" customFormat="1">
      <c r="D278" s="1320">
        <f>D273</f>
        <v>0.54849999999999999</v>
      </c>
      <c r="E278" s="1321">
        <f>AVERAGE(D273,D274)</f>
        <v>0.34281249999999996</v>
      </c>
      <c r="F278" s="1321">
        <f>D274</f>
        <v>0.137125</v>
      </c>
      <c r="G278" s="1303" t="s">
        <v>1118</v>
      </c>
      <c r="L278" s="1295" t="s">
        <v>663</v>
      </c>
    </row>
    <row r="279" spans="3:15" s="9" customFormat="1">
      <c r="C279" s="256" t="s">
        <v>1117</v>
      </c>
      <c r="D279" s="2299">
        <f>D278/F278</f>
        <v>4</v>
      </c>
      <c r="E279" s="2299">
        <f>E278/F278</f>
        <v>2.5</v>
      </c>
      <c r="L279" s="572"/>
    </row>
    <row r="280" spans="3:15" s="9" customFormat="1">
      <c r="C280" s="9" t="s">
        <v>1119</v>
      </c>
    </row>
    <row r="281" spans="3:15" s="9" customFormat="1">
      <c r="C281" s="9" t="s">
        <v>618</v>
      </c>
    </row>
    <row r="282" spans="3:15" s="9" customFormat="1"/>
    <row r="283" spans="3:15" s="9" customFormat="1"/>
    <row r="284" spans="3:15" s="9" customFormat="1">
      <c r="D284" s="107" t="s">
        <v>1116</v>
      </c>
      <c r="E284" s="320" t="s">
        <v>25</v>
      </c>
      <c r="F284" s="320" t="s">
        <v>735</v>
      </c>
      <c r="G284" s="108"/>
      <c r="H284" s="1" t="s">
        <v>604</v>
      </c>
    </row>
    <row r="285" spans="3:15" s="9" customFormat="1">
      <c r="D285" s="1298">
        <v>1800</v>
      </c>
      <c r="E285" s="538">
        <v>1300</v>
      </c>
      <c r="F285" s="538">
        <v>450</v>
      </c>
      <c r="G285" s="246" t="s">
        <v>601</v>
      </c>
      <c r="H285" s="9" t="s">
        <v>1111</v>
      </c>
    </row>
    <row r="286" spans="3:15" s="9" customFormat="1">
      <c r="D286" s="1299">
        <f>D285*100</f>
        <v>180000</v>
      </c>
      <c r="E286" s="1300">
        <f>E285*100</f>
        <v>130000</v>
      </c>
      <c r="F286" s="1300">
        <f>F285*100</f>
        <v>45000</v>
      </c>
      <c r="G286" s="109" t="s">
        <v>332</v>
      </c>
      <c r="H286" s="9" t="s">
        <v>1112</v>
      </c>
      <c r="I286"/>
    </row>
    <row r="287" spans="3:15" s="9" customFormat="1">
      <c r="D287" s="1298">
        <v>40</v>
      </c>
      <c r="E287" s="538">
        <v>40</v>
      </c>
      <c r="F287" s="538">
        <v>40</v>
      </c>
      <c r="G287" s="246" t="s">
        <v>603</v>
      </c>
      <c r="H287" s="9" t="s">
        <v>1113</v>
      </c>
      <c r="I287"/>
    </row>
    <row r="288" spans="3:15" s="9" customFormat="1">
      <c r="D288" s="404">
        <f>D286/D287</f>
        <v>4500</v>
      </c>
      <c r="E288" s="79">
        <f>E286/E287</f>
        <v>3250</v>
      </c>
      <c r="F288" s="79">
        <f>F286/F287</f>
        <v>1125</v>
      </c>
      <c r="G288" s="246" t="s">
        <v>1114</v>
      </c>
      <c r="I288"/>
    </row>
    <row r="289" spans="3:10" s="9" customFormat="1">
      <c r="D289" s="404">
        <f>D288*60</f>
        <v>270000</v>
      </c>
      <c r="E289" s="79">
        <f>E288*60</f>
        <v>195000</v>
      </c>
      <c r="F289" s="79">
        <f>F288*60</f>
        <v>67500</v>
      </c>
      <c r="G289" s="246" t="s">
        <v>1115</v>
      </c>
      <c r="H289" s="360" t="s">
        <v>606</v>
      </c>
      <c r="I289"/>
      <c r="J289"/>
    </row>
    <row r="290" spans="3:10" s="9" customFormat="1">
      <c r="D290" s="1281">
        <f>$D240</f>
        <v>100000</v>
      </c>
      <c r="E290" s="621">
        <f>$D240</f>
        <v>100000</v>
      </c>
      <c r="F290" s="621">
        <f>$D240</f>
        <v>100000</v>
      </c>
      <c r="G290" s="246" t="s">
        <v>1120</v>
      </c>
      <c r="H290" s="360" t="s">
        <v>605</v>
      </c>
    </row>
    <row r="291" spans="3:10" s="9" customFormat="1">
      <c r="D291" s="1281"/>
      <c r="E291" s="621"/>
      <c r="F291" s="621"/>
      <c r="G291" s="246"/>
      <c r="H291" s="360" t="s">
        <v>607</v>
      </c>
    </row>
    <row r="292" spans="3:10" s="9" customFormat="1">
      <c r="D292" s="1304">
        <f>D289/D290</f>
        <v>2.7</v>
      </c>
      <c r="E292" s="1305">
        <f>E289/E290</f>
        <v>1.95</v>
      </c>
      <c r="F292" s="1305">
        <f>F289/F290</f>
        <v>0.67500000000000004</v>
      </c>
      <c r="G292" s="1306" t="s">
        <v>602</v>
      </c>
    </row>
    <row r="293" spans="3:10" s="9" customFormat="1">
      <c r="D293" s="2299">
        <f>D292/F292</f>
        <v>4</v>
      </c>
      <c r="E293" s="2299">
        <f>E292/F292</f>
        <v>2.8888888888888888</v>
      </c>
    </row>
    <row r="294" spans="3:10" s="9" customFormat="1"/>
    <row r="295" spans="3:10" s="9" customFormat="1">
      <c r="C295" s="9" t="s">
        <v>1128</v>
      </c>
    </row>
    <row r="296" spans="3:10" s="9" customFormat="1"/>
    <row r="297" spans="3:10" s="9" customFormat="1">
      <c r="D297" s="1313">
        <f>D244</f>
        <v>4.9999999999999996E-2</v>
      </c>
      <c r="E297" s="1314">
        <f>D245</f>
        <v>9.9999999999999992E-2</v>
      </c>
      <c r="F297" s="1314">
        <f>D246</f>
        <v>0.14999999999999997</v>
      </c>
      <c r="G297" s="108" t="s">
        <v>619</v>
      </c>
    </row>
    <row r="298" spans="3:10" s="9" customFormat="1">
      <c r="D298" s="1301">
        <f>D297*$D$238</f>
        <v>5</v>
      </c>
      <c r="E298" s="551">
        <f>E297*$D$238</f>
        <v>10</v>
      </c>
      <c r="F298" s="551">
        <f>F297*$D$238</f>
        <v>14.999999999999996</v>
      </c>
      <c r="G298" s="109" t="s">
        <v>612</v>
      </c>
    </row>
    <row r="299" spans="3:10" s="9" customFormat="1">
      <c r="D299" s="1301">
        <f>D298*D290</f>
        <v>500000</v>
      </c>
      <c r="E299" s="551">
        <f>E298*E290</f>
        <v>1000000</v>
      </c>
      <c r="F299" s="551">
        <f>F298*F290</f>
        <v>1499999.9999999995</v>
      </c>
      <c r="G299" s="109" t="s">
        <v>1121</v>
      </c>
    </row>
    <row r="300" spans="3:10" s="9" customFormat="1">
      <c r="D300" s="1315"/>
      <c r="E300" s="1312"/>
      <c r="F300" s="1312"/>
      <c r="G300" s="111"/>
    </row>
    <row r="301" spans="3:10" s="9" customFormat="1">
      <c r="D301" s="1316">
        <f>D292*D299/60/7.5</f>
        <v>3000</v>
      </c>
      <c r="E301" s="1317">
        <f>E292*E299/60/7.5</f>
        <v>4333.333333333333</v>
      </c>
      <c r="F301" s="1317">
        <f>F292*F299/60/7.5</f>
        <v>2249.9999999999995</v>
      </c>
      <c r="G301" s="1307" t="s">
        <v>613</v>
      </c>
    </row>
    <row r="302" spans="3:10" s="9" customFormat="1">
      <c r="D302" s="1318">
        <f>D299*D278</f>
        <v>274250</v>
      </c>
      <c r="E302" s="1319">
        <f>E299*E278</f>
        <v>342812.49999999994</v>
      </c>
      <c r="F302" s="1319">
        <f>F299*F278</f>
        <v>205687.49999999994</v>
      </c>
      <c r="G302" s="1303" t="s">
        <v>625</v>
      </c>
    </row>
    <row r="303" spans="3:10" s="9" customFormat="1"/>
    <row r="304" spans="3:10" s="9" customFormat="1">
      <c r="C304" s="122"/>
    </row>
    <row r="305" spans="3:13" s="9" customFormat="1">
      <c r="C305" s="107"/>
      <c r="D305" s="2320" t="s">
        <v>2550</v>
      </c>
      <c r="E305" s="3644" t="s">
        <v>2551</v>
      </c>
      <c r="F305" s="1307" t="s">
        <v>2552</v>
      </c>
      <c r="G305" s="4061" t="s">
        <v>2554</v>
      </c>
      <c r="H305" s="4061"/>
      <c r="I305" s="4062"/>
      <c r="K305" s="276" t="s">
        <v>2555</v>
      </c>
      <c r="L305" s="276" t="s">
        <v>1180</v>
      </c>
      <c r="M305" s="276" t="s">
        <v>2556</v>
      </c>
    </row>
    <row r="306" spans="3:13">
      <c r="C306" s="404" t="s">
        <v>2560</v>
      </c>
      <c r="D306" s="3640">
        <f>D292</f>
        <v>2.7</v>
      </c>
      <c r="E306" s="3638">
        <f t="shared" ref="E306:F306" si="35">E292</f>
        <v>1.95</v>
      </c>
      <c r="F306" s="3641">
        <f t="shared" si="35"/>
        <v>0.67500000000000004</v>
      </c>
      <c r="G306" s="608">
        <f>D306/$F306</f>
        <v>4</v>
      </c>
      <c r="H306" s="608">
        <f t="shared" ref="H306:I306" si="36">E306/$F306</f>
        <v>2.8888888888888888</v>
      </c>
      <c r="I306" s="605">
        <f t="shared" si="36"/>
        <v>1</v>
      </c>
      <c r="K306" t="s">
        <v>2557</v>
      </c>
      <c r="L306">
        <v>1</v>
      </c>
      <c r="M306" s="15">
        <v>0.3</v>
      </c>
    </row>
    <row r="307" spans="3:13">
      <c r="C307" s="405" t="s">
        <v>2553</v>
      </c>
      <c r="D307" s="3642">
        <f>D278</f>
        <v>0.54849999999999999</v>
      </c>
      <c r="E307" s="3639">
        <f t="shared" ref="E307:F307" si="37">E278</f>
        <v>0.34281249999999996</v>
      </c>
      <c r="F307" s="3643">
        <f t="shared" si="37"/>
        <v>0.137125</v>
      </c>
      <c r="G307" s="2315">
        <f>D307/$F307</f>
        <v>4</v>
      </c>
      <c r="H307" s="2315">
        <f t="shared" ref="H307" si="38">E307/$F307</f>
        <v>2.5</v>
      </c>
      <c r="I307" s="753">
        <f t="shared" ref="I307" si="39">F307/$F307</f>
        <v>1</v>
      </c>
      <c r="K307" t="s">
        <v>2558</v>
      </c>
      <c r="L307">
        <v>0.75</v>
      </c>
      <c r="M307" s="15">
        <f>L307*M$306</f>
        <v>0.22499999999999998</v>
      </c>
    </row>
    <row r="308" spans="3:13">
      <c r="C308" s="1" t="s">
        <v>42</v>
      </c>
      <c r="D308" s="3645">
        <v>0.25</v>
      </c>
      <c r="E308" s="866">
        <v>0.25</v>
      </c>
      <c r="F308" s="539">
        <v>1</v>
      </c>
      <c r="G308">
        <f>SUMPRODUCT(D307:F307,D308:F308)</f>
        <v>0.35995312499999998</v>
      </c>
      <c r="K308" t="s">
        <v>2559</v>
      </c>
      <c r="L308" s="2953">
        <v>0.5</v>
      </c>
      <c r="M308" s="15">
        <f>L308*M$306</f>
        <v>0.15</v>
      </c>
    </row>
    <row r="309" spans="3:13">
      <c r="D309" s="441">
        <v>10000</v>
      </c>
      <c r="E309" s="124" t="s">
        <v>626</v>
      </c>
    </row>
    <row r="310" spans="3:13">
      <c r="D310" s="367"/>
      <c r="E310" s="124"/>
    </row>
    <row r="311" spans="3:13">
      <c r="D311" s="25"/>
    </row>
    <row r="312" spans="3:13">
      <c r="D312" s="74">
        <f>SUM(D308:D309)</f>
        <v>10000.25</v>
      </c>
      <c r="E312" s="39" t="s">
        <v>43</v>
      </c>
    </row>
    <row r="313" spans="3:13">
      <c r="D313" s="344">
        <v>10</v>
      </c>
      <c r="E313" s="124" t="s">
        <v>263</v>
      </c>
    </row>
    <row r="315" spans="3:13">
      <c r="D315" s="91"/>
      <c r="E315" s="76"/>
    </row>
    <row r="316" spans="3:13" ht="19">
      <c r="C316" t="s">
        <v>50</v>
      </c>
      <c r="D316" s="37" t="s">
        <v>325</v>
      </c>
      <c r="E316" s="24"/>
      <c r="F316" s="1"/>
      <c r="G316" s="3"/>
      <c r="H316" s="3"/>
      <c r="I316" s="3"/>
      <c r="J316" s="3"/>
    </row>
    <row r="317" spans="3:13">
      <c r="F317" s="1"/>
      <c r="G317" s="3"/>
      <c r="H317" s="3"/>
      <c r="I317" s="364"/>
      <c r="J317" s="3"/>
    </row>
    <row r="318" spans="3:13" ht="17">
      <c r="D318" s="49"/>
      <c r="I318" s="365"/>
      <c r="L318" s="562"/>
      <c r="M318" s="562" t="s">
        <v>689</v>
      </c>
    </row>
    <row r="319" spans="3:13">
      <c r="D319" s="160" t="s">
        <v>240</v>
      </c>
      <c r="L319" s="563" t="s">
        <v>684</v>
      </c>
      <c r="M319" s="563" t="s">
        <v>684</v>
      </c>
    </row>
    <row r="320" spans="3:13">
      <c r="D320" s="50"/>
      <c r="L320" s="563" t="s">
        <v>685</v>
      </c>
      <c r="M320" s="563" t="s">
        <v>685</v>
      </c>
    </row>
    <row r="321" spans="4:14">
      <c r="D321" s="51" t="s">
        <v>82</v>
      </c>
      <c r="E321" s="39"/>
      <c r="I321" s="366"/>
      <c r="L321" s="563" t="s">
        <v>686</v>
      </c>
      <c r="M321" s="563" t="s">
        <v>690</v>
      </c>
    </row>
    <row r="322" spans="4:14" ht="19">
      <c r="D322" s="54">
        <f>'Overall Assumptions'!$C$68</f>
        <v>225</v>
      </c>
      <c r="E322" s="1215" t="s">
        <v>99</v>
      </c>
      <c r="I322" s="366"/>
      <c r="L322" s="563" t="s">
        <v>687</v>
      </c>
      <c r="M322" s="563" t="s">
        <v>687</v>
      </c>
    </row>
    <row r="323" spans="4:14">
      <c r="D323" s="54">
        <f>'Overall Assumptions'!$C$130</f>
        <v>2</v>
      </c>
      <c r="E323" s="76" t="s">
        <v>84</v>
      </c>
      <c r="I323" s="366"/>
      <c r="L323" s="563" t="s">
        <v>688</v>
      </c>
      <c r="M323" s="563" t="s">
        <v>688</v>
      </c>
    </row>
    <row r="324" spans="4:14">
      <c r="D324" s="537"/>
      <c r="E324" s="461"/>
      <c r="I324" s="366"/>
      <c r="M324" s="564" t="s">
        <v>661</v>
      </c>
    </row>
    <row r="325" spans="4:14">
      <c r="D325" s="54"/>
      <c r="E325" s="43"/>
      <c r="K325" s="79"/>
      <c r="L325" s="79"/>
      <c r="M325" s="564" t="s">
        <v>662</v>
      </c>
    </row>
    <row r="326" spans="4:14">
      <c r="D326" s="1311"/>
      <c r="E326" s="96"/>
      <c r="K326" s="79"/>
      <c r="L326" s="79"/>
      <c r="M326" s="565" t="s">
        <v>691</v>
      </c>
    </row>
    <row r="327" spans="4:14">
      <c r="D327" s="467">
        <f>$D$242</f>
        <v>31622.776601683792</v>
      </c>
      <c r="E327" s="96" t="s">
        <v>1126</v>
      </c>
      <c r="K327" s="79"/>
      <c r="L327" s="79"/>
    </row>
    <row r="328" spans="4:14">
      <c r="D328" s="54">
        <f>'Overall Assumptions'!$C$10</f>
        <v>0</v>
      </c>
      <c r="E328" s="43" t="s">
        <v>85</v>
      </c>
      <c r="K328" s="79"/>
      <c r="L328" s="9"/>
      <c r="N328" s="9"/>
    </row>
    <row r="329" spans="4:14">
      <c r="D329" s="54"/>
      <c r="E329" s="528"/>
      <c r="K329" s="79"/>
      <c r="L329" s="569"/>
      <c r="N329" t="s">
        <v>664</v>
      </c>
    </row>
    <row r="330" spans="4:14">
      <c r="D330" s="54">
        <f>D301</f>
        <v>3000</v>
      </c>
      <c r="E330" s="528" t="s">
        <v>620</v>
      </c>
      <c r="K330" s="79"/>
      <c r="L330" s="569"/>
      <c r="N330" t="s">
        <v>435</v>
      </c>
    </row>
    <row r="331" spans="4:14">
      <c r="D331" s="54">
        <f>E301</f>
        <v>4333.333333333333</v>
      </c>
      <c r="E331" s="528" t="s">
        <v>621</v>
      </c>
      <c r="K331" s="79"/>
      <c r="L331" s="9"/>
      <c r="N331" t="s">
        <v>669</v>
      </c>
    </row>
    <row r="332" spans="4:14">
      <c r="D332" s="54">
        <f>F301</f>
        <v>2249.9999999999995</v>
      </c>
      <c r="E332" s="528" t="s">
        <v>622</v>
      </c>
      <c r="K332" s="79"/>
      <c r="L332" s="9"/>
      <c r="N332" t="s">
        <v>668</v>
      </c>
    </row>
    <row r="333" spans="4:14">
      <c r="D333" s="54"/>
      <c r="E333" s="528"/>
      <c r="K333" s="79"/>
      <c r="L333" s="247"/>
      <c r="N333" t="s">
        <v>673</v>
      </c>
    </row>
    <row r="334" spans="4:14">
      <c r="D334" s="54">
        <f>'Overall Assumptions'!$C$90</f>
        <v>80</v>
      </c>
      <c r="E334" s="43" t="s">
        <v>86</v>
      </c>
      <c r="K334" s="79"/>
      <c r="L334" s="9"/>
    </row>
    <row r="335" spans="4:14">
      <c r="D335" s="56">
        <f>'Overall Assumptions'!$C$81</f>
        <v>210</v>
      </c>
      <c r="E335" s="45" t="s">
        <v>87</v>
      </c>
      <c r="J335" s="127"/>
      <c r="K335" s="79"/>
      <c r="L335" s="256"/>
    </row>
    <row r="336" spans="4:14">
      <c r="D336" s="57"/>
      <c r="J336" s="79"/>
      <c r="K336" s="79"/>
      <c r="L336" s="533"/>
      <c r="N336" t="s">
        <v>666</v>
      </c>
    </row>
    <row r="337" spans="3:14">
      <c r="D337" s="57"/>
      <c r="J337" s="79"/>
      <c r="K337" s="79"/>
      <c r="L337" s="533"/>
    </row>
    <row r="338" spans="3:14">
      <c r="D338" s="57" t="s">
        <v>1127</v>
      </c>
      <c r="E338" s="16" t="s">
        <v>25</v>
      </c>
      <c r="F338" t="s">
        <v>680</v>
      </c>
      <c r="J338" s="79"/>
      <c r="K338" s="79"/>
      <c r="L338" s="533"/>
    </row>
    <row r="339" spans="3:14">
      <c r="D339" s="57"/>
      <c r="J339" s="79"/>
      <c r="K339" s="79"/>
      <c r="L339" s="533"/>
    </row>
    <row r="340" spans="3:14">
      <c r="D340" s="57"/>
      <c r="J340" s="79"/>
      <c r="K340" s="79"/>
      <c r="L340" s="533"/>
    </row>
    <row r="341" spans="3:14">
      <c r="C341" s="21"/>
      <c r="D341" s="58">
        <f>2*D328/D334/7.5</f>
        <v>0</v>
      </c>
      <c r="E341" s="59" t="s">
        <v>95</v>
      </c>
      <c r="J341" s="128"/>
      <c r="K341" s="79"/>
      <c r="L341" s="533"/>
      <c r="N341" t="s">
        <v>670</v>
      </c>
    </row>
    <row r="342" spans="3:14">
      <c r="C342" s="21"/>
      <c r="D342" s="58"/>
      <c r="E342" s="60" t="s">
        <v>100</v>
      </c>
      <c r="J342" s="79"/>
      <c r="K342" s="79"/>
      <c r="L342" s="247"/>
      <c r="N342" t="s">
        <v>667</v>
      </c>
    </row>
    <row r="343" spans="3:14">
      <c r="C343" s="21"/>
      <c r="D343" s="155">
        <f>D327/D334/7.5</f>
        <v>52.704627669472984</v>
      </c>
      <c r="E343" s="59" t="s">
        <v>1129</v>
      </c>
      <c r="J343" s="128"/>
      <c r="K343" s="79"/>
      <c r="L343" s="569"/>
      <c r="N343" t="s">
        <v>671</v>
      </c>
    </row>
    <row r="344" spans="3:14" ht="18" customHeight="1">
      <c r="C344" s="21"/>
      <c r="D344" s="58"/>
      <c r="E344" s="59"/>
      <c r="F344" s="19"/>
      <c r="J344" s="79"/>
      <c r="K344" s="79"/>
      <c r="L344" s="570"/>
      <c r="N344" t="s">
        <v>674</v>
      </c>
    </row>
    <row r="345" spans="3:14" ht="18" customHeight="1">
      <c r="C345" s="21"/>
      <c r="D345" s="155">
        <f>(D330+D331+D332)</f>
        <v>9583.3333333333321</v>
      </c>
      <c r="E345" s="59" t="s">
        <v>588</v>
      </c>
      <c r="F345" s="19"/>
      <c r="J345" s="79"/>
      <c r="K345" s="79"/>
      <c r="L345" s="79"/>
    </row>
    <row r="346" spans="3:14" ht="18" customHeight="1">
      <c r="C346" s="21"/>
      <c r="D346" s="58"/>
      <c r="E346" s="59"/>
      <c r="F346" s="19"/>
      <c r="J346" s="79"/>
      <c r="K346" s="79"/>
      <c r="L346" s="79"/>
    </row>
    <row r="347" spans="3:14" ht="18" customHeight="1">
      <c r="C347" s="21"/>
      <c r="D347" s="77">
        <f>SUM(D341:D345)</f>
        <v>9636.0379610028049</v>
      </c>
      <c r="E347" s="16" t="s">
        <v>157</v>
      </c>
      <c r="F347" s="19"/>
      <c r="J347" s="79"/>
      <c r="K347" s="79"/>
      <c r="L347" s="79"/>
      <c r="N347" t="s">
        <v>665</v>
      </c>
    </row>
    <row r="348" spans="3:14">
      <c r="C348" s="21"/>
      <c r="E348" s="16" t="s">
        <v>88</v>
      </c>
      <c r="J348" s="79"/>
      <c r="K348" s="79"/>
      <c r="L348" s="79"/>
      <c r="N348" t="s">
        <v>670</v>
      </c>
    </row>
    <row r="349" spans="3:14">
      <c r="C349" s="21"/>
      <c r="D349" s="77">
        <f>D347*D323</f>
        <v>19272.07592200561</v>
      </c>
      <c r="E349" s="16" t="s">
        <v>787</v>
      </c>
      <c r="J349" s="128"/>
      <c r="K349" s="79"/>
      <c r="L349" s="79"/>
      <c r="N349" t="s">
        <v>667</v>
      </c>
    </row>
    <row r="350" spans="3:14">
      <c r="C350" s="21"/>
      <c r="D350" s="77"/>
      <c r="J350" s="128"/>
      <c r="K350" s="79"/>
      <c r="L350" s="79"/>
      <c r="N350" t="s">
        <v>671</v>
      </c>
    </row>
    <row r="351" spans="3:14">
      <c r="C351" s="21"/>
      <c r="D351" s="64">
        <f>D349*D322</f>
        <v>4336217.0824512625</v>
      </c>
      <c r="E351" s="47" t="s">
        <v>329</v>
      </c>
      <c r="J351" s="129"/>
      <c r="K351" s="76"/>
      <c r="L351" s="79"/>
      <c r="N351" t="s">
        <v>674</v>
      </c>
    </row>
    <row r="352" spans="3:14">
      <c r="C352" s="21"/>
      <c r="D352" s="63"/>
      <c r="J352" s="129"/>
      <c r="K352" s="76"/>
      <c r="L352" s="79"/>
    </row>
    <row r="353" spans="3:12">
      <c r="D353" s="258"/>
      <c r="J353" s="79"/>
      <c r="K353" s="79"/>
      <c r="L353" s="79"/>
    </row>
    <row r="354" spans="3:12">
      <c r="H354" s="259"/>
      <c r="J354" s="65"/>
      <c r="K354" s="66"/>
      <c r="L354" s="79"/>
    </row>
    <row r="355" spans="3:12">
      <c r="D355" s="65"/>
      <c r="E355" s="66"/>
      <c r="J355" s="65"/>
      <c r="K355" s="66"/>
      <c r="L355" s="79"/>
    </row>
    <row r="356" spans="3:12">
      <c r="E356" s="66"/>
      <c r="J356" s="79"/>
      <c r="K356" s="259">
        <f>D263</f>
        <v>0.39800000000000002</v>
      </c>
      <c r="L356" t="s">
        <v>681</v>
      </c>
    </row>
    <row r="357" spans="3:12" ht="19">
      <c r="C357" s="2" t="s">
        <v>132</v>
      </c>
      <c r="D357" s="37" t="s">
        <v>89</v>
      </c>
      <c r="J357" s="79"/>
      <c r="K357" s="259">
        <f>AVERAGE(D263,D270)</f>
        <v>0.24875000000000003</v>
      </c>
      <c r="L357" t="s">
        <v>682</v>
      </c>
    </row>
    <row r="358" spans="3:12">
      <c r="C358" t="s">
        <v>54</v>
      </c>
      <c r="J358" s="79"/>
      <c r="K358" s="259">
        <f>D270</f>
        <v>9.9500000000000005E-2</v>
      </c>
      <c r="L358" t="s">
        <v>683</v>
      </c>
    </row>
    <row r="359" spans="3:12">
      <c r="D359" s="160" t="s">
        <v>243</v>
      </c>
      <c r="J359" s="79"/>
      <c r="K359" s="79"/>
      <c r="L359" s="79"/>
    </row>
    <row r="360" spans="3:12">
      <c r="D360" s="16"/>
      <c r="J360" s="79"/>
      <c r="K360" s="79"/>
      <c r="L360" s="79"/>
    </row>
    <row r="361" spans="3:12">
      <c r="D361" s="67" t="s">
        <v>91</v>
      </c>
      <c r="E361" s="41"/>
      <c r="J361" s="79"/>
      <c r="K361" s="79"/>
      <c r="L361" s="79"/>
    </row>
    <row r="362" spans="3:12">
      <c r="D362" s="52">
        <f>'Overall Assumptions'!$C$93</f>
        <v>285</v>
      </c>
      <c r="E362" s="41" t="s">
        <v>93</v>
      </c>
      <c r="J362" s="79"/>
      <c r="K362" s="79"/>
      <c r="L362" s="79"/>
    </row>
    <row r="363" spans="3:12">
      <c r="D363" s="54">
        <f>'Overall Assumptions'!$C$10</f>
        <v>0</v>
      </c>
      <c r="E363" s="43" t="s">
        <v>85</v>
      </c>
      <c r="J363" s="79"/>
      <c r="K363" s="79"/>
      <c r="L363" s="79"/>
    </row>
    <row r="364" spans="3:12">
      <c r="D364" s="54">
        <f>'Overall Assumptions'!$C$90</f>
        <v>80</v>
      </c>
      <c r="E364" s="43" t="s">
        <v>86</v>
      </c>
      <c r="J364" s="79"/>
      <c r="K364" s="79"/>
      <c r="L364" s="79"/>
    </row>
    <row r="365" spans="3:12">
      <c r="D365" s="55"/>
      <c r="E365" s="43"/>
      <c r="J365" s="79"/>
      <c r="K365" s="79"/>
      <c r="L365" s="79"/>
    </row>
    <row r="366" spans="3:12">
      <c r="D366" s="56"/>
      <c r="E366" s="45"/>
      <c r="J366" s="127"/>
      <c r="K366" s="79"/>
      <c r="L366" s="79"/>
    </row>
    <row r="367" spans="3:12">
      <c r="D367" s="75"/>
      <c r="E367" s="76"/>
      <c r="J367" s="79"/>
      <c r="K367" s="79"/>
      <c r="L367" s="79"/>
    </row>
    <row r="368" spans="3:12">
      <c r="D368" s="46">
        <f>2*D363/D364/7.5</f>
        <v>0</v>
      </c>
      <c r="E368" s="59" t="s">
        <v>97</v>
      </c>
      <c r="J368" s="132"/>
      <c r="K368" s="133"/>
      <c r="L368" s="79"/>
    </row>
    <row r="369" spans="3:12">
      <c r="D369" s="46">
        <f>D343</f>
        <v>52.704627669472984</v>
      </c>
      <c r="E369" s="59" t="s">
        <v>589</v>
      </c>
      <c r="J369" s="79"/>
      <c r="K369" s="133"/>
      <c r="L369" s="79"/>
    </row>
    <row r="370" spans="3:12">
      <c r="D370" s="46">
        <f>D345</f>
        <v>9583.3333333333321</v>
      </c>
      <c r="E370" s="59" t="s">
        <v>623</v>
      </c>
      <c r="J370" s="79"/>
      <c r="K370" s="133"/>
      <c r="L370" s="79"/>
    </row>
    <row r="371" spans="3:12">
      <c r="D371" s="46">
        <f>SUM(D368:D370)</f>
        <v>9636.0379610028049</v>
      </c>
      <c r="E371" s="59" t="s">
        <v>135</v>
      </c>
      <c r="J371" s="128"/>
      <c r="K371" s="79"/>
      <c r="L371" s="79"/>
    </row>
    <row r="372" spans="3:12">
      <c r="D372" s="63"/>
      <c r="J372" s="129"/>
      <c r="K372" s="76"/>
      <c r="L372" s="79"/>
    </row>
    <row r="373" spans="3:12">
      <c r="D373" s="63"/>
      <c r="J373" s="129"/>
      <c r="K373" s="76"/>
      <c r="L373" s="79"/>
    </row>
    <row r="374" spans="3:12">
      <c r="D374" s="68">
        <f>D371*D362</f>
        <v>2746270.8188857995</v>
      </c>
      <c r="E374" s="47" t="s">
        <v>53</v>
      </c>
      <c r="J374" s="65"/>
      <c r="K374" s="66"/>
      <c r="L374" s="79"/>
    </row>
    <row r="375" spans="3:12">
      <c r="D375" s="92"/>
      <c r="E375" s="66"/>
      <c r="J375" s="65"/>
      <c r="K375" s="66"/>
      <c r="L375" s="79"/>
    </row>
    <row r="376" spans="3:12">
      <c r="D376" s="46">
        <f>D371</f>
        <v>9636.0379610028049</v>
      </c>
      <c r="E376" s="359" t="s">
        <v>795</v>
      </c>
      <c r="J376" s="65"/>
      <c r="K376" s="66"/>
      <c r="L376" s="79"/>
    </row>
    <row r="377" spans="3:12">
      <c r="D377" s="75">
        <f>ROUNDUP((D376/21),0)</f>
        <v>459</v>
      </c>
      <c r="E377" s="99" t="s">
        <v>739</v>
      </c>
      <c r="J377" s="65"/>
      <c r="K377" s="66"/>
      <c r="L377" s="79"/>
    </row>
    <row r="378" spans="3:12">
      <c r="D378" s="92"/>
      <c r="E378" s="66"/>
      <c r="J378" s="65"/>
      <c r="K378" s="66"/>
      <c r="L378" s="79"/>
    </row>
    <row r="379" spans="3:12">
      <c r="C379" t="s">
        <v>70</v>
      </c>
      <c r="D379" s="58"/>
      <c r="E379" s="59" t="s">
        <v>156</v>
      </c>
      <c r="J379" s="65"/>
      <c r="K379" s="66"/>
      <c r="L379" s="79"/>
    </row>
    <row r="380" spans="3:12">
      <c r="D380" s="58"/>
      <c r="E380" s="59"/>
      <c r="J380" s="65"/>
      <c r="K380" s="66"/>
      <c r="L380" s="79"/>
    </row>
    <row r="381" spans="3:12">
      <c r="D381" s="58"/>
      <c r="E381" s="59"/>
      <c r="J381" s="65"/>
      <c r="K381" s="66"/>
      <c r="L381" s="79"/>
    </row>
    <row r="382" spans="3:12">
      <c r="D382" s="25">
        <f>D347</f>
        <v>9636.0379610028049</v>
      </c>
      <c r="E382" s="16" t="s">
        <v>157</v>
      </c>
      <c r="J382" s="65"/>
      <c r="K382" s="66"/>
      <c r="L382" s="79"/>
    </row>
    <row r="383" spans="3:12">
      <c r="D383" s="61">
        <f>FLOOR(D382,1)</f>
        <v>9636</v>
      </c>
      <c r="E383" s="16" t="s">
        <v>73</v>
      </c>
      <c r="J383" s="65"/>
      <c r="K383" s="66"/>
      <c r="L383" s="79"/>
    </row>
    <row r="384" spans="3:12">
      <c r="D384" s="146">
        <f>D383*D323</f>
        <v>19272</v>
      </c>
      <c r="E384" s="66" t="s">
        <v>175</v>
      </c>
      <c r="J384" s="65"/>
      <c r="K384" s="66"/>
      <c r="L384" s="79"/>
    </row>
    <row r="385" spans="3:15">
      <c r="D385" s="65"/>
      <c r="E385" s="66" t="s">
        <v>88</v>
      </c>
      <c r="J385" s="65"/>
      <c r="K385" s="66"/>
      <c r="L385" s="79"/>
    </row>
    <row r="386" spans="3:15">
      <c r="D386" s="102">
        <f>D384*D335</f>
        <v>4047120</v>
      </c>
      <c r="E386" s="39" t="s">
        <v>74</v>
      </c>
      <c r="J386" s="129"/>
      <c r="K386" s="276"/>
      <c r="L386" s="276"/>
      <c r="M386" s="276"/>
      <c r="N386" s="276"/>
      <c r="O386" s="79"/>
    </row>
    <row r="387" spans="3:15">
      <c r="D387" s="275"/>
      <c r="E387" s="76"/>
      <c r="J387" s="129"/>
      <c r="K387" s="276"/>
      <c r="L387" s="276"/>
      <c r="M387" s="276"/>
      <c r="N387" s="276"/>
      <c r="O387" s="79"/>
    </row>
    <row r="388" spans="3:15">
      <c r="C388" t="s">
        <v>4</v>
      </c>
      <c r="D388" s="1322">
        <f>SUM(D302:F302)</f>
        <v>822750</v>
      </c>
      <c r="E388" s="124" t="s">
        <v>1130</v>
      </c>
      <c r="J388" s="129"/>
      <c r="K388" s="276"/>
      <c r="L388" s="276"/>
      <c r="M388" s="276"/>
      <c r="N388" s="276"/>
      <c r="O388" s="79"/>
    </row>
    <row r="389" spans="3:15">
      <c r="D389" s="275"/>
      <c r="E389" s="76"/>
      <c r="J389" s="129"/>
      <c r="K389" s="276"/>
      <c r="L389" s="276"/>
      <c r="M389" s="276"/>
      <c r="N389" s="276"/>
      <c r="O389" s="79"/>
    </row>
    <row r="390" spans="3:15">
      <c r="D390" s="275"/>
      <c r="E390" s="76"/>
      <c r="J390" s="129"/>
      <c r="K390" s="276"/>
      <c r="L390" s="276"/>
      <c r="M390" s="276"/>
      <c r="N390" s="276"/>
      <c r="O390" s="79"/>
    </row>
    <row r="391" spans="3:15">
      <c r="D391" s="65"/>
      <c r="E391" s="66"/>
      <c r="J391" s="65"/>
      <c r="K391" s="122"/>
      <c r="L391" s="406"/>
      <c r="M391" s="119"/>
      <c r="N391" s="119"/>
      <c r="O391" s="79"/>
    </row>
    <row r="392" spans="3:15" s="9" customFormat="1">
      <c r="C392" s="121"/>
      <c r="D392" s="143" t="s">
        <v>172</v>
      </c>
      <c r="E392" s="144" t="s">
        <v>155</v>
      </c>
      <c r="F392" s="144" t="s">
        <v>173</v>
      </c>
      <c r="G392" s="144" t="s">
        <v>174</v>
      </c>
      <c r="H392" s="144" t="s">
        <v>166</v>
      </c>
      <c r="I392" s="145" t="s">
        <v>69</v>
      </c>
      <c r="K392" s="122"/>
      <c r="L392" s="406"/>
      <c r="M392" s="119"/>
      <c r="N392" s="119"/>
      <c r="O392" s="122"/>
    </row>
    <row r="393" spans="3:15" s="9" customFormat="1">
      <c r="C393" s="121"/>
      <c r="D393" s="135" t="s">
        <v>3</v>
      </c>
      <c r="E393" s="136">
        <f>D349</f>
        <v>19272.07592200561</v>
      </c>
      <c r="F393" s="141"/>
      <c r="G393" s="122"/>
      <c r="H393" s="119">
        <f>D351</f>
        <v>4336217.0824512625</v>
      </c>
      <c r="I393" s="119" t="str">
        <f>E351</f>
        <v>Cost for person hours</v>
      </c>
      <c r="J393" s="557">
        <f>D243</f>
        <v>1</v>
      </c>
      <c r="K393" s="122"/>
      <c r="L393" s="406"/>
      <c r="M393" s="119"/>
      <c r="N393" s="119"/>
      <c r="O393" s="122"/>
    </row>
    <row r="394" spans="3:15" s="9" customFormat="1">
      <c r="C394" s="121"/>
      <c r="D394" s="135" t="s">
        <v>132</v>
      </c>
      <c r="E394" s="136">
        <f>D371</f>
        <v>9636.0379610028049</v>
      </c>
      <c r="F394" s="141"/>
      <c r="G394" s="141"/>
      <c r="H394" s="119">
        <f>D374</f>
        <v>2746270.8188857995</v>
      </c>
      <c r="I394" s="119" t="str">
        <f>E374</f>
        <v>Cost for ute hire for the whole activity</v>
      </c>
      <c r="J394" s="557">
        <f>J393</f>
        <v>1</v>
      </c>
      <c r="K394" s="122"/>
      <c r="L394" s="136"/>
      <c r="M394" s="119"/>
      <c r="N394" s="119"/>
      <c r="O394" s="122"/>
    </row>
    <row r="395" spans="3:15" s="9" customFormat="1">
      <c r="C395" s="121"/>
      <c r="D395" s="135" t="s">
        <v>169</v>
      </c>
      <c r="E395" s="136">
        <f>D384</f>
        <v>19272</v>
      </c>
      <c r="F395" s="141"/>
      <c r="G395" s="141"/>
      <c r="H395" s="119">
        <f>SUM(D386,D388)</f>
        <v>4869870</v>
      </c>
      <c r="I395" s="119" t="str">
        <f>E386</f>
        <v>Accomodation + Food Cost</v>
      </c>
      <c r="J395" s="557">
        <f>J394</f>
        <v>1</v>
      </c>
      <c r="K395" s="122"/>
      <c r="L395" s="136"/>
      <c r="M395" s="119"/>
      <c r="N395" s="119"/>
      <c r="O395" s="122"/>
    </row>
    <row r="396" spans="3:15" s="9" customFormat="1">
      <c r="D396" s="135" t="s">
        <v>21</v>
      </c>
      <c r="E396" s="136"/>
      <c r="F396" s="141"/>
      <c r="G396" s="122"/>
      <c r="H396" s="119">
        <f>D312</f>
        <v>10000.25</v>
      </c>
      <c r="I396" s="119" t="str">
        <f>E312</f>
        <v>Total equipment cost</v>
      </c>
      <c r="J396" s="557">
        <f>D313</f>
        <v>10</v>
      </c>
      <c r="K396" s="122"/>
      <c r="L396" s="147"/>
      <c r="M396" s="119"/>
      <c r="N396" s="119"/>
      <c r="O396" s="122"/>
    </row>
    <row r="397" spans="3:15" s="9" customFormat="1">
      <c r="D397" s="137"/>
      <c r="E397" s="138"/>
      <c r="F397" s="142"/>
      <c r="G397" s="142"/>
      <c r="H397" s="139">
        <f>SUM(H393:H396)</f>
        <v>11962358.151337061</v>
      </c>
      <c r="I397" s="140" t="s">
        <v>165</v>
      </c>
      <c r="K397" s="122"/>
      <c r="L397" s="122"/>
      <c r="M397" s="122"/>
      <c r="N397" s="122"/>
      <c r="O397" s="122"/>
    </row>
    <row r="398" spans="3:15" s="9" customFormat="1">
      <c r="C398" s="121"/>
    </row>
    <row r="399" spans="3:15" s="9" customFormat="1">
      <c r="D399" s="105"/>
      <c r="E399" s="34"/>
    </row>
    <row r="400" spans="3:15">
      <c r="D400" s="65"/>
      <c r="E400" s="66"/>
      <c r="J400" s="79"/>
      <c r="K400" s="79"/>
      <c r="L400" s="79"/>
    </row>
    <row r="401" spans="3:9" s="7" customFormat="1">
      <c r="D401" s="69"/>
      <c r="E401" s="36"/>
    </row>
    <row r="402" spans="3:9" s="7" customFormat="1">
      <c r="D402" s="69"/>
      <c r="E402" s="36"/>
    </row>
    <row r="403" spans="3:9" s="9" customFormat="1">
      <c r="E403" s="34"/>
      <c r="F403" s="34"/>
    </row>
    <row r="404" spans="3:9" s="9" customFormat="1">
      <c r="C404" s="120" t="s">
        <v>1133</v>
      </c>
      <c r="E404" s="34"/>
    </row>
    <row r="405" spans="3:9" s="9" customFormat="1">
      <c r="C405" s="9" t="s">
        <v>1237</v>
      </c>
      <c r="E405" s="34"/>
    </row>
    <row r="406" spans="3:9" s="9" customFormat="1">
      <c r="C406" s="541" t="s">
        <v>644</v>
      </c>
      <c r="F406" s="34"/>
    </row>
    <row r="407" spans="3:9" s="9" customFormat="1">
      <c r="C407" s="9" t="s">
        <v>643</v>
      </c>
    </row>
    <row r="408" spans="3:9" s="9" customFormat="1"/>
    <row r="409" spans="3:9" s="9" customFormat="1"/>
    <row r="410" spans="3:9" s="9" customFormat="1">
      <c r="H410" s="9">
        <v>7</v>
      </c>
      <c r="I410" s="9" t="s">
        <v>2443</v>
      </c>
    </row>
    <row r="411" spans="3:9" s="9" customFormat="1"/>
    <row r="412" spans="3:9" s="9" customFormat="1"/>
    <row r="413" spans="3:9" s="9" customFormat="1"/>
    <row r="414" spans="3:9" s="9" customFormat="1"/>
    <row r="415" spans="3:9" s="9" customFormat="1">
      <c r="C415"/>
      <c r="D415" s="94" t="s">
        <v>91</v>
      </c>
      <c r="E415" s="95"/>
      <c r="I415"/>
    </row>
    <row r="416" spans="3:9" s="9" customFormat="1">
      <c r="C416"/>
      <c r="D416" s="98">
        <f>'Overall Assumptions'!$C$6</f>
        <v>100</v>
      </c>
      <c r="E416" s="96" t="s">
        <v>645</v>
      </c>
      <c r="I416"/>
    </row>
    <row r="417" spans="3:10" s="9" customFormat="1">
      <c r="C417"/>
      <c r="D417" s="535">
        <v>10</v>
      </c>
      <c r="E417" s="96" t="s">
        <v>611</v>
      </c>
      <c r="I417"/>
    </row>
    <row r="418" spans="3:10" s="9" customFormat="1">
      <c r="C418"/>
      <c r="D418" s="536">
        <f>1000000/D417</f>
        <v>100000</v>
      </c>
      <c r="E418" s="254" t="s">
        <v>610</v>
      </c>
      <c r="G418"/>
      <c r="H418"/>
      <c r="I418"/>
    </row>
    <row r="419" spans="3:10" s="9" customFormat="1">
      <c r="C419"/>
      <c r="D419" s="159">
        <v>5</v>
      </c>
      <c r="E419" s="970" t="s">
        <v>263</v>
      </c>
      <c r="G419" s="531"/>
      <c r="H419"/>
      <c r="I419"/>
    </row>
    <row r="420" spans="3:10" s="9" customFormat="1">
      <c r="C420"/>
      <c r="D420" s="107"/>
      <c r="E420" s="95" t="s">
        <v>1152</v>
      </c>
      <c r="G420" s="531"/>
      <c r="H420"/>
      <c r="I420"/>
    </row>
    <row r="421" spans="3:10" s="9" customFormat="1">
      <c r="C421"/>
      <c r="D421" s="1341">
        <f>'Overall Assumptions'!$C$153</f>
        <v>0.05</v>
      </c>
      <c r="E421" s="96" t="s">
        <v>1131</v>
      </c>
      <c r="G421" s="531"/>
      <c r="H421"/>
      <c r="I421"/>
    </row>
    <row r="422" spans="3:10" s="9" customFormat="1">
      <c r="C422"/>
      <c r="D422" s="1342">
        <f>'Overall Assumptions'!$C$154</f>
        <v>0.1</v>
      </c>
      <c r="E422" s="96" t="s">
        <v>1153</v>
      </c>
      <c r="G422" s="531"/>
      <c r="H422"/>
      <c r="I422"/>
    </row>
    <row r="423" spans="3:10" s="9" customFormat="1">
      <c r="C423"/>
      <c r="D423" s="1343">
        <f>'Overall Assumptions'!$C$155</f>
        <v>0.15</v>
      </c>
      <c r="E423" s="97" t="s">
        <v>1154</v>
      </c>
      <c r="G423" s="531"/>
      <c r="H423"/>
      <c r="I423"/>
    </row>
    <row r="424" spans="3:10" s="9" customFormat="1">
      <c r="C424"/>
      <c r="H424"/>
      <c r="I424"/>
    </row>
    <row r="425" spans="3:10" s="9" customFormat="1">
      <c r="C425"/>
    </row>
    <row r="426" spans="3:10" s="9" customFormat="1">
      <c r="C426" t="s">
        <v>646</v>
      </c>
    </row>
    <row r="427" spans="3:10" s="9" customFormat="1">
      <c r="H427" s="9" t="s">
        <v>641</v>
      </c>
      <c r="I427"/>
      <c r="J427"/>
    </row>
    <row r="428" spans="3:10" s="9" customFormat="1">
      <c r="D428" s="107" t="s">
        <v>650</v>
      </c>
      <c r="E428" s="108"/>
      <c r="H428" s="6" t="s">
        <v>640</v>
      </c>
      <c r="I428"/>
      <c r="J428"/>
    </row>
    <row r="429" spans="3:10" s="9" customFormat="1">
      <c r="D429" s="545">
        <f>'Overall Assumptions'!$C$158</f>
        <v>3</v>
      </c>
      <c r="E429" s="109" t="s">
        <v>693</v>
      </c>
      <c r="H429" s="9" t="s">
        <v>628</v>
      </c>
    </row>
    <row r="430" spans="3:10" s="9" customFormat="1">
      <c r="D430" s="546">
        <f>'Overall Assumptions'!$C$159</f>
        <v>1</v>
      </c>
      <c r="E430" s="109" t="s">
        <v>648</v>
      </c>
      <c r="H430" s="9" t="s">
        <v>638</v>
      </c>
    </row>
    <row r="431" spans="3:10" s="9" customFormat="1">
      <c r="D431" s="545">
        <f>'Overall Assumptions'!$C$160</f>
        <v>0.6</v>
      </c>
      <c r="E431" s="109" t="s">
        <v>647</v>
      </c>
      <c r="I431" s="9" t="s">
        <v>629</v>
      </c>
    </row>
    <row r="432" spans="3:10" s="9" customFormat="1">
      <c r="D432" s="547">
        <f>'Overall Assumptions'!$C$161</f>
        <v>1</v>
      </c>
      <c r="E432" s="323" t="s">
        <v>649</v>
      </c>
      <c r="I432" s="9" t="s">
        <v>630</v>
      </c>
    </row>
    <row r="433" spans="3:10" s="9" customFormat="1">
      <c r="J433" s="9" t="s">
        <v>631</v>
      </c>
    </row>
    <row r="434" spans="3:10" s="9" customFormat="1">
      <c r="D434" s="9" t="s">
        <v>698</v>
      </c>
      <c r="J434" s="9" t="s">
        <v>632</v>
      </c>
    </row>
    <row r="435" spans="3:10" s="9" customFormat="1">
      <c r="D435" s="107" t="s">
        <v>679</v>
      </c>
      <c r="E435" s="320" t="s">
        <v>25</v>
      </c>
      <c r="F435" s="320" t="s">
        <v>680</v>
      </c>
      <c r="G435" s="108"/>
      <c r="J435" s="9" t="s">
        <v>633</v>
      </c>
    </row>
    <row r="436" spans="3:10" s="9" customFormat="1">
      <c r="D436" s="548">
        <f>'Overall Assumptions'!$C$163</f>
        <v>4</v>
      </c>
      <c r="E436" s="549">
        <f>'Overall Assumptions'!$D$163</f>
        <v>2</v>
      </c>
      <c r="F436" s="549">
        <f>'Overall Assumptions'!$E$163</f>
        <v>1</v>
      </c>
      <c r="G436" s="109" t="s">
        <v>694</v>
      </c>
      <c r="J436" s="9" t="s">
        <v>634</v>
      </c>
    </row>
    <row r="437" spans="3:10" s="9" customFormat="1">
      <c r="D437" s="548">
        <f>'Overall Assumptions'!$C$164</f>
        <v>4</v>
      </c>
      <c r="E437" s="549">
        <f>'Overall Assumptions'!$D$164</f>
        <v>2</v>
      </c>
      <c r="F437" s="549">
        <f>'Overall Assumptions'!$E$164</f>
        <v>1</v>
      </c>
      <c r="G437" s="109" t="s">
        <v>312</v>
      </c>
      <c r="J437" t="s">
        <v>635</v>
      </c>
    </row>
    <row r="438" spans="3:10" s="9" customFormat="1">
      <c r="D438" s="135"/>
      <c r="E438" s="571"/>
      <c r="F438" s="571"/>
      <c r="G438" s="109"/>
      <c r="H438" s="9" t="s">
        <v>639</v>
      </c>
    </row>
    <row r="439" spans="3:10" s="9" customFormat="1">
      <c r="D439" s="548">
        <f>'Overall Assumptions'!$C$166</f>
        <v>2</v>
      </c>
      <c r="E439" s="549">
        <f>'Overall Assumptions'!$D$166</f>
        <v>1</v>
      </c>
      <c r="F439" s="549">
        <f>'Overall Assumptions'!$E$166</f>
        <v>0.5</v>
      </c>
      <c r="G439" s="109" t="s">
        <v>651</v>
      </c>
      <c r="I439" s="9" t="s">
        <v>636</v>
      </c>
    </row>
    <row r="440" spans="3:10" s="9" customFormat="1">
      <c r="D440" s="550">
        <f>SUMPRODUCT(D429:D432,D436:D439)</f>
        <v>18</v>
      </c>
      <c r="E440" s="176">
        <f>SUMPRODUCT(D429:D432,E436:E439)</f>
        <v>9</v>
      </c>
      <c r="F440" s="176">
        <f>SUMPRODUCT(D429:D432,F436:F439)</f>
        <v>4.5</v>
      </c>
      <c r="G440" s="323" t="s">
        <v>166</v>
      </c>
      <c r="I440" s="9" t="s">
        <v>637</v>
      </c>
    </row>
    <row r="441" spans="3:10" s="9" customFormat="1">
      <c r="C441"/>
      <c r="G441" s="531"/>
      <c r="H441"/>
      <c r="I441"/>
    </row>
    <row r="442" spans="3:10" s="9" customFormat="1">
      <c r="C442"/>
      <c r="G442" s="531"/>
      <c r="H442"/>
      <c r="I442"/>
    </row>
    <row r="443" spans="3:10" s="9" customFormat="1">
      <c r="C443" s="402" t="s">
        <v>697</v>
      </c>
      <c r="D443" s="255" t="s">
        <v>652</v>
      </c>
      <c r="E443" s="255" t="s">
        <v>619</v>
      </c>
      <c r="F443" s="320" t="s">
        <v>612</v>
      </c>
      <c r="G443" s="320" t="s">
        <v>613</v>
      </c>
      <c r="H443" s="320" t="s">
        <v>624</v>
      </c>
      <c r="I443" s="108" t="s">
        <v>625</v>
      </c>
    </row>
    <row r="444" spans="3:10" s="9" customFormat="1">
      <c r="C444" s="404" t="s">
        <v>1131</v>
      </c>
      <c r="D444" s="1289">
        <f>D292</f>
        <v>2.7</v>
      </c>
      <c r="E444" s="542">
        <f>D421</f>
        <v>0.05</v>
      </c>
      <c r="F444" s="551">
        <f>E444*D416</f>
        <v>5</v>
      </c>
      <c r="G444" s="336">
        <f>D444*F444*$D$418/60/7.5</f>
        <v>3000</v>
      </c>
      <c r="H444" s="543">
        <f>D440</f>
        <v>18</v>
      </c>
      <c r="I444" s="552">
        <f>D$240*F444*H444</f>
        <v>9000000</v>
      </c>
    </row>
    <row r="445" spans="3:10" s="9" customFormat="1">
      <c r="C445" s="404" t="s">
        <v>323</v>
      </c>
      <c r="D445" s="1289">
        <f>E292</f>
        <v>1.95</v>
      </c>
      <c r="E445" s="542">
        <f>D422</f>
        <v>0.1</v>
      </c>
      <c r="F445" s="551">
        <f>E445*D416</f>
        <v>10</v>
      </c>
      <c r="G445" s="336">
        <f>D445*F445*$D$418/60/7.5</f>
        <v>4333.333333333333</v>
      </c>
      <c r="H445" s="543">
        <f>E440</f>
        <v>9</v>
      </c>
      <c r="I445" s="552">
        <f>D$240*F445*H445</f>
        <v>9000000</v>
      </c>
    </row>
    <row r="446" spans="3:10" s="9" customFormat="1">
      <c r="C446" s="404" t="s">
        <v>324</v>
      </c>
      <c r="D446" s="1289">
        <f>F292</f>
        <v>0.67500000000000004</v>
      </c>
      <c r="E446" s="542">
        <f>D423</f>
        <v>0.15</v>
      </c>
      <c r="F446" s="551">
        <f>E446*D416</f>
        <v>15</v>
      </c>
      <c r="G446" s="336">
        <f>D446*F446*$D$418/60/7.5</f>
        <v>2250</v>
      </c>
      <c r="H446" s="543">
        <f>F440</f>
        <v>4.5</v>
      </c>
      <c r="I446" s="552">
        <f>D$240*F446*H446</f>
        <v>6750000</v>
      </c>
    </row>
    <row r="447" spans="3:10" s="9" customFormat="1">
      <c r="C447" s="404"/>
      <c r="D447" s="79"/>
      <c r="E447" s="79"/>
      <c r="F447" s="79"/>
      <c r="G447" s="79"/>
      <c r="H447" s="122"/>
      <c r="I447" s="109"/>
    </row>
    <row r="448" spans="3:10" s="9" customFormat="1">
      <c r="C448" s="137" t="s">
        <v>463</v>
      </c>
      <c r="D448" s="439"/>
      <c r="E448" s="553">
        <f>SUM(E444:E446)</f>
        <v>0.30000000000000004</v>
      </c>
      <c r="F448" s="554">
        <f>SUM(F444:F446)</f>
        <v>30</v>
      </c>
      <c r="G448" s="555">
        <f>SUM(G444:G446)</f>
        <v>9583.3333333333321</v>
      </c>
      <c r="H448" s="142"/>
      <c r="I448" s="556">
        <f>SUM(I444:I446)</f>
        <v>24750000</v>
      </c>
    </row>
    <row r="449" spans="3:16" s="9" customFormat="1">
      <c r="C449" s="79"/>
      <c r="D449" s="79"/>
      <c r="E449" s="534"/>
      <c r="F449" s="336"/>
    </row>
    <row r="450" spans="3:16" s="9" customFormat="1"/>
    <row r="451" spans="3:16" s="9" customFormat="1">
      <c r="C451" s="1" t="s">
        <v>4</v>
      </c>
      <c r="D451" s="23" t="s">
        <v>609</v>
      </c>
      <c r="O451" s="9">
        <v>1</v>
      </c>
      <c r="P451" s="9" t="s">
        <v>195</v>
      </c>
    </row>
    <row r="452" spans="3:16" s="9" customFormat="1">
      <c r="D452" s="93"/>
      <c r="O452" s="9">
        <v>1000000</v>
      </c>
      <c r="P452" s="9" t="s">
        <v>598</v>
      </c>
    </row>
    <row r="453" spans="3:16" s="9" customFormat="1">
      <c r="O453" s="533">
        <f>O452/10</f>
        <v>100000</v>
      </c>
      <c r="P453" s="9" t="s">
        <v>608</v>
      </c>
    </row>
    <row r="454" spans="3:16" s="9" customFormat="1">
      <c r="D454" s="74">
        <f>I448</f>
        <v>24750000</v>
      </c>
      <c r="E454" s="39" t="s">
        <v>609</v>
      </c>
      <c r="F454"/>
    </row>
    <row r="455" spans="3:16" s="9" customFormat="1">
      <c r="D455" s="344">
        <v>1</v>
      </c>
      <c r="E455" s="124" t="s">
        <v>263</v>
      </c>
      <c r="F455"/>
      <c r="O455" s="9">
        <v>20</v>
      </c>
      <c r="P455" s="9" t="s">
        <v>303</v>
      </c>
    </row>
    <row r="456" spans="3:16" s="9" customFormat="1">
      <c r="D456" s="93"/>
      <c r="E456" s="34"/>
      <c r="O456" s="9">
        <v>0.2</v>
      </c>
      <c r="P456" s="9" t="s">
        <v>195</v>
      </c>
    </row>
    <row r="457" spans="3:16">
      <c r="D457" s="71"/>
      <c r="O457" s="531">
        <f>O456*O453</f>
        <v>20000</v>
      </c>
    </row>
    <row r="458" spans="3:16">
      <c r="C458" s="1" t="s">
        <v>42</v>
      </c>
      <c r="D458" s="367"/>
      <c r="E458" s="124"/>
    </row>
    <row r="459" spans="3:16">
      <c r="D459" s="544">
        <v>10000</v>
      </c>
      <c r="E459" s="124" t="s">
        <v>626</v>
      </c>
    </row>
    <row r="460" spans="3:16">
      <c r="D460" s="367"/>
      <c r="E460" s="124"/>
      <c r="H460" s="9"/>
      <c r="I460" s="9"/>
    </row>
    <row r="461" spans="3:16">
      <c r="D461" s="25"/>
      <c r="I461" s="539"/>
    </row>
    <row r="462" spans="3:16">
      <c r="D462" s="74">
        <f>SUM(D458:D459)</f>
        <v>10000</v>
      </c>
      <c r="E462" s="39" t="s">
        <v>43</v>
      </c>
    </row>
    <row r="463" spans="3:16" s="9" customFormat="1">
      <c r="D463" s="344">
        <v>10</v>
      </c>
      <c r="E463" s="124" t="s">
        <v>263</v>
      </c>
    </row>
    <row r="464" spans="3:16">
      <c r="C464" s="256" t="s">
        <v>3</v>
      </c>
    </row>
    <row r="465" spans="3:12">
      <c r="D465" s="46"/>
      <c r="G465" s="3"/>
      <c r="H465" s="3"/>
      <c r="I465" s="3"/>
    </row>
    <row r="466" spans="3:12" ht="19">
      <c r="C466" t="s">
        <v>50</v>
      </c>
      <c r="D466" s="37" t="s">
        <v>325</v>
      </c>
      <c r="E466" s="24"/>
      <c r="F466" s="1"/>
      <c r="G466" s="3"/>
      <c r="H466" s="3"/>
      <c r="I466" s="3"/>
      <c r="J466" s="3"/>
    </row>
    <row r="467" spans="3:12">
      <c r="F467" s="1"/>
      <c r="G467" s="3"/>
      <c r="H467" s="3"/>
      <c r="I467" s="364"/>
      <c r="J467" s="3"/>
    </row>
    <row r="468" spans="3:12">
      <c r="D468" s="49"/>
      <c r="I468" s="365"/>
    </row>
    <row r="469" spans="3:12">
      <c r="D469" s="160" t="s">
        <v>240</v>
      </c>
    </row>
    <row r="470" spans="3:12">
      <c r="D470" s="50"/>
    </row>
    <row r="471" spans="3:12">
      <c r="D471" s="51" t="s">
        <v>82</v>
      </c>
      <c r="E471" s="39"/>
      <c r="I471" s="366"/>
    </row>
    <row r="472" spans="3:12" ht="19">
      <c r="D472" s="54">
        <f>'Overall Assumptions'!$C$68</f>
        <v>225</v>
      </c>
      <c r="E472" s="1215" t="s">
        <v>99</v>
      </c>
      <c r="I472" s="366"/>
    </row>
    <row r="473" spans="3:12">
      <c r="D473" s="54">
        <f>'Overall Assumptions'!$C$130</f>
        <v>2</v>
      </c>
      <c r="E473" s="76" t="s">
        <v>84</v>
      </c>
      <c r="I473" s="366"/>
    </row>
    <row r="474" spans="3:12">
      <c r="D474" s="537"/>
      <c r="E474" s="461"/>
      <c r="I474" s="366"/>
    </row>
    <row r="475" spans="3:12">
      <c r="D475" s="54"/>
      <c r="E475" s="43"/>
      <c r="K475" s="79"/>
      <c r="L475" s="79"/>
    </row>
    <row r="476" spans="3:12">
      <c r="D476" s="1311"/>
      <c r="E476" s="96"/>
      <c r="K476" s="79"/>
      <c r="L476" s="79"/>
    </row>
    <row r="477" spans="3:12">
      <c r="D477" s="467">
        <f>$D$242</f>
        <v>31622.776601683792</v>
      </c>
      <c r="E477" s="96" t="s">
        <v>1126</v>
      </c>
      <c r="K477" s="79"/>
      <c r="L477" s="79"/>
    </row>
    <row r="478" spans="3:12">
      <c r="D478" s="54">
        <f>'Overall Assumptions'!$C$10</f>
        <v>0</v>
      </c>
      <c r="E478" s="43" t="s">
        <v>85</v>
      </c>
      <c r="K478" s="79"/>
      <c r="L478" s="79"/>
    </row>
    <row r="479" spans="3:12">
      <c r="D479" s="54"/>
      <c r="E479" s="528"/>
      <c r="K479" s="79"/>
      <c r="L479" s="79"/>
    </row>
    <row r="480" spans="3:12">
      <c r="D480" s="54">
        <f>G444</f>
        <v>3000</v>
      </c>
      <c r="E480" s="528" t="s">
        <v>620</v>
      </c>
      <c r="K480" s="79"/>
      <c r="L480" s="79"/>
    </row>
    <row r="481" spans="3:12">
      <c r="D481" s="54">
        <f>G445</f>
        <v>4333.333333333333</v>
      </c>
      <c r="E481" s="528" t="s">
        <v>621</v>
      </c>
      <c r="K481" s="79"/>
      <c r="L481" s="79"/>
    </row>
    <row r="482" spans="3:12">
      <c r="D482" s="54">
        <f>G446</f>
        <v>2250</v>
      </c>
      <c r="E482" s="528" t="s">
        <v>622</v>
      </c>
      <c r="K482" s="79"/>
      <c r="L482" s="79"/>
    </row>
    <row r="483" spans="3:12">
      <c r="D483" s="54"/>
      <c r="E483" s="528"/>
      <c r="K483" s="79"/>
      <c r="L483" s="79"/>
    </row>
    <row r="484" spans="3:12">
      <c r="D484" s="54">
        <f>'Overall Assumptions'!$C$90</f>
        <v>80</v>
      </c>
      <c r="E484" s="43" t="s">
        <v>86</v>
      </c>
      <c r="K484" s="79"/>
      <c r="L484" s="79"/>
    </row>
    <row r="485" spans="3:12">
      <c r="D485" s="56">
        <f>'Overall Assumptions'!$C$81</f>
        <v>210</v>
      </c>
      <c r="E485" s="45" t="s">
        <v>87</v>
      </c>
      <c r="J485" s="127"/>
      <c r="K485" s="79"/>
      <c r="L485" s="79"/>
    </row>
    <row r="486" spans="3:12">
      <c r="D486" s="57"/>
      <c r="J486" s="79"/>
      <c r="K486" s="79"/>
      <c r="L486" s="79"/>
    </row>
    <row r="487" spans="3:12">
      <c r="C487" s="21"/>
      <c r="D487" s="58">
        <f>2*D478/D484/7.5</f>
        <v>0</v>
      </c>
      <c r="E487" s="59" t="s">
        <v>95</v>
      </c>
      <c r="J487" s="128"/>
      <c r="K487" s="79"/>
      <c r="L487" s="79"/>
    </row>
    <row r="488" spans="3:12">
      <c r="C488" s="21"/>
      <c r="D488" s="58"/>
      <c r="E488" s="60" t="s">
        <v>100</v>
      </c>
      <c r="J488" s="79"/>
      <c r="K488" s="79"/>
      <c r="L488" s="79"/>
    </row>
    <row r="489" spans="3:12">
      <c r="C489" s="21"/>
      <c r="D489" s="155">
        <f>D477/D484/7.5</f>
        <v>52.704627669472984</v>
      </c>
      <c r="E489" s="59" t="s">
        <v>656</v>
      </c>
      <c r="J489" s="128"/>
      <c r="K489" s="79"/>
      <c r="L489" s="79"/>
    </row>
    <row r="490" spans="3:12" ht="18" customHeight="1">
      <c r="C490" s="21"/>
      <c r="D490" s="58"/>
      <c r="E490" s="59"/>
      <c r="F490" s="19"/>
      <c r="J490" s="79"/>
      <c r="K490" s="79"/>
      <c r="L490" s="79"/>
    </row>
    <row r="491" spans="3:12" ht="18" customHeight="1">
      <c r="C491" s="21"/>
      <c r="D491" s="58">
        <f>(D480+D481+D482)</f>
        <v>9583.3333333333321</v>
      </c>
      <c r="E491" s="59" t="s">
        <v>588</v>
      </c>
      <c r="F491" s="19"/>
      <c r="J491" s="79"/>
      <c r="K491" s="79"/>
      <c r="L491" s="79"/>
    </row>
    <row r="492" spans="3:12" ht="18" customHeight="1">
      <c r="C492" s="21"/>
      <c r="D492" s="58"/>
      <c r="E492" s="59"/>
      <c r="F492" s="19"/>
      <c r="J492" s="79"/>
      <c r="K492" s="79"/>
      <c r="L492" s="79"/>
    </row>
    <row r="493" spans="3:12" ht="18" customHeight="1">
      <c r="C493" s="21"/>
      <c r="D493" s="77">
        <f>SUM(D487:D491)</f>
        <v>9636.0379610028049</v>
      </c>
      <c r="E493" s="16" t="s">
        <v>157</v>
      </c>
      <c r="F493" s="19"/>
      <c r="J493" s="79"/>
      <c r="K493" s="79"/>
      <c r="L493" s="79"/>
    </row>
    <row r="494" spans="3:12">
      <c r="C494" s="21"/>
      <c r="J494" s="79"/>
      <c r="K494" s="79"/>
      <c r="L494" s="79"/>
    </row>
    <row r="495" spans="3:12">
      <c r="C495" s="21"/>
      <c r="D495" s="77">
        <f>D493*D473</f>
        <v>19272.07592200561</v>
      </c>
      <c r="E495" s="16" t="s">
        <v>566</v>
      </c>
      <c r="J495" s="128"/>
      <c r="K495" s="79"/>
      <c r="L495" s="79"/>
    </row>
    <row r="496" spans="3:12">
      <c r="C496" s="21"/>
      <c r="D496" s="77"/>
      <c r="J496" s="128"/>
      <c r="K496" s="79"/>
      <c r="L496" s="79"/>
    </row>
    <row r="497" spans="3:12">
      <c r="C497" s="21"/>
      <c r="D497" s="64">
        <f>D495*D472</f>
        <v>4336217.0824512625</v>
      </c>
      <c r="E497" s="47" t="s">
        <v>329</v>
      </c>
      <c r="J497" s="129"/>
      <c r="K497" s="76"/>
      <c r="L497" s="79"/>
    </row>
    <row r="498" spans="3:12">
      <c r="C498" s="21"/>
      <c r="J498" s="129"/>
      <c r="K498" s="76"/>
      <c r="L498" s="79"/>
    </row>
    <row r="499" spans="3:12">
      <c r="J499" s="79"/>
      <c r="K499" s="79"/>
      <c r="L499" s="79"/>
    </row>
    <row r="500" spans="3:12">
      <c r="H500" s="259"/>
      <c r="J500" s="65"/>
      <c r="K500" s="66"/>
      <c r="L500" s="79"/>
    </row>
    <row r="501" spans="3:12">
      <c r="D501" s="65"/>
      <c r="E501" s="66"/>
      <c r="J501" s="65"/>
      <c r="K501" s="66"/>
      <c r="L501" s="79"/>
    </row>
    <row r="502" spans="3:12">
      <c r="E502" s="66"/>
      <c r="J502" s="79"/>
      <c r="K502" s="79"/>
      <c r="L502" s="79"/>
    </row>
    <row r="503" spans="3:12" ht="19">
      <c r="C503" s="2" t="s">
        <v>132</v>
      </c>
      <c r="D503" s="37" t="s">
        <v>89</v>
      </c>
      <c r="J503" s="79"/>
      <c r="K503" s="79"/>
      <c r="L503" s="79"/>
    </row>
    <row r="504" spans="3:12">
      <c r="C504" t="s">
        <v>54</v>
      </c>
      <c r="J504" s="79"/>
      <c r="K504" s="79"/>
      <c r="L504" s="79"/>
    </row>
    <row r="505" spans="3:12">
      <c r="D505" s="160" t="s">
        <v>243</v>
      </c>
      <c r="J505" s="79"/>
      <c r="K505" s="79"/>
      <c r="L505" s="79"/>
    </row>
    <row r="506" spans="3:12">
      <c r="D506" s="16"/>
      <c r="J506" s="79"/>
      <c r="K506" s="79"/>
      <c r="L506" s="79"/>
    </row>
    <row r="507" spans="3:12">
      <c r="D507" s="67" t="s">
        <v>91</v>
      </c>
      <c r="E507" s="41"/>
      <c r="J507" s="79"/>
      <c r="K507" s="79"/>
      <c r="L507" s="79"/>
    </row>
    <row r="508" spans="3:12">
      <c r="D508" s="52">
        <f>'Overall Assumptions'!$C$93</f>
        <v>285</v>
      </c>
      <c r="E508" s="41" t="s">
        <v>93</v>
      </c>
      <c r="J508" s="79"/>
      <c r="K508" s="79"/>
      <c r="L508" s="79"/>
    </row>
    <row r="509" spans="3:12">
      <c r="D509" s="54">
        <f>'Overall Assumptions'!$C$10</f>
        <v>0</v>
      </c>
      <c r="E509" s="43" t="s">
        <v>85</v>
      </c>
      <c r="J509" s="79"/>
      <c r="K509" s="79"/>
      <c r="L509" s="79"/>
    </row>
    <row r="510" spans="3:12">
      <c r="D510" s="54">
        <f>'Overall Assumptions'!$C$90</f>
        <v>80</v>
      </c>
      <c r="E510" s="43" t="s">
        <v>86</v>
      </c>
      <c r="J510" s="79"/>
      <c r="K510" s="79"/>
      <c r="L510" s="79"/>
    </row>
    <row r="511" spans="3:12">
      <c r="D511" s="55"/>
      <c r="E511" s="43"/>
      <c r="J511" s="79"/>
      <c r="K511" s="79"/>
      <c r="L511" s="79"/>
    </row>
    <row r="512" spans="3:12">
      <c r="D512" s="56"/>
      <c r="E512" s="45"/>
      <c r="J512" s="127"/>
      <c r="K512" s="79"/>
      <c r="L512" s="79"/>
    </row>
    <row r="513" spans="3:15">
      <c r="D513" s="75"/>
      <c r="E513" s="76"/>
      <c r="J513" s="79"/>
      <c r="K513" s="79"/>
      <c r="L513" s="79"/>
    </row>
    <row r="514" spans="3:15">
      <c r="D514" s="46">
        <f>2*D509/D510/7.5</f>
        <v>0</v>
      </c>
      <c r="E514" s="59" t="s">
        <v>97</v>
      </c>
      <c r="J514" s="132"/>
      <c r="K514" s="133"/>
      <c r="L514" s="79"/>
    </row>
    <row r="515" spans="3:15">
      <c r="D515" s="46">
        <f>D489</f>
        <v>52.704627669472984</v>
      </c>
      <c r="E515" s="59" t="s">
        <v>589</v>
      </c>
      <c r="J515" s="79"/>
      <c r="K515" s="133"/>
      <c r="L515" s="79"/>
    </row>
    <row r="516" spans="3:15">
      <c r="D516" s="46">
        <f>D491</f>
        <v>9583.3333333333321</v>
      </c>
      <c r="E516" s="59" t="s">
        <v>623</v>
      </c>
      <c r="J516" s="79"/>
      <c r="K516" s="133"/>
      <c r="L516" s="79"/>
    </row>
    <row r="517" spans="3:15">
      <c r="D517" s="46">
        <f>SUM(D514:D516)</f>
        <v>9636.0379610028049</v>
      </c>
      <c r="E517" s="59" t="s">
        <v>135</v>
      </c>
      <c r="J517" s="128"/>
      <c r="K517" s="79"/>
      <c r="L517" s="79"/>
    </row>
    <row r="518" spans="3:15">
      <c r="D518" s="63"/>
      <c r="J518" s="129"/>
      <c r="K518" s="76"/>
      <c r="L518" s="79"/>
    </row>
    <row r="519" spans="3:15">
      <c r="D519" s="63"/>
      <c r="J519" s="129"/>
      <c r="K519" s="76"/>
      <c r="L519" s="79"/>
    </row>
    <row r="520" spans="3:15">
      <c r="D520" s="68">
        <f>D517*D508</f>
        <v>2746270.8188857995</v>
      </c>
      <c r="E520" s="47" t="s">
        <v>53</v>
      </c>
      <c r="J520" s="65"/>
      <c r="K520" s="66"/>
      <c r="L520" s="79"/>
    </row>
    <row r="521" spans="3:15">
      <c r="D521" s="63"/>
      <c r="J521" s="65"/>
      <c r="K521" s="66"/>
      <c r="L521" s="79"/>
    </row>
    <row r="522" spans="3:15">
      <c r="D522" s="46">
        <f>D517</f>
        <v>9636.0379610028049</v>
      </c>
      <c r="E522" s="359" t="s">
        <v>795</v>
      </c>
      <c r="J522" s="65"/>
      <c r="K522" s="66"/>
      <c r="L522" s="79"/>
    </row>
    <row r="523" spans="3:15">
      <c r="D523" s="75">
        <f>ROUNDUP((D522/21),0)</f>
        <v>459</v>
      </c>
      <c r="E523" s="99" t="s">
        <v>739</v>
      </c>
      <c r="J523" s="65"/>
      <c r="K523" s="66"/>
      <c r="L523" s="79"/>
    </row>
    <row r="524" spans="3:15">
      <c r="D524" s="92"/>
      <c r="E524" s="66"/>
      <c r="J524" s="65"/>
      <c r="K524" s="66"/>
      <c r="L524" s="79"/>
      <c r="M524" s="79"/>
      <c r="N524" s="79"/>
      <c r="O524" s="79"/>
    </row>
    <row r="525" spans="3:15">
      <c r="D525" s="92"/>
      <c r="E525" s="66"/>
      <c r="J525" s="65"/>
      <c r="K525" s="66"/>
      <c r="L525" s="79"/>
      <c r="M525" s="79"/>
      <c r="N525" s="79"/>
      <c r="O525" s="79"/>
    </row>
    <row r="526" spans="3:15">
      <c r="D526" s="92"/>
      <c r="E526" s="66"/>
      <c r="J526" s="65"/>
      <c r="K526" s="66"/>
      <c r="L526" s="79"/>
      <c r="M526" s="79"/>
      <c r="N526" s="79"/>
      <c r="O526" s="79"/>
    </row>
    <row r="527" spans="3:15">
      <c r="C527" t="s">
        <v>70</v>
      </c>
      <c r="D527" s="58"/>
      <c r="E527" s="59" t="s">
        <v>156</v>
      </c>
      <c r="J527" s="65"/>
      <c r="K527" s="66"/>
      <c r="L527" s="79"/>
      <c r="M527" s="79"/>
      <c r="N527" s="79"/>
      <c r="O527" s="79"/>
    </row>
    <row r="528" spans="3:15">
      <c r="D528" s="58"/>
      <c r="E528" s="59"/>
      <c r="J528" s="65"/>
      <c r="K528" s="66"/>
      <c r="L528" s="79"/>
      <c r="M528" s="79"/>
      <c r="N528" s="79"/>
      <c r="O528" s="79"/>
    </row>
    <row r="529" spans="3:15">
      <c r="D529" s="58"/>
      <c r="E529" s="59"/>
      <c r="J529" s="65"/>
      <c r="K529" s="66"/>
      <c r="L529" s="79"/>
      <c r="M529" s="79"/>
      <c r="N529" s="79"/>
      <c r="O529" s="79"/>
    </row>
    <row r="530" spans="3:15">
      <c r="D530" s="25">
        <f>D493</f>
        <v>9636.0379610028049</v>
      </c>
      <c r="E530" s="16" t="s">
        <v>157</v>
      </c>
      <c r="J530" s="65"/>
      <c r="K530" s="66"/>
      <c r="L530" s="79"/>
      <c r="M530" s="79"/>
      <c r="N530" s="79"/>
      <c r="O530" s="79"/>
    </row>
    <row r="531" spans="3:15">
      <c r="D531" s="61">
        <f>FLOOR(D530,1)</f>
        <v>9636</v>
      </c>
      <c r="E531" s="16" t="s">
        <v>73</v>
      </c>
      <c r="J531" s="65"/>
      <c r="K531" s="66"/>
      <c r="L531" s="79"/>
      <c r="M531" s="79"/>
      <c r="N531" s="79"/>
      <c r="O531" s="79"/>
    </row>
    <row r="532" spans="3:15">
      <c r="D532" s="146">
        <f>D531*D473</f>
        <v>19272</v>
      </c>
      <c r="E532" s="66" t="s">
        <v>175</v>
      </c>
      <c r="J532" s="65"/>
      <c r="K532" s="66"/>
      <c r="L532" s="79"/>
      <c r="M532" s="79"/>
      <c r="N532" s="79"/>
      <c r="O532" s="79"/>
    </row>
    <row r="533" spans="3:15">
      <c r="D533" s="65"/>
      <c r="E533" s="66" t="s">
        <v>88</v>
      </c>
      <c r="J533" s="65"/>
      <c r="K533" s="66"/>
      <c r="L533" s="79"/>
      <c r="M533" s="79"/>
      <c r="N533" s="79"/>
      <c r="O533" s="79"/>
    </row>
    <row r="534" spans="3:15">
      <c r="D534" s="102">
        <f>D532*D485</f>
        <v>4047120</v>
      </c>
      <c r="E534" s="39" t="s">
        <v>74</v>
      </c>
      <c r="J534" s="129"/>
      <c r="K534" s="276"/>
      <c r="L534" s="276"/>
      <c r="M534" s="276"/>
      <c r="N534" s="276"/>
      <c r="O534" s="79"/>
    </row>
    <row r="535" spans="3:15">
      <c r="D535" s="65"/>
      <c r="E535" s="66"/>
      <c r="J535" s="65"/>
      <c r="K535" s="122"/>
      <c r="L535" s="136"/>
      <c r="M535" s="119"/>
      <c r="N535" s="119"/>
      <c r="O535" s="79"/>
    </row>
    <row r="536" spans="3:15">
      <c r="C536" t="s">
        <v>4</v>
      </c>
      <c r="D536" s="74">
        <f>D454</f>
        <v>24750000</v>
      </c>
      <c r="E536" s="39" t="str">
        <f>E454</f>
        <v>Consumables needed for bush regeneration</v>
      </c>
      <c r="J536" s="65"/>
      <c r="K536" s="122"/>
      <c r="L536" s="136"/>
      <c r="M536" s="119"/>
      <c r="N536" s="119"/>
      <c r="O536" s="79"/>
    </row>
    <row r="537" spans="3:15">
      <c r="D537" s="65"/>
      <c r="E537" s="66"/>
      <c r="J537" s="65"/>
      <c r="K537" s="122"/>
      <c r="L537" s="136"/>
      <c r="M537" s="119"/>
      <c r="N537" s="119"/>
      <c r="O537" s="79"/>
    </row>
    <row r="538" spans="3:15">
      <c r="D538" s="65"/>
      <c r="E538" s="66"/>
      <c r="J538" s="65"/>
      <c r="K538" s="122"/>
      <c r="L538" s="136"/>
      <c r="M538" s="119"/>
      <c r="N538" s="119"/>
      <c r="O538" s="79"/>
    </row>
    <row r="539" spans="3:15">
      <c r="D539" s="65"/>
      <c r="E539" s="66"/>
      <c r="J539" s="65"/>
      <c r="K539" s="122"/>
      <c r="L539" s="136"/>
      <c r="M539" s="119"/>
      <c r="N539" s="119"/>
      <c r="O539" s="79"/>
    </row>
    <row r="540" spans="3:15">
      <c r="D540" s="65"/>
      <c r="E540" s="66"/>
      <c r="J540" s="65"/>
      <c r="K540" s="122"/>
      <c r="L540" s="136"/>
      <c r="M540" s="119"/>
      <c r="N540" s="119"/>
      <c r="O540" s="79"/>
    </row>
    <row r="541" spans="3:15" s="9" customFormat="1">
      <c r="C541" s="121"/>
      <c r="D541" s="143" t="s">
        <v>172</v>
      </c>
      <c r="E541" s="144" t="s">
        <v>155</v>
      </c>
      <c r="F541" s="144" t="s">
        <v>173</v>
      </c>
      <c r="G541" s="144" t="s">
        <v>174</v>
      </c>
      <c r="H541" s="144" t="s">
        <v>166</v>
      </c>
      <c r="I541" s="145" t="s">
        <v>69</v>
      </c>
      <c r="J541" s="276" t="s">
        <v>391</v>
      </c>
      <c r="K541" s="122"/>
      <c r="L541" s="136"/>
      <c r="M541" s="119"/>
      <c r="N541" s="119"/>
      <c r="O541" s="122"/>
    </row>
    <row r="542" spans="3:15" s="9" customFormat="1">
      <c r="C542" s="121"/>
      <c r="D542" s="135" t="s">
        <v>3</v>
      </c>
      <c r="E542" s="136">
        <f>D495</f>
        <v>19272.07592200561</v>
      </c>
      <c r="F542" s="141">
        <f>D416</f>
        <v>100</v>
      </c>
      <c r="G542" s="122"/>
      <c r="H542" s="119">
        <f>D497</f>
        <v>4336217.0824512625</v>
      </c>
      <c r="I542" s="119" t="str">
        <f>E497</f>
        <v>Cost for person hours</v>
      </c>
      <c r="J542" s="9">
        <f>$D$419</f>
        <v>5</v>
      </c>
      <c r="K542" s="122"/>
      <c r="L542" s="136"/>
      <c r="M542" s="119"/>
      <c r="N542" s="119"/>
      <c r="O542" s="122"/>
    </row>
    <row r="543" spans="3:15" s="9" customFormat="1">
      <c r="C543" s="121"/>
      <c r="D543" s="135" t="s">
        <v>132</v>
      </c>
      <c r="E543" s="136">
        <f>D517</f>
        <v>9636.0379610028049</v>
      </c>
      <c r="F543" s="141">
        <f>F544</f>
        <v>100</v>
      </c>
      <c r="G543" s="141"/>
      <c r="H543" s="119">
        <f>D520</f>
        <v>2746270.8188857995</v>
      </c>
      <c r="I543" s="119" t="str">
        <f>E520</f>
        <v>Cost for ute hire for the whole activity</v>
      </c>
      <c r="J543" s="9">
        <f>$D$419</f>
        <v>5</v>
      </c>
      <c r="K543" s="122"/>
      <c r="L543" s="136"/>
      <c r="M543" s="119"/>
      <c r="N543" s="119"/>
      <c r="O543" s="122"/>
    </row>
    <row r="544" spans="3:15" s="9" customFormat="1">
      <c r="C544" s="121"/>
      <c r="D544" s="135" t="s">
        <v>169</v>
      </c>
      <c r="E544" s="136">
        <f>D532</f>
        <v>19272</v>
      </c>
      <c r="F544" s="141">
        <f>F542</f>
        <v>100</v>
      </c>
      <c r="G544" s="141">
        <f>D509</f>
        <v>0</v>
      </c>
      <c r="H544" s="119">
        <f>SUM(D534,D536)</f>
        <v>28797120</v>
      </c>
      <c r="I544" s="119" t="s">
        <v>1132</v>
      </c>
      <c r="J544" s="9">
        <f>$D$419</f>
        <v>5</v>
      </c>
      <c r="K544" s="122"/>
      <c r="L544" s="136"/>
      <c r="M544" s="119"/>
      <c r="N544" s="119"/>
      <c r="O544" s="122"/>
    </row>
    <row r="545" spans="3:15" s="9" customFormat="1">
      <c r="D545" s="135" t="s">
        <v>21</v>
      </c>
      <c r="E545" s="136"/>
      <c r="F545" s="141"/>
      <c r="G545" s="122"/>
      <c r="H545" s="119">
        <f>D462</f>
        <v>10000</v>
      </c>
      <c r="I545" s="119" t="str">
        <f>E462</f>
        <v>Total equipment cost</v>
      </c>
      <c r="J545" s="557">
        <f>$D$463</f>
        <v>10</v>
      </c>
      <c r="K545" s="122"/>
      <c r="L545" s="147"/>
      <c r="M545" s="119"/>
      <c r="N545" s="119"/>
      <c r="O545" s="122"/>
    </row>
    <row r="546" spans="3:15" s="9" customFormat="1">
      <c r="D546" s="137"/>
      <c r="E546" s="138"/>
      <c r="F546" s="142"/>
      <c r="G546" s="142"/>
      <c r="H546" s="139">
        <f>SUM(H542:H545)</f>
        <v>35889607.901337065</v>
      </c>
      <c r="I546" s="140" t="s">
        <v>165</v>
      </c>
      <c r="K546" s="122"/>
      <c r="L546" s="122"/>
      <c r="M546" s="122"/>
      <c r="N546" s="122"/>
      <c r="O546" s="122"/>
    </row>
    <row r="547" spans="3:15" s="9" customFormat="1">
      <c r="C547" s="121"/>
    </row>
    <row r="548" spans="3:15" s="9" customFormat="1">
      <c r="D548" s="105"/>
      <c r="E548" s="34"/>
    </row>
    <row r="549" spans="3:15">
      <c r="D549" s="25"/>
      <c r="H549" s="259"/>
    </row>
    <row r="550" spans="3:15" s="7" customFormat="1">
      <c r="D550" s="69"/>
      <c r="E550" s="36"/>
    </row>
    <row r="551" spans="3:15" s="7" customFormat="1">
      <c r="D551" s="35"/>
      <c r="E551" s="36"/>
    </row>
    <row r="552" spans="3:15">
      <c r="C552" s="1" t="s">
        <v>164</v>
      </c>
      <c r="D552" s="34" t="s">
        <v>653</v>
      </c>
      <c r="E552" s="34"/>
      <c r="G552" s="359"/>
    </row>
    <row r="553" spans="3:15">
      <c r="C553" s="9"/>
      <c r="D553" s="9" t="s">
        <v>168</v>
      </c>
      <c r="E553" s="34"/>
      <c r="G553" s="359"/>
    </row>
    <row r="554" spans="3:15">
      <c r="D554"/>
      <c r="E554"/>
      <c r="G554" s="359"/>
    </row>
    <row r="555" spans="3:15">
      <c r="D555" s="592" t="s">
        <v>179</v>
      </c>
      <c r="E555" s="274"/>
      <c r="G555" s="359"/>
    </row>
    <row r="556" spans="3:15">
      <c r="D556" s="974">
        <f>'Overall Assumptions'!$C$6</f>
        <v>100</v>
      </c>
      <c r="E556" s="246" t="s">
        <v>451</v>
      </c>
      <c r="G556" s="359"/>
    </row>
    <row r="557" spans="3:15">
      <c r="D557" s="408">
        <f>'Overall Assumptions'!$C$120</f>
        <v>0.3</v>
      </c>
      <c r="E557" s="483" t="str">
        <f>'Overall Assumptions'!$D$120</f>
        <v>Percentage of field that needs to be surveyed (ground)</v>
      </c>
      <c r="G557" s="359"/>
    </row>
    <row r="558" spans="3:15">
      <c r="D558" s="332">
        <f>D556*D557</f>
        <v>30</v>
      </c>
      <c r="E558" s="483" t="s">
        <v>450</v>
      </c>
      <c r="G558" s="359"/>
    </row>
    <row r="559" spans="3:15">
      <c r="D559" s="447">
        <v>1</v>
      </c>
      <c r="E559" s="483" t="s">
        <v>246</v>
      </c>
      <c r="G559" s="359"/>
    </row>
    <row r="560" spans="3:15">
      <c r="D560" s="482">
        <f>'Overall Assumptions'!$C$132</f>
        <v>0.5</v>
      </c>
      <c r="E560" s="43" t="s">
        <v>79</v>
      </c>
      <c r="G560" s="359"/>
    </row>
    <row r="561" spans="3:10">
      <c r="D561" s="54">
        <f>D558/D560</f>
        <v>60</v>
      </c>
      <c r="E561" s="483" t="s">
        <v>972</v>
      </c>
      <c r="G561" s="359"/>
    </row>
    <row r="562" spans="3:10">
      <c r="D562" s="42">
        <f>'Overall Assumptions'!$C$53</f>
        <v>4.46</v>
      </c>
      <c r="E562" s="631" t="s">
        <v>780</v>
      </c>
      <c r="G562" s="359"/>
    </row>
    <row r="563" spans="3:10">
      <c r="D563" s="42">
        <f>'Overall Assumptions'!$C$54</f>
        <v>3.3449999999999998</v>
      </c>
      <c r="E563" s="631" t="s">
        <v>781</v>
      </c>
      <c r="G563" s="359"/>
    </row>
    <row r="564" spans="3:10">
      <c r="D564" s="125">
        <f>'Overall Assumptions'!$C$55</f>
        <v>2.23</v>
      </c>
      <c r="E564" s="635" t="s">
        <v>782</v>
      </c>
      <c r="G564" s="359"/>
    </row>
    <row r="565" spans="3:10">
      <c r="G565" s="359"/>
    </row>
    <row r="566" spans="3:10">
      <c r="D566" s="25"/>
      <c r="G566" s="359"/>
    </row>
    <row r="567" spans="3:10">
      <c r="D567" s="151" t="s">
        <v>179</v>
      </c>
      <c r="E567" s="164"/>
      <c r="F567" s="255"/>
      <c r="G567" s="1090"/>
      <c r="H567" s="161"/>
    </row>
    <row r="568" spans="3:10">
      <c r="D568" s="444">
        <f>10/60</f>
        <v>0.16666666666666666</v>
      </c>
      <c r="E568" s="443" t="s">
        <v>1134</v>
      </c>
      <c r="F568" s="465"/>
      <c r="G568" s="1097"/>
      <c r="H568" s="466"/>
    </row>
    <row r="569" spans="3:10">
      <c r="D569" s="332">
        <f>D558/D560</f>
        <v>60</v>
      </c>
      <c r="E569" s="76" t="s">
        <v>253</v>
      </c>
      <c r="F569" s="79"/>
      <c r="G569" s="1119"/>
      <c r="H569" s="246"/>
    </row>
    <row r="570" spans="3:10">
      <c r="D570" s="154">
        <f>D568*D569</f>
        <v>10</v>
      </c>
      <c r="E570" s="333" t="s">
        <v>1135</v>
      </c>
      <c r="F570" s="439"/>
      <c r="G570" s="1098"/>
      <c r="H570" s="162"/>
    </row>
    <row r="571" spans="3:10" s="79" customFormat="1">
      <c r="D571" s="66"/>
      <c r="E571" s="76"/>
      <c r="G571" s="1119"/>
    </row>
    <row r="572" spans="3:10">
      <c r="D572"/>
      <c r="E572"/>
      <c r="F572" s="432"/>
      <c r="G572" s="1099"/>
    </row>
    <row r="573" spans="3:10" ht="19">
      <c r="C573" t="s">
        <v>50</v>
      </c>
      <c r="D573" s="37" t="s">
        <v>81</v>
      </c>
      <c r="E573" s="24"/>
      <c r="F573" s="1"/>
      <c r="G573" s="1100"/>
      <c r="H573" s="3"/>
      <c r="I573" s="3"/>
      <c r="J573" s="3"/>
    </row>
    <row r="574" spans="3:10">
      <c r="F574" s="1"/>
      <c r="G574" s="1100"/>
      <c r="H574" s="3"/>
      <c r="I574" s="3"/>
      <c r="J574" s="3"/>
    </row>
    <row r="575" spans="3:10">
      <c r="D575" s="160" t="s">
        <v>408</v>
      </c>
      <c r="G575" s="359"/>
    </row>
    <row r="576" spans="3:10">
      <c r="G576" s="359"/>
    </row>
    <row r="577" spans="4:10">
      <c r="D577" s="50"/>
      <c r="G577" s="359"/>
    </row>
    <row r="578" spans="4:10">
      <c r="D578" s="51" t="s">
        <v>82</v>
      </c>
      <c r="E578" s="273"/>
      <c r="F578" s="274"/>
      <c r="G578" s="359"/>
    </row>
    <row r="579" spans="4:10" ht="19">
      <c r="D579" s="54">
        <f>'Overall Assumptions'!$C$68</f>
        <v>225</v>
      </c>
      <c r="E579" s="1215" t="s">
        <v>99</v>
      </c>
      <c r="F579" s="246"/>
      <c r="G579" s="359"/>
    </row>
    <row r="580" spans="4:10">
      <c r="D580" s="54">
        <f>'Overall Assumptions'!$C$130</f>
        <v>2</v>
      </c>
      <c r="E580" s="76" t="s">
        <v>84</v>
      </c>
      <c r="F580" s="246"/>
      <c r="G580" s="359"/>
    </row>
    <row r="581" spans="4:10">
      <c r="D581" s="152"/>
      <c r="E581" s="76"/>
      <c r="F581" s="246"/>
      <c r="G581" s="359"/>
    </row>
    <row r="582" spans="4:10">
      <c r="D582" s="42">
        <f>'Overall Assumptions'!$C$53</f>
        <v>4.46</v>
      </c>
      <c r="E582" s="629" t="s">
        <v>780</v>
      </c>
      <c r="F582" s="246"/>
      <c r="G582" s="359"/>
    </row>
    <row r="583" spans="4:10">
      <c r="D583" s="42">
        <f>'Overall Assumptions'!$C$54</f>
        <v>3.3449999999999998</v>
      </c>
      <c r="E583" s="629" t="s">
        <v>781</v>
      </c>
      <c r="F583" s="246"/>
      <c r="G583" s="359"/>
    </row>
    <row r="584" spans="4:10">
      <c r="D584" s="42">
        <f>'Overall Assumptions'!$C$55</f>
        <v>2.23</v>
      </c>
      <c r="E584" s="629" t="s">
        <v>782</v>
      </c>
      <c r="F584" s="246"/>
      <c r="G584" s="359"/>
    </row>
    <row r="585" spans="4:10">
      <c r="D585" s="616"/>
      <c r="E585" s="833"/>
      <c r="F585" s="246"/>
      <c r="G585" s="359"/>
    </row>
    <row r="586" spans="4:10">
      <c r="D586" s="467">
        <f>D561</f>
        <v>60</v>
      </c>
      <c r="E586" s="1216" t="str">
        <f>E561</f>
        <v>Effective distance to be walked along</v>
      </c>
      <c r="F586" s="246"/>
      <c r="G586" s="359"/>
    </row>
    <row r="587" spans="4:10">
      <c r="D587" s="467"/>
      <c r="E587" s="76"/>
      <c r="F587" s="246"/>
      <c r="G587" s="359"/>
    </row>
    <row r="588" spans="4:10">
      <c r="D588" s="468">
        <f>D570/7.5</f>
        <v>1.3333333333333333</v>
      </c>
      <c r="E588" s="76" t="s">
        <v>464</v>
      </c>
      <c r="F588" s="246"/>
      <c r="G588" s="359"/>
    </row>
    <row r="589" spans="4:10">
      <c r="D589" s="54">
        <f>'Overall Assumptions'!$C$10</f>
        <v>0</v>
      </c>
      <c r="E589" s="76" t="s">
        <v>85</v>
      </c>
      <c r="F589" s="246"/>
      <c r="G589" s="359"/>
    </row>
    <row r="590" spans="4:10">
      <c r="D590" s="54">
        <f>'Overall Assumptions'!$C$90</f>
        <v>80</v>
      </c>
      <c r="E590" s="76" t="s">
        <v>86</v>
      </c>
      <c r="F590" s="246"/>
      <c r="G590" s="359"/>
    </row>
    <row r="591" spans="4:10">
      <c r="D591" s="56">
        <f>'Overall Assumptions'!$C$81</f>
        <v>210</v>
      </c>
      <c r="E591" s="333" t="s">
        <v>87</v>
      </c>
      <c r="F591" s="162"/>
      <c r="G591" s="359"/>
      <c r="J591" s="578"/>
    </row>
    <row r="592" spans="4:10">
      <c r="D592" s="57"/>
      <c r="G592" s="359"/>
    </row>
    <row r="593" spans="3:11">
      <c r="C593" s="21"/>
      <c r="G593" s="359"/>
      <c r="J593" s="90"/>
    </row>
    <row r="594" spans="3:11">
      <c r="C594" s="21"/>
      <c r="D594" s="59" t="s">
        <v>735</v>
      </c>
      <c r="E594" s="2" t="s">
        <v>218</v>
      </c>
      <c r="F594" s="2" t="s">
        <v>733</v>
      </c>
      <c r="G594" s="359" t="s">
        <v>796</v>
      </c>
    </row>
    <row r="595" spans="3:11">
      <c r="C595" s="21"/>
      <c r="D595" s="46">
        <f>D582</f>
        <v>4.46</v>
      </c>
      <c r="E595" s="46">
        <f>D583</f>
        <v>3.3449999999999998</v>
      </c>
      <c r="F595" s="1219">
        <f>D584</f>
        <v>2.23</v>
      </c>
      <c r="G595" s="359" t="s">
        <v>254</v>
      </c>
      <c r="J595" s="90"/>
    </row>
    <row r="596" spans="3:11">
      <c r="C596" s="21"/>
      <c r="D596" s="77">
        <f>2*D589/D590/7.5</f>
        <v>0</v>
      </c>
      <c r="E596" s="77">
        <f>D596</f>
        <v>0</v>
      </c>
      <c r="F596" s="77">
        <f>E596</f>
        <v>0</v>
      </c>
      <c r="G596" s="59" t="s">
        <v>95</v>
      </c>
      <c r="J596" s="90"/>
    </row>
    <row r="597" spans="3:11">
      <c r="C597" s="21"/>
      <c r="D597" s="77"/>
      <c r="G597" s="16" t="s">
        <v>778</v>
      </c>
      <c r="J597" s="90"/>
    </row>
    <row r="598" spans="3:11">
      <c r="C598" s="21"/>
      <c r="G598" s="359"/>
    </row>
    <row r="599" spans="3:11" ht="18" customHeight="1">
      <c r="C599" s="21"/>
      <c r="D599" s="77">
        <f>$D586/D595/7.5</f>
        <v>1.7937219730941705</v>
      </c>
      <c r="E599" s="77">
        <f>$D586/E595/7.5</f>
        <v>2.391629297458894</v>
      </c>
      <c r="F599" s="77">
        <f>$D586/F595/7.5</f>
        <v>3.5874439461883409</v>
      </c>
      <c r="G599" s="693" t="s">
        <v>96</v>
      </c>
    </row>
    <row r="600" spans="3:11" ht="18" customHeight="1">
      <c r="C600" s="21"/>
      <c r="D600" s="77">
        <f>$D588</f>
        <v>1.3333333333333333</v>
      </c>
      <c r="E600" s="77">
        <f>$D588</f>
        <v>1.3333333333333333</v>
      </c>
      <c r="F600" s="77">
        <f>$D588</f>
        <v>1.3333333333333333</v>
      </c>
      <c r="G600" s="693" t="s">
        <v>786</v>
      </c>
    </row>
    <row r="601" spans="3:11" ht="18" customHeight="1">
      <c r="C601" s="21"/>
      <c r="D601" s="77">
        <f>SUM(D599:D600)</f>
        <v>3.1270553064275037</v>
      </c>
      <c r="E601" s="77">
        <f>SUM(E599:E600)</f>
        <v>3.724962630792227</v>
      </c>
      <c r="F601" s="77">
        <f>SUM(F599:F600)</f>
        <v>4.9207772795216744</v>
      </c>
      <c r="G601" s="693" t="s">
        <v>171</v>
      </c>
    </row>
    <row r="602" spans="3:11" ht="18" customHeight="1">
      <c r="C602" s="21"/>
      <c r="D602" s="16"/>
      <c r="E602"/>
      <c r="G602" s="359"/>
    </row>
    <row r="603" spans="3:11" ht="18" customHeight="1">
      <c r="C603" s="21"/>
      <c r="D603" s="77">
        <f>D601*$D580</f>
        <v>6.2541106128550075</v>
      </c>
      <c r="E603" s="77">
        <f>E601*$D580</f>
        <v>7.449925261584454</v>
      </c>
      <c r="F603" s="77">
        <f>F601*$D580</f>
        <v>9.8415545590433489</v>
      </c>
      <c r="G603" s="99" t="s">
        <v>787</v>
      </c>
    </row>
    <row r="604" spans="3:11">
      <c r="C604" s="21"/>
      <c r="D604" s="16"/>
      <c r="E604"/>
      <c r="G604" s="99"/>
    </row>
    <row r="605" spans="3:11">
      <c r="C605" s="21"/>
      <c r="D605" s="63"/>
      <c r="E605" s="63"/>
      <c r="F605" s="63"/>
      <c r="G605" s="99"/>
      <c r="J605" s="90"/>
    </row>
    <row r="606" spans="3:11">
      <c r="C606" s="21"/>
      <c r="D606" s="63"/>
      <c r="E606" s="63"/>
      <c r="F606" s="63"/>
      <c r="G606" s="99"/>
      <c r="J606" s="259"/>
      <c r="K606" s="16"/>
    </row>
    <row r="607" spans="3:11">
      <c r="C607" s="21"/>
      <c r="D607" s="64">
        <f>D603*$D579</f>
        <v>1407.1748878923768</v>
      </c>
      <c r="E607" s="905">
        <f>E603*$D579</f>
        <v>1676.2331838565021</v>
      </c>
      <c r="F607" s="905">
        <f>F603*$D579</f>
        <v>2214.3497757847535</v>
      </c>
      <c r="G607" s="1101" t="s">
        <v>486</v>
      </c>
      <c r="J607" s="259"/>
      <c r="K607" s="16"/>
    </row>
    <row r="608" spans="3:11">
      <c r="F608" s="16"/>
      <c r="G608" s="99"/>
    </row>
    <row r="609" spans="3:11">
      <c r="D609" s="75"/>
      <c r="E609" s="75"/>
      <c r="F609" s="75"/>
      <c r="G609" s="99"/>
      <c r="J609" s="65"/>
      <c r="K609" s="24"/>
    </row>
    <row r="610" spans="3:11" ht="19">
      <c r="C610" t="s">
        <v>64</v>
      </c>
      <c r="D610" s="37" t="s">
        <v>89</v>
      </c>
      <c r="G610" s="359"/>
    </row>
    <row r="611" spans="3:11">
      <c r="C611" t="s">
        <v>54</v>
      </c>
      <c r="G611" s="359"/>
    </row>
    <row r="612" spans="3:11">
      <c r="G612" s="359"/>
    </row>
    <row r="613" spans="3:11">
      <c r="D613" s="16"/>
      <c r="G613" s="359"/>
    </row>
    <row r="614" spans="3:11">
      <c r="D614" s="67" t="s">
        <v>91</v>
      </c>
      <c r="E614" s="41"/>
      <c r="G614" s="359"/>
    </row>
    <row r="615" spans="3:11">
      <c r="D615" s="52">
        <f>'Overall Assumptions'!$C$93</f>
        <v>285</v>
      </c>
      <c r="E615" s="41" t="s">
        <v>93</v>
      </c>
      <c r="G615" s="359"/>
    </row>
    <row r="616" spans="3:11">
      <c r="D616" s="54">
        <f>'Overall Assumptions'!$C$10</f>
        <v>0</v>
      </c>
      <c r="E616" s="43" t="s">
        <v>85</v>
      </c>
      <c r="G616" s="359"/>
    </row>
    <row r="617" spans="3:11">
      <c r="D617" s="54"/>
      <c r="E617" s="43"/>
      <c r="G617" s="359"/>
    </row>
    <row r="618" spans="3:11">
      <c r="D618" s="616"/>
      <c r="E618" s="43"/>
      <c r="G618" s="359"/>
    </row>
    <row r="619" spans="3:11">
      <c r="D619" s="56"/>
      <c r="E619" s="45"/>
      <c r="G619" s="359"/>
      <c r="J619" s="578"/>
    </row>
    <row r="620" spans="3:11">
      <c r="D620" s="75"/>
      <c r="G620" s="359"/>
    </row>
    <row r="621" spans="3:11">
      <c r="D621" s="46">
        <f>D593</f>
        <v>0</v>
      </c>
      <c r="E621" s="46">
        <f>D621</f>
        <v>0</v>
      </c>
      <c r="F621" s="46">
        <f>E621</f>
        <v>0</v>
      </c>
      <c r="G621" s="693"/>
      <c r="J621" s="532"/>
      <c r="K621" s="59"/>
    </row>
    <row r="622" spans="3:11">
      <c r="D622" s="46">
        <f t="shared" ref="D622:F623" si="40">D599</f>
        <v>1.7937219730941705</v>
      </c>
      <c r="E622" s="46">
        <f t="shared" si="40"/>
        <v>2.391629297458894</v>
      </c>
      <c r="F622" s="46">
        <f t="shared" si="40"/>
        <v>3.5874439461883409</v>
      </c>
      <c r="G622" s="693" t="s">
        <v>98</v>
      </c>
      <c r="K622" s="59"/>
    </row>
    <row r="623" spans="3:11">
      <c r="D623" s="46">
        <f t="shared" si="40"/>
        <v>1.3333333333333333</v>
      </c>
      <c r="E623" s="46">
        <f t="shared" si="40"/>
        <v>1.3333333333333333</v>
      </c>
      <c r="F623" s="46">
        <f t="shared" si="40"/>
        <v>1.3333333333333333</v>
      </c>
      <c r="G623" s="693" t="str">
        <f>G600</f>
        <v>3rd term is the days required to do all activities (for one person)</v>
      </c>
      <c r="K623" s="59"/>
    </row>
    <row r="624" spans="3:11">
      <c r="D624" s="46"/>
      <c r="E624" s="46"/>
      <c r="F624" s="46"/>
      <c r="G624" s="693"/>
      <c r="K624" s="59"/>
    </row>
    <row r="625" spans="3:11">
      <c r="D625" s="46">
        <f>SUM(D621:D623)</f>
        <v>3.1270553064275037</v>
      </c>
      <c r="E625" s="46">
        <f>SUM(E621:E623)</f>
        <v>3.724962630792227</v>
      </c>
      <c r="F625" s="46">
        <f>SUM(F621:F623)</f>
        <v>4.9207772795216744</v>
      </c>
      <c r="G625" s="693" t="s">
        <v>135</v>
      </c>
      <c r="J625" s="90"/>
    </row>
    <row r="626" spans="3:11">
      <c r="D626" s="46"/>
      <c r="E626" s="59"/>
      <c r="G626" s="359"/>
      <c r="J626" s="90"/>
    </row>
    <row r="627" spans="3:11">
      <c r="D627" s="63"/>
      <c r="E627" s="63"/>
      <c r="F627" s="63"/>
      <c r="G627" s="99"/>
      <c r="J627" s="259"/>
      <c r="K627" s="16"/>
    </row>
    <row r="628" spans="3:11">
      <c r="D628" s="63"/>
      <c r="E628" s="63"/>
      <c r="F628" s="63"/>
      <c r="G628" s="99"/>
      <c r="J628" s="259"/>
      <c r="K628" s="16"/>
    </row>
    <row r="629" spans="3:11">
      <c r="D629" s="63"/>
      <c r="E629" s="63"/>
      <c r="F629" s="63"/>
      <c r="G629" s="99"/>
      <c r="J629" s="259"/>
      <c r="K629" s="16"/>
    </row>
    <row r="630" spans="3:11">
      <c r="D630" s="68">
        <f>D625*$D615</f>
        <v>891.21076233183851</v>
      </c>
      <c r="E630" s="906">
        <f>E625*$D615</f>
        <v>1061.6143497757846</v>
      </c>
      <c r="F630" s="906">
        <f>F625*$D615</f>
        <v>1402.4215246636772</v>
      </c>
      <c r="G630" s="1101" t="s">
        <v>53</v>
      </c>
      <c r="J630" s="65"/>
      <c r="K630" s="24"/>
    </row>
    <row r="631" spans="3:11">
      <c r="D631" s="432"/>
      <c r="G631" s="359"/>
      <c r="J631" s="65"/>
      <c r="K631" s="24"/>
    </row>
    <row r="632" spans="3:11">
      <c r="D632" s="46">
        <f>D625</f>
        <v>3.1270553064275037</v>
      </c>
      <c r="E632" s="46">
        <f>E625</f>
        <v>3.724962630792227</v>
      </c>
      <c r="F632" s="46">
        <f>F625</f>
        <v>4.9207772795216744</v>
      </c>
      <c r="G632" s="359" t="s">
        <v>795</v>
      </c>
      <c r="J632" s="65"/>
      <c r="K632" s="24"/>
    </row>
    <row r="633" spans="3:11">
      <c r="D633" s="75">
        <f>ROUNDUP((D625/21),0)</f>
        <v>1</v>
      </c>
      <c r="E633" s="75">
        <f>ROUNDUP((E625/21),0)</f>
        <v>1</v>
      </c>
      <c r="F633" s="75">
        <f>ROUNDUP((F625/21),0)</f>
        <v>1</v>
      </c>
      <c r="G633" s="99" t="s">
        <v>739</v>
      </c>
      <c r="J633" s="65"/>
      <c r="K633" s="24"/>
    </row>
    <row r="634" spans="3:11">
      <c r="D634" s="432"/>
      <c r="G634" s="359"/>
      <c r="J634" s="65"/>
      <c r="K634" s="24"/>
    </row>
    <row r="635" spans="3:11">
      <c r="D635" s="65"/>
      <c r="E635" s="24"/>
      <c r="G635" s="359"/>
      <c r="J635" s="65"/>
      <c r="K635" s="24"/>
    </row>
    <row r="636" spans="3:11">
      <c r="C636" t="s">
        <v>70</v>
      </c>
      <c r="D636" s="58"/>
      <c r="E636" s="59" t="s">
        <v>156</v>
      </c>
      <c r="G636" s="359"/>
      <c r="J636" s="65"/>
      <c r="K636" s="24"/>
    </row>
    <row r="637" spans="3:11">
      <c r="D637" s="160" t="s">
        <v>238</v>
      </c>
      <c r="E637" s="59"/>
      <c r="G637" s="359"/>
      <c r="J637" s="65"/>
      <c r="K637" s="24"/>
    </row>
    <row r="638" spans="3:11">
      <c r="D638" s="58"/>
      <c r="E638" s="59"/>
      <c r="G638" s="359"/>
      <c r="J638" s="65"/>
      <c r="K638" s="24"/>
    </row>
    <row r="639" spans="3:11">
      <c r="D639" s="25">
        <f>D601</f>
        <v>3.1270553064275037</v>
      </c>
      <c r="E639" s="25">
        <f>E601</f>
        <v>3.724962630792227</v>
      </c>
      <c r="F639" s="25">
        <f>F601</f>
        <v>4.9207772795216744</v>
      </c>
      <c r="G639" s="99" t="s">
        <v>157</v>
      </c>
      <c r="J639" s="65"/>
      <c r="K639" s="24"/>
    </row>
    <row r="640" spans="3:11">
      <c r="D640" s="61">
        <f>FLOOR(D639,1)</f>
        <v>3</v>
      </c>
      <c r="E640" s="61">
        <f>FLOOR(E639,1)</f>
        <v>3</v>
      </c>
      <c r="F640" s="61">
        <f>FLOOR(F639,1)</f>
        <v>4</v>
      </c>
      <c r="G640" s="99" t="s">
        <v>73</v>
      </c>
      <c r="J640" s="65"/>
      <c r="K640" s="24"/>
    </row>
    <row r="641" spans="4:12">
      <c r="D641" s="65"/>
      <c r="G641" s="1102"/>
      <c r="J641" s="65"/>
      <c r="K641" s="24"/>
    </row>
    <row r="642" spans="4:12">
      <c r="D642" s="65">
        <f>D640*$D580</f>
        <v>6</v>
      </c>
      <c r="E642" s="65">
        <f>E640*$D580</f>
        <v>6</v>
      </c>
      <c r="F642" s="65">
        <f>F640*$D580</f>
        <v>8</v>
      </c>
      <c r="G642" s="1102" t="s">
        <v>88</v>
      </c>
      <c r="J642" s="65"/>
      <c r="K642" s="24"/>
    </row>
    <row r="643" spans="4:12">
      <c r="D643" s="102">
        <f>D642*$D591</f>
        <v>1260</v>
      </c>
      <c r="E643" s="907">
        <f>E642*$D591</f>
        <v>1260</v>
      </c>
      <c r="F643" s="907">
        <f>F642*$D591</f>
        <v>1680</v>
      </c>
      <c r="G643" s="1101" t="s">
        <v>74</v>
      </c>
      <c r="J643" s="259"/>
      <c r="K643" s="16"/>
    </row>
    <row r="644" spans="4:12">
      <c r="D644" s="825"/>
      <c r="E644" s="1" t="s">
        <v>788</v>
      </c>
      <c r="F644" s="1" t="s">
        <v>779</v>
      </c>
      <c r="G644" s="1" t="s">
        <v>789</v>
      </c>
      <c r="H644" s="1" t="s">
        <v>788</v>
      </c>
      <c r="I644" s="1" t="s">
        <v>779</v>
      </c>
      <c r="J644" s="1" t="s">
        <v>789</v>
      </c>
    </row>
    <row r="645" spans="4:12">
      <c r="D645" s="617" t="s">
        <v>172</v>
      </c>
      <c r="E645" s="618" t="s">
        <v>155</v>
      </c>
      <c r="F645" s="618" t="s">
        <v>173</v>
      </c>
      <c r="G645" s="1103" t="s">
        <v>174</v>
      </c>
      <c r="H645" s="618" t="s">
        <v>166</v>
      </c>
      <c r="I645" s="618" t="s">
        <v>166</v>
      </c>
      <c r="J645" s="618" t="s">
        <v>166</v>
      </c>
      <c r="K645" s="619" t="s">
        <v>69</v>
      </c>
    </row>
    <row r="646" spans="4:12">
      <c r="D646" s="404" t="s">
        <v>3</v>
      </c>
      <c r="E646" s="90">
        <f>D603</f>
        <v>6.2541106128550075</v>
      </c>
      <c r="F646" s="90">
        <f t="shared" ref="F646:G646" si="41">E603</f>
        <v>7.449925261584454</v>
      </c>
      <c r="G646" s="90">
        <f t="shared" si="41"/>
        <v>9.8415545590433489</v>
      </c>
      <c r="H646" s="432">
        <f>D607</f>
        <v>1407.1748878923768</v>
      </c>
      <c r="I646" s="432">
        <f>E607</f>
        <v>1676.2331838565021</v>
      </c>
      <c r="J646" s="432">
        <f>F607</f>
        <v>2214.3497757847535</v>
      </c>
      <c r="K646" s="830" t="str">
        <f>G607</f>
        <v>Cost for labour</v>
      </c>
      <c r="L646" s="558">
        <f>D559</f>
        <v>1</v>
      </c>
    </row>
    <row r="647" spans="4:12">
      <c r="D647" s="404" t="s">
        <v>490</v>
      </c>
      <c r="E647" s="90">
        <f>D625</f>
        <v>3.1270553064275037</v>
      </c>
      <c r="F647" s="90">
        <f t="shared" ref="F647:G647" si="42">E625</f>
        <v>3.724962630792227</v>
      </c>
      <c r="G647" s="90">
        <f t="shared" si="42"/>
        <v>4.9207772795216744</v>
      </c>
      <c r="H647" s="432">
        <f>D630</f>
        <v>891.21076233183851</v>
      </c>
      <c r="I647" s="432">
        <f>E630</f>
        <v>1061.6143497757846</v>
      </c>
      <c r="J647" s="432">
        <f>F630</f>
        <v>1402.4215246636772</v>
      </c>
      <c r="K647" s="830" t="str">
        <f>G630</f>
        <v>Cost for ute hire for the whole activity</v>
      </c>
      <c r="L647" s="558">
        <f>L646</f>
        <v>1</v>
      </c>
    </row>
    <row r="648" spans="4:12">
      <c r="D648" s="404" t="s">
        <v>169</v>
      </c>
      <c r="E648" s="90">
        <f>D642</f>
        <v>6</v>
      </c>
      <c r="F648" s="90">
        <f t="shared" ref="F648:G648" si="43">E642</f>
        <v>6</v>
      </c>
      <c r="G648" s="90">
        <f t="shared" si="43"/>
        <v>8</v>
      </c>
      <c r="H648" s="432">
        <f>D643</f>
        <v>1260</v>
      </c>
      <c r="I648" s="432">
        <f>E643</f>
        <v>1260</v>
      </c>
      <c r="J648" s="432">
        <f>F643</f>
        <v>1680</v>
      </c>
      <c r="K648" s="830" t="str">
        <f>G643</f>
        <v>Accomodation + Food Cost</v>
      </c>
      <c r="L648" s="558">
        <f>L647</f>
        <v>1</v>
      </c>
    </row>
    <row r="649" spans="4:12">
      <c r="D649" s="404"/>
      <c r="E649" s="90"/>
      <c r="F649" s="531"/>
      <c r="G649" s="359"/>
      <c r="H649" s="432"/>
      <c r="I649" s="259"/>
      <c r="J649" s="259"/>
      <c r="K649" s="830"/>
      <c r="L649" s="558"/>
    </row>
    <row r="650" spans="4:12">
      <c r="D650" s="404"/>
      <c r="E650" s="90"/>
      <c r="F650" s="531"/>
      <c r="G650" s="359"/>
      <c r="H650" s="432"/>
      <c r="I650" s="259"/>
      <c r="J650" s="259"/>
      <c r="K650" s="830"/>
    </row>
    <row r="651" spans="4:12">
      <c r="D651" s="405"/>
      <c r="E651" s="439"/>
      <c r="F651" s="439"/>
      <c r="G651" s="1098"/>
      <c r="H651" s="622">
        <f>SUM(H646:H650)</f>
        <v>3558.3856502242152</v>
      </c>
      <c r="I651" s="622">
        <f>SUM(I646:I650)</f>
        <v>3997.8475336322867</v>
      </c>
      <c r="J651" s="622">
        <f>SUM(J646:J650)</f>
        <v>5296.7713004484303</v>
      </c>
      <c r="K651" s="623" t="s">
        <v>165</v>
      </c>
    </row>
    <row r="652" spans="4:12">
      <c r="D652"/>
      <c r="E652"/>
      <c r="F652" s="432"/>
      <c r="G652" s="1099"/>
    </row>
    <row r="653" spans="4:12" s="7" customFormat="1">
      <c r="D653" s="69"/>
      <c r="E653" s="36"/>
      <c r="G653" s="1089"/>
    </row>
    <row r="655" spans="4:12" s="7" customFormat="1">
      <c r="D655" s="35"/>
      <c r="E655" s="36"/>
    </row>
    <row r="656" spans="4:12" s="9" customFormat="1">
      <c r="D656" s="105"/>
      <c r="E656" s="34"/>
    </row>
    <row r="657" spans="3:10" s="9" customFormat="1">
      <c r="C657" s="120" t="s">
        <v>247</v>
      </c>
      <c r="D657" s="105"/>
      <c r="E657" s="34"/>
      <c r="G657" s="572"/>
    </row>
    <row r="658" spans="3:10" s="9" customFormat="1">
      <c r="D658" s="34" t="s">
        <v>258</v>
      </c>
      <c r="E658" s="34"/>
      <c r="G658" s="572"/>
    </row>
    <row r="659" spans="3:10" s="9" customFormat="1">
      <c r="D659" s="38" t="s">
        <v>91</v>
      </c>
      <c r="E659" s="39"/>
      <c r="F659" s="105"/>
      <c r="G659" s="572"/>
    </row>
    <row r="660" spans="3:10" s="9" customFormat="1">
      <c r="D660" s="402"/>
      <c r="E660" s="161"/>
      <c r="G660" s="572"/>
    </row>
    <row r="661" spans="3:10" s="9" customFormat="1">
      <c r="D661" s="332">
        <f>'Overall Assumptions'!$C$125</f>
        <v>3</v>
      </c>
      <c r="E661" s="131" t="str">
        <f>'Overall Assumptions'!$D$115</f>
        <v>weeks</v>
      </c>
      <c r="G661" s="572"/>
    </row>
    <row r="662" spans="3:10" s="9" customFormat="1">
      <c r="C662" s="105"/>
      <c r="D662" s="332">
        <f>D661*5</f>
        <v>15</v>
      </c>
      <c r="E662" s="43" t="str">
        <f>'Overall Assumptions'!$D$116</f>
        <v>days</v>
      </c>
      <c r="G662" s="572"/>
    </row>
    <row r="663" spans="3:10" s="9" customFormat="1">
      <c r="C663" s="105"/>
      <c r="D663" s="332"/>
      <c r="E663" s="43"/>
      <c r="G663" s="572"/>
    </row>
    <row r="664" spans="3:10" s="9" customFormat="1">
      <c r="C664" s="105"/>
      <c r="D664" s="268">
        <v>1</v>
      </c>
      <c r="E664" s="43" t="s">
        <v>259</v>
      </c>
      <c r="G664" s="572"/>
    </row>
    <row r="665" spans="3:10" s="9" customFormat="1">
      <c r="C665" s="105"/>
      <c r="D665" s="332"/>
      <c r="E665" s="43"/>
      <c r="G665" s="572"/>
    </row>
    <row r="666" spans="3:10" s="9" customFormat="1">
      <c r="C666" s="105"/>
      <c r="D666" s="332"/>
      <c r="E666" s="246"/>
      <c r="G666" s="572"/>
    </row>
    <row r="667" spans="3:10" s="9" customFormat="1">
      <c r="D667" s="614">
        <f>'Overall Assumptions'!$C$68</f>
        <v>225</v>
      </c>
      <c r="E667" s="246" t="str">
        <f>'Overall Assumptions'!$B$67</f>
        <v>Labour 1- APS Low (Entry lvl)</v>
      </c>
      <c r="G667" s="572"/>
    </row>
    <row r="668" spans="3:10" s="9" customFormat="1">
      <c r="D668" s="399">
        <f>'Overall Assumptions'!$C$72</f>
        <v>337.5</v>
      </c>
      <c r="E668" s="530" t="str">
        <f>'Overall Assumptions'!$B$71</f>
        <v>Labour 2 - APS High (Experienced)</v>
      </c>
      <c r="G668" s="572"/>
    </row>
    <row r="669" spans="3:10" s="9" customFormat="1">
      <c r="D669" s="112">
        <f>'Overall Assumptions'!$C$76</f>
        <v>487.5</v>
      </c>
      <c r="E669" s="45" t="str">
        <f>'Overall Assumptions'!$B$75</f>
        <v>Labour 3 - EL (Management)</v>
      </c>
      <c r="G669" s="572"/>
    </row>
    <row r="670" spans="3:10" s="9" customFormat="1">
      <c r="D670" s="33"/>
      <c r="E670" s="34"/>
      <c r="G670" s="572"/>
    </row>
    <row r="671" spans="3:10">
      <c r="C671" s="9"/>
      <c r="D671" s="247"/>
      <c r="E671" s="33"/>
      <c r="F671" s="9"/>
      <c r="G671" s="572"/>
      <c r="H671" s="9"/>
      <c r="I671" s="9"/>
      <c r="J671" s="9"/>
    </row>
    <row r="672" spans="3:10">
      <c r="C672" s="9"/>
      <c r="D672" s="65"/>
      <c r="E672" s="76"/>
      <c r="F672" s="79"/>
      <c r="G672" s="572"/>
      <c r="H672" s="9"/>
      <c r="I672" s="9"/>
      <c r="J672" s="9"/>
    </row>
    <row r="673" spans="3:10">
      <c r="C673" s="9"/>
      <c r="D673" s="65"/>
      <c r="E673" s="66"/>
      <c r="F673" s="79"/>
      <c r="G673" s="572"/>
      <c r="H673" s="9"/>
      <c r="I673" s="9"/>
      <c r="J673" s="9"/>
    </row>
    <row r="674" spans="3:10">
      <c r="C674" s="9"/>
      <c r="D674" s="33"/>
      <c r="E674" s="34"/>
      <c r="F674" s="9"/>
      <c r="G674" s="572"/>
      <c r="H674" s="9"/>
      <c r="I674" s="9"/>
      <c r="J674" s="9"/>
    </row>
    <row r="675" spans="3:10">
      <c r="C675" s="9"/>
      <c r="D675" s="175"/>
      <c r="E675" s="164" t="s">
        <v>155</v>
      </c>
      <c r="F675" s="255" t="s">
        <v>166</v>
      </c>
      <c r="G675" s="1090" t="s">
        <v>69</v>
      </c>
      <c r="H675" s="161"/>
      <c r="I675" s="9"/>
      <c r="J675" s="9"/>
    </row>
    <row r="676" spans="3:10">
      <c r="C676" s="9"/>
      <c r="D676" s="405" t="s">
        <v>3</v>
      </c>
      <c r="E676" s="1256">
        <f>SUM(D662,D672)</f>
        <v>15</v>
      </c>
      <c r="F676" s="321">
        <f>E676*D668</f>
        <v>5062.5</v>
      </c>
      <c r="G676" s="1091" t="s">
        <v>182</v>
      </c>
      <c r="H676" s="162"/>
      <c r="I676" s="9"/>
      <c r="J676" s="9"/>
    </row>
    <row r="677" spans="3:10">
      <c r="H677" s="9"/>
    </row>
    <row r="680" spans="3:10" s="182" customFormat="1">
      <c r="D680" s="183"/>
      <c r="E680" s="184"/>
    </row>
    <row r="682" spans="3:10">
      <c r="C682" s="1"/>
    </row>
    <row r="683" spans="3:10">
      <c r="C683" s="199"/>
      <c r="D683" s="200"/>
    </row>
    <row r="684" spans="3:10">
      <c r="C684" s="201" t="s">
        <v>728</v>
      </c>
      <c r="D684" s="202"/>
    </row>
    <row r="686" spans="3:10">
      <c r="C686" s="198"/>
    </row>
    <row r="687" spans="3:10">
      <c r="C687" t="s">
        <v>1141</v>
      </c>
      <c r="D687" s="24" t="s">
        <v>1142</v>
      </c>
    </row>
    <row r="688" spans="3:10">
      <c r="C688" s="160">
        <v>1800</v>
      </c>
      <c r="D688" s="24" t="s">
        <v>1143</v>
      </c>
    </row>
    <row r="689" spans="3:6">
      <c r="C689">
        <f>C688*100</f>
        <v>180000</v>
      </c>
      <c r="D689" s="24" t="s">
        <v>1029</v>
      </c>
    </row>
    <row r="690" spans="3:6">
      <c r="C690" s="90"/>
      <c r="D690"/>
    </row>
    <row r="691" spans="3:6">
      <c r="C691" s="197"/>
    </row>
    <row r="694" spans="3:6">
      <c r="C694" s="198"/>
    </row>
    <row r="696" spans="3:6">
      <c r="C696" s="203"/>
    </row>
    <row r="697" spans="3:6">
      <c r="C697" s="204"/>
    </row>
    <row r="699" spans="3:6">
      <c r="C699" s="206"/>
      <c r="F699" s="2"/>
    </row>
    <row r="700" spans="3:6" ht="15" customHeight="1">
      <c r="C700" s="2"/>
      <c r="D700" s="207"/>
      <c r="F700" s="2"/>
    </row>
    <row r="701" spans="3:6" ht="15" customHeight="1">
      <c r="C701" s="2"/>
      <c r="D701" s="207"/>
      <c r="F701" s="2"/>
    </row>
    <row r="702" spans="3:6" ht="15" customHeight="1">
      <c r="C702" s="2"/>
      <c r="D702" s="207"/>
      <c r="F702" s="2"/>
    </row>
    <row r="703" spans="3:6" ht="15" customHeight="1">
      <c r="C703" s="2"/>
      <c r="D703" s="207"/>
      <c r="F703" s="2"/>
    </row>
    <row r="704" spans="3:6" ht="15" customHeight="1">
      <c r="C704" s="206"/>
      <c r="D704" s="207"/>
      <c r="F704" s="2"/>
    </row>
    <row r="705" spans="3:7" ht="15" customHeight="1">
      <c r="D705" s="207"/>
    </row>
    <row r="706" spans="3:7" ht="15" customHeight="1">
      <c r="D706" s="207"/>
      <c r="E706" s="2"/>
      <c r="F706" s="2"/>
    </row>
    <row r="707" spans="3:7" ht="15" customHeight="1">
      <c r="D707" s="207"/>
      <c r="F707" s="2"/>
    </row>
    <row r="708" spans="3:7" ht="15" customHeight="1">
      <c r="D708" s="207"/>
      <c r="F708" s="2"/>
    </row>
    <row r="709" spans="3:7" ht="15" customHeight="1">
      <c r="D709" s="207"/>
    </row>
    <row r="710" spans="3:7" ht="15" customHeight="1">
      <c r="D710" s="207"/>
    </row>
    <row r="711" spans="3:7" ht="15" customHeight="1">
      <c r="D711" s="57"/>
    </row>
    <row r="712" spans="3:7">
      <c r="D712" s="16"/>
    </row>
    <row r="713" spans="3:7">
      <c r="C713" s="206"/>
      <c r="D713" s="208"/>
      <c r="E713" s="6"/>
    </row>
    <row r="714" spans="3:7">
      <c r="D714" s="207"/>
    </row>
    <row r="715" spans="3:7">
      <c r="D715" s="207"/>
      <c r="F715" s="2"/>
    </row>
    <row r="716" spans="3:7">
      <c r="D716" s="207"/>
      <c r="F716" s="2"/>
    </row>
    <row r="717" spans="3:7">
      <c r="D717" s="156"/>
      <c r="F717" s="2"/>
    </row>
    <row r="718" spans="3:7">
      <c r="C718" s="206"/>
      <c r="F718" s="2"/>
    </row>
    <row r="719" spans="3:7">
      <c r="C719" s="206"/>
      <c r="D719" s="207"/>
      <c r="F719" s="2"/>
    </row>
    <row r="720" spans="3:7">
      <c r="D720" s="207"/>
      <c r="G720" s="16"/>
    </row>
    <row r="721" spans="2:42">
      <c r="D721" s="16"/>
      <c r="G721" s="16"/>
      <c r="H721" s="16"/>
    </row>
    <row r="722" spans="2:42">
      <c r="D722" s="207"/>
      <c r="G722" s="207"/>
    </row>
    <row r="723" spans="2:42">
      <c r="D723" s="207"/>
      <c r="G723" s="204"/>
    </row>
    <row r="724" spans="2:42">
      <c r="G724" s="16"/>
    </row>
    <row r="725" spans="2:42">
      <c r="D725" s="57"/>
      <c r="G725" s="24"/>
      <c r="H725" s="16"/>
    </row>
    <row r="726" spans="2:42">
      <c r="G726" s="24"/>
      <c r="H726" s="16"/>
    </row>
    <row r="727" spans="2:42">
      <c r="D727" s="156"/>
      <c r="J727" s="16"/>
    </row>
    <row r="728" spans="2:42">
      <c r="D728" s="156"/>
      <c r="J728" s="16"/>
    </row>
    <row r="730" spans="2:42">
      <c r="D730" s="16"/>
    </row>
    <row r="731" spans="2:42">
      <c r="D731" s="16"/>
    </row>
    <row r="732" spans="2:42">
      <c r="D732" s="16"/>
    </row>
    <row r="733" spans="2:42">
      <c r="D733" s="16"/>
    </row>
    <row r="736" spans="2:42" s="24" customFormat="1">
      <c r="B736"/>
      <c r="C736" s="206"/>
      <c r="E736" s="16"/>
      <c r="F736"/>
      <c r="G736"/>
      <c r="H736"/>
      <c r="I736"/>
      <c r="J736"/>
      <c r="K736"/>
      <c r="L736"/>
      <c r="M736"/>
      <c r="N736"/>
      <c r="O736"/>
      <c r="P736"/>
      <c r="Q736" s="2791"/>
      <c r="R736" s="2791"/>
      <c r="S736" s="2791"/>
      <c r="T736"/>
      <c r="U736"/>
      <c r="V736"/>
      <c r="W736"/>
      <c r="X736"/>
      <c r="Y736"/>
      <c r="Z736"/>
      <c r="AA736"/>
      <c r="AB736"/>
      <c r="AC736"/>
      <c r="AD736"/>
      <c r="AE736"/>
      <c r="AF736"/>
      <c r="AG736"/>
      <c r="AH736"/>
      <c r="AI736"/>
      <c r="AJ736"/>
      <c r="AK736"/>
      <c r="AL736"/>
      <c r="AM736"/>
      <c r="AN736"/>
      <c r="AO736"/>
      <c r="AP736"/>
    </row>
    <row r="737" spans="2:42" s="24" customFormat="1">
      <c r="B737"/>
      <c r="C737" s="206"/>
      <c r="E737" s="16"/>
      <c r="F737"/>
      <c r="G737"/>
      <c r="H737"/>
      <c r="I737"/>
      <c r="J737"/>
      <c r="K737"/>
      <c r="L737"/>
      <c r="M737"/>
      <c r="N737"/>
      <c r="O737"/>
      <c r="P737"/>
      <c r="Q737" s="2791"/>
      <c r="R737" s="2791"/>
      <c r="S737" s="2791"/>
      <c r="T737"/>
      <c r="U737"/>
      <c r="V737"/>
      <c r="W737"/>
      <c r="X737"/>
      <c r="Y737"/>
      <c r="Z737"/>
      <c r="AA737"/>
      <c r="AB737"/>
      <c r="AC737"/>
      <c r="AD737"/>
      <c r="AE737"/>
      <c r="AF737"/>
      <c r="AG737"/>
      <c r="AH737"/>
      <c r="AI737"/>
      <c r="AJ737"/>
      <c r="AK737"/>
      <c r="AL737"/>
      <c r="AM737"/>
      <c r="AN737"/>
      <c r="AO737"/>
      <c r="AP737"/>
    </row>
    <row r="738" spans="2:42" s="24" customFormat="1">
      <c r="B738"/>
      <c r="C738" s="206"/>
      <c r="E738" s="16"/>
      <c r="F738"/>
      <c r="G738"/>
      <c r="H738"/>
      <c r="I738"/>
      <c r="J738"/>
      <c r="K738"/>
      <c r="L738"/>
      <c r="M738"/>
      <c r="N738"/>
      <c r="O738"/>
      <c r="P738"/>
      <c r="Q738" s="2791"/>
      <c r="R738" s="2791"/>
      <c r="S738" s="2791"/>
      <c r="T738"/>
      <c r="U738"/>
      <c r="V738"/>
      <c r="W738"/>
      <c r="X738"/>
      <c r="Y738"/>
      <c r="Z738"/>
      <c r="AA738"/>
      <c r="AB738"/>
      <c r="AC738"/>
      <c r="AD738"/>
      <c r="AE738"/>
      <c r="AF738"/>
      <c r="AG738"/>
      <c r="AH738"/>
      <c r="AI738"/>
      <c r="AJ738"/>
      <c r="AK738"/>
      <c r="AL738"/>
      <c r="AM738"/>
      <c r="AN738"/>
      <c r="AO738"/>
      <c r="AP738"/>
    </row>
    <row r="739" spans="2:42" s="24" customFormat="1">
      <c r="B739"/>
      <c r="C739" s="206"/>
      <c r="E739" s="16"/>
      <c r="F739"/>
      <c r="G739"/>
      <c r="H739"/>
      <c r="I739"/>
      <c r="J739"/>
      <c r="K739"/>
      <c r="L739"/>
      <c r="M739"/>
      <c r="N739"/>
      <c r="O739"/>
      <c r="P739"/>
      <c r="Q739" s="2791"/>
      <c r="R739" s="2791"/>
      <c r="S739" s="2791"/>
      <c r="T739"/>
      <c r="U739"/>
      <c r="V739"/>
      <c r="W739"/>
      <c r="X739"/>
      <c r="Y739"/>
      <c r="Z739"/>
      <c r="AA739"/>
      <c r="AB739"/>
      <c r="AC739"/>
      <c r="AD739"/>
      <c r="AE739"/>
      <c r="AF739"/>
      <c r="AG739"/>
      <c r="AH739"/>
      <c r="AI739"/>
      <c r="AJ739"/>
      <c r="AK739"/>
      <c r="AL739"/>
      <c r="AM739"/>
      <c r="AN739"/>
      <c r="AO739"/>
      <c r="AP739"/>
    </row>
    <row r="740" spans="2:42" s="24" customFormat="1">
      <c r="B740"/>
      <c r="C740" s="206"/>
      <c r="E740" s="16"/>
      <c r="F740"/>
      <c r="G740"/>
      <c r="H740"/>
      <c r="I740"/>
      <c r="J740"/>
      <c r="K740"/>
      <c r="L740"/>
      <c r="M740"/>
      <c r="N740"/>
      <c r="O740"/>
      <c r="P740"/>
      <c r="Q740" s="2791"/>
      <c r="R740" s="2791"/>
      <c r="S740" s="2791"/>
      <c r="T740"/>
      <c r="U740"/>
      <c r="V740"/>
      <c r="W740"/>
      <c r="X740"/>
      <c r="Y740"/>
      <c r="Z740"/>
      <c r="AA740"/>
      <c r="AB740"/>
      <c r="AC740"/>
      <c r="AD740"/>
      <c r="AE740"/>
      <c r="AF740"/>
      <c r="AG740"/>
      <c r="AH740"/>
      <c r="AI740"/>
      <c r="AJ740"/>
      <c r="AK740"/>
      <c r="AL740"/>
      <c r="AM740"/>
      <c r="AN740"/>
      <c r="AO740"/>
      <c r="AP740"/>
    </row>
    <row r="741" spans="2:42" s="24" customFormat="1">
      <c r="B741"/>
      <c r="C741" s="206"/>
      <c r="E741" s="16"/>
      <c r="F741"/>
      <c r="G741"/>
      <c r="H741"/>
      <c r="I741"/>
      <c r="J741"/>
      <c r="K741"/>
      <c r="L741"/>
      <c r="M741"/>
      <c r="N741"/>
      <c r="O741"/>
      <c r="P741"/>
      <c r="Q741" s="2791"/>
      <c r="R741" s="2791"/>
      <c r="S741" s="2791"/>
      <c r="T741"/>
      <c r="U741"/>
      <c r="V741"/>
      <c r="W741"/>
      <c r="X741"/>
      <c r="Y741"/>
      <c r="Z741"/>
      <c r="AA741"/>
      <c r="AB741"/>
      <c r="AC741"/>
      <c r="AD741"/>
      <c r="AE741"/>
      <c r="AF741"/>
      <c r="AG741"/>
      <c r="AH741"/>
      <c r="AI741"/>
      <c r="AJ741"/>
      <c r="AK741"/>
      <c r="AL741"/>
      <c r="AM741"/>
      <c r="AN741"/>
      <c r="AO741"/>
      <c r="AP741"/>
    </row>
    <row r="742" spans="2:42" s="24" customFormat="1">
      <c r="B742"/>
      <c r="C742" s="206"/>
      <c r="E742" s="16"/>
      <c r="F742"/>
      <c r="G742"/>
      <c r="H742"/>
      <c r="I742"/>
      <c r="J742"/>
      <c r="K742"/>
      <c r="L742"/>
      <c r="M742"/>
      <c r="N742"/>
      <c r="O742"/>
      <c r="P742"/>
      <c r="Q742" s="2791"/>
      <c r="R742" s="2791"/>
      <c r="S742" s="2791"/>
      <c r="T742"/>
      <c r="U742"/>
      <c r="V742"/>
      <c r="W742"/>
      <c r="X742"/>
      <c r="Y742"/>
      <c r="Z742"/>
      <c r="AA742"/>
      <c r="AB742"/>
      <c r="AC742"/>
      <c r="AD742"/>
      <c r="AE742"/>
      <c r="AF742"/>
      <c r="AG742"/>
      <c r="AH742"/>
      <c r="AI742"/>
      <c r="AJ742"/>
      <c r="AK742"/>
      <c r="AL742"/>
      <c r="AM742"/>
      <c r="AN742"/>
      <c r="AO742"/>
      <c r="AP742"/>
    </row>
  </sheetData>
  <mergeCells count="52">
    <mergeCell ref="G305:I305"/>
    <mergeCell ref="Q17:S20"/>
    <mergeCell ref="Q21:Q22"/>
    <mergeCell ref="R21:R22"/>
    <mergeCell ref="S21:S22"/>
    <mergeCell ref="C51:C54"/>
    <mergeCell ref="D51:D54"/>
    <mergeCell ref="C55:C58"/>
    <mergeCell ref="D55:D58"/>
    <mergeCell ref="C47:C50"/>
    <mergeCell ref="D47:D50"/>
    <mergeCell ref="AK21:AK22"/>
    <mergeCell ref="C23:C26"/>
    <mergeCell ref="D23:D26"/>
    <mergeCell ref="D27:D30"/>
    <mergeCell ref="Z21:Z22"/>
    <mergeCell ref="AA21:AA22"/>
    <mergeCell ref="AB21:AB22"/>
    <mergeCell ref="AD21:AD22"/>
    <mergeCell ref="AE21:AE22"/>
    <mergeCell ref="AH19:AK20"/>
    <mergeCell ref="C21:C22"/>
    <mergeCell ref="D21:D22"/>
    <mergeCell ref="E21:E22"/>
    <mergeCell ref="F21:G21"/>
    <mergeCell ref="H21:I21"/>
    <mergeCell ref="L21:M21"/>
    <mergeCell ref="N21:N22"/>
    <mergeCell ref="O21:O22"/>
    <mergeCell ref="P21:P22"/>
    <mergeCell ref="U21:U22"/>
    <mergeCell ref="V21:V22"/>
    <mergeCell ref="W21:W22"/>
    <mergeCell ref="X21:X22"/>
    <mergeCell ref="Y21:Y22"/>
    <mergeCell ref="AJ21:AJ22"/>
    <mergeCell ref="D59:D62"/>
    <mergeCell ref="B17:K20"/>
    <mergeCell ref="L17:P18"/>
    <mergeCell ref="U17:AE18"/>
    <mergeCell ref="L19:P20"/>
    <mergeCell ref="U19:U20"/>
    <mergeCell ref="V19:Z20"/>
    <mergeCell ref="AA19:AB20"/>
    <mergeCell ref="AC19:AC22"/>
    <mergeCell ref="AD19:AE20"/>
    <mergeCell ref="D31:D34"/>
    <mergeCell ref="D35:D38"/>
    <mergeCell ref="C39:C42"/>
    <mergeCell ref="D39:D42"/>
    <mergeCell ref="C43:C46"/>
    <mergeCell ref="D43:D46"/>
  </mergeCells>
  <hyperlinks>
    <hyperlink ref="L278" r:id="rId1" display="https://specialistsales.com.au/shop/woody-weeds/woody-weed-herbicides/liquid-chemicals/raizon-herbicide-triclopyr-picloram/?attribute_pa_size=5-litre&amp;gclid=CjwKCAjwtNf6BRAwEiwAkt6UQu9U1DcwPzEFvydMQllNbvCYHBEvL6z40f0X1GUym-s8iP-7KXdpoxoC9UgQAvD_BwE" xr:uid="{00000000-0004-0000-2300-000000000000}"/>
    <hyperlink ref="M326" r:id="rId2" display="https://specialistsales.com.au/shop/woody-weeds/woody-weed-herbicides/liquid-chemicals/roundup-biactive-herbicide-glyphosate/?attribute_pa_size=20-litre&amp;gclid=EAIaIQobChMInuG-nofZ6wIVYZ_CCh2u5AaIEAkYASABEgJor_D_BwE" xr:uid="{00000000-0004-0000-2300-000001000000}"/>
  </hyperlinks>
  <pageMargins left="0.7" right="0.7" top="0.75" bottom="0.75" header="0.3" footer="0.3"/>
  <pageSetup paperSize="9" orientation="portrait" horizontalDpi="0" verticalDpi="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B51FA-32E7-024E-B5A2-DEE1C08772FD}">
  <sheetPr>
    <tabColor rgb="FFFFC000"/>
  </sheetPr>
  <dimension ref="B1:AW86"/>
  <sheetViews>
    <sheetView showGridLines="0" zoomScaleNormal="100" workbookViewId="0">
      <selection activeCell="H36" sqref="H36"/>
    </sheetView>
  </sheetViews>
  <sheetFormatPr baseColWidth="10" defaultColWidth="11" defaultRowHeight="16"/>
  <cols>
    <col min="1" max="1" width="4.6640625" style="2953" customWidth="1"/>
    <col min="2" max="2" width="17.5" style="2953" customWidth="1"/>
    <col min="3" max="3" width="45.1640625" style="2953" customWidth="1"/>
    <col min="4" max="4" width="15.33203125" style="2953" customWidth="1"/>
    <col min="5" max="5" width="13.33203125" style="2953" customWidth="1"/>
    <col min="6" max="10" width="14.33203125" style="2953" customWidth="1"/>
    <col min="11" max="11" width="17.83203125" style="2953" customWidth="1"/>
    <col min="12" max="12" width="14.83203125" style="2953" customWidth="1"/>
    <col min="13" max="15" width="14.33203125" style="2953" customWidth="1"/>
    <col min="16" max="16" width="16.6640625" style="2953" customWidth="1"/>
    <col min="17" max="17" width="19.1640625" style="2953" customWidth="1"/>
    <col min="18" max="18" width="14.33203125" style="2953" customWidth="1"/>
    <col min="19" max="26" width="11.83203125" style="2953" customWidth="1"/>
    <col min="27" max="27" width="14.6640625" style="2953" customWidth="1"/>
    <col min="28" max="28" width="29.33203125" style="2953" customWidth="1"/>
    <col min="29" max="30" width="7.83203125" style="2953" customWidth="1"/>
    <col min="31" max="31" width="9.33203125" style="2953" customWidth="1"/>
    <col min="32" max="32" width="9" style="2953" customWidth="1"/>
    <col min="33" max="34" width="11.83203125" style="2953" customWidth="1"/>
    <col min="35" max="35" width="7.1640625" style="2953" customWidth="1"/>
    <col min="36" max="37" width="11.83203125" style="2953" customWidth="1"/>
    <col min="38" max="38" width="9" style="2953" customWidth="1"/>
    <col min="39" max="39" width="12.1640625" style="2953" customWidth="1"/>
    <col min="40" max="42" width="13.5" style="2953" customWidth="1"/>
    <col min="43" max="43" width="48.83203125" style="2953" customWidth="1"/>
    <col min="44" max="44" width="13.5" style="2953" customWidth="1"/>
    <col min="45" max="16384" width="11" style="2953"/>
  </cols>
  <sheetData>
    <row r="1" spans="2:48">
      <c r="B1" s="8" t="s">
        <v>1035</v>
      </c>
    </row>
    <row r="3" spans="2:48">
      <c r="B3" s="8" t="s">
        <v>844</v>
      </c>
      <c r="H3" s="692"/>
      <c r="I3" s="692"/>
      <c r="J3" s="692"/>
      <c r="K3" s="692"/>
      <c r="L3" s="692"/>
      <c r="M3" s="692"/>
      <c r="N3" s="692"/>
      <c r="O3" s="692"/>
      <c r="P3" s="692"/>
      <c r="Q3" s="692"/>
      <c r="R3" s="692"/>
    </row>
    <row r="4" spans="2:48" ht="17" thickBot="1">
      <c r="B4" s="2953" t="s">
        <v>839</v>
      </c>
      <c r="C4" s="2953" t="s">
        <v>845</v>
      </c>
      <c r="D4" s="1"/>
      <c r="E4" s="1"/>
      <c r="F4" s="1"/>
      <c r="G4" s="1"/>
      <c r="H4" s="1"/>
      <c r="I4" s="1"/>
      <c r="J4" s="1"/>
      <c r="K4" s="1"/>
      <c r="L4" s="1"/>
      <c r="M4" s="1"/>
      <c r="N4" s="1"/>
      <c r="O4" s="1"/>
    </row>
    <row r="5" spans="2:48">
      <c r="C5" s="804" t="s">
        <v>838</v>
      </c>
      <c r="D5" s="805"/>
      <c r="E5" s="805"/>
      <c r="F5" s="805"/>
      <c r="G5" s="805"/>
      <c r="H5" s="805"/>
      <c r="I5" s="79"/>
      <c r="J5" s="79"/>
      <c r="K5" s="79"/>
      <c r="L5" s="79"/>
      <c r="M5" s="79"/>
      <c r="N5" s="79"/>
      <c r="O5" s="79"/>
    </row>
    <row r="6" spans="2:48">
      <c r="C6" s="807"/>
      <c r="D6" s="2953" t="s">
        <v>2175</v>
      </c>
    </row>
    <row r="7" spans="2:48">
      <c r="C7" s="807" t="s">
        <v>827</v>
      </c>
      <c r="D7" s="2953" t="s">
        <v>2181</v>
      </c>
    </row>
    <row r="8" spans="2:48">
      <c r="C8" s="807"/>
    </row>
    <row r="9" spans="2:48">
      <c r="C9" s="807" t="s">
        <v>827</v>
      </c>
      <c r="D9" s="2953" t="s">
        <v>2371</v>
      </c>
    </row>
    <row r="10" spans="2:48">
      <c r="C10" s="807" t="s">
        <v>827</v>
      </c>
      <c r="D10" s="2953" t="s">
        <v>2378</v>
      </c>
    </row>
    <row r="11" spans="2:48" ht="17" thickBot="1">
      <c r="C11" s="808"/>
      <c r="D11" s="574"/>
      <c r="E11" s="574"/>
      <c r="F11" s="574"/>
      <c r="G11" s="574"/>
      <c r="H11" s="574"/>
      <c r="I11" s="79"/>
      <c r="J11" s="79"/>
      <c r="K11" s="79"/>
      <c r="L11" s="79"/>
      <c r="M11" s="79"/>
      <c r="N11" s="79"/>
      <c r="O11" s="79"/>
      <c r="AV11" s="587">
        <v>0</v>
      </c>
    </row>
    <row r="12" spans="2:48">
      <c r="C12" s="360" t="s">
        <v>851</v>
      </c>
      <c r="AV12" s="587"/>
    </row>
    <row r="13" spans="2:48">
      <c r="AV13" s="587"/>
    </row>
    <row r="14" spans="2:48">
      <c r="B14" s="1394" t="s">
        <v>942</v>
      </c>
      <c r="C14" s="1395" t="s">
        <v>1209</v>
      </c>
      <c r="AV14" s="587"/>
    </row>
    <row r="15" spans="2:48">
      <c r="C15" s="1396" t="s">
        <v>1210</v>
      </c>
    </row>
    <row r="16" spans="2:48">
      <c r="B16" s="8" t="s">
        <v>730</v>
      </c>
      <c r="C16" s="1394"/>
    </row>
    <row r="17" spans="2:18" ht="17">
      <c r="B17" s="3" t="s">
        <v>847</v>
      </c>
      <c r="H17" s="562"/>
      <c r="I17" s="562"/>
      <c r="J17" s="562"/>
      <c r="K17" s="562"/>
      <c r="L17" s="562"/>
      <c r="M17" s="562"/>
      <c r="N17" s="562"/>
      <c r="O17" s="562"/>
      <c r="P17" s="562"/>
      <c r="Q17" s="562"/>
      <c r="R17" s="562"/>
    </row>
    <row r="18" spans="2:18" ht="17">
      <c r="B18" s="3"/>
      <c r="C18" s="2953" t="s">
        <v>1168</v>
      </c>
      <c r="H18" s="562"/>
      <c r="I18" s="562"/>
      <c r="J18" s="562"/>
      <c r="K18" s="562"/>
      <c r="L18" s="562"/>
      <c r="M18" s="562"/>
      <c r="N18" s="562"/>
      <c r="O18" s="562"/>
      <c r="P18" s="562"/>
      <c r="Q18" s="562"/>
      <c r="R18" s="562"/>
    </row>
    <row r="19" spans="2:18" ht="17">
      <c r="C19" s="2953" t="s">
        <v>1162</v>
      </c>
      <c r="H19" s="562"/>
      <c r="I19" s="562"/>
      <c r="J19" s="562"/>
      <c r="K19" s="562"/>
      <c r="L19" s="562"/>
      <c r="M19" s="562"/>
      <c r="N19" s="562"/>
      <c r="O19" s="562"/>
      <c r="P19" s="562"/>
      <c r="Q19" s="562"/>
      <c r="R19" s="562"/>
    </row>
    <row r="20" spans="2:18">
      <c r="C20" s="3373" t="s">
        <v>2599</v>
      </c>
      <c r="H20" s="692"/>
      <c r="I20" s="692"/>
      <c r="J20" s="692"/>
      <c r="K20" s="692"/>
      <c r="L20" s="692"/>
      <c r="M20" s="692"/>
      <c r="N20" s="692"/>
      <c r="O20" s="692"/>
      <c r="P20" s="692"/>
      <c r="Q20" s="692"/>
      <c r="R20" s="692"/>
    </row>
    <row r="21" spans="2:18">
      <c r="C21" s="2953" t="s">
        <v>843</v>
      </c>
      <c r="H21" s="692"/>
      <c r="I21" s="692"/>
      <c r="J21" s="692"/>
      <c r="K21" s="692"/>
      <c r="L21" s="692"/>
      <c r="M21" s="692"/>
      <c r="N21" s="692"/>
      <c r="O21" s="692"/>
      <c r="P21" s="692"/>
      <c r="Q21" s="692"/>
      <c r="R21" s="692"/>
    </row>
    <row r="22" spans="2:18" ht="17">
      <c r="C22" s="2953" t="s">
        <v>867</v>
      </c>
      <c r="H22" s="562"/>
      <c r="I22" s="562"/>
      <c r="J22" s="562"/>
      <c r="K22" s="562"/>
      <c r="L22" s="562"/>
      <c r="M22" s="562"/>
      <c r="N22" s="562"/>
      <c r="O22" s="562"/>
      <c r="P22" s="562"/>
      <c r="Q22" s="562"/>
      <c r="R22" s="562"/>
    </row>
    <row r="23" spans="2:18" ht="17">
      <c r="C23" s="2953" t="s">
        <v>805</v>
      </c>
      <c r="D23" s="31"/>
      <c r="H23" s="562"/>
      <c r="I23" s="562"/>
      <c r="J23" s="562"/>
      <c r="K23" s="562"/>
      <c r="L23" s="562"/>
      <c r="M23" s="562"/>
      <c r="N23" s="562"/>
      <c r="O23" s="562"/>
      <c r="P23" s="562"/>
      <c r="Q23" s="562"/>
      <c r="R23" s="562"/>
    </row>
    <row r="24" spans="2:18" ht="17">
      <c r="D24" s="31"/>
      <c r="H24" s="562"/>
      <c r="I24" s="562"/>
      <c r="J24" s="562"/>
      <c r="K24" s="562"/>
      <c r="L24" s="562"/>
      <c r="M24" s="562"/>
      <c r="N24" s="562"/>
      <c r="O24" s="562"/>
      <c r="P24" s="562"/>
      <c r="Q24" s="562"/>
      <c r="R24" s="562"/>
    </row>
    <row r="25" spans="2:18" ht="17">
      <c r="D25" s="31"/>
      <c r="H25" s="562"/>
      <c r="I25" s="562"/>
      <c r="J25" s="562"/>
      <c r="K25" s="562"/>
      <c r="L25" s="562"/>
      <c r="M25" s="562"/>
      <c r="N25" s="562"/>
      <c r="O25" s="562"/>
      <c r="P25" s="562"/>
      <c r="Q25" s="562"/>
      <c r="R25" s="562"/>
    </row>
    <row r="26" spans="2:18" ht="17">
      <c r="D26" s="31"/>
      <c r="H26" s="562"/>
      <c r="I26" s="562"/>
      <c r="J26" s="562"/>
      <c r="K26" s="562"/>
      <c r="L26" s="562"/>
      <c r="M26" s="562"/>
      <c r="N26" s="562"/>
      <c r="O26" s="562"/>
      <c r="P26" s="562"/>
      <c r="Q26" s="562"/>
      <c r="R26" s="562"/>
    </row>
    <row r="27" spans="2:18" ht="17">
      <c r="B27" s="3" t="s">
        <v>846</v>
      </c>
      <c r="H27" s="562"/>
      <c r="I27" s="562"/>
      <c r="J27" s="562"/>
      <c r="K27" s="562"/>
      <c r="L27" s="562"/>
      <c r="M27" s="562"/>
      <c r="N27" s="562"/>
      <c r="O27" s="562"/>
      <c r="P27" s="562"/>
      <c r="Q27" s="562"/>
      <c r="R27" s="562"/>
    </row>
    <row r="28" spans="2:18" ht="17">
      <c r="C28" s="1" t="s">
        <v>1208</v>
      </c>
      <c r="H28" s="562"/>
      <c r="I28" s="562"/>
      <c r="J28" s="562"/>
      <c r="K28" s="562"/>
      <c r="L28" s="562"/>
      <c r="M28" s="562"/>
      <c r="N28" s="562"/>
      <c r="O28" s="562"/>
      <c r="P28" s="562"/>
      <c r="Q28" s="562"/>
      <c r="R28" s="562"/>
    </row>
    <row r="29" spans="2:18" ht="17">
      <c r="C29" s="2953" t="s">
        <v>2600</v>
      </c>
      <c r="D29" s="31"/>
      <c r="H29" s="562"/>
      <c r="I29" s="562"/>
      <c r="J29" s="562"/>
      <c r="K29" s="562"/>
      <c r="L29" s="562"/>
      <c r="M29" s="562"/>
      <c r="N29" s="562"/>
      <c r="O29" s="562"/>
      <c r="P29" s="562"/>
      <c r="Q29" s="562"/>
      <c r="R29" s="562"/>
    </row>
    <row r="30" spans="2:18">
      <c r="C30" s="2953" t="s">
        <v>836</v>
      </c>
      <c r="H30" s="692"/>
      <c r="I30" s="692"/>
      <c r="J30" s="692"/>
      <c r="K30" s="692"/>
      <c r="L30" s="692"/>
      <c r="M30" s="692"/>
      <c r="N30" s="692"/>
      <c r="O30" s="692"/>
      <c r="P30" s="692"/>
      <c r="Q30" s="692"/>
      <c r="R30" s="692"/>
    </row>
    <row r="31" spans="2:18" ht="17">
      <c r="D31" s="2953" t="s">
        <v>2370</v>
      </c>
      <c r="H31" s="562"/>
      <c r="I31" s="562"/>
      <c r="J31" s="562"/>
      <c r="K31" s="562"/>
      <c r="L31" s="562"/>
      <c r="M31" s="562"/>
      <c r="N31" s="562"/>
      <c r="O31" s="562"/>
      <c r="P31" s="562"/>
      <c r="Q31" s="562"/>
      <c r="R31" s="562"/>
    </row>
    <row r="32" spans="2:18">
      <c r="H32" s="692"/>
      <c r="I32" s="692"/>
      <c r="J32" s="692"/>
      <c r="K32" s="692"/>
      <c r="L32" s="692"/>
      <c r="M32" s="692"/>
      <c r="N32" s="692"/>
      <c r="O32" s="692"/>
      <c r="P32" s="692"/>
      <c r="Q32" s="692"/>
      <c r="R32" s="692"/>
    </row>
    <row r="33" spans="2:49">
      <c r="H33" s="692"/>
      <c r="I33" s="692"/>
      <c r="J33" s="692"/>
      <c r="K33" s="692"/>
      <c r="L33" s="692"/>
      <c r="M33" s="692"/>
      <c r="N33" s="692"/>
      <c r="O33" s="692"/>
      <c r="P33" s="692"/>
      <c r="Q33" s="692"/>
      <c r="R33" s="692"/>
    </row>
    <row r="34" spans="2:49">
      <c r="H34" s="692"/>
      <c r="I34" s="692"/>
      <c r="J34" s="692"/>
      <c r="K34" s="692"/>
      <c r="L34" s="692"/>
      <c r="M34" s="692"/>
      <c r="N34" s="692"/>
      <c r="O34" s="692"/>
      <c r="P34" s="692"/>
      <c r="Q34" s="692"/>
      <c r="R34" s="692"/>
    </row>
    <row r="35" spans="2:49">
      <c r="B35" s="1"/>
      <c r="C35" s="360"/>
      <c r="J35" s="207" t="s">
        <v>1177</v>
      </c>
      <c r="K35" s="16"/>
      <c r="L35" s="2"/>
      <c r="AV35" s="587"/>
    </row>
    <row r="36" spans="2:49">
      <c r="B36" s="8" t="s">
        <v>1036</v>
      </c>
      <c r="C36" s="100"/>
      <c r="F36" s="1" t="s">
        <v>864</v>
      </c>
      <c r="G36" s="1" t="s">
        <v>864</v>
      </c>
      <c r="H36" s="1" t="s">
        <v>864</v>
      </c>
      <c r="J36" s="1258" t="s">
        <v>2597</v>
      </c>
      <c r="K36" s="156"/>
      <c r="Q36" s="1" t="s">
        <v>1178</v>
      </c>
      <c r="S36" s="1"/>
      <c r="T36" s="1"/>
      <c r="U36" s="1"/>
      <c r="V36" s="1"/>
      <c r="W36" s="1"/>
      <c r="X36" s="1"/>
      <c r="Y36" s="1"/>
      <c r="Z36" s="1"/>
      <c r="AA36" s="1"/>
      <c r="AV36" s="587"/>
    </row>
    <row r="37" spans="2:49">
      <c r="B37" s="2953" t="s">
        <v>841</v>
      </c>
      <c r="AM37" s="2953" t="s">
        <v>1053</v>
      </c>
      <c r="AV37" s="587"/>
    </row>
    <row r="38" spans="2:49">
      <c r="C38" s="2953" t="s">
        <v>829</v>
      </c>
      <c r="Q38" s="259">
        <f>'Overall Assumptions'!$C$179</f>
        <v>208.4</v>
      </c>
      <c r="T38" s="259"/>
      <c r="U38" s="259">
        <f>'Overall Assumptions'!$C$179</f>
        <v>208.4</v>
      </c>
      <c r="AA38" s="259"/>
      <c r="AC38" s="1" t="s">
        <v>2598</v>
      </c>
      <c r="AV38" s="587"/>
    </row>
    <row r="39" spans="2:49">
      <c r="C39" s="360" t="s">
        <v>1052</v>
      </c>
      <c r="D39" s="1"/>
      <c r="E39" s="1"/>
      <c r="I39" s="79"/>
      <c r="T39" s="79"/>
      <c r="AA39" s="79"/>
      <c r="AV39" s="587"/>
    </row>
    <row r="40" spans="2:49">
      <c r="C40" s="4" t="s">
        <v>730</v>
      </c>
      <c r="D40" s="593" t="s">
        <v>832</v>
      </c>
      <c r="F40" s="3741" t="s">
        <v>799</v>
      </c>
      <c r="G40" s="3742"/>
      <c r="H40" s="3742"/>
      <c r="I40" s="809"/>
      <c r="J40" s="3889" t="s">
        <v>1175</v>
      </c>
      <c r="K40" s="3890"/>
      <c r="L40" s="3890"/>
      <c r="M40" s="3890"/>
      <c r="N40" s="3890"/>
      <c r="O40" s="3891"/>
      <c r="P40" s="1270"/>
      <c r="Q40" s="3741" t="s">
        <v>1105</v>
      </c>
      <c r="R40" s="3742"/>
      <c r="S40" s="3743"/>
      <c r="T40" s="809"/>
      <c r="U40" s="3889" t="s">
        <v>800</v>
      </c>
      <c r="V40" s="3890"/>
      <c r="W40" s="3890"/>
      <c r="X40" s="3890"/>
      <c r="Y40" s="3890"/>
      <c r="Z40" s="3890"/>
      <c r="AA40" s="79"/>
      <c r="AC40" s="3741"/>
      <c r="AD40" s="3742"/>
      <c r="AE40" s="3743"/>
      <c r="AF40" s="1389"/>
      <c r="AG40" s="3889" t="s">
        <v>800</v>
      </c>
      <c r="AH40" s="3890"/>
      <c r="AI40" s="3890"/>
      <c r="AJ40" s="3890"/>
      <c r="AK40" s="3890"/>
      <c r="AL40" s="3890"/>
      <c r="AM40" s="2953">
        <v>0</v>
      </c>
      <c r="AN40" s="2953">
        <v>1</v>
      </c>
      <c r="AO40" s="2953">
        <v>2</v>
      </c>
      <c r="AP40" s="2953">
        <v>3</v>
      </c>
      <c r="AW40" s="587"/>
    </row>
    <row r="41" spans="2:49" ht="16" customHeight="1">
      <c r="C41" s="402" t="s">
        <v>819</v>
      </c>
      <c r="D41" s="3828" t="s">
        <v>801</v>
      </c>
      <c r="F41" s="3883" t="s">
        <v>850</v>
      </c>
      <c r="G41" s="3884"/>
      <c r="H41" s="3884"/>
      <c r="I41" s="2782"/>
      <c r="J41" s="3895" t="s">
        <v>2594</v>
      </c>
      <c r="K41" s="3896"/>
      <c r="L41" s="3896"/>
      <c r="M41" s="3896"/>
      <c r="N41" s="3896"/>
      <c r="O41" s="3897"/>
      <c r="P41" s="1272"/>
      <c r="Q41" s="3741" t="s">
        <v>825</v>
      </c>
      <c r="R41" s="3742"/>
      <c r="S41" s="3743"/>
      <c r="T41" s="2782"/>
      <c r="U41" s="3895" t="s">
        <v>2594</v>
      </c>
      <c r="V41" s="3896"/>
      <c r="W41" s="3896"/>
      <c r="X41" s="3896"/>
      <c r="Y41" s="3896"/>
      <c r="Z41" s="3897"/>
      <c r="AA41" s="1323"/>
      <c r="AC41" s="3741"/>
      <c r="AD41" s="3742"/>
      <c r="AE41" s="3743"/>
      <c r="AF41" s="2782"/>
      <c r="AG41" s="3895" t="s">
        <v>2594</v>
      </c>
      <c r="AH41" s="3896"/>
      <c r="AI41" s="3896"/>
      <c r="AJ41" s="3896"/>
      <c r="AK41" s="3896"/>
      <c r="AL41" s="3897"/>
      <c r="AM41" s="402" t="s">
        <v>821</v>
      </c>
      <c r="AN41" s="255"/>
      <c r="AO41" s="255"/>
      <c r="AP41" s="161"/>
      <c r="AQ41" s="79"/>
      <c r="AW41" s="587"/>
    </row>
    <row r="42" spans="2:49" ht="16" customHeight="1">
      <c r="C42" s="404"/>
      <c r="D42" s="3829"/>
      <c r="F42" s="3889"/>
      <c r="G42" s="3890"/>
      <c r="H42" s="3890"/>
      <c r="I42" s="3697"/>
      <c r="J42" s="3699">
        <f ca="1">OFFSET($L$80,J66,0)</f>
        <v>1</v>
      </c>
      <c r="K42" s="3700">
        <f ca="1">OFFSET($L$80,K66,0)</f>
        <v>0.33333333333333337</v>
      </c>
      <c r="L42" s="3700">
        <f ca="1">OFFSET($L$80,L66,0)</f>
        <v>3.3333333333333333E-2</v>
      </c>
      <c r="M42" s="3701">
        <f ca="1">OFFSET($L$80,M66,1)</f>
        <v>0.5</v>
      </c>
      <c r="N42" s="3701">
        <f ca="1">OFFSET($L$80,N66,1)</f>
        <v>0.16666666666666669</v>
      </c>
      <c r="O42" s="3702">
        <f ca="1">OFFSET($L$80,O66,1)</f>
        <v>0</v>
      </c>
      <c r="P42" s="3698"/>
      <c r="Q42" s="3889"/>
      <c r="R42" s="3890"/>
      <c r="S42" s="3891"/>
      <c r="T42" s="3697"/>
      <c r="U42" s="3699">
        <f ca="1">J42</f>
        <v>1</v>
      </c>
      <c r="V42" s="3700">
        <f t="shared" ref="V42:Z42" ca="1" si="0">K42</f>
        <v>0.33333333333333337</v>
      </c>
      <c r="W42" s="3700">
        <f t="shared" ca="1" si="0"/>
        <v>3.3333333333333333E-2</v>
      </c>
      <c r="X42" s="3701">
        <f t="shared" ca="1" si="0"/>
        <v>0.5</v>
      </c>
      <c r="Y42" s="3701">
        <f t="shared" ca="1" si="0"/>
        <v>0.16666666666666669</v>
      </c>
      <c r="Z42" s="3702">
        <f t="shared" ca="1" si="0"/>
        <v>0</v>
      </c>
      <c r="AA42" s="1323"/>
      <c r="AC42" s="3889" t="s">
        <v>804</v>
      </c>
      <c r="AD42" s="3890"/>
      <c r="AE42" s="3891"/>
      <c r="AF42" s="3697"/>
      <c r="AG42" s="3699">
        <f t="shared" ref="AG42:AL42" ca="1" si="1">J42</f>
        <v>1</v>
      </c>
      <c r="AH42" s="3700">
        <f t="shared" ca="1" si="1"/>
        <v>0.33333333333333337</v>
      </c>
      <c r="AI42" s="3700">
        <f t="shared" ca="1" si="1"/>
        <v>3.3333333333333333E-2</v>
      </c>
      <c r="AJ42" s="3701">
        <f t="shared" ca="1" si="1"/>
        <v>0.5</v>
      </c>
      <c r="AK42" s="3701">
        <f t="shared" ca="1" si="1"/>
        <v>0.16666666666666669</v>
      </c>
      <c r="AL42" s="3702">
        <f t="shared" ca="1" si="1"/>
        <v>0</v>
      </c>
      <c r="AM42" s="480" t="s">
        <v>3</v>
      </c>
      <c r="AN42" s="161" t="s">
        <v>132</v>
      </c>
      <c r="AO42" s="161" t="s">
        <v>4</v>
      </c>
      <c r="AP42" s="161" t="s">
        <v>21</v>
      </c>
      <c r="AQ42" s="79"/>
      <c r="AW42" s="587"/>
    </row>
    <row r="43" spans="2:49" ht="16" customHeight="1">
      <c r="C43" s="404"/>
      <c r="D43" s="3829"/>
      <c r="F43" s="3895" t="s">
        <v>796</v>
      </c>
      <c r="G43" s="3896"/>
      <c r="H43" s="3896"/>
      <c r="I43" s="3697"/>
      <c r="J43" s="3741" t="s">
        <v>2593</v>
      </c>
      <c r="K43" s="3742"/>
      <c r="L43" s="3742"/>
      <c r="M43" s="3741" t="s">
        <v>2589</v>
      </c>
      <c r="N43" s="3742"/>
      <c r="O43" s="3743"/>
      <c r="P43" s="3698"/>
      <c r="Q43" s="3895"/>
      <c r="R43" s="3896"/>
      <c r="S43" s="3897"/>
      <c r="T43" s="3697"/>
      <c r="U43" s="3741" t="s">
        <v>2593</v>
      </c>
      <c r="V43" s="3742"/>
      <c r="W43" s="3742"/>
      <c r="X43" s="3741" t="s">
        <v>2589</v>
      </c>
      <c r="Y43" s="3742"/>
      <c r="Z43" s="3743"/>
      <c r="AA43" s="3132" t="s">
        <v>2161</v>
      </c>
      <c r="AC43" s="3895" t="s">
        <v>796</v>
      </c>
      <c r="AD43" s="3896"/>
      <c r="AE43" s="3897"/>
      <c r="AF43" s="3697"/>
      <c r="AG43" s="3741" t="s">
        <v>2593</v>
      </c>
      <c r="AH43" s="3742"/>
      <c r="AI43" s="3742"/>
      <c r="AJ43" s="3741" t="s">
        <v>2589</v>
      </c>
      <c r="AK43" s="3742"/>
      <c r="AL43" s="3743"/>
      <c r="AM43" s="3697"/>
      <c r="AN43" s="3698"/>
      <c r="AO43" s="3698"/>
      <c r="AP43" s="246"/>
      <c r="AQ43" s="79"/>
      <c r="AW43" s="587"/>
    </row>
    <row r="44" spans="2:49">
      <c r="B44" s="79"/>
      <c r="C44" s="404"/>
      <c r="D44" s="3829"/>
      <c r="F44" s="404" t="s">
        <v>802</v>
      </c>
      <c r="G44" s="79" t="s">
        <v>803</v>
      </c>
      <c r="H44" s="79" t="s">
        <v>733</v>
      </c>
      <c r="I44" s="593" t="s">
        <v>1161</v>
      </c>
      <c r="J44" s="1390" t="s">
        <v>2561</v>
      </c>
      <c r="K44" s="273" t="s">
        <v>25</v>
      </c>
      <c r="L44" s="3646" t="s">
        <v>2562</v>
      </c>
      <c r="M44" s="1390" t="s">
        <v>2561</v>
      </c>
      <c r="N44" s="273" t="s">
        <v>25</v>
      </c>
      <c r="O44" s="3646" t="s">
        <v>2562</v>
      </c>
      <c r="P44" s="246"/>
      <c r="Q44" s="405" t="s">
        <v>802</v>
      </c>
      <c r="R44" s="439" t="s">
        <v>803</v>
      </c>
      <c r="S44" s="162" t="s">
        <v>733</v>
      </c>
      <c r="T44" s="593" t="s">
        <v>1161</v>
      </c>
      <c r="U44" s="1390" t="s">
        <v>2561</v>
      </c>
      <c r="V44" s="273" t="s">
        <v>25</v>
      </c>
      <c r="W44" s="3646" t="s">
        <v>2562</v>
      </c>
      <c r="X44" s="1390" t="s">
        <v>2561</v>
      </c>
      <c r="Y44" s="273" t="s">
        <v>25</v>
      </c>
      <c r="Z44" s="3646" t="s">
        <v>2562</v>
      </c>
      <c r="AA44" s="1323"/>
      <c r="AC44" s="405" t="s">
        <v>802</v>
      </c>
      <c r="AD44" s="439" t="s">
        <v>803</v>
      </c>
      <c r="AE44" s="162" t="s">
        <v>733</v>
      </c>
      <c r="AF44" s="481"/>
      <c r="AG44" s="1390" t="s">
        <v>2561</v>
      </c>
      <c r="AH44" s="273" t="s">
        <v>25</v>
      </c>
      <c r="AI44" s="3646" t="s">
        <v>2562</v>
      </c>
      <c r="AJ44" s="1390" t="s">
        <v>2561</v>
      </c>
      <c r="AK44" s="273" t="s">
        <v>25</v>
      </c>
      <c r="AL44" s="3646" t="s">
        <v>2562</v>
      </c>
      <c r="AM44" s="481"/>
      <c r="AN44" s="162"/>
      <c r="AO44" s="162"/>
      <c r="AP44" s="162"/>
      <c r="AW44" s="587"/>
    </row>
    <row r="45" spans="2:49">
      <c r="B45" s="480" t="s">
        <v>862</v>
      </c>
      <c r="C45" s="255" t="s">
        <v>57</v>
      </c>
      <c r="D45" s="749"/>
      <c r="F45" s="1181">
        <f>'Invasive Weed Management'!$AB$23</f>
        <v>85.55624999999992</v>
      </c>
      <c r="G45" s="1180">
        <f>'Invasive Weed Management'!$AB$23</f>
        <v>85.55624999999992</v>
      </c>
      <c r="H45" s="1183">
        <f>'Invasive Weed Management'!$AB$23</f>
        <v>85.55624999999992</v>
      </c>
      <c r="I45" s="691"/>
      <c r="J45" s="843"/>
      <c r="K45" s="1329"/>
      <c r="L45" s="844"/>
      <c r="M45" s="1329"/>
      <c r="N45" s="844"/>
      <c r="O45" s="1329"/>
      <c r="P45" s="1259"/>
      <c r="Q45" s="1280"/>
      <c r="R45" s="1279"/>
      <c r="S45" s="1207"/>
      <c r="T45" s="1329"/>
      <c r="U45" s="843"/>
      <c r="V45" s="1329"/>
      <c r="W45" s="844"/>
      <c r="X45" s="1329"/>
      <c r="Y45" s="844"/>
      <c r="Z45" s="1329"/>
      <c r="AA45" s="122"/>
      <c r="AB45" s="480" t="s">
        <v>57</v>
      </c>
      <c r="AC45" s="1280"/>
      <c r="AD45" s="1279"/>
      <c r="AE45" s="1207"/>
      <c r="AF45" s="1328"/>
      <c r="AG45" s="843"/>
      <c r="AH45" s="1329"/>
      <c r="AI45" s="844"/>
      <c r="AJ45" s="1329"/>
      <c r="AK45" s="844"/>
      <c r="AL45" s="1329"/>
      <c r="AM45" s="1334">
        <f ca="1">OFFSET('Invasive Weed Management'!$AC$23,AM$40+$AQ45,0)</f>
        <v>1</v>
      </c>
      <c r="AN45" s="1208" t="str">
        <f ca="1">OFFSET('Invasive Weed Management'!$AC$23,AN$40+$AQ45,0)</f>
        <v/>
      </c>
      <c r="AO45" s="1335" t="str">
        <f ca="1">OFFSET('Invasive Weed Management'!$AC$23,AO$40+$AQ45,0)</f>
        <v/>
      </c>
      <c r="AP45" s="1208" t="str">
        <f ca="1">OFFSET('Invasive Weed Management'!$AC$23,AP$40+$AQ45,0)</f>
        <v/>
      </c>
      <c r="AQ45" s="587">
        <v>0</v>
      </c>
      <c r="AR45" s="578">
        <f t="shared" ref="AR45:AR49" ca="1" si="2">SUM(AM45:AP45)</f>
        <v>1</v>
      </c>
      <c r="AW45" s="587"/>
    </row>
    <row r="46" spans="2:49" ht="16" customHeight="1">
      <c r="B46" s="591" t="s">
        <v>863</v>
      </c>
      <c r="C46" s="122" t="s">
        <v>58</v>
      </c>
      <c r="D46" s="606"/>
      <c r="F46" s="841">
        <f>'Invasive Weed Management'!$AB$27</f>
        <v>56.921695067264523</v>
      </c>
      <c r="G46" s="689">
        <f>'Invasive Weed Management'!$AB$31</f>
        <v>64.360260089686037</v>
      </c>
      <c r="H46" s="842">
        <f>'Invasive Weed Management'!$AB$35</f>
        <v>85.243390134529079</v>
      </c>
      <c r="I46" s="691"/>
      <c r="J46" s="843"/>
      <c r="K46" s="691"/>
      <c r="L46" s="844"/>
      <c r="M46" s="691"/>
      <c r="N46" s="844"/>
      <c r="O46" s="691"/>
      <c r="P46" s="1259"/>
      <c r="Q46" s="2882">
        <f>'Invasive Weed Management'!$S$28</f>
        <v>0.99999999999999911</v>
      </c>
      <c r="R46" s="2333">
        <f>'Invasive Weed Management'!$S$32</f>
        <v>0.99999999999999911</v>
      </c>
      <c r="S46" s="3104">
        <f>'Invasive Weed Management'!$S$36</f>
        <v>0.99999999999999911</v>
      </c>
      <c r="T46" s="3112"/>
      <c r="U46" s="843"/>
      <c r="V46" s="691"/>
      <c r="W46" s="844"/>
      <c r="X46" s="691"/>
      <c r="Y46" s="844"/>
      <c r="Z46" s="691"/>
      <c r="AA46" s="122"/>
      <c r="AB46" s="1179" t="s">
        <v>58</v>
      </c>
      <c r="AC46" s="1281">
        <f>'Invasive Weed Management'!$G$28</f>
        <v>3.1270553064275037</v>
      </c>
      <c r="AD46" s="621">
        <f>'Invasive Weed Management'!$G$32</f>
        <v>3.724962630792227</v>
      </c>
      <c r="AE46" s="687">
        <f>'Invasive Weed Management'!$G$36</f>
        <v>4.9207772795216744</v>
      </c>
      <c r="AF46" s="844"/>
      <c r="AG46" s="843"/>
      <c r="AH46" s="691"/>
      <c r="AI46" s="844"/>
      <c r="AJ46" s="691"/>
      <c r="AK46" s="844"/>
      <c r="AL46" s="691"/>
      <c r="AM46" s="1331">
        <f ca="1">OFFSET('Invasive Weed Management'!$AC$23,AM$40+$AQ46,0)</f>
        <v>0.45956785255615878</v>
      </c>
      <c r="AN46" s="751">
        <f ca="1">OFFSET('Invasive Weed Management'!$AC$23,AN$40+$AQ46,0)</f>
        <v>0.22389203073248765</v>
      </c>
      <c r="AO46" s="608">
        <f ca="1">OFFSET('Invasive Weed Management'!$AC$23,AO$40+$AQ46,0)</f>
        <v>0.31654011671135351</v>
      </c>
      <c r="AP46" s="751">
        <f ca="1">OFFSET('Invasive Weed Management'!$AC$23,AP$40+$AQ46,0)</f>
        <v>0</v>
      </c>
      <c r="AQ46" s="587">
        <v>4</v>
      </c>
      <c r="AR46" s="578">
        <f t="shared" ca="1" si="2"/>
        <v>1</v>
      </c>
      <c r="AW46" s="587"/>
    </row>
    <row r="47" spans="2:49">
      <c r="B47" s="591" t="s">
        <v>862</v>
      </c>
      <c r="C47" s="122" t="s">
        <v>2595</v>
      </c>
      <c r="D47" s="606"/>
      <c r="F47" s="845"/>
      <c r="G47" s="691"/>
      <c r="H47" s="844"/>
      <c r="I47" s="689">
        <f>'Invasive Weed Management'!$AB$39</f>
        <v>189536.50102616122</v>
      </c>
      <c r="J47" s="190">
        <f ca="1">$I47*J$42</f>
        <v>189536.50102616122</v>
      </c>
      <c r="K47" s="190">
        <f t="shared" ref="K47:O47" ca="1" si="3">$I47*K$42</f>
        <v>63178.833675387083</v>
      </c>
      <c r="L47" s="190">
        <f t="shared" ca="1" si="3"/>
        <v>6317.8833675387068</v>
      </c>
      <c r="M47" s="190">
        <f t="shared" ca="1" si="3"/>
        <v>94768.250513080609</v>
      </c>
      <c r="N47" s="190">
        <f t="shared" ca="1" si="3"/>
        <v>31589.416837693541</v>
      </c>
      <c r="O47" s="342">
        <f t="shared" ca="1" si="3"/>
        <v>0</v>
      </c>
      <c r="P47" s="1259"/>
      <c r="Q47" s="3134"/>
      <c r="R47" s="2883"/>
      <c r="S47" s="2884"/>
      <c r="T47" s="3001">
        <f>'Invasive Weed Management'!$S$40</f>
        <v>458.9999999999996</v>
      </c>
      <c r="U47" s="2882">
        <f t="shared" ref="U47:Z47" ca="1" si="4">ROUNDUP((AG47/21),0)*$AA47</f>
        <v>458.9999999999996</v>
      </c>
      <c r="V47" s="2882">
        <f t="shared" ca="1" si="4"/>
        <v>152.99999999999986</v>
      </c>
      <c r="W47" s="2882">
        <f t="shared" ca="1" si="4"/>
        <v>15.999999999999986</v>
      </c>
      <c r="X47" s="2882">
        <f t="shared" ca="1" si="4"/>
        <v>229.9999999999998</v>
      </c>
      <c r="Y47" s="2882">
        <f t="shared" ca="1" si="4"/>
        <v>76.999999999999929</v>
      </c>
      <c r="Z47" s="2882">
        <f t="shared" ca="1" si="4"/>
        <v>0</v>
      </c>
      <c r="AA47" s="3133">
        <f>'Invasive Weed Management'!$R$40</f>
        <v>0.99999999999999911</v>
      </c>
      <c r="AB47" s="122" t="s">
        <v>2595</v>
      </c>
      <c r="AC47" s="845"/>
      <c r="AD47" s="1282"/>
      <c r="AE47" s="803"/>
      <c r="AF47" s="687">
        <f>'Invasive Weed Management'!$G$40</f>
        <v>9636.0379610028049</v>
      </c>
      <c r="AG47" s="1281">
        <f t="shared" ref="AG47:AL47" ca="1" si="5">$AF47*AG$42</f>
        <v>9636.0379610028049</v>
      </c>
      <c r="AH47" s="1281">
        <f t="shared" ca="1" si="5"/>
        <v>3212.0126536676021</v>
      </c>
      <c r="AI47" s="1281">
        <f t="shared" ca="1" si="5"/>
        <v>321.20126536676014</v>
      </c>
      <c r="AJ47" s="1281">
        <f t="shared" ca="1" si="5"/>
        <v>4818.0189805014024</v>
      </c>
      <c r="AK47" s="1281">
        <f t="shared" ca="1" si="5"/>
        <v>1606.006326833801</v>
      </c>
      <c r="AL47" s="1281">
        <f t="shared" ca="1" si="5"/>
        <v>0</v>
      </c>
      <c r="AM47" s="1331">
        <f ca="1">OFFSET('Invasive Weed Management'!$AC$23,AM$40+$AQ47,0)</f>
        <v>0.42530211925587075</v>
      </c>
      <c r="AN47" s="751">
        <f ca="1">OFFSET('Invasive Weed Management'!$AC$23,AN$40+$AQ47,0)</f>
        <v>0.2071984683554243</v>
      </c>
      <c r="AO47" s="608">
        <f ca="1">OFFSET('Invasive Weed Management'!$AC$23,AO$40+$AQ47,0)</f>
        <v>0.36741809953739646</v>
      </c>
      <c r="AP47" s="751">
        <f ca="1">OFFSET('Invasive Weed Management'!$AC$23,AP$40+$AQ47,0)</f>
        <v>8.1312851308470857E-5</v>
      </c>
      <c r="AQ47" s="587">
        <v>16</v>
      </c>
      <c r="AR47" s="578">
        <f t="shared" ca="1" si="2"/>
        <v>1</v>
      </c>
      <c r="AW47" s="587"/>
    </row>
    <row r="48" spans="2:49">
      <c r="B48" s="591" t="s">
        <v>862</v>
      </c>
      <c r="C48" s="122" t="s">
        <v>59</v>
      </c>
      <c r="D48" s="606"/>
      <c r="F48" s="689">
        <f>'Invasive Weed Management'!$AB$47</f>
        <v>56.921695067264523</v>
      </c>
      <c r="G48" s="689">
        <f>'Invasive Weed Management'!$AB$51</f>
        <v>64.360260089686037</v>
      </c>
      <c r="H48" s="841">
        <f>'Invasive Weed Management'!$AB$55</f>
        <v>85.243390134529079</v>
      </c>
      <c r="I48" s="691"/>
      <c r="J48" s="843"/>
      <c r="K48" s="691"/>
      <c r="L48" s="690"/>
      <c r="M48" s="691"/>
      <c r="N48" s="690"/>
      <c r="O48" s="691"/>
      <c r="P48" s="1259"/>
      <c r="Q48" s="2882">
        <f>'Invasive Weed Management'!$S$48</f>
        <v>0.99999999999999911</v>
      </c>
      <c r="R48" s="2333">
        <f>'Invasive Weed Management'!$S$52</f>
        <v>0.99999999999999911</v>
      </c>
      <c r="S48" s="2882">
        <f>'Invasive Weed Management'!$S$56</f>
        <v>0.99999999999999911</v>
      </c>
      <c r="T48" s="3112"/>
      <c r="U48" s="843"/>
      <c r="V48" s="691"/>
      <c r="W48" s="690"/>
      <c r="X48" s="691"/>
      <c r="Y48" s="690"/>
      <c r="Z48" s="691"/>
      <c r="AA48" s="122"/>
      <c r="AB48" s="1179" t="s">
        <v>59</v>
      </c>
      <c r="AC48" s="1281">
        <f>'Invasive Weed Management'!$G$48</f>
        <v>3.1270553064275037</v>
      </c>
      <c r="AD48" s="621">
        <f>'Invasive Weed Management'!$G$52</f>
        <v>3.724962630792227</v>
      </c>
      <c r="AE48" s="687">
        <f>'Invasive Weed Management'!$G$56</f>
        <v>4.9207772795216744</v>
      </c>
      <c r="AF48" s="844"/>
      <c r="AG48" s="843"/>
      <c r="AH48" s="691"/>
      <c r="AI48" s="690"/>
      <c r="AJ48" s="691"/>
      <c r="AK48" s="690"/>
      <c r="AL48" s="691"/>
      <c r="AM48" s="1331">
        <f ca="1">OFFSET('Invasive Weed Management'!$AC$23,AM$40+$AQ48,0)</f>
        <v>0.45956785255615878</v>
      </c>
      <c r="AN48" s="1331">
        <f ca="1">OFFSET('Invasive Weed Management'!$AC$23,AN$40+$AQ48,0)</f>
        <v>0.22389203073248765</v>
      </c>
      <c r="AO48" s="1331">
        <f ca="1">OFFSET('Invasive Weed Management'!$AC$23,AO$40+$AQ48,0)</f>
        <v>0.31654011671135351</v>
      </c>
      <c r="AP48" s="751" t="str">
        <f ca="1">OFFSET('Invasive Weed Management'!$AC$23,AP$40+$AQ48,0)</f>
        <v/>
      </c>
      <c r="AQ48" s="587">
        <v>24</v>
      </c>
      <c r="AR48" s="578">
        <f t="shared" ca="1" si="2"/>
        <v>1</v>
      </c>
      <c r="AW48" s="587"/>
    </row>
    <row r="49" spans="2:48">
      <c r="B49" s="591" t="s">
        <v>863</v>
      </c>
      <c r="C49" s="79" t="s">
        <v>1104</v>
      </c>
      <c r="D49" s="606"/>
      <c r="F49" s="689">
        <f>'Invasive Weed Management'!$AB$59</f>
        <v>85.55624999999992</v>
      </c>
      <c r="G49" s="689">
        <f>'Invasive Weed Management'!$AB$59</f>
        <v>85.55624999999992</v>
      </c>
      <c r="H49" s="689">
        <f>'Invasive Weed Management'!$AB$59</f>
        <v>85.55624999999992</v>
      </c>
      <c r="I49" s="691"/>
      <c r="J49" s="843"/>
      <c r="K49" s="691"/>
      <c r="L49" s="690"/>
      <c r="M49" s="691"/>
      <c r="N49" s="690"/>
      <c r="O49" s="691"/>
      <c r="P49" s="1259"/>
      <c r="Q49" s="2885"/>
      <c r="R49" s="2883"/>
      <c r="S49" s="2884"/>
      <c r="T49" s="3112"/>
      <c r="U49" s="843"/>
      <c r="V49" s="691"/>
      <c r="W49" s="690"/>
      <c r="X49" s="691"/>
      <c r="Y49" s="690"/>
      <c r="Z49" s="691"/>
      <c r="AA49" s="122"/>
      <c r="AB49" s="591" t="s">
        <v>1104</v>
      </c>
      <c r="AC49" s="1283"/>
      <c r="AD49" s="1282"/>
      <c r="AE49" s="803"/>
      <c r="AF49" s="844"/>
      <c r="AG49" s="843"/>
      <c r="AH49" s="691"/>
      <c r="AI49" s="690"/>
      <c r="AJ49" s="691"/>
      <c r="AK49" s="690"/>
      <c r="AL49" s="691"/>
      <c r="AM49" s="1331">
        <f ca="1">OFFSET('Invasive Weed Management'!$AC$23,AM$40+$AQ49,0)</f>
        <v>1</v>
      </c>
      <c r="AN49" s="1331" t="str">
        <f ca="1">OFFSET('Invasive Weed Management'!$AC$23,AN$40+$AQ49,0)</f>
        <v/>
      </c>
      <c r="AO49" s="1331" t="str">
        <f ca="1">OFFSET('Invasive Weed Management'!$AC$23,AO$40+$AQ49,0)</f>
        <v/>
      </c>
      <c r="AP49" s="751" t="str">
        <f ca="1">OFFSET('Invasive Weed Management'!$AC$23,AP$40+$AQ49,0)</f>
        <v/>
      </c>
      <c r="AQ49" s="587">
        <v>36</v>
      </c>
      <c r="AR49" s="578">
        <f t="shared" ca="1" si="2"/>
        <v>1</v>
      </c>
    </row>
    <row r="50" spans="2:48">
      <c r="B50" s="481"/>
      <c r="C50" s="439"/>
      <c r="D50" s="607"/>
      <c r="F50" s="1262"/>
      <c r="G50" s="1392"/>
      <c r="H50" s="1184"/>
      <c r="I50" s="691"/>
      <c r="J50" s="843"/>
      <c r="K50" s="691"/>
      <c r="L50" s="844"/>
      <c r="M50" s="691"/>
      <c r="N50" s="844"/>
      <c r="O50" s="691"/>
      <c r="P50" s="1259"/>
      <c r="Q50" s="2885"/>
      <c r="R50" s="2883"/>
      <c r="S50" s="2884"/>
      <c r="T50" s="3112"/>
      <c r="U50" s="843"/>
      <c r="V50" s="691"/>
      <c r="W50" s="844"/>
      <c r="X50" s="691"/>
      <c r="Y50" s="844"/>
      <c r="Z50" s="691"/>
      <c r="AA50" s="122"/>
      <c r="AB50" s="481"/>
      <c r="AC50" s="1285"/>
      <c r="AD50" s="1284"/>
      <c r="AE50" s="1205"/>
      <c r="AF50" s="1184"/>
      <c r="AG50" s="843"/>
      <c r="AH50" s="691"/>
      <c r="AI50" s="844"/>
      <c r="AJ50" s="691"/>
      <c r="AK50" s="844"/>
      <c r="AL50" s="691"/>
      <c r="AM50" s="1331"/>
      <c r="AN50" s="1331"/>
      <c r="AO50" s="1331"/>
      <c r="AP50" s="751"/>
      <c r="AQ50" s="587"/>
      <c r="AR50" s="578"/>
      <c r="AS50" s="578"/>
    </row>
    <row r="51" spans="2:48">
      <c r="B51" s="593"/>
      <c r="C51" s="1325" t="s">
        <v>833</v>
      </c>
      <c r="D51" s="1326">
        <f>SUM(D45:D49)</f>
        <v>0</v>
      </c>
      <c r="E51" s="1327" t="s">
        <v>826</v>
      </c>
      <c r="F51" s="1265">
        <f>SUM(F45:F49)</f>
        <v>284.95589013452889</v>
      </c>
      <c r="G51" s="1326">
        <f>SUM(G45:G49)</f>
        <v>299.83302017937194</v>
      </c>
      <c r="H51" s="1266">
        <f>SUM(H45:H49)</f>
        <v>341.599280269058</v>
      </c>
      <c r="I51" s="79"/>
      <c r="J51" s="778">
        <f t="shared" ref="J51:O51" ca="1" si="6">SUM(J45:J49)</f>
        <v>189536.50102616122</v>
      </c>
      <c r="K51" s="778">
        <f t="shared" ca="1" si="6"/>
        <v>63178.833675387083</v>
      </c>
      <c r="L51" s="778">
        <f t="shared" ca="1" si="6"/>
        <v>6317.8833675387068</v>
      </c>
      <c r="M51" s="778">
        <f t="shared" ca="1" si="6"/>
        <v>94768.250513080609</v>
      </c>
      <c r="N51" s="778">
        <f t="shared" ca="1" si="6"/>
        <v>31589.416837693541</v>
      </c>
      <c r="O51" s="778">
        <f t="shared" ca="1" si="6"/>
        <v>0</v>
      </c>
      <c r="P51" s="1271" t="s">
        <v>2226</v>
      </c>
      <c r="Q51" s="3003">
        <f>SUM(Q45:Q49)</f>
        <v>1.9999999999999982</v>
      </c>
      <c r="R51" s="3135">
        <f>SUM(R45:R49)</f>
        <v>1.9999999999999982</v>
      </c>
      <c r="S51" s="3008">
        <f>SUM(S45:S49)</f>
        <v>1.9999999999999982</v>
      </c>
      <c r="T51" s="2333"/>
      <c r="U51" s="3007">
        <f t="shared" ref="U51:Z51" ca="1" si="7">SUM(U45:U49)</f>
        <v>458.9999999999996</v>
      </c>
      <c r="V51" s="3007">
        <f t="shared" ca="1" si="7"/>
        <v>152.99999999999986</v>
      </c>
      <c r="W51" s="3007">
        <f t="shared" ca="1" si="7"/>
        <v>15.999999999999986</v>
      </c>
      <c r="X51" s="3007">
        <f t="shared" ca="1" si="7"/>
        <v>229.9999999999998</v>
      </c>
      <c r="Y51" s="3007">
        <f t="shared" ca="1" si="7"/>
        <v>76.999999999999929</v>
      </c>
      <c r="Z51" s="3007">
        <f t="shared" ca="1" si="7"/>
        <v>0</v>
      </c>
      <c r="AA51" s="276"/>
      <c r="AC51" s="1336"/>
      <c r="AD51" s="1337"/>
      <c r="AE51" s="1338"/>
      <c r="AF51" s="1391"/>
      <c r="AG51" s="1391">
        <f t="shared" ref="AG51:AL51" ca="1" si="8">SUM(AG45:AG49)</f>
        <v>9636.0379610028049</v>
      </c>
      <c r="AH51" s="1391">
        <f t="shared" ca="1" si="8"/>
        <v>3212.0126536676021</v>
      </c>
      <c r="AI51" s="1391">
        <f t="shared" ca="1" si="8"/>
        <v>321.20126536676014</v>
      </c>
      <c r="AJ51" s="1391">
        <f t="shared" ca="1" si="8"/>
        <v>4818.0189805014024</v>
      </c>
      <c r="AK51" s="1391">
        <f t="shared" ca="1" si="8"/>
        <v>1606.006326833801</v>
      </c>
      <c r="AL51" s="1391">
        <f t="shared" ca="1" si="8"/>
        <v>0</v>
      </c>
      <c r="AM51" s="1332"/>
      <c r="AN51" s="1333"/>
      <c r="AO51" s="1333"/>
      <c r="AP51" s="368"/>
      <c r="AQ51" s="10"/>
      <c r="AR51" s="1"/>
    </row>
    <row r="52" spans="2:48">
      <c r="B52" s="811"/>
      <c r="E52" s="16"/>
      <c r="F52" s="16"/>
      <c r="H52" s="1"/>
      <c r="I52" s="1"/>
      <c r="J52" s="1"/>
      <c r="K52" s="1"/>
      <c r="L52" s="1"/>
      <c r="M52" s="1"/>
      <c r="N52" s="1"/>
      <c r="O52" s="1"/>
      <c r="AP52" s="609"/>
      <c r="AQ52" s="609"/>
      <c r="AR52" s="609"/>
      <c r="AS52" s="609"/>
    </row>
    <row r="53" spans="2:48">
      <c r="B53" s="811"/>
      <c r="C53" s="16"/>
      <c r="D53" s="16"/>
      <c r="J53" s="3741" t="s">
        <v>2593</v>
      </c>
      <c r="K53" s="3742"/>
      <c r="L53" s="3742"/>
      <c r="M53" s="3741" t="s">
        <v>2589</v>
      </c>
      <c r="N53" s="3742"/>
      <c r="O53" s="3743"/>
      <c r="S53" s="79"/>
      <c r="T53" s="79"/>
      <c r="U53" s="79"/>
      <c r="V53" s="79"/>
      <c r="AG53" s="2953" t="s">
        <v>2618</v>
      </c>
      <c r="AM53" s="609"/>
    </row>
    <row r="54" spans="2:48">
      <c r="B54" s="811"/>
      <c r="C54" s="28" t="s">
        <v>822</v>
      </c>
      <c r="D54" s="28"/>
      <c r="E54" s="3"/>
      <c r="F54" s="592" t="s">
        <v>802</v>
      </c>
      <c r="G54" s="401" t="s">
        <v>803</v>
      </c>
      <c r="H54" s="274" t="s">
        <v>733</v>
      </c>
      <c r="I54" s="79"/>
      <c r="J54" s="1390" t="s">
        <v>2561</v>
      </c>
      <c r="K54" s="273" t="s">
        <v>25</v>
      </c>
      <c r="L54" s="3646" t="s">
        <v>2562</v>
      </c>
      <c r="M54" s="1390" t="s">
        <v>2561</v>
      </c>
      <c r="N54" s="273" t="s">
        <v>25</v>
      </c>
      <c r="O54" s="3646" t="s">
        <v>2562</v>
      </c>
      <c r="P54" s="3"/>
      <c r="Q54" s="3"/>
      <c r="S54" s="79"/>
      <c r="T54" s="2333"/>
      <c r="U54" s="79"/>
      <c r="V54" s="79"/>
      <c r="AC54" s="90">
        <f>SUM(AC46,AC48)/100</f>
        <v>6.2541106128550072E-2</v>
      </c>
      <c r="AD54" s="90">
        <f t="shared" ref="AD54:AE54" si="9">SUM(AD46,AD48)/100</f>
        <v>7.4499252615844544E-2</v>
      </c>
      <c r="AE54" s="90">
        <f t="shared" si="9"/>
        <v>9.8415545590433487E-2</v>
      </c>
      <c r="AF54" s="90"/>
      <c r="AG54" s="90">
        <f t="shared" ref="AG54:AL54" ca="1" si="10">AG47/100</f>
        <v>96.360379610028048</v>
      </c>
      <c r="AH54" s="90">
        <f t="shared" ca="1" si="10"/>
        <v>32.120126536676018</v>
      </c>
      <c r="AI54" s="90">
        <f t="shared" ca="1" si="10"/>
        <v>3.2120126536676015</v>
      </c>
      <c r="AJ54" s="90">
        <f t="shared" ca="1" si="10"/>
        <v>48.180189805014024</v>
      </c>
      <c r="AK54" s="90">
        <f t="shared" ca="1" si="10"/>
        <v>16.060063268338009</v>
      </c>
      <c r="AL54" s="90">
        <f t="shared" ca="1" si="10"/>
        <v>0</v>
      </c>
      <c r="AM54" s="609"/>
    </row>
    <row r="55" spans="2:48" ht="15" customHeight="1">
      <c r="B55" s="480" t="s">
        <v>862</v>
      </c>
      <c r="C55" s="255" t="s">
        <v>57</v>
      </c>
      <c r="D55" s="749"/>
      <c r="E55" s="1209"/>
      <c r="F55" s="1181">
        <f>'Invasive Weed Management'!$Z$23</f>
        <v>34.931249999999963</v>
      </c>
      <c r="G55" s="1180">
        <f>'Invasive Weed Management'!$Z$23</f>
        <v>34.931249999999963</v>
      </c>
      <c r="H55" s="1183">
        <f>'Invasive Weed Management'!$Z$23</f>
        <v>34.931249999999963</v>
      </c>
      <c r="I55" s="1329"/>
      <c r="J55" s="1393"/>
      <c r="K55" s="1329"/>
      <c r="L55" s="1328"/>
      <c r="M55" s="1329"/>
      <c r="N55" s="1328"/>
      <c r="O55" s="1329"/>
      <c r="P55" s="768"/>
      <c r="Q55" s="768"/>
      <c r="S55" s="79"/>
      <c r="T55" s="2333"/>
      <c r="U55" s="79"/>
      <c r="V55" s="79"/>
      <c r="AM55" s="609"/>
    </row>
    <row r="56" spans="2:48">
      <c r="B56" s="591" t="s">
        <v>863</v>
      </c>
      <c r="C56" s="122" t="s">
        <v>58</v>
      </c>
      <c r="D56" s="606"/>
      <c r="E56" s="1209"/>
      <c r="F56" s="841">
        <f>'Invasive Weed Management'!$Z$27</f>
        <v>21.337838565022402</v>
      </c>
      <c r="G56" s="689">
        <f>'Invasive Weed Management'!$Z$31</f>
        <v>24.381784753363203</v>
      </c>
      <c r="H56" s="842">
        <f>'Invasive Weed Management'!$Z$35</f>
        <v>32.275677130044819</v>
      </c>
      <c r="I56" s="691"/>
      <c r="J56" s="843"/>
      <c r="K56" s="691"/>
      <c r="L56" s="844"/>
      <c r="M56" s="691"/>
      <c r="N56" s="844"/>
      <c r="O56" s="691"/>
      <c r="P56" s="779"/>
      <c r="Q56" s="779"/>
      <c r="R56" s="620"/>
      <c r="S56" s="79"/>
      <c r="T56" s="79"/>
      <c r="U56" s="79"/>
      <c r="V56" s="79"/>
      <c r="AM56" s="609"/>
    </row>
    <row r="57" spans="2:48" ht="16" customHeight="1">
      <c r="B57" s="591" t="s">
        <v>862</v>
      </c>
      <c r="C57" s="122" t="s">
        <v>2595</v>
      </c>
      <c r="D57" s="606"/>
      <c r="E57" s="1209"/>
      <c r="F57" s="845"/>
      <c r="G57" s="691"/>
      <c r="H57" s="844"/>
      <c r="I57" s="689">
        <f>'Invasive Weed Management'!$Z$39</f>
        <v>70001.066817924933</v>
      </c>
      <c r="J57" s="190">
        <f ca="1">$I57*J$42</f>
        <v>70001.066817924933</v>
      </c>
      <c r="K57" s="190">
        <f t="shared" ref="K57:O57" ca="1" si="11">$I57*K$42</f>
        <v>23333.688939308315</v>
      </c>
      <c r="L57" s="190">
        <f t="shared" ca="1" si="11"/>
        <v>2333.3688939308313</v>
      </c>
      <c r="M57" s="190">
        <f t="shared" ca="1" si="11"/>
        <v>35000.533408962467</v>
      </c>
      <c r="N57" s="190">
        <f t="shared" ca="1" si="11"/>
        <v>11666.844469654157</v>
      </c>
      <c r="O57" s="190">
        <f t="shared" ca="1" si="11"/>
        <v>0</v>
      </c>
      <c r="P57" s="779"/>
      <c r="Q57" s="779"/>
      <c r="S57" s="79"/>
      <c r="T57" s="79"/>
      <c r="U57" s="79"/>
      <c r="V57" s="79"/>
      <c r="AM57" s="609"/>
    </row>
    <row r="58" spans="2:48">
      <c r="B58" s="591" t="s">
        <v>862</v>
      </c>
      <c r="C58" s="122" t="s">
        <v>59</v>
      </c>
      <c r="D58" s="606"/>
      <c r="E58" s="1209"/>
      <c r="F58" s="689">
        <f>'Invasive Weed Management'!$Z$47</f>
        <v>21.337838565022402</v>
      </c>
      <c r="G58" s="689">
        <f>'Invasive Weed Management'!$Z$51</f>
        <v>24.381784753363203</v>
      </c>
      <c r="H58" s="841">
        <f>'Invasive Weed Management'!$Z$55</f>
        <v>32.275677130044819</v>
      </c>
      <c r="I58" s="691"/>
      <c r="J58" s="843"/>
      <c r="K58" s="691"/>
      <c r="L58" s="690"/>
      <c r="M58" s="691"/>
      <c r="N58" s="690"/>
      <c r="O58" s="691"/>
      <c r="P58" s="779"/>
      <c r="Q58" s="779"/>
      <c r="AM58" s="609"/>
    </row>
    <row r="59" spans="2:48">
      <c r="B59" s="591" t="s">
        <v>863</v>
      </c>
      <c r="C59" s="79" t="s">
        <v>1104</v>
      </c>
      <c r="D59" s="606"/>
      <c r="E59" s="1209"/>
      <c r="F59" s="689">
        <f>'Invasive Weed Management'!$Z$59</f>
        <v>34.931249999999963</v>
      </c>
      <c r="G59" s="689">
        <f>'Invasive Weed Management'!$Z$59</f>
        <v>34.931249999999963</v>
      </c>
      <c r="H59" s="689">
        <f>'Invasive Weed Management'!$Z$59</f>
        <v>34.931249999999963</v>
      </c>
      <c r="I59" s="691"/>
      <c r="J59" s="843"/>
      <c r="K59" s="691"/>
      <c r="L59" s="690"/>
      <c r="M59" s="691"/>
      <c r="N59" s="690"/>
      <c r="O59" s="691"/>
      <c r="P59" s="779"/>
      <c r="Q59" s="779"/>
      <c r="AM59" s="609"/>
    </row>
    <row r="60" spans="2:48">
      <c r="B60" s="481"/>
      <c r="C60" s="439"/>
      <c r="D60" s="607"/>
      <c r="E60" s="1209"/>
      <c r="F60" s="1262"/>
      <c r="G60" s="1392"/>
      <c r="H60" s="1184"/>
      <c r="I60" s="1392"/>
      <c r="J60" s="1262"/>
      <c r="K60" s="1392"/>
      <c r="L60" s="1184"/>
      <c r="M60" s="1392"/>
      <c r="N60" s="1184"/>
      <c r="O60" s="1392"/>
      <c r="P60" s="779"/>
      <c r="Q60" s="779"/>
      <c r="AM60" s="609"/>
    </row>
    <row r="61" spans="2:48">
      <c r="B61" s="811"/>
      <c r="C61" s="764" t="s">
        <v>766</v>
      </c>
      <c r="D61" s="764"/>
      <c r="E61" s="1330"/>
      <c r="F61" s="1267">
        <f t="shared" ref="F61:O61" si="12">SUM(F55:F60)</f>
        <v>112.53817713004473</v>
      </c>
      <c r="G61" s="1267">
        <f t="shared" si="12"/>
        <v>118.62606950672634</v>
      </c>
      <c r="H61" s="1268">
        <f t="shared" si="12"/>
        <v>134.41385426008958</v>
      </c>
      <c r="I61" s="1269">
        <f t="shared" si="12"/>
        <v>70001.066817924933</v>
      </c>
      <c r="J61" s="1267">
        <f t="shared" ca="1" si="12"/>
        <v>70001.066817924933</v>
      </c>
      <c r="K61" s="1267">
        <f t="shared" ca="1" si="12"/>
        <v>23333.688939308315</v>
      </c>
      <c r="L61" s="1267">
        <f t="shared" ca="1" si="12"/>
        <v>2333.3688939308313</v>
      </c>
      <c r="M61" s="1267">
        <f t="shared" ca="1" si="12"/>
        <v>35000.533408962467</v>
      </c>
      <c r="N61" s="1267">
        <f t="shared" ca="1" si="12"/>
        <v>11666.844469654157</v>
      </c>
      <c r="O61" s="1267">
        <f t="shared" ca="1" si="12"/>
        <v>0</v>
      </c>
      <c r="P61" s="779"/>
      <c r="Q61" s="779"/>
      <c r="AM61" s="609"/>
    </row>
    <row r="64" spans="2:48">
      <c r="H64" s="454"/>
      <c r="I64" s="454"/>
      <c r="AV64" s="587"/>
    </row>
    <row r="65" spans="8:15">
      <c r="H65" s="454"/>
      <c r="I65" s="454"/>
    </row>
    <row r="66" spans="8:15">
      <c r="H66" s="454"/>
      <c r="J66" s="2953">
        <v>0</v>
      </c>
      <c r="K66" s="2953">
        <f t="shared" ref="K66:L66" si="13">J66+1</f>
        <v>1</v>
      </c>
      <c r="L66" s="2953">
        <f t="shared" si="13"/>
        <v>2</v>
      </c>
      <c r="M66" s="2953">
        <v>0</v>
      </c>
      <c r="N66" s="2953">
        <v>1</v>
      </c>
      <c r="O66" s="2953">
        <v>2</v>
      </c>
    </row>
    <row r="68" spans="8:15">
      <c r="J68" s="197"/>
      <c r="K68" s="24"/>
      <c r="L68" s="16"/>
      <c r="M68" s="1"/>
    </row>
    <row r="69" spans="8:15">
      <c r="J69" s="594"/>
      <c r="K69" s="594"/>
      <c r="L69" s="1"/>
    </row>
    <row r="71" spans="8:15">
      <c r="J71" s="3895" t="s">
        <v>2592</v>
      </c>
      <c r="K71" s="3897"/>
      <c r="L71" s="3739" t="s">
        <v>1615</v>
      </c>
      <c r="M71" s="3740"/>
    </row>
    <row r="72" spans="8:15">
      <c r="J72" s="3892"/>
      <c r="K72" s="3894"/>
      <c r="L72" s="592" t="s">
        <v>2591</v>
      </c>
      <c r="M72" s="274" t="s">
        <v>2589</v>
      </c>
    </row>
    <row r="73" spans="8:15">
      <c r="J73" s="4063" t="s">
        <v>2590</v>
      </c>
      <c r="K73" s="480" t="s">
        <v>2561</v>
      </c>
      <c r="L73" s="3257">
        <v>0.3</v>
      </c>
      <c r="M73" s="3705">
        <v>0.15</v>
      </c>
    </row>
    <row r="74" spans="8:15">
      <c r="J74" s="4064"/>
      <c r="K74" s="591" t="s">
        <v>25</v>
      </c>
      <c r="L74" s="1674">
        <v>0.1</v>
      </c>
      <c r="M74" s="1675">
        <v>0.05</v>
      </c>
    </row>
    <row r="75" spans="8:15">
      <c r="J75" s="4065"/>
      <c r="K75" s="481" t="s">
        <v>2562</v>
      </c>
      <c r="L75" s="3706">
        <v>0.01</v>
      </c>
      <c r="M75" s="3704">
        <v>0</v>
      </c>
    </row>
    <row r="78" spans="8:15" ht="20" customHeight="1">
      <c r="J78" s="3895" t="s">
        <v>2596</v>
      </c>
      <c r="K78" s="3897"/>
      <c r="L78" s="3739" t="s">
        <v>1615</v>
      </c>
      <c r="M78" s="3740"/>
    </row>
    <row r="79" spans="8:15">
      <c r="J79" s="3892"/>
      <c r="K79" s="3894"/>
      <c r="L79" s="592" t="s">
        <v>2591</v>
      </c>
      <c r="M79" s="274" t="s">
        <v>2589</v>
      </c>
    </row>
    <row r="80" spans="8:15" ht="16" customHeight="1">
      <c r="J80" s="4063" t="s">
        <v>2590</v>
      </c>
      <c r="K80" s="480" t="s">
        <v>2561</v>
      </c>
      <c r="L80" s="3707">
        <f t="shared" ref="L80:M82" si="14">L73/$L$73</f>
        <v>1</v>
      </c>
      <c r="M80" s="3708">
        <f t="shared" si="14"/>
        <v>0.5</v>
      </c>
    </row>
    <row r="81" spans="10:13">
      <c r="J81" s="4064"/>
      <c r="K81" s="591" t="s">
        <v>25</v>
      </c>
      <c r="L81" s="3709">
        <f t="shared" si="14"/>
        <v>0.33333333333333337</v>
      </c>
      <c r="M81" s="3710">
        <f t="shared" si="14"/>
        <v>0.16666666666666669</v>
      </c>
    </row>
    <row r="82" spans="10:13">
      <c r="J82" s="4065"/>
      <c r="K82" s="481" t="s">
        <v>2562</v>
      </c>
      <c r="L82" s="3711">
        <f t="shared" si="14"/>
        <v>3.3333333333333333E-2</v>
      </c>
      <c r="M82" s="3712">
        <f t="shared" si="14"/>
        <v>0</v>
      </c>
    </row>
    <row r="84" spans="10:13">
      <c r="J84" s="79"/>
      <c r="K84" s="79"/>
      <c r="L84" s="3703"/>
      <c r="M84" s="79"/>
    </row>
    <row r="85" spans="10:13">
      <c r="J85" s="79"/>
      <c r="K85" s="79"/>
      <c r="L85" s="3703"/>
      <c r="M85" s="79"/>
    </row>
    <row r="86" spans="10:13">
      <c r="J86" s="79"/>
      <c r="K86" s="79"/>
      <c r="L86" s="3703"/>
      <c r="M86" s="79"/>
    </row>
  </sheetData>
  <mergeCells count="33">
    <mergeCell ref="AG40:AL40"/>
    <mergeCell ref="J53:L53"/>
    <mergeCell ref="M53:O53"/>
    <mergeCell ref="F40:H40"/>
    <mergeCell ref="J40:O40"/>
    <mergeCell ref="Q40:S40"/>
    <mergeCell ref="U40:Z40"/>
    <mergeCell ref="AC40:AE40"/>
    <mergeCell ref="D41:D44"/>
    <mergeCell ref="F41:H41"/>
    <mergeCell ref="J41:O41"/>
    <mergeCell ref="Q41:S41"/>
    <mergeCell ref="U41:Z41"/>
    <mergeCell ref="J43:L43"/>
    <mergeCell ref="M43:O43"/>
    <mergeCell ref="U43:W43"/>
    <mergeCell ref="X43:Z43"/>
    <mergeCell ref="J80:J82"/>
    <mergeCell ref="AG41:AL41"/>
    <mergeCell ref="F42:H42"/>
    <mergeCell ref="Q42:S42"/>
    <mergeCell ref="AC42:AE42"/>
    <mergeCell ref="F43:H43"/>
    <mergeCell ref="Q43:S43"/>
    <mergeCell ref="AC43:AE43"/>
    <mergeCell ref="AC41:AE41"/>
    <mergeCell ref="AG43:AI43"/>
    <mergeCell ref="AJ43:AL43"/>
    <mergeCell ref="J71:K72"/>
    <mergeCell ref="J78:K79"/>
    <mergeCell ref="J73:J75"/>
    <mergeCell ref="L71:M71"/>
    <mergeCell ref="L78:M78"/>
  </mergeCell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1:I44"/>
  <sheetViews>
    <sheetView showGridLines="0" zoomScaleNormal="100" workbookViewId="0">
      <selection activeCell="H36" sqref="H36"/>
    </sheetView>
  </sheetViews>
  <sheetFormatPr baseColWidth="10" defaultColWidth="11" defaultRowHeight="16"/>
  <cols>
    <col min="1" max="1" width="4.6640625" customWidth="1"/>
    <col min="2" max="2" width="17.5" customWidth="1"/>
    <col min="3" max="3" width="45.1640625" customWidth="1"/>
    <col min="4" max="4" width="19.5" customWidth="1"/>
    <col min="5" max="5" width="13.33203125" customWidth="1"/>
  </cols>
  <sheetData>
    <row r="1" spans="2:8">
      <c r="B1" s="8" t="s">
        <v>1035</v>
      </c>
    </row>
    <row r="3" spans="2:8">
      <c r="B3" s="8" t="s">
        <v>844</v>
      </c>
    </row>
    <row r="4" spans="2:8" ht="17" thickBot="1">
      <c r="B4" t="s">
        <v>839</v>
      </c>
      <c r="C4" t="s">
        <v>845</v>
      </c>
      <c r="D4" s="1"/>
      <c r="E4" s="1"/>
    </row>
    <row r="5" spans="2:8">
      <c r="C5" s="804" t="s">
        <v>838</v>
      </c>
      <c r="D5" s="805" t="s">
        <v>860</v>
      </c>
      <c r="E5" s="805"/>
    </row>
    <row r="6" spans="2:8">
      <c r="C6" s="807"/>
    </row>
    <row r="7" spans="2:8">
      <c r="C7" s="807"/>
    </row>
    <row r="8" spans="2:8">
      <c r="C8" s="807"/>
    </row>
    <row r="9" spans="2:8">
      <c r="C9" s="807"/>
    </row>
    <row r="10" spans="2:8">
      <c r="C10" s="807"/>
    </row>
    <row r="11" spans="2:8" ht="17" thickBot="1">
      <c r="C11" s="808"/>
      <c r="D11" s="574"/>
      <c r="E11" s="574"/>
      <c r="H11" s="587">
        <v>0</v>
      </c>
    </row>
    <row r="12" spans="2:8">
      <c r="C12" s="360" t="s">
        <v>851</v>
      </c>
      <c r="H12" s="587"/>
    </row>
    <row r="13" spans="2:8">
      <c r="H13" s="587"/>
    </row>
    <row r="14" spans="2:8">
      <c r="B14" t="s">
        <v>942</v>
      </c>
      <c r="C14" s="359" t="s">
        <v>848</v>
      </c>
      <c r="H14" s="587"/>
    </row>
    <row r="16" spans="2:8">
      <c r="B16" s="8" t="s">
        <v>730</v>
      </c>
    </row>
    <row r="17" spans="2:9">
      <c r="B17" s="3" t="s">
        <v>847</v>
      </c>
    </row>
    <row r="18" spans="2:9">
      <c r="C18" t="s">
        <v>1366</v>
      </c>
    </row>
    <row r="19" spans="2:9">
      <c r="B19" s="3" t="s">
        <v>846</v>
      </c>
    </row>
    <row r="20" spans="2:9">
      <c r="C20" t="s">
        <v>1367</v>
      </c>
    </row>
    <row r="21" spans="2:9">
      <c r="B21" s="8" t="s">
        <v>1036</v>
      </c>
      <c r="C21" s="100"/>
      <c r="H21" s="587"/>
    </row>
    <row r="22" spans="2:9">
      <c r="B22" t="s">
        <v>841</v>
      </c>
      <c r="H22" s="587"/>
    </row>
    <row r="23" spans="2:9">
      <c r="C23" t="s">
        <v>829</v>
      </c>
      <c r="H23" s="587"/>
    </row>
    <row r="24" spans="2:9">
      <c r="C24" s="360" t="s">
        <v>1052</v>
      </c>
      <c r="D24" s="1"/>
      <c r="E24" s="1"/>
      <c r="H24" s="587"/>
    </row>
    <row r="25" spans="2:9">
      <c r="C25" s="4" t="s">
        <v>730</v>
      </c>
      <c r="D25" s="593" t="s">
        <v>832</v>
      </c>
      <c r="I25" s="587"/>
    </row>
    <row r="26" spans="2:9" ht="16" customHeight="1">
      <c r="C26" s="480" t="s">
        <v>819</v>
      </c>
      <c r="D26" s="3828" t="s">
        <v>801</v>
      </c>
      <c r="I26" s="587"/>
    </row>
    <row r="27" spans="2:9" ht="16" customHeight="1">
      <c r="C27" s="591"/>
      <c r="D27" s="3829"/>
      <c r="E27" s="9"/>
      <c r="I27" s="587"/>
    </row>
    <row r="28" spans="2:9" ht="16" customHeight="1">
      <c r="C28" s="591"/>
      <c r="D28" s="3829"/>
      <c r="E28" s="9"/>
      <c r="I28" s="587"/>
    </row>
    <row r="29" spans="2:9">
      <c r="B29" s="79"/>
      <c r="C29" s="481"/>
      <c r="D29" s="3830"/>
      <c r="E29" s="122"/>
      <c r="I29" s="587"/>
    </row>
    <row r="30" spans="2:9">
      <c r="B30" s="480" t="s">
        <v>862</v>
      </c>
      <c r="C30" s="591" t="s">
        <v>306</v>
      </c>
      <c r="D30" s="1763">
        <f>Biosecurity!C12*1000000</f>
        <v>906226790.6072166</v>
      </c>
      <c r="E30" s="122"/>
      <c r="I30" s="587"/>
    </row>
    <row r="31" spans="2:9">
      <c r="B31" s="481"/>
      <c r="C31" s="481"/>
      <c r="D31" s="607"/>
      <c r="E31" s="122"/>
    </row>
    <row r="32" spans="2:9">
      <c r="C32" s="771" t="s">
        <v>833</v>
      </c>
      <c r="D32" s="778">
        <f>SUM(D30:D31)</f>
        <v>906226790.6072166</v>
      </c>
      <c r="E32" s="276"/>
    </row>
    <row r="33" spans="2:8">
      <c r="B33" s="811"/>
      <c r="E33" s="124"/>
    </row>
    <row r="34" spans="2:8">
      <c r="B34" s="811"/>
      <c r="C34" s="16"/>
      <c r="D34" s="16"/>
      <c r="E34" s="122"/>
    </row>
    <row r="35" spans="2:8">
      <c r="B35" s="811"/>
      <c r="C35" s="28" t="s">
        <v>822</v>
      </c>
      <c r="D35" s="28"/>
      <c r="E35" s="1275"/>
    </row>
    <row r="36" spans="2:8" ht="15" customHeight="1">
      <c r="B36" s="811"/>
      <c r="C36" s="480" t="s">
        <v>306</v>
      </c>
      <c r="D36" s="1163"/>
      <c r="E36" s="1275"/>
    </row>
    <row r="37" spans="2:8">
      <c r="B37" s="811"/>
      <c r="C37" s="481"/>
      <c r="D37" s="607"/>
      <c r="E37" s="1275"/>
    </row>
    <row r="38" spans="2:8">
      <c r="B38" s="811"/>
      <c r="C38" s="764" t="s">
        <v>766</v>
      </c>
      <c r="D38" s="764"/>
      <c r="E38" s="1275"/>
    </row>
    <row r="39" spans="2:8">
      <c r="E39" s="122"/>
    </row>
    <row r="40" spans="2:8">
      <c r="E40" s="122"/>
    </row>
    <row r="41" spans="2:8">
      <c r="E41" s="122"/>
      <c r="H41" s="587"/>
    </row>
    <row r="42" spans="2:8">
      <c r="E42" s="9"/>
    </row>
    <row r="43" spans="2:8">
      <c r="E43" s="9"/>
    </row>
    <row r="44" spans="2:8">
      <c r="E44" s="9"/>
    </row>
  </sheetData>
  <mergeCells count="1">
    <mergeCell ref="D26:D29"/>
  </mergeCells>
  <pageMargins left="0.7" right="0.7" top="0.75" bottom="0.75" header="0.3" footer="0.3"/>
  <pageSetup paperSize="9" orientation="portrait" horizontalDpi="0" verticalDpi="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P806"/>
  <sheetViews>
    <sheetView showGridLines="0" zoomScaleNormal="100" workbookViewId="0">
      <selection activeCell="H36" sqref="H36"/>
    </sheetView>
  </sheetViews>
  <sheetFormatPr baseColWidth="10" defaultColWidth="11" defaultRowHeight="16"/>
  <cols>
    <col min="1" max="1" width="2.6640625" customWidth="1"/>
    <col min="2" max="2" width="7.5" customWidth="1"/>
    <col min="3" max="3" width="28.5" customWidth="1"/>
    <col min="4" max="4" width="23.6640625" style="24" customWidth="1"/>
    <col min="5" max="5" width="12.5" style="16" customWidth="1"/>
    <col min="6" max="6" width="14.33203125" customWidth="1"/>
    <col min="7" max="7" width="12" style="359" customWidth="1"/>
    <col min="8" max="8" width="11.6640625" customWidth="1"/>
    <col min="9" max="9" width="31.6640625" customWidth="1"/>
    <col min="10" max="10" width="18.6640625" customWidth="1"/>
    <col min="11" max="11" width="8.33203125" customWidth="1"/>
    <col min="12" max="12" width="12.1640625" customWidth="1"/>
    <col min="13" max="13" width="10.6640625" customWidth="1"/>
    <col min="14" max="14" width="13.33203125" customWidth="1"/>
    <col min="15" max="15" width="13.6640625" customWidth="1"/>
    <col min="16" max="16" width="15.1640625" customWidth="1"/>
    <col min="17" max="19" width="15.1640625" style="2791" customWidth="1"/>
    <col min="20" max="20" width="2.6640625" customWidth="1"/>
    <col min="21" max="21" width="11.1640625" customWidth="1"/>
    <col min="22" max="24" width="11.6640625" customWidth="1"/>
    <col min="25" max="26" width="18.83203125" customWidth="1"/>
    <col min="27" max="27" width="19.33203125" customWidth="1"/>
    <col min="28" max="29" width="16.6640625" customWidth="1"/>
    <col min="30" max="30" width="21" customWidth="1"/>
    <col min="31" max="31" width="23.5" customWidth="1"/>
    <col min="32" max="32" width="37.5" customWidth="1"/>
    <col min="34" max="34" width="14.33203125" customWidth="1"/>
    <col min="35" max="35" width="12.6640625" bestFit="1" customWidth="1"/>
    <col min="42" max="42" width="12.5" bestFit="1" customWidth="1"/>
  </cols>
  <sheetData>
    <row r="1" spans="2:35">
      <c r="B1" s="3" t="s">
        <v>19</v>
      </c>
      <c r="C1" s="24"/>
      <c r="D1" s="16" t="s">
        <v>498</v>
      </c>
      <c r="E1"/>
      <c r="F1" s="359"/>
      <c r="G1"/>
      <c r="H1" s="359"/>
    </row>
    <row r="2" spans="2:35">
      <c r="C2" s="24" t="s">
        <v>10</v>
      </c>
      <c r="D2" s="239" t="s">
        <v>335</v>
      </c>
      <c r="E2"/>
      <c r="F2" s="359"/>
      <c r="G2"/>
      <c r="H2" s="359"/>
    </row>
    <row r="3" spans="2:35">
      <c r="C3" s="24" t="s">
        <v>0</v>
      </c>
      <c r="D3" s="239" t="s">
        <v>336</v>
      </c>
      <c r="E3"/>
      <c r="F3" s="359"/>
      <c r="G3"/>
      <c r="H3" s="359"/>
    </row>
    <row r="4" spans="2:35">
      <c r="B4" s="3"/>
      <c r="C4" s="24" t="s">
        <v>1</v>
      </c>
      <c r="D4" s="239" t="s">
        <v>337</v>
      </c>
      <c r="E4"/>
      <c r="F4" s="359"/>
      <c r="G4"/>
      <c r="H4" s="359"/>
    </row>
    <row r="5" spans="2:35">
      <c r="B5" s="3" t="s">
        <v>20</v>
      </c>
      <c r="C5" s="24"/>
      <c r="D5" s="16"/>
      <c r="E5"/>
      <c r="F5" s="359"/>
      <c r="H5" s="1"/>
      <c r="I5" s="359"/>
    </row>
    <row r="6" spans="2:35">
      <c r="C6" s="24" t="s">
        <v>2</v>
      </c>
      <c r="D6" s="239" t="s">
        <v>300</v>
      </c>
      <c r="E6"/>
      <c r="F6" s="359"/>
      <c r="H6" s="6"/>
      <c r="I6" s="359"/>
      <c r="T6" s="15"/>
    </row>
    <row r="7" spans="2:35">
      <c r="C7" s="24" t="s">
        <v>22</v>
      </c>
      <c r="D7" s="239" t="s">
        <v>492</v>
      </c>
      <c r="E7"/>
      <c r="F7" s="359"/>
      <c r="H7" s="6"/>
      <c r="I7" s="359"/>
    </row>
    <row r="8" spans="2:35">
      <c r="C8" s="24" t="s">
        <v>7</v>
      </c>
      <c r="D8" s="238" t="s">
        <v>29</v>
      </c>
      <c r="E8"/>
      <c r="F8" s="359"/>
      <c r="H8" s="6"/>
      <c r="I8" s="359"/>
      <c r="W8" s="15"/>
    </row>
    <row r="9" spans="2:35">
      <c r="C9" s="24" t="s">
        <v>8</v>
      </c>
      <c r="D9" s="238" t="s">
        <v>583</v>
      </c>
      <c r="E9"/>
      <c r="F9" s="359"/>
      <c r="H9" s="6"/>
      <c r="I9" s="359"/>
      <c r="U9" s="5"/>
    </row>
    <row r="10" spans="2:35" ht="19">
      <c r="C10" s="24"/>
      <c r="D10" s="16"/>
      <c r="F10" s="359"/>
      <c r="I10" s="359"/>
      <c r="AC10" s="1786"/>
      <c r="AF10" s="1787"/>
    </row>
    <row r="11" spans="2:35" ht="19">
      <c r="B11" s="904" t="s">
        <v>140</v>
      </c>
      <c r="C11" s="113"/>
      <c r="D11" s="16"/>
      <c r="F11" s="359"/>
      <c r="I11" s="359"/>
      <c r="AA11" s="2953" t="s">
        <v>2305</v>
      </c>
      <c r="AB11" s="2953"/>
      <c r="AC11" s="1786"/>
      <c r="AF11" s="1787"/>
    </row>
    <row r="12" spans="2:35" ht="19">
      <c r="C12" s="31" t="s">
        <v>960</v>
      </c>
      <c r="D12" s="16"/>
      <c r="F12" s="359"/>
      <c r="I12" s="359"/>
      <c r="AA12" s="204">
        <f>SUMIF(T23:T104,"L",AA23:AA104)-AA13-AA15</f>
        <v>498.0812623548079</v>
      </c>
      <c r="AB12" s="2953" t="s">
        <v>2303</v>
      </c>
      <c r="AC12" s="1786"/>
      <c r="AF12" s="1787"/>
    </row>
    <row r="13" spans="2:35" ht="19">
      <c r="C13" s="955" t="s">
        <v>961</v>
      </c>
      <c r="D13" s="16"/>
      <c r="F13" s="359"/>
      <c r="I13" s="359"/>
      <c r="AA13" s="454">
        <v>0</v>
      </c>
      <c r="AB13" s="2953" t="s">
        <v>2304</v>
      </c>
      <c r="AC13" s="1786"/>
      <c r="AF13" s="1787"/>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SUM(AA31,AA35,AA43,AA47,AA55,AA59,AA67,AA71,AA79,AA83,AA91,AA95)</f>
        <v>837.70648323080968</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1788"/>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1785"/>
      <c r="AG21" s="1785"/>
      <c r="AH21" s="909" t="s">
        <v>66</v>
      </c>
      <c r="AI21" s="895"/>
      <c r="AJ21" s="3748" t="s">
        <v>190</v>
      </c>
      <c r="AK21" s="3748" t="s">
        <v>181</v>
      </c>
    </row>
    <row r="22" spans="1:37" s="893" customFormat="1" ht="38" customHeight="1">
      <c r="B22" s="1789"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1785"/>
      <c r="AG22" s="893" t="s">
        <v>732</v>
      </c>
      <c r="AH22" s="1790" t="s">
        <v>17</v>
      </c>
      <c r="AI22" s="898" t="s">
        <v>18</v>
      </c>
      <c r="AJ22" s="3749"/>
      <c r="AK22" s="3749"/>
    </row>
    <row r="23" spans="1:37" ht="19" customHeight="1">
      <c r="B23" s="260">
        <v>1</v>
      </c>
      <c r="C23" s="3844" t="s">
        <v>201</v>
      </c>
      <c r="D23" s="3847" t="s">
        <v>131</v>
      </c>
      <c r="E23" s="12" t="s">
        <v>3</v>
      </c>
      <c r="F23" s="1172"/>
      <c r="G23" s="1172">
        <f>$E$133</f>
        <v>15</v>
      </c>
      <c r="H23" s="188">
        <f>F133</f>
        <v>5062.5</v>
      </c>
      <c r="I23" s="921" t="s">
        <v>407</v>
      </c>
      <c r="J23" s="377" t="str">
        <f>IF(K23=1,"Annual","Done every "&amp;K23&amp;" years")</f>
        <v>Annual</v>
      </c>
      <c r="K23" s="11">
        <f>$D$120</f>
        <v>1</v>
      </c>
      <c r="L23" s="1043">
        <f>$L$16/K23</f>
        <v>80</v>
      </c>
      <c r="M23" s="171">
        <f>$L$16/L23</f>
        <v>1</v>
      </c>
      <c r="N23" s="240">
        <f>$H23*(1-(1+$L$15)^-(L23*M23))/((1+$L$15)^M23-1)*(1+((1+$L$15)^M23-1))</f>
        <v>125914.53807358607</v>
      </c>
      <c r="O23" s="191">
        <f>N23/(1+$L$15)*($L$15)/(1-(1+$L$15)^-$L$16)</f>
        <v>5062.4999999999955</v>
      </c>
      <c r="P23" s="195">
        <f>SUM(O23:O26)</f>
        <v>5062.4999999999955</v>
      </c>
      <c r="Q23" s="2859"/>
      <c r="R23" s="2859"/>
      <c r="S23" s="2859"/>
      <c r="T23" s="1031" t="s">
        <v>808</v>
      </c>
      <c r="U23" s="583">
        <f>O23/$U$16</f>
        <v>50.624999999999957</v>
      </c>
      <c r="V23" s="583">
        <f>IF($T23="L",SUM($U23:U23)*V$16,"")</f>
        <v>15.187499999999986</v>
      </c>
      <c r="W23" s="1474"/>
      <c r="X23" s="583">
        <f>IF($U23="","",SUM($U23:W23)*X$16)</f>
        <v>19.743749999999981</v>
      </c>
      <c r="Y23" s="240">
        <f t="shared" ref="Y23:Y29" si="0">IF($U23="","",SUM(V23:X23))</f>
        <v>34.931249999999963</v>
      </c>
      <c r="Z23" s="240">
        <f>SUM(V23:X26)</f>
        <v>34.931249999999963</v>
      </c>
      <c r="AA23" s="191">
        <f t="shared" ref="AA23:AA29" si="1">IF($U23="","",SUM(U23,Y23))</f>
        <v>85.55624999999992</v>
      </c>
      <c r="AB23" s="195">
        <f>SUM(AA23:AA26)</f>
        <v>85.55624999999992</v>
      </c>
      <c r="AC23" s="889">
        <f t="shared" ref="AC23:AC29" ca="1" si="2">IF(AA23="","",AA23/OFFSET($AB$23,AF23,0))</f>
        <v>1</v>
      </c>
      <c r="AD23" s="941"/>
      <c r="AE23" s="1063"/>
      <c r="AF23" s="587">
        <v>0</v>
      </c>
      <c r="AG23" s="816">
        <f ca="1">SUM(AC23:AC26)-1</f>
        <v>0</v>
      </c>
      <c r="AH23" s="13">
        <f>$AH$16/K23</f>
        <v>5</v>
      </c>
      <c r="AI23" s="13">
        <f>$AH$16/AH23</f>
        <v>1</v>
      </c>
      <c r="AJ23" s="14">
        <f>$H23*(1-(1+$L$15)^-(AH23*AI23))/((1+$L$15)^AI23-1)*(1+((1+$L$15)^AI23-1))</f>
        <v>23438.844572800335</v>
      </c>
      <c r="AK23" s="191">
        <f>SUM(AJ23:AJ26)</f>
        <v>23438.844572800335</v>
      </c>
    </row>
    <row r="24" spans="1:37" ht="19" customHeight="1">
      <c r="B24" s="261"/>
      <c r="C24" s="3845"/>
      <c r="D24" s="3848"/>
      <c r="E24" s="12" t="s">
        <v>308</v>
      </c>
      <c r="F24" s="1172"/>
      <c r="G24" s="1172"/>
      <c r="H24" s="188"/>
      <c r="I24" s="921"/>
      <c r="J24" s="377"/>
      <c r="K24" s="11"/>
      <c r="L24" s="1044"/>
      <c r="M24" s="944"/>
      <c r="N24" s="241"/>
      <c r="O24" s="342"/>
      <c r="P24" s="193"/>
      <c r="Q24" s="2860">
        <v>0</v>
      </c>
      <c r="R24" s="2860">
        <v>0</v>
      </c>
      <c r="S24" s="2860">
        <v>0</v>
      </c>
      <c r="T24" s="1032" t="s">
        <v>809</v>
      </c>
      <c r="U24" s="585"/>
      <c r="V24" s="585" t="str">
        <f>IF($T24="L",SUM($U24:U24)*V$16,"")</f>
        <v/>
      </c>
      <c r="W24" s="1475"/>
      <c r="X24" s="585" t="str">
        <f>IF($U24="","",SUM($U24:W24)*X$16)</f>
        <v/>
      </c>
      <c r="Y24" s="242" t="str">
        <f t="shared" si="0"/>
        <v/>
      </c>
      <c r="Z24" s="242"/>
      <c r="AA24" s="342" t="str">
        <f t="shared" si="1"/>
        <v/>
      </c>
      <c r="AB24" s="193"/>
      <c r="AC24" s="890" t="str">
        <f t="shared" ca="1" si="2"/>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c r="P25" s="193"/>
      <c r="Q25" s="2860"/>
      <c r="R25" s="2860"/>
      <c r="S25" s="2860"/>
      <c r="T25" s="1032" t="s">
        <v>810</v>
      </c>
      <c r="U25" s="585"/>
      <c r="V25" s="585" t="str">
        <f>IF($T25="L",SUM($U25:U25)*V$16,"")</f>
        <v/>
      </c>
      <c r="W25" s="1475"/>
      <c r="X25" s="585" t="str">
        <f>IF($U25="","",SUM($U25:W25)*X$16)</f>
        <v/>
      </c>
      <c r="Y25" s="242" t="str">
        <f t="shared" si="0"/>
        <v/>
      </c>
      <c r="Z25" s="242"/>
      <c r="AA25" s="342" t="str">
        <f t="shared" si="1"/>
        <v/>
      </c>
      <c r="AB25" s="193"/>
      <c r="AC25" s="890" t="str">
        <f t="shared" ca="1" si="2"/>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c r="P26" s="196"/>
      <c r="Q26" s="2861"/>
      <c r="R26" s="2861"/>
      <c r="S26" s="2861"/>
      <c r="T26" s="1033" t="s">
        <v>811</v>
      </c>
      <c r="U26" s="891"/>
      <c r="V26" s="891" t="str">
        <f>IF($T26="L",SUM($U26:U26)*V$16,"")</f>
        <v/>
      </c>
      <c r="W26" s="1478"/>
      <c r="X26" s="891" t="str">
        <f>IF($U26="","",SUM($U26:W26)*X$16)</f>
        <v/>
      </c>
      <c r="Y26" s="244" t="str">
        <f t="shared" si="0"/>
        <v/>
      </c>
      <c r="Z26" s="244"/>
      <c r="AA26" s="343" t="str">
        <f t="shared" si="1"/>
        <v/>
      </c>
      <c r="AB26" s="196"/>
      <c r="AC26" s="892" t="str">
        <f t="shared" ca="1" si="2"/>
        <v/>
      </c>
      <c r="AD26" s="942"/>
      <c r="AE26" s="1065"/>
      <c r="AF26" s="587">
        <f>AF25</f>
        <v>0</v>
      </c>
      <c r="AG26" s="587"/>
      <c r="AH26" s="13"/>
      <c r="AI26" s="13"/>
      <c r="AJ26" s="189"/>
      <c r="AK26" s="342"/>
    </row>
    <row r="27" spans="1:37" ht="18" customHeight="1">
      <c r="A27" s="390"/>
      <c r="B27" s="710">
        <v>2.1</v>
      </c>
      <c r="C27" s="1780" t="s">
        <v>1005</v>
      </c>
      <c r="D27" s="3850" t="s">
        <v>1051</v>
      </c>
      <c r="E27" s="373" t="s">
        <v>3</v>
      </c>
      <c r="F27" s="1176"/>
      <c r="G27" s="1176">
        <f t="shared" ref="G27:G29" si="3">E242</f>
        <v>6.2541106128550075</v>
      </c>
      <c r="H27" s="370">
        <f>H242</f>
        <v>1407.1748878923768</v>
      </c>
      <c r="I27" s="613" t="s">
        <v>475</v>
      </c>
      <c r="J27" s="375" t="str">
        <f>IF(K27=1,"Annual","Done every "&amp;K27&amp;" years")</f>
        <v>Annual</v>
      </c>
      <c r="K27" s="371">
        <f>L242</f>
        <v>1</v>
      </c>
      <c r="L27" s="386">
        <f t="shared" ref="L27:M29" si="4">$L$16/K27</f>
        <v>80</v>
      </c>
      <c r="M27" s="371">
        <f t="shared" si="4"/>
        <v>1</v>
      </c>
      <c r="N27" s="370">
        <f>$H27*(1-(1+$L$15)^-(L27*M27))/((1+$L$15)^M27-1)*(1+((1+$L$15)^M27-1))</f>
        <v>34999.264394611135</v>
      </c>
      <c r="O27" s="640">
        <f>N27/(1+$L$15)*($L$15)/(1-(1+$L$15)^-$L$16)</f>
        <v>1407.1748878923752</v>
      </c>
      <c r="P27" s="980">
        <f>SUM(O27:O30)</f>
        <v>3558.3856502242124</v>
      </c>
      <c r="Q27" s="3049"/>
      <c r="R27" s="3049"/>
      <c r="S27" s="3049"/>
      <c r="T27" s="1034" t="s">
        <v>808</v>
      </c>
      <c r="U27" s="642">
        <f t="shared" ref="U27:U33" si="5">O27/$U$16</f>
        <v>14.071748878923751</v>
      </c>
      <c r="V27" s="644">
        <f>IF($T27="L",SUM($U27:U27)*V$16,"")</f>
        <v>4.2215246636771253</v>
      </c>
      <c r="W27" s="644">
        <f>IF($U27="","",IF(OR($T27="L",$T27="T",$T27="C"),SUM($U27:V27)*W$16,""))</f>
        <v>1.8293273542600876</v>
      </c>
      <c r="X27" s="644">
        <f>IF($U27="","",SUM($U27:W27)*X$16)</f>
        <v>6.0367802690582888</v>
      </c>
      <c r="Y27" s="388">
        <f t="shared" si="0"/>
        <v>12.087632286995502</v>
      </c>
      <c r="Z27" s="392">
        <f>SUM(V27:X30)</f>
        <v>21.337838565022402</v>
      </c>
      <c r="AA27" s="734">
        <f t="shared" si="1"/>
        <v>26.159381165919253</v>
      </c>
      <c r="AB27" s="392">
        <f>SUM(AA27:AA30)</f>
        <v>56.921695067264523</v>
      </c>
      <c r="AC27" s="888">
        <f t="shared" ca="1" si="2"/>
        <v>0.45956785255615878</v>
      </c>
      <c r="AD27" s="641"/>
      <c r="AE27" s="1066"/>
      <c r="AF27" s="587">
        <f>AF23+4</f>
        <v>4</v>
      </c>
      <c r="AG27" s="816">
        <f ca="1">SUM(AC27:AC30)-1</f>
        <v>0</v>
      </c>
      <c r="AH27" s="387">
        <f>$AH$16/K27</f>
        <v>5</v>
      </c>
      <c r="AI27" s="387">
        <f>$AH$16/AH27</f>
        <v>1</v>
      </c>
      <c r="AJ27" s="370">
        <f>$H27*(1-(1+$L$15)^-(AH27*AI27))/((1+$L$15)^AI27-1)*(1+((1+$L$15)^AI27-1))</f>
        <v>6515.0722931470918</v>
      </c>
      <c r="AK27" s="980">
        <f>SUM(AJ27:AJ30)</f>
        <v>16474.95272803722</v>
      </c>
    </row>
    <row r="28" spans="1:37" ht="19" customHeight="1">
      <c r="A28" s="390"/>
      <c r="B28" s="710"/>
      <c r="C28" s="1781" t="s">
        <v>749</v>
      </c>
      <c r="D28" s="3851"/>
      <c r="E28" s="373" t="s">
        <v>308</v>
      </c>
      <c r="F28" s="1176">
        <f>$D$229</f>
        <v>1</v>
      </c>
      <c r="G28" s="1176">
        <f t="shared" si="3"/>
        <v>3.1270553064275037</v>
      </c>
      <c r="H28" s="882">
        <f>H243</f>
        <v>891.21076233183862</v>
      </c>
      <c r="I28" s="613" t="s">
        <v>797</v>
      </c>
      <c r="J28" s="375" t="str">
        <f>IF(K28=1,"Annual","Done every "&amp;K28&amp;" years")</f>
        <v>Annual</v>
      </c>
      <c r="K28" s="371">
        <f>L243</f>
        <v>1</v>
      </c>
      <c r="L28" s="386">
        <f t="shared" si="4"/>
        <v>80</v>
      </c>
      <c r="M28" s="371">
        <f t="shared" si="4"/>
        <v>1</v>
      </c>
      <c r="N28" s="370">
        <f>$H28*(1-(1+$L$15)^-(L28*M28))/((1+$L$15)^M28-1)*(1+((1+$L$15)^M28-1))</f>
        <v>22166.200783253724</v>
      </c>
      <c r="O28" s="640">
        <f>N28/(1+$L$15)*($L$15)/(1-(1+$L$15)^-$L$16)</f>
        <v>891.21076233183794</v>
      </c>
      <c r="P28" s="981"/>
      <c r="Q28" s="2956">
        <f>1*(1-(1+$L$15)^-(L28*M28))/((1+$L$15)^M28-1)*(1+((1+$L$15)^M28-1))</f>
        <v>24.872007520708362</v>
      </c>
      <c r="R28" s="2956">
        <f>Q28/(1+$L$15)*($L$15)/(1-(1+$L$15)^-$L$16)</f>
        <v>0.99999999999999911</v>
      </c>
      <c r="S28" s="2956">
        <f>F28*R28</f>
        <v>0.99999999999999911</v>
      </c>
      <c r="T28" s="1034" t="s">
        <v>809</v>
      </c>
      <c r="U28" s="639">
        <f t="shared" si="5"/>
        <v>8.9121076233183789</v>
      </c>
      <c r="V28" s="644" t="str">
        <f>IF($T28="L",SUM($U28:U28)*V$16,"")</f>
        <v/>
      </c>
      <c r="W28" s="644">
        <f>IF($U28="","",IF(OR($T28="L",$T28="T",$T28="C"),SUM($U28:V28)*W$16,""))</f>
        <v>0.89121076233183794</v>
      </c>
      <c r="X28" s="644">
        <f>IF($U28="","",SUM($U28:W28)*X$16)</f>
        <v>2.9409955156950649</v>
      </c>
      <c r="Y28" s="394">
        <f t="shared" si="0"/>
        <v>3.8322062780269031</v>
      </c>
      <c r="Z28" s="392"/>
      <c r="AA28" s="734">
        <f t="shared" si="1"/>
        <v>12.744313901345283</v>
      </c>
      <c r="AB28" s="392"/>
      <c r="AC28" s="729">
        <f t="shared" ca="1" si="2"/>
        <v>0.2238920307324877</v>
      </c>
      <c r="AD28" s="641"/>
      <c r="AE28" s="1066"/>
      <c r="AF28" s="587">
        <f>AF27</f>
        <v>4</v>
      </c>
      <c r="AG28" s="587"/>
      <c r="AH28" s="387">
        <f>$AH$16/K28</f>
        <v>5</v>
      </c>
      <c r="AI28" s="387">
        <f>$AH$16/AH28</f>
        <v>1</v>
      </c>
      <c r="AJ28" s="370">
        <f>$H28*(1-(1+$L$15)^-(AH28*AI28))/((1+$L$15)^AI28-1)*(1+((1+$L$15)^AI28-1))</f>
        <v>4126.212452326492</v>
      </c>
      <c r="AK28" s="981"/>
    </row>
    <row r="29" spans="1:37" ht="19" customHeight="1">
      <c r="A29" s="390"/>
      <c r="B29" s="710"/>
      <c r="C29" s="1781"/>
      <c r="D29" s="3851"/>
      <c r="E29" s="373" t="s">
        <v>4</v>
      </c>
      <c r="F29" s="1176"/>
      <c r="G29" s="1176">
        <f t="shared" si="3"/>
        <v>6</v>
      </c>
      <c r="H29" s="882">
        <f>H244</f>
        <v>1260</v>
      </c>
      <c r="I29" s="613" t="s">
        <v>70</v>
      </c>
      <c r="J29" s="375" t="str">
        <f>IF(K29=1,"Annual","Done every "&amp;K29&amp;" years")</f>
        <v>Annual</v>
      </c>
      <c r="K29" s="371">
        <f>L244</f>
        <v>1</v>
      </c>
      <c r="L29" s="386">
        <f t="shared" si="4"/>
        <v>80</v>
      </c>
      <c r="M29" s="371">
        <f t="shared" si="4"/>
        <v>1</v>
      </c>
      <c r="N29" s="370">
        <f>$H29*(1-(1+$L$15)^-(L29*M29))/((1+$L$15)^M29-1)*(1+((1+$L$15)^M29-1))</f>
        <v>31338.729476092536</v>
      </c>
      <c r="O29" s="640">
        <f>N29/(1+$L$15)*($L$15)/(1-(1+$L$15)^-$L$16)</f>
        <v>1259.9999999999991</v>
      </c>
      <c r="P29" s="982"/>
      <c r="Q29" s="2956"/>
      <c r="R29" s="2956"/>
      <c r="S29" s="2956"/>
      <c r="T29" s="1034" t="s">
        <v>810</v>
      </c>
      <c r="U29" s="639">
        <f t="shared" si="5"/>
        <v>12.599999999999991</v>
      </c>
      <c r="V29" s="644" t="str">
        <f>IF($T29="L",SUM($U29:U29)*V$16,"")</f>
        <v/>
      </c>
      <c r="W29" s="644">
        <f>IF($U29="","",IF(OR($T29="L",$T29="T",$T29="C"),SUM($U29:V29)*W$16,""))</f>
        <v>1.2599999999999991</v>
      </c>
      <c r="X29" s="644">
        <f>IF($U29="","",SUM($U29:W29)*X$16)</f>
        <v>4.1579999999999968</v>
      </c>
      <c r="Y29" s="394">
        <f t="shared" si="0"/>
        <v>5.4179999999999957</v>
      </c>
      <c r="Z29" s="393"/>
      <c r="AA29" s="735">
        <f t="shared" si="1"/>
        <v>18.017999999999986</v>
      </c>
      <c r="AB29" s="393"/>
      <c r="AC29" s="729">
        <f t="shared" ca="1" si="2"/>
        <v>0.31654011671135351</v>
      </c>
      <c r="AD29" s="643"/>
      <c r="AE29" s="1066"/>
      <c r="AF29" s="587">
        <f>AF28</f>
        <v>4</v>
      </c>
      <c r="AG29" s="587"/>
      <c r="AH29" s="387">
        <f>$AH$16/K29</f>
        <v>5</v>
      </c>
      <c r="AI29" s="387">
        <f>$AH$16/AH29</f>
        <v>1</v>
      </c>
      <c r="AJ29" s="370">
        <f>$H29*(1-(1+$L$15)^-(AH29*AI29))/((1+$L$15)^AI29-1)*(1+((1+$L$15)^AI29-1))</f>
        <v>5833.6679825636384</v>
      </c>
      <c r="AK29" s="982"/>
    </row>
    <row r="30" spans="1:37" ht="19" customHeight="1">
      <c r="A30" s="390"/>
      <c r="B30" s="710"/>
      <c r="C30" s="1781"/>
      <c r="D30" s="3851"/>
      <c r="E30" s="373" t="s">
        <v>21</v>
      </c>
      <c r="F30" s="1176"/>
      <c r="G30" s="1176"/>
      <c r="H30" s="370"/>
      <c r="I30" s="1086"/>
      <c r="J30" s="375"/>
      <c r="K30" s="371"/>
      <c r="L30" s="386"/>
      <c r="M30" s="371"/>
      <c r="N30" s="370"/>
      <c r="O30" s="640"/>
      <c r="P30" s="982"/>
      <c r="Q30" s="2956"/>
      <c r="R30" s="2956"/>
      <c r="S30" s="2956"/>
      <c r="T30" s="1034" t="s">
        <v>811</v>
      </c>
      <c r="U30" s="639">
        <f t="shared" si="5"/>
        <v>0</v>
      </c>
      <c r="V30" s="644" t="str">
        <f>IF($T30="L",SUM($U30:U30)*V$16,"")</f>
        <v/>
      </c>
      <c r="W30" s="644" t="str">
        <f>IF($U30="","",IF(OR($T30="L",$T30="T",$T30="C"),SUM($U30:V30)*W$16,""))</f>
        <v/>
      </c>
      <c r="X30" s="644">
        <f>IF($U30="","",SUM($U30:W30)*X$16)</f>
        <v>0</v>
      </c>
      <c r="Y30" s="394"/>
      <c r="Z30" s="393"/>
      <c r="AA30" s="735"/>
      <c r="AB30" s="393"/>
      <c r="AC30" s="729"/>
      <c r="AD30" s="643"/>
      <c r="AE30" s="1066"/>
      <c r="AF30" s="587">
        <f>AF29</f>
        <v>4</v>
      </c>
      <c r="AG30" s="587"/>
      <c r="AH30" s="387"/>
      <c r="AI30" s="387"/>
      <c r="AJ30" s="370"/>
      <c r="AK30" s="982"/>
    </row>
    <row r="31" spans="1:37" ht="18" customHeight="1">
      <c r="A31" s="676"/>
      <c r="B31" s="711">
        <f>B27+0.1</f>
        <v>2.2000000000000002</v>
      </c>
      <c r="C31" s="1775" t="s">
        <v>202</v>
      </c>
      <c r="D31" s="3852" t="s">
        <v>1051</v>
      </c>
      <c r="E31" s="685" t="s">
        <v>3</v>
      </c>
      <c r="F31" s="1177"/>
      <c r="G31" s="1177">
        <f>F242</f>
        <v>7.449925261584454</v>
      </c>
      <c r="H31" s="665">
        <f>I242</f>
        <v>1676.2331838565024</v>
      </c>
      <c r="I31" s="818" t="str">
        <f>I27</f>
        <v xml:space="preserve">Labour to get tracking done, cameras, sandpads and collars. </v>
      </c>
      <c r="J31" s="666" t="str">
        <f>IF(K31=1,"Annual","Done every "&amp;K31&amp;" years")</f>
        <v>Annual</v>
      </c>
      <c r="K31" s="667">
        <f>L242</f>
        <v>1</v>
      </c>
      <c r="L31" s="671">
        <f t="shared" ref="L31:M33" si="6">$L$16/K31</f>
        <v>80</v>
      </c>
      <c r="M31" s="880">
        <f t="shared" si="6"/>
        <v>1</v>
      </c>
      <c r="N31" s="883">
        <f>$H31*(1-(1+$L$15)^-(L31*M31))/((1+$L$15)^M31-1)*(1+((1+$L$15)^M31-1))</f>
        <v>41691.284355339849</v>
      </c>
      <c r="O31" s="673">
        <f>N31/(1+$L$15)*($L$15)/(1-(1+$L$15)^-$L$16)</f>
        <v>1676.233183856501</v>
      </c>
      <c r="P31" s="983">
        <f>SUM(O31:O34)</f>
        <v>3997.847533632284</v>
      </c>
      <c r="Q31" s="3050"/>
      <c r="R31" s="3050"/>
      <c r="S31" s="3050"/>
      <c r="T31" s="1035" t="s">
        <v>808</v>
      </c>
      <c r="U31" s="675">
        <f t="shared" si="5"/>
        <v>16.762331838565011</v>
      </c>
      <c r="V31" s="675">
        <f>IF($T31="L",SUM($U31:U31)*V$16,"")</f>
        <v>5.0286995515695034</v>
      </c>
      <c r="W31" s="675">
        <f>IF($U31="","",IF(OR($T31="L",$T31="T",$T31="C"),SUM($U31:V31)*W$16,""))</f>
        <v>2.1791031390134514</v>
      </c>
      <c r="X31" s="675">
        <f>IF($U31="","",SUM($U31:W31)*X$16)</f>
        <v>7.1910403587443898</v>
      </c>
      <c r="Y31" s="670">
        <f>IF($U31="","",SUM(V31:X31))</f>
        <v>14.398843049327345</v>
      </c>
      <c r="Z31" s="716">
        <f>SUM(V31:X34)</f>
        <v>24.381784753363213</v>
      </c>
      <c r="AA31" s="736">
        <f>IF($U31="","",SUM(U31,Y31))</f>
        <v>31.161174887892358</v>
      </c>
      <c r="AB31" s="716">
        <f>SUM(AA31:AA34)</f>
        <v>64.360260089686051</v>
      </c>
      <c r="AC31" s="730">
        <f ca="1">IF(AA31="","",AA31/OFFSET($AB$23,AF31,0))</f>
        <v>0.48416794532012841</v>
      </c>
      <c r="AD31" s="674"/>
      <c r="AE31" s="1067"/>
      <c r="AF31" s="587">
        <f>AF27+4</f>
        <v>8</v>
      </c>
      <c r="AG31" s="816">
        <f ca="1">SUM(AC31:AC34)-1</f>
        <v>0</v>
      </c>
      <c r="AH31" s="669">
        <f>$AH$16/K31</f>
        <v>5</v>
      </c>
      <c r="AI31" s="669">
        <f>$AH$16/AH31</f>
        <v>1</v>
      </c>
      <c r="AJ31" s="665">
        <f>$H31*(1-(1+$L$15)^-(AH31*AI31))/((1+$L$15)^AI31-1)*(1+((1+$L$15)^AI31-1))</f>
        <v>7760.7840126780848</v>
      </c>
      <c r="AK31" s="983">
        <f>SUM(AJ31:AJ34)</f>
        <v>18509.615203271176</v>
      </c>
    </row>
    <row r="32" spans="1:37" ht="18" customHeight="1">
      <c r="A32" s="676"/>
      <c r="B32" s="712"/>
      <c r="C32" s="1776" t="s">
        <v>779</v>
      </c>
      <c r="D32" s="3853"/>
      <c r="E32" s="685" t="s">
        <v>308</v>
      </c>
      <c r="F32" s="1177">
        <f>$E$229</f>
        <v>1</v>
      </c>
      <c r="G32" s="1177">
        <f t="shared" ref="G32:G33" si="7">F243</f>
        <v>3.724962630792227</v>
      </c>
      <c r="H32" s="665">
        <f>I243</f>
        <v>1061.6143497757848</v>
      </c>
      <c r="I32" s="818" t="str">
        <f>I28</f>
        <v>Transport at site</v>
      </c>
      <c r="J32" s="666" t="str">
        <f>IF(K32=1,"Annual","Done every "&amp;K32&amp;" years")</f>
        <v>Annual</v>
      </c>
      <c r="K32" s="667">
        <f>L243</f>
        <v>1</v>
      </c>
      <c r="L32" s="668">
        <f t="shared" si="6"/>
        <v>80</v>
      </c>
      <c r="M32" s="667">
        <f t="shared" si="6"/>
        <v>1</v>
      </c>
      <c r="N32" s="665">
        <f>$H32*(1-(1+$L$15)^-(L32*M32))/((1+$L$15)^M32-1)*(1+((1+$L$15)^M32-1))</f>
        <v>26404.480091715235</v>
      </c>
      <c r="O32" s="680">
        <f>N32/(1+$L$15)*($L$15)/(1-(1+$L$15)^-$L$16)</f>
        <v>1061.6143497757839</v>
      </c>
      <c r="P32" s="984"/>
      <c r="Q32" s="3051">
        <f>1*(1-(1+$L$15)^-(L32*M32))/((1+$L$15)^M32-1)*(1+((1+$L$15)^M32-1))</f>
        <v>24.872007520708362</v>
      </c>
      <c r="R32" s="3051">
        <f>Q32/(1+$L$15)*($L$15)/(1-(1+$L$15)^-$L$16)</f>
        <v>0.99999999999999911</v>
      </c>
      <c r="S32" s="3051">
        <f>F32*R32</f>
        <v>0.99999999999999911</v>
      </c>
      <c r="T32" s="1036" t="s">
        <v>809</v>
      </c>
      <c r="U32" s="675">
        <f t="shared" si="5"/>
        <v>10.616143497757839</v>
      </c>
      <c r="V32" s="682" t="str">
        <f>IF($T32="L",SUM($U32:U32)*V$16,"")</f>
        <v/>
      </c>
      <c r="W32" s="682">
        <f>IF($U32="","",IF(OR($T32="L",$T32="T",$T32="C"),SUM($U32:V32)*W$16,""))</f>
        <v>1.0616143497757839</v>
      </c>
      <c r="X32" s="682">
        <f>IF($U32="","",SUM($U32:W32)*X$16)</f>
        <v>3.5033273542600871</v>
      </c>
      <c r="Y32" s="679">
        <f>IF($U32="","",SUM(V32:X32))</f>
        <v>4.5649417040358706</v>
      </c>
      <c r="Z32" s="720"/>
      <c r="AA32" s="737">
        <f>IF($U32="","",SUM(U32,Y32))</f>
        <v>15.18108520179371</v>
      </c>
      <c r="AB32" s="720"/>
      <c r="AC32" s="730">
        <f ca="1">IF(AA32="","",AA32/OFFSET($AB$23,AF32,0))</f>
        <v>0.2358766913098061</v>
      </c>
      <c r="AD32" s="681"/>
      <c r="AE32" s="1067"/>
      <c r="AF32" s="587">
        <f>AF31</f>
        <v>8</v>
      </c>
      <c r="AG32" s="587"/>
      <c r="AH32" s="669">
        <f>$AH$16/K32</f>
        <v>5</v>
      </c>
      <c r="AI32" s="669">
        <f>$AH$16/AH32</f>
        <v>1</v>
      </c>
      <c r="AJ32" s="665">
        <f>$H32*(1-(1+$L$15)^-(AH32*AI32))/((1+$L$15)^AI32-1)*(1+((1+$L$15)^AI32-1))</f>
        <v>4915.163208029453</v>
      </c>
      <c r="AK32" s="984"/>
    </row>
    <row r="33" spans="1:37" ht="18" customHeight="1">
      <c r="A33" s="676"/>
      <c r="B33" s="712"/>
      <c r="C33" s="1776"/>
      <c r="D33" s="3853"/>
      <c r="E33" s="685" t="s">
        <v>4</v>
      </c>
      <c r="F33" s="1177"/>
      <c r="G33" s="1177">
        <f t="shared" si="7"/>
        <v>6</v>
      </c>
      <c r="H33" s="665">
        <f>I244</f>
        <v>1260</v>
      </c>
      <c r="I33" s="818" t="str">
        <f>I29</f>
        <v>Accomodation</v>
      </c>
      <c r="J33" s="666" t="str">
        <f>IF(K33=1,"Annual","Done every "&amp;K33&amp;" years")</f>
        <v>Annual</v>
      </c>
      <c r="K33" s="667">
        <f>L244</f>
        <v>1</v>
      </c>
      <c r="L33" s="668">
        <f t="shared" si="6"/>
        <v>80</v>
      </c>
      <c r="M33" s="667">
        <f t="shared" si="6"/>
        <v>1</v>
      </c>
      <c r="N33" s="665">
        <f>$H33*(1-(1+$L$15)^-(L33*M33))/((1+$L$15)^M33-1)*(1+((1+$L$15)^M33-1))</f>
        <v>31338.729476092536</v>
      </c>
      <c r="O33" s="680">
        <f>N33/(1+$L$15)*($L$15)/(1-(1+$L$15)^-$L$16)</f>
        <v>1259.9999999999991</v>
      </c>
      <c r="P33" s="985"/>
      <c r="Q33" s="3051"/>
      <c r="R33" s="3051"/>
      <c r="S33" s="3051"/>
      <c r="T33" s="1036" t="s">
        <v>810</v>
      </c>
      <c r="U33" s="675">
        <f t="shared" si="5"/>
        <v>12.599999999999991</v>
      </c>
      <c r="V33" s="684" t="str">
        <f>IF($T33="L",SUM($U33:U33)*V$16,"")</f>
        <v/>
      </c>
      <c r="W33" s="684">
        <f>IF($U33="","",IF(OR($T33="L",$T33="T",$T33="C"),SUM($U33:V33)*W$16,""))</f>
        <v>1.2599999999999991</v>
      </c>
      <c r="X33" s="684">
        <f>IF($U33="","",SUM($U33:W33)*X$16)</f>
        <v>4.1579999999999968</v>
      </c>
      <c r="Y33" s="1024">
        <f>IF($U33="","",SUM(V33:X33))</f>
        <v>5.4179999999999957</v>
      </c>
      <c r="Z33" s="721"/>
      <c r="AA33" s="738">
        <f>IF($U33="","",SUM(U33,Y33))</f>
        <v>18.017999999999986</v>
      </c>
      <c r="AB33" s="721"/>
      <c r="AC33" s="730">
        <f ca="1">IF(AA33="","",AA33/OFFSET($AB$23,AF33,0))</f>
        <v>0.27995536337006555</v>
      </c>
      <c r="AD33" s="683"/>
      <c r="AE33" s="1067"/>
      <c r="AF33" s="587">
        <f>AF32</f>
        <v>8</v>
      </c>
      <c r="AG33" s="587"/>
      <c r="AH33" s="669">
        <f>$AH$16/K33</f>
        <v>5</v>
      </c>
      <c r="AI33" s="669">
        <f>$AH$16/AH33</f>
        <v>1</v>
      </c>
      <c r="AJ33" s="665">
        <f>$H33*(1-(1+$L$15)^-(AH33*AI33))/((1+$L$15)^AI33-1)*(1+((1+$L$15)^AI33-1))</f>
        <v>5833.6679825636384</v>
      </c>
      <c r="AK33" s="985"/>
    </row>
    <row r="34" spans="1:37" ht="18" customHeight="1">
      <c r="A34" s="676"/>
      <c r="B34" s="712"/>
      <c r="C34" s="1776"/>
      <c r="D34" s="3854"/>
      <c r="E34" s="1082" t="s">
        <v>21</v>
      </c>
      <c r="F34" s="1177"/>
      <c r="G34" s="1177"/>
      <c r="H34" s="665"/>
      <c r="I34" s="818"/>
      <c r="J34" s="666"/>
      <c r="K34" s="667"/>
      <c r="L34" s="668"/>
      <c r="M34" s="667"/>
      <c r="N34" s="665"/>
      <c r="O34" s="680"/>
      <c r="P34" s="985"/>
      <c r="Q34" s="3051"/>
      <c r="R34" s="3051"/>
      <c r="S34" s="3051"/>
      <c r="T34" s="1036" t="s">
        <v>811</v>
      </c>
      <c r="U34" s="675"/>
      <c r="V34" s="684" t="str">
        <f>IF($T34="L",SUM($U34:U34)*V$16,"")</f>
        <v/>
      </c>
      <c r="W34" s="684" t="str">
        <f>IF($U34="","",IF(OR($T34="L",$T34="T",$T34="C"),SUM($U34:V34)*W$16,""))</f>
        <v/>
      </c>
      <c r="X34" s="684" t="str">
        <f>IF($U34="","",SUM($U34:W34)*X$16)</f>
        <v/>
      </c>
      <c r="Y34" s="1024"/>
      <c r="Z34" s="721"/>
      <c r="AA34" s="738"/>
      <c r="AB34" s="721"/>
      <c r="AC34" s="730"/>
      <c r="AD34" s="683"/>
      <c r="AE34" s="1067"/>
      <c r="AF34" s="587">
        <f>AF33</f>
        <v>8</v>
      </c>
      <c r="AG34" s="587"/>
      <c r="AH34" s="669"/>
      <c r="AI34" s="669"/>
      <c r="AJ34" s="665"/>
      <c r="AK34" s="985"/>
    </row>
    <row r="35" spans="1:37" ht="18" customHeight="1">
      <c r="A35" s="656"/>
      <c r="B35" s="713">
        <f>B31+0.1</f>
        <v>2.3000000000000003</v>
      </c>
      <c r="C35" s="1777" t="s">
        <v>202</v>
      </c>
      <c r="D35" s="3863" t="s">
        <v>1051</v>
      </c>
      <c r="E35" s="686" t="s">
        <v>3</v>
      </c>
      <c r="F35" s="1178"/>
      <c r="G35" s="1178">
        <f>G242</f>
        <v>9.8415545590433489</v>
      </c>
      <c r="H35" s="645">
        <f>J242</f>
        <v>2214.3497757847535</v>
      </c>
      <c r="I35" s="820" t="s">
        <v>475</v>
      </c>
      <c r="J35" s="646" t="str">
        <f>IF(K35=1,"Annual","Done every "&amp;K35&amp;" years")</f>
        <v>Annual</v>
      </c>
      <c r="K35" s="647">
        <f>L242</f>
        <v>1</v>
      </c>
      <c r="L35" s="651">
        <f t="shared" ref="L35:M37" si="8">$L$16/K35</f>
        <v>80</v>
      </c>
      <c r="M35" s="881">
        <f t="shared" si="8"/>
        <v>1</v>
      </c>
      <c r="N35" s="884">
        <f>$H35*(1-(1+$L$15)^-(L35*M35))/((1+$L$15)^M35-1)*(1+((1+$L$15)^M35-1))</f>
        <v>55075.324276797262</v>
      </c>
      <c r="O35" s="653">
        <f>N35/(1+$L$15)*($L$15)/(1-(1+$L$15)^-$L$16)</f>
        <v>2214.3497757847517</v>
      </c>
      <c r="P35" s="931">
        <f>SUM(O35:O38)</f>
        <v>5296.7713004484267</v>
      </c>
      <c r="Q35" s="3052"/>
      <c r="R35" s="3052"/>
      <c r="S35" s="3052"/>
      <c r="T35" s="1037" t="s">
        <v>808</v>
      </c>
      <c r="U35" s="655">
        <f>O35/$U$16</f>
        <v>22.143497757847516</v>
      </c>
      <c r="V35" s="655">
        <f>IF($T35="L",SUM($U35:U35)*V$16,"")</f>
        <v>6.6430493273542544</v>
      </c>
      <c r="W35" s="655">
        <f>IF($U35="","",IF(OR($T35="L",$T35="T",$T35="C"),SUM($U35:V35)*W$16,""))</f>
        <v>2.8786547085201772</v>
      </c>
      <c r="X35" s="655">
        <f>IF($U35="","",SUM($U35:W35)*X$16)</f>
        <v>9.4995605381165849</v>
      </c>
      <c r="Y35" s="650">
        <f>IF($U35="","",SUM(V35:X35))</f>
        <v>19.021264573991019</v>
      </c>
      <c r="Z35" s="717">
        <f>SUM(V35:X38)</f>
        <v>32.275677130044819</v>
      </c>
      <c r="AA35" s="739">
        <f>IF($U35="","",SUM(U35,Y35))</f>
        <v>41.164762331838531</v>
      </c>
      <c r="AB35" s="717">
        <f>SUM(AA35:AA38)</f>
        <v>85.243390134529079</v>
      </c>
      <c r="AC35" s="731">
        <f ca="1">IF(AA35="","",AA35/OFFSET($AB$23,AF35,0))</f>
        <v>0.48290855474979688</v>
      </c>
      <c r="AD35" s="654"/>
      <c r="AE35" s="1068"/>
      <c r="AF35" s="587">
        <f>AF31+4</f>
        <v>12</v>
      </c>
      <c r="AG35" s="816">
        <f ca="1">SUM(AC35:AC38)-1</f>
        <v>0</v>
      </c>
      <c r="AH35" s="649">
        <f>$AH$16/K35</f>
        <v>5</v>
      </c>
      <c r="AI35" s="649">
        <f>$AH$16/AH35</f>
        <v>1</v>
      </c>
      <c r="AJ35" s="645">
        <f>$H35*(1-(1+$L$15)^-(AH35*AI35))/((1+$L$15)^AI35-1)*(1+((1+$L$15)^AI35-1))</f>
        <v>10252.207451740071</v>
      </c>
      <c r="AK35" s="931">
        <f>SUM(AJ35:AJ38)</f>
        <v>24523.496147926966</v>
      </c>
    </row>
    <row r="36" spans="1:37" ht="19" customHeight="1">
      <c r="A36" s="656"/>
      <c r="B36" s="714"/>
      <c r="C36" s="1778" t="s">
        <v>789</v>
      </c>
      <c r="D36" s="3864"/>
      <c r="E36" s="686" t="s">
        <v>308</v>
      </c>
      <c r="F36" s="1178">
        <f>$F$229</f>
        <v>1</v>
      </c>
      <c r="G36" s="1178">
        <f t="shared" ref="G36:G37" si="9">G243</f>
        <v>4.9207772795216744</v>
      </c>
      <c r="H36" s="645">
        <f>J243</f>
        <v>1402.4215246636772</v>
      </c>
      <c r="I36" s="820" t="s">
        <v>797</v>
      </c>
      <c r="J36" s="646" t="str">
        <f>IF(K36=1,"Annual","Done every "&amp;K36&amp;" years")</f>
        <v>Annual</v>
      </c>
      <c r="K36" s="647">
        <f>L243</f>
        <v>1</v>
      </c>
      <c r="L36" s="648">
        <f t="shared" si="8"/>
        <v>80</v>
      </c>
      <c r="M36" s="647">
        <f t="shared" si="8"/>
        <v>1</v>
      </c>
      <c r="N36" s="645">
        <f>$H36*(1-(1+$L$15)^-(L36*M36))/((1+$L$15)^M36-1)*(1+((1+$L$15)^M36-1))</f>
        <v>34881.038708638262</v>
      </c>
      <c r="O36" s="660">
        <f>N36/(1+$L$15)*($L$15)/(1-(1+$L$15)^-$L$16)</f>
        <v>1402.4215246636759</v>
      </c>
      <c r="P36" s="932"/>
      <c r="Q36" s="3053">
        <f>1*(1-(1+$L$15)^-(L36*M36))/((1+$L$15)^M36-1)*(1+((1+$L$15)^M36-1))</f>
        <v>24.872007520708362</v>
      </c>
      <c r="R36" s="3053">
        <f>Q36/(1+$L$15)*($L$15)/(1-(1+$L$15)^-$L$16)</f>
        <v>0.99999999999999911</v>
      </c>
      <c r="S36" s="3053">
        <f>F36*R36</f>
        <v>0.99999999999999911</v>
      </c>
      <c r="T36" s="1038" t="s">
        <v>809</v>
      </c>
      <c r="U36" s="655">
        <f>O36/$U$16</f>
        <v>14.024215246636759</v>
      </c>
      <c r="V36" s="662" t="str">
        <f>IF($T36="L",SUM($U36:U36)*V$16,"")</f>
        <v/>
      </c>
      <c r="W36" s="662">
        <f>IF($U36="","",IF(OR($T36="L",$T36="T",$T36="C"),SUM($U36:V36)*W$16,""))</f>
        <v>1.402421524663676</v>
      </c>
      <c r="X36" s="662">
        <f>IF($U36="","",SUM($U36:W36)*X$16)</f>
        <v>4.6279910313901302</v>
      </c>
      <c r="Y36" s="659">
        <f>IF($U36="","",SUM(V36:X36))</f>
        <v>6.0304125560538058</v>
      </c>
      <c r="Z36" s="722"/>
      <c r="AA36" s="740">
        <f>IF($U36="","",SUM(U36,Y36))</f>
        <v>20.054627802690565</v>
      </c>
      <c r="AB36" s="722"/>
      <c r="AC36" s="731">
        <f ca="1">IF(AA36="","",AA36/OFFSET($AB$23,AF36,0))</f>
        <v>0.23526314205759333</v>
      </c>
      <c r="AD36" s="661"/>
      <c r="AE36" s="1068"/>
      <c r="AF36" s="587">
        <f>AF35</f>
        <v>12</v>
      </c>
      <c r="AG36" s="587"/>
      <c r="AH36" s="649">
        <f>$AH$16/K36</f>
        <v>5</v>
      </c>
      <c r="AI36" s="649">
        <f>$AH$16/AH36</f>
        <v>1</v>
      </c>
      <c r="AJ36" s="645">
        <f>$H36*(1-(1+$L$15)^-(AH36*AI36))/((1+$L$15)^AI36-1)*(1+((1+$L$15)^AI36-1))</f>
        <v>6493.0647194353778</v>
      </c>
      <c r="AK36" s="932"/>
    </row>
    <row r="37" spans="1:37" ht="19" customHeight="1">
      <c r="A37" s="656"/>
      <c r="B37" s="714"/>
      <c r="C37" s="1778"/>
      <c r="D37" s="3864"/>
      <c r="E37" s="686" t="s">
        <v>4</v>
      </c>
      <c r="F37" s="1178"/>
      <c r="G37" s="1178">
        <f t="shared" si="9"/>
        <v>8</v>
      </c>
      <c r="H37" s="645">
        <f>J244</f>
        <v>1680</v>
      </c>
      <c r="I37" s="820" t="s">
        <v>70</v>
      </c>
      <c r="J37" s="646" t="str">
        <f>IF(K37=1,"Annual","Done every "&amp;K37&amp;" years")</f>
        <v>Annual</v>
      </c>
      <c r="K37" s="647">
        <f>L244</f>
        <v>1</v>
      </c>
      <c r="L37" s="648">
        <f t="shared" si="8"/>
        <v>80</v>
      </c>
      <c r="M37" s="647">
        <f t="shared" si="8"/>
        <v>1</v>
      </c>
      <c r="N37" s="645">
        <f>$H37*(1-(1+$L$15)^-(L37*M37))/((1+$L$15)^M37-1)*(1+((1+$L$15)^M37-1))</f>
        <v>41784.972634790051</v>
      </c>
      <c r="O37" s="660">
        <f>N37/(1+$L$15)*($L$15)/(1-(1+$L$15)^-$L$16)</f>
        <v>1679.9999999999986</v>
      </c>
      <c r="P37" s="933"/>
      <c r="Q37" s="3053"/>
      <c r="R37" s="3053"/>
      <c r="S37" s="3053"/>
      <c r="T37" s="1038" t="s">
        <v>810</v>
      </c>
      <c r="U37" s="655">
        <f>O37/$U$16</f>
        <v>16.799999999999986</v>
      </c>
      <c r="V37" s="664" t="str">
        <f>IF($T37="L",SUM($U37:U37)*V$16,"")</f>
        <v/>
      </c>
      <c r="W37" s="664">
        <f>IF($U37="","",IF(OR($T37="L",$T37="T",$T37="C"),SUM($U37:V37)*W$16,""))</f>
        <v>1.6799999999999988</v>
      </c>
      <c r="X37" s="664">
        <f>IF($U37="","",SUM($U37:W37)*X$16)</f>
        <v>5.543999999999996</v>
      </c>
      <c r="Y37" s="1025">
        <f>IF($U37="","",SUM(V37:X37))</f>
        <v>7.2239999999999949</v>
      </c>
      <c r="Z37" s="723"/>
      <c r="AA37" s="741">
        <f>IF($U37="","",SUM(U37,Y37))</f>
        <v>24.02399999999998</v>
      </c>
      <c r="AB37" s="723"/>
      <c r="AC37" s="731">
        <f ca="1">IF(AA37="","",AA37/OFFSET($AB$23,AF37,0))</f>
        <v>0.28182830319260976</v>
      </c>
      <c r="AD37" s="663"/>
      <c r="AE37" s="1068"/>
      <c r="AF37" s="587">
        <f>AF36</f>
        <v>12</v>
      </c>
      <c r="AG37" s="587"/>
      <c r="AH37" s="649">
        <f>$AH$16/K37</f>
        <v>5</v>
      </c>
      <c r="AI37" s="649">
        <f>$AH$16/AH37</f>
        <v>1</v>
      </c>
      <c r="AJ37" s="645">
        <f>$H37*(1-(1+$L$15)^-(AH37*AI37))/((1+$L$15)^AI37-1)*(1+((1+$L$15)^AI37-1))</f>
        <v>7778.2239767515175</v>
      </c>
      <c r="AK37" s="933"/>
    </row>
    <row r="38" spans="1:37" ht="19" customHeight="1">
      <c r="A38" s="656"/>
      <c r="B38" s="714"/>
      <c r="C38" s="1779"/>
      <c r="D38" s="3865"/>
      <c r="E38" s="686" t="s">
        <v>21</v>
      </c>
      <c r="F38" s="1178"/>
      <c r="G38" s="1178"/>
      <c r="H38" s="645"/>
      <c r="I38" s="1087"/>
      <c r="J38" s="646"/>
      <c r="K38" s="647"/>
      <c r="L38" s="648"/>
      <c r="M38" s="647"/>
      <c r="N38" s="645"/>
      <c r="O38" s="660"/>
      <c r="P38" s="934"/>
      <c r="Q38" s="3054"/>
      <c r="R38" s="3054"/>
      <c r="S38" s="3054"/>
      <c r="T38" s="1038"/>
      <c r="U38" s="655"/>
      <c r="V38" s="664" t="str">
        <f>IF($T38="L",SUM($U38:U38)*V$16,"")</f>
        <v/>
      </c>
      <c r="W38" s="664" t="str">
        <f>IF($U38="","",IF(OR($T38="L",$T38="T",$T38="C"),SUM($U38:V38)*W$16,""))</f>
        <v/>
      </c>
      <c r="X38" s="664" t="str">
        <f>IF($U38="","",SUM($U38:W38)*X$16)</f>
        <v/>
      </c>
      <c r="Y38" s="1025"/>
      <c r="Z38" s="723"/>
      <c r="AA38" s="741"/>
      <c r="AB38" s="723"/>
      <c r="AC38" s="731"/>
      <c r="AD38" s="663"/>
      <c r="AE38" s="1068"/>
      <c r="AF38" s="587">
        <f>AF37</f>
        <v>12</v>
      </c>
      <c r="AG38" s="587"/>
      <c r="AH38" s="649"/>
      <c r="AI38" s="649"/>
      <c r="AJ38" s="645"/>
      <c r="AK38" s="933"/>
    </row>
    <row r="39" spans="1:37" s="266" customFormat="1" ht="18" customHeight="1">
      <c r="B39" s="1953">
        <f>B27+1</f>
        <v>3.1</v>
      </c>
      <c r="C39" s="1954" t="s">
        <v>1547</v>
      </c>
      <c r="D39" s="4040" t="s">
        <v>1542</v>
      </c>
      <c r="E39" s="1955" t="s">
        <v>3</v>
      </c>
      <c r="F39" s="1956"/>
      <c r="G39" s="1956">
        <f t="shared" ref="G39:G41" si="10">E364</f>
        <v>115.63527653213752</v>
      </c>
      <c r="H39" s="1957">
        <f>H364</f>
        <v>39026.905829596413</v>
      </c>
      <c r="I39" s="1958" t="str">
        <f>K364</f>
        <v>Cost for labour</v>
      </c>
      <c r="J39" s="1959" t="str">
        <f>IF(K39=1,"Annual","Done every "&amp;K39&amp;" years")</f>
        <v>Done every 80 years</v>
      </c>
      <c r="K39" s="1960">
        <f>L364</f>
        <v>80</v>
      </c>
      <c r="L39" s="1961">
        <f t="shared" ref="L39:M41" si="11">$L$16/K39</f>
        <v>1</v>
      </c>
      <c r="M39" s="1960">
        <f t="shared" si="11"/>
        <v>80</v>
      </c>
      <c r="N39" s="1957">
        <f>$H39*(1-(1+$L$15)^-(L39*M39))/((1+$L$15)^M39-1)*(1+((1+$L$15)^M39-1))</f>
        <v>39026.905829596413</v>
      </c>
      <c r="O39" s="1962">
        <f>N39/(1+$L$15)*($L$15)/(1-(1+$L$15)^-$L$16)</f>
        <v>1569.1096023150801</v>
      </c>
      <c r="P39" s="1963">
        <f>SUM(O39:O42)</f>
        <v>3367.3571651059319</v>
      </c>
      <c r="Q39" s="2842"/>
      <c r="R39" s="2842"/>
      <c r="S39" s="2842"/>
      <c r="T39" s="1964" t="s">
        <v>808</v>
      </c>
      <c r="U39" s="1965">
        <f t="shared" ref="U39:U70" si="12">O39/$U$16</f>
        <v>15.6910960231508</v>
      </c>
      <c r="V39" s="1965">
        <f>IF($T39="L",SUM($U39:U39)*V$16,"")</f>
        <v>4.7073288069452399</v>
      </c>
      <c r="W39" s="1965">
        <f>IF($U39="","",IF(OR($T39="L",$T39="T",$T39="C"),SUM($U39:V39)*W$16,""))</f>
        <v>2.039842483009604</v>
      </c>
      <c r="X39" s="1965">
        <f>IF($U39="","",SUM($U39:W39)*X$16)</f>
        <v>6.7314801939316933</v>
      </c>
      <c r="Y39" s="1966">
        <f t="shared" ref="Y39:Y50" si="13">IF($U39="","",SUM(V39:X39))</f>
        <v>13.478651483886537</v>
      </c>
      <c r="Z39" s="1963">
        <f>SUM(V39:X42)</f>
        <v>21.211116003887199</v>
      </c>
      <c r="AA39" s="1967">
        <f t="shared" ref="AA39:AA50" si="14">IF($U39="","",SUM(U39,Y39))</f>
        <v>29.169747507037336</v>
      </c>
      <c r="AB39" s="1963">
        <f>SUM(AA39:AA42)</f>
        <v>54.884687654946518</v>
      </c>
      <c r="AC39" s="1968">
        <f t="shared" ref="AC39:AC50" ca="1" si="15">IF(AA39="","",AA39/OFFSET($AB$23,AF39,0))</f>
        <v>0.53147332622942223</v>
      </c>
      <c r="AD39" s="1969"/>
      <c r="AE39" s="1970"/>
      <c r="AF39" s="1482">
        <f>AF35+4</f>
        <v>16</v>
      </c>
      <c r="AG39" s="1971">
        <f ca="1">SUM(AC39:AC42)-1</f>
        <v>0</v>
      </c>
      <c r="AH39" s="1972">
        <f>$AH$16/K39</f>
        <v>6.25E-2</v>
      </c>
      <c r="AI39" s="1972">
        <f>$AH$16/AH39</f>
        <v>80</v>
      </c>
      <c r="AJ39" s="1957">
        <f>$H39*(1-(1+$L$15)^-(AH39*AI39))/((1+$L$15)^AI39-1)*(1+((1+$L$15)^AI39-1))</f>
        <v>7264.8130540941693</v>
      </c>
      <c r="AK39" s="1973">
        <f>SUM(AJ39:AJ42)</f>
        <v>15590.510857091072</v>
      </c>
    </row>
    <row r="40" spans="1:37" s="266" customFormat="1" ht="19" customHeight="1">
      <c r="B40" s="1974"/>
      <c r="C40" s="1975" t="s">
        <v>749</v>
      </c>
      <c r="D40" s="4041"/>
      <c r="E40" s="1955" t="s">
        <v>308</v>
      </c>
      <c r="F40" s="1324">
        <f>$D$349</f>
        <v>3</v>
      </c>
      <c r="G40" s="1956">
        <f t="shared" si="10"/>
        <v>57.817638266068762</v>
      </c>
      <c r="H40" s="1957">
        <f>H365</f>
        <v>16478.026905829596</v>
      </c>
      <c r="I40" s="1958" t="str">
        <f>K365</f>
        <v>On site Vehicle Costs</v>
      </c>
      <c r="J40" s="1959" t="str">
        <f>IF(K40=1,"Annual","Done every "&amp;K40&amp;" years")</f>
        <v>Done every 80 years</v>
      </c>
      <c r="K40" s="1960">
        <f>L365</f>
        <v>80</v>
      </c>
      <c r="L40" s="1961">
        <f t="shared" si="11"/>
        <v>1</v>
      </c>
      <c r="M40" s="1960">
        <f t="shared" si="11"/>
        <v>80</v>
      </c>
      <c r="N40" s="1957">
        <f>$H40*(1-(1+$L$15)^-(L40*M40))/((1+$L$15)^M40-1)*(1+((1+$L$15)^M40-1))</f>
        <v>16478.026905829593</v>
      </c>
      <c r="O40" s="1962">
        <f>N40/(1+$L$15)*($L$15)/(1-(1+$L$15)^-$L$16)</f>
        <v>662.51294319970032</v>
      </c>
      <c r="P40" s="1976"/>
      <c r="Q40" s="2844">
        <f>1*(1-(1+$L$15)^-(L40*M40))/((1+$L$15)^M40-1)*(1+((1+$L$15)^M40-1))</f>
        <v>0.99999999999999989</v>
      </c>
      <c r="R40" s="2844">
        <f>Q40/(1+$L$15)*($L$15)/(1-(1+$L$15)^-$L$16)</f>
        <v>4.0205841815036523E-2</v>
      </c>
      <c r="S40" s="2844">
        <f>F40*R40</f>
        <v>0.12061752544510956</v>
      </c>
      <c r="T40" s="1977" t="s">
        <v>809</v>
      </c>
      <c r="U40" s="1965">
        <f t="shared" si="12"/>
        <v>6.6251294319970029</v>
      </c>
      <c r="V40" s="1978" t="str">
        <f>IF($T40="L",SUM($U40:U40)*V$16,"")</f>
        <v/>
      </c>
      <c r="W40" s="1978">
        <f>IF($U40="","",IF(OR($T40="L",$T40="T",$T40="C"),SUM($U40:V40)*W$16,""))</f>
        <v>0.66251294319970033</v>
      </c>
      <c r="X40" s="1978">
        <f>IF($U40="","",SUM($U40:W40)*X$16)</f>
        <v>2.1862927125590108</v>
      </c>
      <c r="Y40" s="1979">
        <f t="shared" si="13"/>
        <v>2.8488056557587109</v>
      </c>
      <c r="Z40" s="1976"/>
      <c r="AA40" s="1980">
        <f t="shared" si="14"/>
        <v>9.4739350877557129</v>
      </c>
      <c r="AB40" s="1976"/>
      <c r="AC40" s="1968">
        <f t="shared" ca="1" si="15"/>
        <v>0.17261526834801744</v>
      </c>
      <c r="AD40" s="1981"/>
      <c r="AE40" s="1970"/>
      <c r="AF40" s="1482">
        <f>AF39</f>
        <v>16</v>
      </c>
      <c r="AG40" s="1482"/>
      <c r="AH40" s="1972">
        <f>$AH$16/K40</f>
        <v>6.25E-2</v>
      </c>
      <c r="AI40" s="1972">
        <f>$AH$16/AH40</f>
        <v>80</v>
      </c>
      <c r="AJ40" s="1957">
        <f>$H40*(1-(1+$L$15)^-(AH40*AI40))/((1+$L$15)^AI40-1)*(1+((1+$L$15)^AI40-1))</f>
        <v>3067.3655117286498</v>
      </c>
      <c r="AK40" s="1982"/>
    </row>
    <row r="41" spans="1:37" s="266" customFormat="1" ht="19" customHeight="1">
      <c r="B41" s="1974"/>
      <c r="C41" s="1975"/>
      <c r="D41" s="4041"/>
      <c r="E41" s="1955" t="s">
        <v>4</v>
      </c>
      <c r="F41" s="1956"/>
      <c r="G41" s="1956">
        <f t="shared" si="10"/>
        <v>114</v>
      </c>
      <c r="H41" s="1957">
        <f>H366</f>
        <v>28248</v>
      </c>
      <c r="I41" s="1958" t="str">
        <f>K366</f>
        <v>Accomodation/food + Ammunition</v>
      </c>
      <c r="J41" s="1959" t="str">
        <f>IF(K41=1,"Annual","Done every "&amp;K41&amp;" years")</f>
        <v>Done every 80 years</v>
      </c>
      <c r="K41" s="1960">
        <f>L366</f>
        <v>80</v>
      </c>
      <c r="L41" s="1961">
        <f t="shared" si="11"/>
        <v>1</v>
      </c>
      <c r="M41" s="1960">
        <f t="shared" si="11"/>
        <v>80</v>
      </c>
      <c r="N41" s="1957">
        <f>$H41*(1-(1+$L$15)^-(L41*M41))/((1+$L$15)^M41-1)*(1+((1+$L$15)^M41-1))</f>
        <v>28247.999999999996</v>
      </c>
      <c r="O41" s="1962">
        <f>N41/(1+$L$15)*($L$15)/(1-(1+$L$15)^-$L$16)</f>
        <v>1135.7346195911516</v>
      </c>
      <c r="P41" s="1983"/>
      <c r="Q41" s="2844"/>
      <c r="R41" s="2844"/>
      <c r="S41" s="2844"/>
      <c r="T41" s="1977" t="s">
        <v>810</v>
      </c>
      <c r="U41" s="1965">
        <f t="shared" si="12"/>
        <v>11.357346195911516</v>
      </c>
      <c r="V41" s="1984" t="str">
        <f>IF($T41="L",SUM($U41:U41)*V$16,"")</f>
        <v/>
      </c>
      <c r="W41" s="1984">
        <f>IF($U41="","",IF(OR($T41="L",$T41="T",$T41="C"),SUM($U41:V41)*W$16,""))</f>
        <v>1.1357346195911517</v>
      </c>
      <c r="X41" s="1984">
        <f>IF($U41="","",SUM($U41:W41)*X$16)</f>
        <v>3.7479242446507999</v>
      </c>
      <c r="Y41" s="1985">
        <f t="shared" si="13"/>
        <v>4.8836588642419514</v>
      </c>
      <c r="Z41" s="1983"/>
      <c r="AA41" s="1986">
        <f t="shared" si="14"/>
        <v>16.241005060153469</v>
      </c>
      <c r="AB41" s="1983"/>
      <c r="AC41" s="1968">
        <f t="shared" ca="1" si="15"/>
        <v>0.29591140542256028</v>
      </c>
      <c r="AD41" s="1987"/>
      <c r="AE41" s="1970"/>
      <c r="AF41" s="1482">
        <f>AF40</f>
        <v>16</v>
      </c>
      <c r="AG41" s="1482"/>
      <c r="AH41" s="1972">
        <f>$AH$16/K41</f>
        <v>6.25E-2</v>
      </c>
      <c r="AI41" s="1972">
        <f>$AH$16/AH41</f>
        <v>80</v>
      </c>
      <c r="AJ41" s="1957">
        <f>$H41*(1-(1+$L$15)^-(AH41*AI41))/((1+$L$15)^AI41-1)*(1+((1+$L$15)^AI41-1))</f>
        <v>5258.3322912682543</v>
      </c>
      <c r="AK41" s="1988"/>
    </row>
    <row r="42" spans="1:37" s="266" customFormat="1" ht="16" customHeight="1">
      <c r="B42" s="1974"/>
      <c r="C42" s="1989"/>
      <c r="D42" s="4042"/>
      <c r="E42" s="1955" t="s">
        <v>21</v>
      </c>
      <c r="F42" s="1956"/>
      <c r="G42" s="1956"/>
      <c r="H42" s="1957"/>
      <c r="I42" s="1990"/>
      <c r="J42" s="1959"/>
      <c r="K42" s="802"/>
      <c r="L42" s="1991"/>
      <c r="M42" s="159"/>
      <c r="N42" s="1957"/>
      <c r="O42" s="1962"/>
      <c r="P42" s="1992"/>
      <c r="Q42" s="3080"/>
      <c r="R42" s="3080"/>
      <c r="S42" s="3080"/>
      <c r="T42" s="1993" t="s">
        <v>811</v>
      </c>
      <c r="U42" s="1965">
        <f t="shared" si="12"/>
        <v>0</v>
      </c>
      <c r="V42" s="1984" t="str">
        <f>IF($T42="L",SUM($U42:U42)*V$16,"")</f>
        <v/>
      </c>
      <c r="W42" s="1984" t="str">
        <f>IF($U42="","",IF(OR($T42="L",$T42="T",$T42="C"),SUM($U42:V42)*W$16,""))</f>
        <v/>
      </c>
      <c r="X42" s="1984">
        <f>IF($U42="","",SUM($U42:W42)*X$16)</f>
        <v>0</v>
      </c>
      <c r="Y42" s="1985">
        <f t="shared" si="13"/>
        <v>0</v>
      </c>
      <c r="Z42" s="1992"/>
      <c r="AA42" s="1994">
        <f t="shared" si="14"/>
        <v>0</v>
      </c>
      <c r="AB42" s="1992"/>
      <c r="AC42" s="1968">
        <f t="shared" ca="1" si="15"/>
        <v>0</v>
      </c>
      <c r="AD42" s="1995"/>
      <c r="AE42" s="1970"/>
      <c r="AF42" s="1482">
        <f>AF41</f>
        <v>16</v>
      </c>
      <c r="AG42" s="1482"/>
      <c r="AH42" s="1955"/>
      <c r="AI42" s="1955"/>
      <c r="AJ42" s="1957"/>
      <c r="AK42" s="1996"/>
    </row>
    <row r="43" spans="1:37" s="1997" customFormat="1" ht="18" customHeight="1">
      <c r="B43" s="1998">
        <f>B39+0.1</f>
        <v>3.2</v>
      </c>
      <c r="C43" s="1999" t="str">
        <f>C39</f>
        <v>Management Action 1 (a)
(L + T + C + E)</v>
      </c>
      <c r="D43" s="3909" t="str">
        <f>D39</f>
        <v>Ground shooting for problematic bird species (Year 1)</v>
      </c>
      <c r="E43" s="2000" t="s">
        <v>3</v>
      </c>
      <c r="F43" s="2001"/>
      <c r="G43" s="2001">
        <f>F364</f>
        <v>118.62481315396114</v>
      </c>
      <c r="H43" s="2002">
        <f>I364</f>
        <v>40035.874439461884</v>
      </c>
      <c r="I43" s="2003" t="str">
        <f>K364</f>
        <v>Cost for labour</v>
      </c>
      <c r="J43" s="2004" t="str">
        <f>IF(K43=1,"Annual","Done every "&amp;K43&amp;" years")</f>
        <v>Done every 80 years</v>
      </c>
      <c r="K43" s="2005">
        <f>L364</f>
        <v>80</v>
      </c>
      <c r="L43" s="2006">
        <f t="shared" ref="L43:M45" si="16">$L$16/K43</f>
        <v>1</v>
      </c>
      <c r="M43" s="2005">
        <f t="shared" si="16"/>
        <v>80</v>
      </c>
      <c r="N43" s="2002">
        <f>$H43*(1-(1+$L$15)^-(L43*M43))/((1+$L$15)^M43-1)*(1+((1+$L$15)^M43-1))</f>
        <v>40035.874439461884</v>
      </c>
      <c r="O43" s="2007">
        <f>N43/(1+$L$15)*($L$15)/(1-(1+$L$15)^-$L$16)</f>
        <v>1609.6760346396686</v>
      </c>
      <c r="P43" s="2008">
        <f>SUM(O43:O46)</f>
        <v>3458.8245537588664</v>
      </c>
      <c r="Q43" s="3065"/>
      <c r="R43" s="3065"/>
      <c r="S43" s="3065"/>
      <c r="T43" s="2009" t="s">
        <v>808</v>
      </c>
      <c r="U43" s="2010">
        <f t="shared" si="12"/>
        <v>16.096760346396685</v>
      </c>
      <c r="V43" s="2010">
        <f>IF($T43="L",SUM($U43:U43)*V$16,"")</f>
        <v>4.8290281039190051</v>
      </c>
      <c r="W43" s="2010">
        <f>IF($U43="","",IF(OR($T43="L",$T43="T",$T43="C"),SUM($U43:V43)*W$16,""))</f>
        <v>2.0925788450315692</v>
      </c>
      <c r="X43" s="2010">
        <f>IF($U43="","",SUM($U43:W43)*X$16)</f>
        <v>6.9055101886041772</v>
      </c>
      <c r="Y43" s="2011">
        <f t="shared" si="13"/>
        <v>13.827117137554751</v>
      </c>
      <c r="Z43" s="2008">
        <f>SUM(V43:X46)</f>
        <v>21.778455769767305</v>
      </c>
      <c r="AA43" s="2012">
        <f t="shared" si="14"/>
        <v>29.923877483951436</v>
      </c>
      <c r="AB43" s="2008">
        <f>SUM(AA43:AA46)</f>
        <v>56.366701307355967</v>
      </c>
      <c r="AC43" s="2013">
        <f t="shared" ca="1" si="15"/>
        <v>0.5308786356111691</v>
      </c>
      <c r="AD43" s="2014"/>
      <c r="AE43" s="2015"/>
      <c r="AF43" s="1483">
        <f>AF39+4</f>
        <v>20</v>
      </c>
      <c r="AG43" s="2016">
        <f ca="1">SUM(AC43:AC46)-1</f>
        <v>0</v>
      </c>
      <c r="AH43" s="2017">
        <f>$AH$16/K43</f>
        <v>6.25E-2</v>
      </c>
      <c r="AI43" s="2017">
        <f>$AH$16/AH43</f>
        <v>80</v>
      </c>
      <c r="AJ43" s="2002">
        <f>$H43*(1-(1+$L$15)^-(AH43*AI43))/((1+$L$15)^AI43-1)*(1+((1+$L$15)^AI43-1))</f>
        <v>7452.6313853789216</v>
      </c>
      <c r="AK43" s="2018">
        <f>SUM(AJ43:AJ46)</f>
        <v>16013.99528299054</v>
      </c>
    </row>
    <row r="44" spans="1:37" s="1997" customFormat="1" ht="19" customHeight="1">
      <c r="B44" s="2019"/>
      <c r="C44" s="2020" t="s">
        <v>779</v>
      </c>
      <c r="D44" s="3910"/>
      <c r="E44" s="2000" t="s">
        <v>308</v>
      </c>
      <c r="F44" s="2001">
        <f>$E$349</f>
        <v>3</v>
      </c>
      <c r="G44" s="2001">
        <f t="shared" ref="G44:G45" si="17">F365</f>
        <v>59.312406576980571</v>
      </c>
      <c r="H44" s="2002">
        <f>I365</f>
        <v>16904.035874439462</v>
      </c>
      <c r="I44" s="2003" t="str">
        <f>K365</f>
        <v>On site Vehicle Costs</v>
      </c>
      <c r="J44" s="2004" t="str">
        <f>IF(K44=1,"Annual","Done every "&amp;K44&amp;" years")</f>
        <v>Done every 80 years</v>
      </c>
      <c r="K44" s="2005">
        <f>L364</f>
        <v>80</v>
      </c>
      <c r="L44" s="2006">
        <f t="shared" si="16"/>
        <v>1</v>
      </c>
      <c r="M44" s="2005">
        <f t="shared" si="16"/>
        <v>80</v>
      </c>
      <c r="N44" s="2002">
        <f>$H44*(1-(1+$L$15)^-(L44*M44))/((1+$L$15)^M44-1)*(1+((1+$L$15)^M44-1))</f>
        <v>16904.035874439462</v>
      </c>
      <c r="O44" s="2007">
        <f>N44/(1+$L$15)*($L$15)/(1-(1+$L$15)^-$L$16)</f>
        <v>679.64099240341568</v>
      </c>
      <c r="P44" s="2021"/>
      <c r="Q44" s="3066">
        <f>1*(1-(1+$L$15)^-(L44*M44))/((1+$L$15)^M44-1)*(1+((1+$L$15)^M44-1))</f>
        <v>0.99999999999999989</v>
      </c>
      <c r="R44" s="3066">
        <f>Q44/(1+$L$15)*($L$15)/(1-(1+$L$15)^-$L$16)</f>
        <v>4.0205841815036523E-2</v>
      </c>
      <c r="S44" s="3066">
        <f>F44*R44</f>
        <v>0.12061752544510956</v>
      </c>
      <c r="T44" s="2022" t="s">
        <v>809</v>
      </c>
      <c r="U44" s="2010">
        <f t="shared" si="12"/>
        <v>6.7964099240341564</v>
      </c>
      <c r="V44" s="2023" t="str">
        <f>IF($T44="L",SUM($U44:U44)*V$16,"")</f>
        <v/>
      </c>
      <c r="W44" s="2023">
        <f>IF($U44="","",IF(OR($T44="L",$T44="T",$T44="C"),SUM($U44:V44)*W$16,""))</f>
        <v>0.67964099240341569</v>
      </c>
      <c r="X44" s="2023">
        <f>IF($U44="","",SUM($U44:W44)*X$16)</f>
        <v>2.2428152749312713</v>
      </c>
      <c r="Y44" s="2024">
        <f t="shared" si="13"/>
        <v>2.9224562673346872</v>
      </c>
      <c r="Z44" s="2021"/>
      <c r="AA44" s="2025">
        <f t="shared" si="14"/>
        <v>9.7188661913688428</v>
      </c>
      <c r="AB44" s="2021"/>
      <c r="AC44" s="2013">
        <f t="shared" ca="1" si="15"/>
        <v>0.17242212096773013</v>
      </c>
      <c r="AD44" s="2026"/>
      <c r="AE44" s="2015"/>
      <c r="AF44" s="1483">
        <f>AF43</f>
        <v>20</v>
      </c>
      <c r="AG44" s="1483"/>
      <c r="AH44" s="2017">
        <f>$AH$16/K44</f>
        <v>6.25E-2</v>
      </c>
      <c r="AI44" s="2017">
        <f>$AH$16/AH44</f>
        <v>80</v>
      </c>
      <c r="AJ44" s="2002">
        <f>$H44*(1-(1+$L$15)^-(AH44*AI44))/((1+$L$15)^AI44-1)*(1+((1+$L$15)^AI44-1))</f>
        <v>3146.6665849377664</v>
      </c>
      <c r="AK44" s="2027"/>
    </row>
    <row r="45" spans="1:37" s="1997" customFormat="1" ht="19" customHeight="1">
      <c r="B45" s="2019"/>
      <c r="C45" s="2020"/>
      <c r="D45" s="3910"/>
      <c r="E45" s="2000" t="s">
        <v>4</v>
      </c>
      <c r="F45" s="2001"/>
      <c r="G45" s="2001">
        <f t="shared" si="17"/>
        <v>118</v>
      </c>
      <c r="H45" s="2002">
        <f>I366</f>
        <v>29088</v>
      </c>
      <c r="I45" s="2003" t="str">
        <f>K366</f>
        <v>Accomodation/food + Ammunition</v>
      </c>
      <c r="J45" s="2004" t="str">
        <f>IF(K45=1,"Annual","Done every "&amp;K45&amp;" years")</f>
        <v>Done every 80 years</v>
      </c>
      <c r="K45" s="2005">
        <f>L364</f>
        <v>80</v>
      </c>
      <c r="L45" s="2006">
        <f t="shared" si="16"/>
        <v>1</v>
      </c>
      <c r="M45" s="2005">
        <f t="shared" si="16"/>
        <v>80</v>
      </c>
      <c r="N45" s="2002">
        <f>$H45*(1-(1+$L$15)^-(L45*M45))/((1+$L$15)^M45-1)*(1+((1+$L$15)^M45-1))</f>
        <v>29087.999999999996</v>
      </c>
      <c r="O45" s="2007">
        <f>N45/(1+$L$15)*($L$15)/(1-(1+$L$15)^-$L$16)</f>
        <v>1169.5075267157824</v>
      </c>
      <c r="P45" s="2028"/>
      <c r="Q45" s="3066"/>
      <c r="R45" s="3066"/>
      <c r="S45" s="3066"/>
      <c r="T45" s="2022" t="s">
        <v>810</v>
      </c>
      <c r="U45" s="2010">
        <f t="shared" si="12"/>
        <v>11.695075267157824</v>
      </c>
      <c r="V45" s="2029" t="str">
        <f>IF($T45="L",SUM($U45:U45)*V$16,"")</f>
        <v/>
      </c>
      <c r="W45" s="2029">
        <f>IF($U45="","",IF(OR($T45="L",$T45="T",$T45="C"),SUM($U45:V45)*W$16,""))</f>
        <v>1.1695075267157824</v>
      </c>
      <c r="X45" s="2029">
        <f>IF($U45="","",SUM($U45:W45)*X$16)</f>
        <v>3.8593748381620814</v>
      </c>
      <c r="Y45" s="2030">
        <f t="shared" si="13"/>
        <v>5.0288823648778642</v>
      </c>
      <c r="Z45" s="2028"/>
      <c r="AA45" s="2031">
        <f t="shared" si="14"/>
        <v>16.723957632035688</v>
      </c>
      <c r="AB45" s="2028"/>
      <c r="AC45" s="2013">
        <f t="shared" ca="1" si="15"/>
        <v>0.29669924342110077</v>
      </c>
      <c r="AD45" s="2032"/>
      <c r="AE45" s="2015"/>
      <c r="AF45" s="1483">
        <f>AF44</f>
        <v>20</v>
      </c>
      <c r="AG45" s="1483"/>
      <c r="AH45" s="2017">
        <f>$AH$16/K45</f>
        <v>6.25E-2</v>
      </c>
      <c r="AI45" s="2017">
        <f>$AH$16/AH45</f>
        <v>80</v>
      </c>
      <c r="AJ45" s="2002">
        <f>$H45*(1-(1+$L$15)^-(AH45*AI45))/((1+$L$15)^AI45-1)*(1+((1+$L$15)^AI45-1))</f>
        <v>5414.6973126738521</v>
      </c>
      <c r="AK45" s="2033"/>
    </row>
    <row r="46" spans="1:37" s="1997" customFormat="1" ht="16" customHeight="1">
      <c r="B46" s="2019"/>
      <c r="C46" s="2034"/>
      <c r="D46" s="3911"/>
      <c r="E46" s="2000" t="s">
        <v>21</v>
      </c>
      <c r="F46" s="2001"/>
      <c r="G46" s="2001"/>
      <c r="H46" s="2002"/>
      <c r="I46" s="2035"/>
      <c r="J46" s="2004"/>
      <c r="K46" s="2036"/>
      <c r="L46" s="2037"/>
      <c r="M46" s="2038"/>
      <c r="N46" s="2002"/>
      <c r="O46" s="2007"/>
      <c r="P46" s="2039"/>
      <c r="Q46" s="3081"/>
      <c r="R46" s="3081"/>
      <c r="S46" s="3081"/>
      <c r="T46" s="2040" t="s">
        <v>811</v>
      </c>
      <c r="U46" s="2010">
        <f t="shared" si="12"/>
        <v>0</v>
      </c>
      <c r="V46" s="2029" t="str">
        <f>IF($T46="L",SUM($U46:U46)*V$16,"")</f>
        <v/>
      </c>
      <c r="W46" s="2029" t="str">
        <f>IF($U46="","",IF(OR($T46="L",$T46="T",$T46="C"),SUM($U46:V46)*W$16,""))</f>
        <v/>
      </c>
      <c r="X46" s="2029">
        <f>IF($U46="","",SUM($U46:W46)*X$16)</f>
        <v>0</v>
      </c>
      <c r="Y46" s="2030">
        <f t="shared" si="13"/>
        <v>0</v>
      </c>
      <c r="Z46" s="2039"/>
      <c r="AA46" s="2041">
        <f t="shared" si="14"/>
        <v>0</v>
      </c>
      <c r="AB46" s="2039"/>
      <c r="AC46" s="2013">
        <f t="shared" ca="1" si="15"/>
        <v>0</v>
      </c>
      <c r="AD46" s="2042"/>
      <c r="AE46" s="2015"/>
      <c r="AF46" s="1483">
        <f>AF45</f>
        <v>20</v>
      </c>
      <c r="AG46" s="1483"/>
      <c r="AH46" s="2000"/>
      <c r="AI46" s="2000"/>
      <c r="AJ46" s="2002"/>
      <c r="AK46" s="2043"/>
    </row>
    <row r="47" spans="1:37" s="2044" customFormat="1" ht="18" customHeight="1">
      <c r="B47" s="2045">
        <f>B43+0.1</f>
        <v>3.3000000000000003</v>
      </c>
      <c r="C47" s="2046" t="str">
        <f>C43</f>
        <v>Management Action 1 (a)
(L + T + C + E)</v>
      </c>
      <c r="D47" s="4052" t="str">
        <f>D43</f>
        <v>Ground shooting for problematic bird species (Year 1)</v>
      </c>
      <c r="E47" s="2047" t="s">
        <v>3</v>
      </c>
      <c r="F47" s="2048"/>
      <c r="G47" s="2048">
        <f>G364</f>
        <v>124.60388639760838</v>
      </c>
      <c r="H47" s="2049">
        <f t="shared" ref="H47:I49" si="18">J364</f>
        <v>42053.811659192826</v>
      </c>
      <c r="I47" s="2050" t="str">
        <f t="shared" si="18"/>
        <v>Cost for labour</v>
      </c>
      <c r="J47" s="2051" t="str">
        <f>IF(K47=1,"Annual","Done every "&amp;K47&amp;" years")</f>
        <v>Done every 80 years</v>
      </c>
      <c r="K47" s="2052">
        <f>L364</f>
        <v>80</v>
      </c>
      <c r="L47" s="2053">
        <f t="shared" ref="L47:M49" si="19">$L$16/K47</f>
        <v>1</v>
      </c>
      <c r="M47" s="2052">
        <f t="shared" si="19"/>
        <v>80</v>
      </c>
      <c r="N47" s="2049">
        <f>$H47*(1-(1+$L$15)^-(L47*M47))/((1+$L$15)^M47-1)*(1+((1+$L$15)^M47-1))</f>
        <v>42053.811659192819</v>
      </c>
      <c r="O47" s="2054">
        <f>N47/(1+$L$15)*($L$15)/(1-(1+$L$15)^-$L$16)</f>
        <v>1690.8088992888452</v>
      </c>
      <c r="P47" s="2055">
        <f>SUM(O47:O50)</f>
        <v>3624.8728775024192</v>
      </c>
      <c r="Q47" s="3082"/>
      <c r="R47" s="3082"/>
      <c r="S47" s="3082"/>
      <c r="T47" s="2056" t="s">
        <v>808</v>
      </c>
      <c r="U47" s="2057">
        <f t="shared" si="12"/>
        <v>16.908088992888452</v>
      </c>
      <c r="V47" s="2057">
        <f>IF($T47="L",SUM($U47:U47)*V$16,"")</f>
        <v>5.0724266978665353</v>
      </c>
      <c r="W47" s="2057">
        <f>IF($U47="","",IF(OR($T47="L",$T47="T",$T47="C"),SUM($U47:V47)*W$16,""))</f>
        <v>2.1980515690754987</v>
      </c>
      <c r="X47" s="2058">
        <f>IF($U47="","",SUM($U47:W47)*X$16)</f>
        <v>7.2535701779491459</v>
      </c>
      <c r="Y47" s="2059">
        <f t="shared" si="13"/>
        <v>14.524048444891179</v>
      </c>
      <c r="Z47" s="2055">
        <f>SUM(V47:X50)</f>
        <v>22.84052355120955</v>
      </c>
      <c r="AA47" s="2058">
        <f t="shared" si="14"/>
        <v>31.43213743777963</v>
      </c>
      <c r="AB47" s="2055">
        <f>SUM(AA47:AA50)</f>
        <v>59.089252326233741</v>
      </c>
      <c r="AC47" s="2060">
        <f t="shared" ca="1" si="15"/>
        <v>0.53194339410899549</v>
      </c>
      <c r="AD47" s="2061"/>
      <c r="AE47" s="2062"/>
      <c r="AF47" s="2063">
        <f>AF43+4</f>
        <v>24</v>
      </c>
      <c r="AG47" s="2064">
        <f ca="1">SUM(AC47:AC50)-1</f>
        <v>0</v>
      </c>
      <c r="AH47" s="2065">
        <f>$AH$16/K47</f>
        <v>6.25E-2</v>
      </c>
      <c r="AI47" s="2065">
        <f>$AH$16/AH47</f>
        <v>80</v>
      </c>
      <c r="AJ47" s="2049">
        <f>$H47*(1-(1+$L$15)^-(AH47*AI47))/((1+$L$15)^AI47-1)*(1+((1+$L$15)^AI47-1))</f>
        <v>7828.2680479484234</v>
      </c>
      <c r="AK47" s="2059">
        <f>SUM(AJ47:AJ50)</f>
        <v>16782.781624086674</v>
      </c>
    </row>
    <row r="48" spans="1:37" s="2044" customFormat="1" ht="19" customHeight="1">
      <c r="B48" s="2066"/>
      <c r="C48" s="2067" t="s">
        <v>789</v>
      </c>
      <c r="D48" s="4053"/>
      <c r="E48" s="2047" t="s">
        <v>308</v>
      </c>
      <c r="F48" s="2048">
        <f>$F$349</f>
        <v>3</v>
      </c>
      <c r="G48" s="2048">
        <f t="shared" ref="G48:G49" si="20">G365</f>
        <v>62.301943198804189</v>
      </c>
      <c r="H48" s="2049">
        <f t="shared" si="18"/>
        <v>17756.053811659192</v>
      </c>
      <c r="I48" s="2050" t="str">
        <f t="shared" si="18"/>
        <v>On site Vehicle Costs</v>
      </c>
      <c r="J48" s="2051" t="str">
        <f>IF(K48=1,"Annual","Done every "&amp;K48&amp;" years")</f>
        <v>Done every 80 years</v>
      </c>
      <c r="K48" s="2052">
        <f>L364</f>
        <v>80</v>
      </c>
      <c r="L48" s="2053">
        <f t="shared" si="19"/>
        <v>1</v>
      </c>
      <c r="M48" s="2052">
        <f t="shared" si="19"/>
        <v>80</v>
      </c>
      <c r="N48" s="2049">
        <f>$H48*(1-(1+$L$15)^-(L48*M48))/((1+$L$15)^M48-1)*(1+((1+$L$15)^M48-1))</f>
        <v>17756.053811659192</v>
      </c>
      <c r="O48" s="2054">
        <f>N48/(1+$L$15)*($L$15)/(1-(1+$L$15)^-$L$16)</f>
        <v>713.89709081084584</v>
      </c>
      <c r="P48" s="2068"/>
      <c r="Q48" s="3083">
        <f>1*(1-(1+$L$15)^-(L48*M48))/((1+$L$15)^M48-1)*(1+((1+$L$15)^M48-1))</f>
        <v>0.99999999999999989</v>
      </c>
      <c r="R48" s="3083">
        <f>Q48/(1+$L$15)*($L$15)/(1-(1+$L$15)^-$L$16)</f>
        <v>4.0205841815036523E-2</v>
      </c>
      <c r="S48" s="3083">
        <f>F48*R48</f>
        <v>0.12061752544510956</v>
      </c>
      <c r="T48" s="2069" t="s">
        <v>809</v>
      </c>
      <c r="U48" s="2057">
        <f t="shared" si="12"/>
        <v>7.1389709081084582</v>
      </c>
      <c r="V48" s="2070" t="str">
        <f>IF($T48="L",SUM($U48:U48)*V$16,"")</f>
        <v/>
      </c>
      <c r="W48" s="2070">
        <f>IF($U48="","",IF(OR($T48="L",$T48="T",$T48="C"),SUM($U48:V48)*W$16,""))</f>
        <v>0.71389709081084585</v>
      </c>
      <c r="X48" s="2071">
        <f>IF($U48="","",SUM($U48:W48)*X$16)</f>
        <v>2.3558603996757914</v>
      </c>
      <c r="Y48" s="2072">
        <f t="shared" si="13"/>
        <v>3.0697574904866372</v>
      </c>
      <c r="Z48" s="2068"/>
      <c r="AA48" s="2071">
        <f t="shared" si="14"/>
        <v>10.208728398595095</v>
      </c>
      <c r="AB48" s="2068"/>
      <c r="AC48" s="2060">
        <f t="shared" ca="1" si="15"/>
        <v>0.17276793996702419</v>
      </c>
      <c r="AD48" s="2073"/>
      <c r="AE48" s="2062"/>
      <c r="AF48" s="2063">
        <f>AF47</f>
        <v>24</v>
      </c>
      <c r="AG48" s="2063"/>
      <c r="AH48" s="2065">
        <f>$AH$16/K48</f>
        <v>6.25E-2</v>
      </c>
      <c r="AI48" s="2065">
        <f>$AH$16/AH48</f>
        <v>80</v>
      </c>
      <c r="AJ48" s="2049">
        <f>$H48*(1-(1+$L$15)^-(AH48*AI48))/((1+$L$15)^AI48-1)*(1+((1+$L$15)^AI48-1))</f>
        <v>3305.2687313560009</v>
      </c>
      <c r="AK48" s="2072"/>
    </row>
    <row r="49" spans="2:37" s="2044" customFormat="1" ht="19" customHeight="1">
      <c r="B49" s="2066"/>
      <c r="C49" s="2067"/>
      <c r="D49" s="4053"/>
      <c r="E49" s="2047" t="s">
        <v>4</v>
      </c>
      <c r="F49" s="2048"/>
      <c r="G49" s="2048">
        <f t="shared" si="20"/>
        <v>124</v>
      </c>
      <c r="H49" s="2049">
        <f t="shared" si="18"/>
        <v>30348</v>
      </c>
      <c r="I49" s="2050" t="str">
        <f t="shared" si="18"/>
        <v>Accomodation/food + Ammunition</v>
      </c>
      <c r="J49" s="2051" t="str">
        <f>IF(K49=1,"Annual","Done every "&amp;K49&amp;" years")</f>
        <v>Done every 80 years</v>
      </c>
      <c r="K49" s="2052">
        <f>L364</f>
        <v>80</v>
      </c>
      <c r="L49" s="2053">
        <f t="shared" si="19"/>
        <v>1</v>
      </c>
      <c r="M49" s="2052">
        <f t="shared" si="19"/>
        <v>80</v>
      </c>
      <c r="N49" s="2049">
        <f>$H49*(1-(1+$L$15)^-(L49*M49))/((1+$L$15)^M49-1)*(1+((1+$L$15)^M49-1))</f>
        <v>30347.999999999996</v>
      </c>
      <c r="O49" s="2054">
        <f>N49/(1+$L$15)*($L$15)/(1-(1+$L$15)^-$L$16)</f>
        <v>1220.1668874027282</v>
      </c>
      <c r="P49" s="2074"/>
      <c r="Q49" s="3083"/>
      <c r="R49" s="3083"/>
      <c r="S49" s="3083"/>
      <c r="T49" s="2069" t="s">
        <v>810</v>
      </c>
      <c r="U49" s="2057">
        <f t="shared" si="12"/>
        <v>12.201668874027282</v>
      </c>
      <c r="V49" s="2075" t="str">
        <f>IF($T49="L",SUM($U49:U49)*V$16,"")</f>
        <v/>
      </c>
      <c r="W49" s="2075">
        <f>IF($U49="","",IF(OR($T49="L",$T49="T",$T49="C"),SUM($U49:V49)*W$16,""))</f>
        <v>1.2201668874027283</v>
      </c>
      <c r="X49" s="2076">
        <f>IF($U49="","",SUM($U49:W49)*X$16)</f>
        <v>4.0265507284290027</v>
      </c>
      <c r="Y49" s="2077">
        <f t="shared" si="13"/>
        <v>5.2467176158317308</v>
      </c>
      <c r="Z49" s="2074"/>
      <c r="AA49" s="2076">
        <f t="shared" si="14"/>
        <v>17.448386489859011</v>
      </c>
      <c r="AB49" s="2074"/>
      <c r="AC49" s="2060">
        <f t="shared" ca="1" si="15"/>
        <v>0.29528866592398029</v>
      </c>
      <c r="AD49" s="2078"/>
      <c r="AE49" s="2062"/>
      <c r="AF49" s="2063">
        <f>AF48</f>
        <v>24</v>
      </c>
      <c r="AG49" s="2063"/>
      <c r="AH49" s="2065">
        <f>$AH$16/K49</f>
        <v>6.25E-2</v>
      </c>
      <c r="AI49" s="2065">
        <f>$AH$16/AH49</f>
        <v>80</v>
      </c>
      <c r="AJ49" s="2049">
        <f>$H49*(1-(1+$L$15)^-(AH49*AI49))/((1+$L$15)^AI49-1)*(1+((1+$L$15)^AI49-1))</f>
        <v>5649.2448447822489</v>
      </c>
      <c r="AK49" s="2077"/>
    </row>
    <row r="50" spans="2:37" s="2044" customFormat="1" ht="16" customHeight="1">
      <c r="B50" s="2066"/>
      <c r="C50" s="2079"/>
      <c r="D50" s="4054"/>
      <c r="E50" s="2047" t="s">
        <v>21</v>
      </c>
      <c r="F50" s="2048"/>
      <c r="G50" s="2048"/>
      <c r="H50" s="2049"/>
      <c r="I50" s="2080"/>
      <c r="J50" s="2051"/>
      <c r="K50" s="2081"/>
      <c r="L50" s="2082"/>
      <c r="M50" s="2083"/>
      <c r="N50" s="2049"/>
      <c r="O50" s="2054"/>
      <c r="P50" s="2084"/>
      <c r="Q50" s="3084"/>
      <c r="R50" s="3084"/>
      <c r="S50" s="3084"/>
      <c r="T50" s="2085" t="s">
        <v>811</v>
      </c>
      <c r="U50" s="2057">
        <f t="shared" si="12"/>
        <v>0</v>
      </c>
      <c r="V50" s="2075" t="str">
        <f>IF($T50="L",SUM($U50:U50)*V$16,"")</f>
        <v/>
      </c>
      <c r="W50" s="2075" t="str">
        <f>IF($U50="","",IF(OR($T50="L",$T50="T",$T50="C"),SUM($U50:V50)*W$16,""))</f>
        <v/>
      </c>
      <c r="X50" s="2076">
        <f>IF($U50="","",SUM($U50:W50)*X$16)</f>
        <v>0</v>
      </c>
      <c r="Y50" s="2086">
        <f t="shared" si="13"/>
        <v>0</v>
      </c>
      <c r="Z50" s="2084"/>
      <c r="AA50" s="2087">
        <f t="shared" si="14"/>
        <v>0</v>
      </c>
      <c r="AB50" s="2084"/>
      <c r="AC50" s="2060">
        <f t="shared" ca="1" si="15"/>
        <v>0</v>
      </c>
      <c r="AD50" s="2088"/>
      <c r="AE50" s="2062"/>
      <c r="AF50" s="2063">
        <f>AF49</f>
        <v>24</v>
      </c>
      <c r="AG50" s="2063"/>
      <c r="AH50" s="2047"/>
      <c r="AI50" s="2047"/>
      <c r="AJ50" s="2049"/>
      <c r="AK50" s="2086"/>
    </row>
    <row r="51" spans="2:37" s="1349" customFormat="1" ht="18" customHeight="1">
      <c r="B51" s="1846">
        <f>B39+1</f>
        <v>4.0999999999999996</v>
      </c>
      <c r="C51" s="2114" t="s">
        <v>1548</v>
      </c>
      <c r="D51" s="3973" t="s">
        <v>1543</v>
      </c>
      <c r="E51" s="168" t="s">
        <v>3</v>
      </c>
      <c r="F51" s="1350"/>
      <c r="G51" s="1350">
        <f t="shared" ref="G51:G53" si="21">E482</f>
        <v>24.968609865470853</v>
      </c>
      <c r="H51" s="169">
        <f>H482</f>
        <v>8426.9058295964132</v>
      </c>
      <c r="I51" s="1847" t="str">
        <f>K482</f>
        <v>Cost for labour</v>
      </c>
      <c r="J51" s="1351" t="str">
        <f>IF(K51=1,"Annual","Done every "&amp;K51&amp;" years")</f>
        <v>Annual</v>
      </c>
      <c r="K51" s="1354">
        <f>L482</f>
        <v>1</v>
      </c>
      <c r="L51" s="1353">
        <f t="shared" ref="L51:M53" si="22">$L$16/K51</f>
        <v>80</v>
      </c>
      <c r="M51" s="1354">
        <f t="shared" si="22"/>
        <v>1</v>
      </c>
      <c r="N51" s="2272">
        <f>$H51*(1-(1+$L$15)^-(L51*M51))/((1+$L$15)^M51-1)*(1+((1+$L$15)^M51-1))-H51</f>
        <v>201167.1593404267</v>
      </c>
      <c r="O51" s="1355">
        <f>N51/(1+$L$15)*($L$15)/(1-(1+$L$15)^-$L$16)</f>
        <v>8088.0949868214439</v>
      </c>
      <c r="P51" s="1356">
        <f>SUM(O51:O54)</f>
        <v>16960.649967972942</v>
      </c>
      <c r="Q51" s="2831"/>
      <c r="R51" s="2831"/>
      <c r="S51" s="2831"/>
      <c r="T51" s="1357" t="s">
        <v>808</v>
      </c>
      <c r="U51" s="1359">
        <f t="shared" si="12"/>
        <v>80.880949868214444</v>
      </c>
      <c r="V51" s="1359">
        <f>IF($T51="L",SUM($U51:U51)*V$16,"")</f>
        <v>24.264284960464334</v>
      </c>
      <c r="W51" s="1359">
        <f>IF($U51="","",IF(OR($T51="L",$T51="T",$T51="C"),SUM($U51:V51)*W$16,""))</f>
        <v>10.51452348286788</v>
      </c>
      <c r="X51" s="1359">
        <f>IF($U51="","",SUM($U51:W51)*X$16)</f>
        <v>34.697927493463993</v>
      </c>
      <c r="Y51" s="1360">
        <f t="shared" ref="Y51:Y62" si="23">IF($U51="","",SUM(V51:X51))</f>
        <v>69.476735936796203</v>
      </c>
      <c r="Z51" s="1356">
        <f>SUM(V51:X54)</f>
        <v>107.62872235574766</v>
      </c>
      <c r="AA51" s="1361">
        <f t="shared" ref="AA51:AA62" si="24">IF($U51="","",SUM(U51,Y51))</f>
        <v>150.35768580501065</v>
      </c>
      <c r="AB51" s="1356">
        <f>SUM(AA51:AA54)</f>
        <v>277.23522203547708</v>
      </c>
      <c r="AC51" s="1630">
        <f t="shared" ref="AC51:AC62" ca="1" si="25">IF(AA51="","",AA51/OFFSET($AB$23,AF51,0))</f>
        <v>0.54234698138669324</v>
      </c>
      <c r="AD51" s="1848"/>
      <c r="AE51" s="1632"/>
      <c r="AF51" s="1365">
        <f>AF47+4</f>
        <v>28</v>
      </c>
      <c r="AG51" s="1366">
        <f ca="1">SUM(AC51:AC54)-1</f>
        <v>0</v>
      </c>
      <c r="AH51" s="1367">
        <f>$AH$16/K51</f>
        <v>5</v>
      </c>
      <c r="AI51" s="1367">
        <f>$AH$16/AH51</f>
        <v>1</v>
      </c>
      <c r="AJ51" s="169">
        <f>$H51*(1-(1+$L$15)^-(AH51*AI51))/((1+$L$15)^AI51-1)*(1+((1+$L$15)^AI51-1))</f>
        <v>39015.691055710689</v>
      </c>
      <c r="AK51" s="1368">
        <f>SUM(AJ51:AJ54)</f>
        <v>81815.493058957858</v>
      </c>
    </row>
    <row r="52" spans="2:37" s="1349" customFormat="1" ht="19" customHeight="1">
      <c r="B52" s="1849"/>
      <c r="C52" s="2115" t="s">
        <v>749</v>
      </c>
      <c r="D52" s="3974"/>
      <c r="E52" s="168" t="s">
        <v>308</v>
      </c>
      <c r="F52" s="1350">
        <f>$D$467</f>
        <v>1</v>
      </c>
      <c r="G52" s="1350">
        <f t="shared" si="21"/>
        <v>12.484304932735427</v>
      </c>
      <c r="H52" s="169">
        <f>H483</f>
        <v>3558.0269058295967</v>
      </c>
      <c r="I52" s="1847" t="str">
        <f>K483</f>
        <v>On site Vehicle Costs</v>
      </c>
      <c r="J52" s="1351" t="str">
        <f>IF(K52=1,"Annual","Done every "&amp;K52&amp;" years")</f>
        <v>Annual</v>
      </c>
      <c r="K52" s="1354">
        <f>L483</f>
        <v>1</v>
      </c>
      <c r="L52" s="1353">
        <f t="shared" si="22"/>
        <v>80</v>
      </c>
      <c r="M52" s="1354">
        <f t="shared" si="22"/>
        <v>1</v>
      </c>
      <c r="N52" s="2272">
        <f t="shared" ref="N52:N61" si="26">$H52*(1-(1+$L$15)^-(L52*M52))/((1+$L$15)^M52-1)*(1+((1+$L$15)^M52-1))-H52</f>
        <v>84937.245054846833</v>
      </c>
      <c r="O52" s="1355">
        <f>N52/(1+$L$15)*($L$15)/(1-(1+$L$15)^-$L$16)</f>
        <v>3414.9734388801653</v>
      </c>
      <c r="P52" s="1369"/>
      <c r="Q52" s="2833">
        <f>1*(1-(1+$L$15)^-(L52*M52))/((1+$L$15)^M52-1)*(1+((1+$L$15)^M52-1))</f>
        <v>24.872007520708362</v>
      </c>
      <c r="R52" s="2833">
        <f>Q52/(1+$L$15)*($L$15)/(1-(1+$L$15)^-$L$16)</f>
        <v>0.99999999999999911</v>
      </c>
      <c r="S52" s="2833">
        <f>F52*R52</f>
        <v>0.99999999999999911</v>
      </c>
      <c r="T52" s="1370" t="s">
        <v>809</v>
      </c>
      <c r="U52" s="1359">
        <f t="shared" si="12"/>
        <v>34.149734388801654</v>
      </c>
      <c r="V52" s="1371" t="str">
        <f>IF($T52="L",SUM($U52:U52)*V$16,"")</f>
        <v/>
      </c>
      <c r="W52" s="1371">
        <f>IF($U52="","",IF(OR($T52="L",$T52="T",$T52="C"),SUM($U52:V52)*W$16,""))</f>
        <v>3.4149734388801658</v>
      </c>
      <c r="X52" s="1371">
        <f>IF($U52="","",SUM($U52:W52)*X$16)</f>
        <v>11.269412348304547</v>
      </c>
      <c r="Y52" s="1372">
        <f t="shared" si="23"/>
        <v>14.684385787184713</v>
      </c>
      <c r="Z52" s="1369"/>
      <c r="AA52" s="1373">
        <f t="shared" si="24"/>
        <v>48.834120175986371</v>
      </c>
      <c r="AB52" s="1369"/>
      <c r="AC52" s="1630">
        <f t="shared" ca="1" si="25"/>
        <v>0.17614688284354141</v>
      </c>
      <c r="AD52" s="1633"/>
      <c r="AE52" s="1632"/>
      <c r="AF52" s="1365">
        <f>AF51</f>
        <v>28</v>
      </c>
      <c r="AG52" s="1365"/>
      <c r="AH52" s="1367">
        <f>$AH$16/K52</f>
        <v>5</v>
      </c>
      <c r="AI52" s="1367">
        <f>$AH$16/AH52</f>
        <v>1</v>
      </c>
      <c r="AJ52" s="169">
        <f>$H52*(1-(1+$L$15)^-(AH52*AI52))/((1+$L$15)^AI52-1)*(1+((1+$L$15)^AI52-1))</f>
        <v>16473.291779077845</v>
      </c>
      <c r="AK52" s="1376"/>
    </row>
    <row r="53" spans="2:37" s="1349" customFormat="1" ht="19" customHeight="1">
      <c r="B53" s="1849"/>
      <c r="C53" s="2115"/>
      <c r="D53" s="3974"/>
      <c r="E53" s="168" t="s">
        <v>4</v>
      </c>
      <c r="F53" s="1350"/>
      <c r="G53" s="1350">
        <f t="shared" si="21"/>
        <v>24</v>
      </c>
      <c r="H53" s="169">
        <f>H484</f>
        <v>5686.2</v>
      </c>
      <c r="I53" s="1847" t="str">
        <f>K484</f>
        <v>Accomodation/food + Ammunition</v>
      </c>
      <c r="J53" s="1351" t="str">
        <f>IF(K53=1,"Annual","Done every "&amp;K53&amp;" years")</f>
        <v>Annual</v>
      </c>
      <c r="K53" s="1354">
        <f>L484</f>
        <v>1</v>
      </c>
      <c r="L53" s="1353">
        <f t="shared" si="22"/>
        <v>80</v>
      </c>
      <c r="M53" s="1354">
        <f t="shared" si="22"/>
        <v>1</v>
      </c>
      <c r="N53" s="2272">
        <f t="shared" si="26"/>
        <v>135741.00916425188</v>
      </c>
      <c r="O53" s="1355">
        <f>N53/(1+$L$15)*($L$15)/(1-(1+$L$15)^-$L$16)</f>
        <v>5457.581542271334</v>
      </c>
      <c r="P53" s="1850"/>
      <c r="Q53" s="2833"/>
      <c r="R53" s="2833"/>
      <c r="S53" s="2833"/>
      <c r="T53" s="1370" t="s">
        <v>810</v>
      </c>
      <c r="U53" s="1359">
        <f t="shared" si="12"/>
        <v>54.57581542271334</v>
      </c>
      <c r="V53" s="1851" t="str">
        <f>IF($T53="L",SUM($U53:U53)*V$16,"")</f>
        <v/>
      </c>
      <c r="W53" s="1851">
        <f>IF($U53="","",IF(OR($T53="L",$T53="T",$T53="C"),SUM($U53:V53)*W$16,""))</f>
        <v>5.4575815422713347</v>
      </c>
      <c r="X53" s="1851">
        <f>IF($U53="","",SUM($U53:W53)*X$16)</f>
        <v>18.010019089495401</v>
      </c>
      <c r="Y53" s="1852">
        <f t="shared" si="23"/>
        <v>23.467600631766736</v>
      </c>
      <c r="Z53" s="1850"/>
      <c r="AA53" s="1853">
        <f t="shared" si="24"/>
        <v>78.043416054480076</v>
      </c>
      <c r="AB53" s="1850"/>
      <c r="AC53" s="1630">
        <f t="shared" ca="1" si="25"/>
        <v>0.28150613576976541</v>
      </c>
      <c r="AD53" s="1854"/>
      <c r="AE53" s="1632"/>
      <c r="AF53" s="1365">
        <f>AF52</f>
        <v>28</v>
      </c>
      <c r="AG53" s="1365"/>
      <c r="AH53" s="1367">
        <f>$AH$16/K53</f>
        <v>5</v>
      </c>
      <c r="AI53" s="1367">
        <f>$AH$16/AH53</f>
        <v>1</v>
      </c>
      <c r="AJ53" s="169">
        <f>$H53*(1-(1+$L$15)^-(AH53*AI53))/((1+$L$15)^AI53-1)*(1+((1+$L$15)^AI53-1))</f>
        <v>26326.510224169331</v>
      </c>
      <c r="AK53" s="1855"/>
    </row>
    <row r="54" spans="2:37" s="1349" customFormat="1" ht="16" customHeight="1">
      <c r="B54" s="1849"/>
      <c r="C54" s="2116"/>
      <c r="D54" s="3975"/>
      <c r="E54" s="168" t="s">
        <v>21</v>
      </c>
      <c r="F54" s="1350"/>
      <c r="G54" s="1350"/>
      <c r="H54" s="169"/>
      <c r="I54" s="1847"/>
      <c r="J54" s="1351"/>
      <c r="K54" s="1352"/>
      <c r="L54" s="1353"/>
      <c r="M54" s="1354"/>
      <c r="N54" s="2272"/>
      <c r="O54" s="1355"/>
      <c r="P54" s="1856"/>
      <c r="Q54" s="3085"/>
      <c r="R54" s="3085"/>
      <c r="S54" s="3085"/>
      <c r="T54" s="1378" t="s">
        <v>811</v>
      </c>
      <c r="U54" s="1359">
        <f t="shared" si="12"/>
        <v>0</v>
      </c>
      <c r="V54" s="1851" t="str">
        <f>IF($T54="L",SUM($U54:U54)*V$16,"")</f>
        <v/>
      </c>
      <c r="W54" s="1851" t="str">
        <f>IF($U54="","",IF(OR($T54="L",$T54="T",$T54="C"),SUM($U54:V54)*W$16,""))</f>
        <v/>
      </c>
      <c r="X54" s="1851">
        <f>IF($U54="","",SUM($U54:W54)*X$16)</f>
        <v>0</v>
      </c>
      <c r="Y54" s="1852">
        <f t="shared" si="23"/>
        <v>0</v>
      </c>
      <c r="Z54" s="1856"/>
      <c r="AA54" s="1857">
        <f t="shared" si="24"/>
        <v>0</v>
      </c>
      <c r="AB54" s="1856"/>
      <c r="AC54" s="1630">
        <f t="shared" ca="1" si="25"/>
        <v>0</v>
      </c>
      <c r="AD54" s="1858"/>
      <c r="AE54" s="1632"/>
      <c r="AF54" s="1365">
        <f>AF53</f>
        <v>28</v>
      </c>
      <c r="AG54" s="1365"/>
      <c r="AH54" s="168"/>
      <c r="AI54" s="168"/>
      <c r="AJ54" s="169"/>
      <c r="AK54" s="1859"/>
    </row>
    <row r="55" spans="2:37" s="1414" customFormat="1" ht="18" customHeight="1">
      <c r="B55" s="1860">
        <f>B51+0.1</f>
        <v>4.1999999999999993</v>
      </c>
      <c r="C55" s="2120" t="str">
        <f>C51</f>
        <v>Management Action 1 (b)
(L + T + C + E)</v>
      </c>
      <c r="D55" s="3922" t="str">
        <f>D51</f>
        <v>Ground shooting for problematic bird species (Subsequent years)</v>
      </c>
      <c r="E55" s="1635" t="s">
        <v>3</v>
      </c>
      <c r="F55" s="1636"/>
      <c r="G55" s="1636">
        <f>F482</f>
        <v>27.958146487294471</v>
      </c>
      <c r="H55" s="1637">
        <f>I482</f>
        <v>9435.8744394618843</v>
      </c>
      <c r="I55" s="1861" t="str">
        <f>K482</f>
        <v>Cost for labour</v>
      </c>
      <c r="J55" s="1638" t="str">
        <f>IF(K55=1,"Annual","Done every "&amp;K55&amp;" years")</f>
        <v>Annual</v>
      </c>
      <c r="K55" s="178">
        <f>L482</f>
        <v>1</v>
      </c>
      <c r="L55" s="177">
        <f t="shared" ref="L55:M57" si="27">$L$16/K55</f>
        <v>80</v>
      </c>
      <c r="M55" s="178">
        <f t="shared" si="27"/>
        <v>1</v>
      </c>
      <c r="N55" s="2272">
        <f t="shared" si="26"/>
        <v>225253.26558329392</v>
      </c>
      <c r="O55" s="1639">
        <f>N55/(1+$L$15)*($L$15)/(1-(1+$L$15)^-$L$16)</f>
        <v>9056.4971643623267</v>
      </c>
      <c r="P55" s="1640">
        <f>SUM(O55:O58)</f>
        <v>18741.046611357659</v>
      </c>
      <c r="Q55" s="2894"/>
      <c r="R55" s="2894"/>
      <c r="S55" s="2894"/>
      <c r="T55" s="1641" t="s">
        <v>808</v>
      </c>
      <c r="U55" s="1643">
        <f t="shared" si="12"/>
        <v>90.564971643623267</v>
      </c>
      <c r="V55" s="1643">
        <f>IF($T55="L",SUM($U55:U55)*V$16,"")</f>
        <v>27.16949149308698</v>
      </c>
      <c r="W55" s="1643">
        <f>IF($U55="","",IF(OR($T55="L",$T55="T",$T55="C"),SUM($U55:V55)*W$16,""))</f>
        <v>11.773446313671025</v>
      </c>
      <c r="X55" s="1643">
        <f>IF($U55="","",SUM($U55:W55)*X$16)</f>
        <v>38.85237283511438</v>
      </c>
      <c r="Y55" s="1644">
        <f t="shared" si="23"/>
        <v>77.795310641872391</v>
      </c>
      <c r="Z55" s="1640">
        <f>SUM(V55:X58)</f>
        <v>119.43887326395232</v>
      </c>
      <c r="AA55" s="1645">
        <f t="shared" si="24"/>
        <v>168.36028228549566</v>
      </c>
      <c r="AB55" s="1640">
        <f>SUM(AA55:AA58)</f>
        <v>306.84933937752891</v>
      </c>
      <c r="AC55" s="1646">
        <f t="shared" ca="1" si="25"/>
        <v>0.5486740907672456</v>
      </c>
      <c r="AD55" s="1862"/>
      <c r="AE55" s="181"/>
      <c r="AF55" s="1647">
        <f>AF51+4</f>
        <v>32</v>
      </c>
      <c r="AG55" s="1648">
        <f ca="1">SUM(AC55:AC58)-1</f>
        <v>0</v>
      </c>
      <c r="AH55" s="1649">
        <f>$AH$16/K55</f>
        <v>5</v>
      </c>
      <c r="AI55" s="1649">
        <f>$AH$16/AH55</f>
        <v>1</v>
      </c>
      <c r="AJ55" s="1637">
        <f>$H55*(1-(1+$L$15)^-(AH55*AI55))/((1+$L$15)^AI55-1)*(1+((1+$L$15)^AI55-1))</f>
        <v>43687.110003951915</v>
      </c>
      <c r="AK55" s="1650">
        <f>SUM(AJ55:AJ58)</f>
        <v>90403.844890644381</v>
      </c>
    </row>
    <row r="56" spans="2:37" s="1414" customFormat="1" ht="19" customHeight="1">
      <c r="B56" s="1863"/>
      <c r="C56" s="2121" t="s">
        <v>779</v>
      </c>
      <c r="D56" s="3923"/>
      <c r="E56" s="1635" t="s">
        <v>308</v>
      </c>
      <c r="F56" s="1636">
        <f>$E$467</f>
        <v>1</v>
      </c>
      <c r="G56" s="1636">
        <f t="shared" ref="G56:G57" si="28">F483</f>
        <v>13.979073243647235</v>
      </c>
      <c r="H56" s="1637">
        <f>I483</f>
        <v>3984.0358744394621</v>
      </c>
      <c r="I56" s="1861" t="str">
        <f>K483</f>
        <v>On site Vehicle Costs</v>
      </c>
      <c r="J56" s="1638" t="str">
        <f>IF(K56=1,"Annual","Done every "&amp;K56&amp;" years")</f>
        <v>Annual</v>
      </c>
      <c r="K56" s="178">
        <f>L482</f>
        <v>1</v>
      </c>
      <c r="L56" s="177">
        <f t="shared" si="27"/>
        <v>80</v>
      </c>
      <c r="M56" s="178">
        <f t="shared" si="27"/>
        <v>1</v>
      </c>
      <c r="N56" s="2272">
        <f t="shared" si="26"/>
        <v>95106.934357390739</v>
      </c>
      <c r="O56" s="1639">
        <f>N56/(1+$L$15)*($L$15)/(1-(1+$L$15)^-$L$16)</f>
        <v>3823.8543582863144</v>
      </c>
      <c r="P56" s="1652"/>
      <c r="Q56" s="2897">
        <f>1*(1-(1+$L$15)^-(L56*M56))/((1+$L$15)^M56-1)*(1+((1+$L$15)^M56-1))</f>
        <v>24.872007520708362</v>
      </c>
      <c r="R56" s="2897">
        <f>Q56/(1+$L$15)*($L$15)/(1-(1+$L$15)^-$L$16)</f>
        <v>0.99999999999999911</v>
      </c>
      <c r="S56" s="2897">
        <f>F56*R56</f>
        <v>0.99999999999999911</v>
      </c>
      <c r="T56" s="1653" t="s">
        <v>809</v>
      </c>
      <c r="U56" s="1643">
        <f t="shared" si="12"/>
        <v>38.238543582863144</v>
      </c>
      <c r="V56" s="205" t="str">
        <f>IF($T56="L",SUM($U56:U56)*V$16,"")</f>
        <v/>
      </c>
      <c r="W56" s="205">
        <f>IF($U56="","",IF(OR($T56="L",$T56="T",$T56="C"),SUM($U56:V56)*W$16,""))</f>
        <v>3.8238543582863147</v>
      </c>
      <c r="X56" s="205">
        <f>IF($U56="","",SUM($U56:W56)*X$16)</f>
        <v>12.618719382344837</v>
      </c>
      <c r="Y56" s="180">
        <f t="shared" si="23"/>
        <v>16.442573740631151</v>
      </c>
      <c r="Z56" s="1652"/>
      <c r="AA56" s="1654">
        <f t="shared" si="24"/>
        <v>54.681117323494291</v>
      </c>
      <c r="AB56" s="1652"/>
      <c r="AC56" s="1646">
        <f t="shared" ca="1" si="25"/>
        <v>0.178201841445772</v>
      </c>
      <c r="AD56" s="1655"/>
      <c r="AE56" s="181"/>
      <c r="AF56" s="1647">
        <f>AF55</f>
        <v>32</v>
      </c>
      <c r="AG56" s="1647"/>
      <c r="AH56" s="1649">
        <f>$AH$16/K56</f>
        <v>5</v>
      </c>
      <c r="AI56" s="1649">
        <f>$AH$16/AH56</f>
        <v>1</v>
      </c>
      <c r="AJ56" s="1637">
        <f>$H56*(1-(1+$L$15)^-(AH56*AI56))/((1+$L$15)^AI56-1)*(1+((1+$L$15)^AI56-1))</f>
        <v>18445.668668335253</v>
      </c>
      <c r="AK56" s="1656"/>
    </row>
    <row r="57" spans="2:37" s="1414" customFormat="1" ht="19" customHeight="1">
      <c r="B57" s="1863"/>
      <c r="C57" s="2121"/>
      <c r="D57" s="3923"/>
      <c r="E57" s="1635" t="s">
        <v>4</v>
      </c>
      <c r="F57" s="1636"/>
      <c r="G57" s="1636">
        <f t="shared" si="28"/>
        <v>26</v>
      </c>
      <c r="H57" s="1637">
        <f>I484</f>
        <v>6106.2</v>
      </c>
      <c r="I57" s="1861" t="str">
        <f>K484</f>
        <v>Accomodation/food + Ammunition</v>
      </c>
      <c r="J57" s="1638" t="str">
        <f>IF(K57=1,"Annual","Done every "&amp;K57&amp;" years")</f>
        <v>Annual</v>
      </c>
      <c r="K57" s="178">
        <f>L482</f>
        <v>1</v>
      </c>
      <c r="L57" s="177">
        <f t="shared" si="27"/>
        <v>80</v>
      </c>
      <c r="M57" s="178">
        <f t="shared" si="27"/>
        <v>1</v>
      </c>
      <c r="N57" s="2272">
        <f t="shared" si="26"/>
        <v>145767.25232294938</v>
      </c>
      <c r="O57" s="1639">
        <f>N57/(1+$L$15)*($L$15)/(1-(1+$L$15)^-$L$16)</f>
        <v>5860.6950887090179</v>
      </c>
      <c r="P57" s="1864"/>
      <c r="Q57" s="2897"/>
      <c r="R57" s="2897"/>
      <c r="S57" s="2897"/>
      <c r="T57" s="1653" t="s">
        <v>810</v>
      </c>
      <c r="U57" s="1643">
        <f t="shared" si="12"/>
        <v>58.606950887090179</v>
      </c>
      <c r="V57" s="1865" t="str">
        <f>IF($T57="L",SUM($U57:U57)*V$16,"")</f>
        <v/>
      </c>
      <c r="W57" s="1865">
        <f>IF($U57="","",IF(OR($T57="L",$T57="T",$T57="C"),SUM($U57:V57)*W$16,""))</f>
        <v>5.8606950887090186</v>
      </c>
      <c r="X57" s="1865">
        <f>IF($U57="","",SUM($U57:W57)*X$16)</f>
        <v>19.340293792739761</v>
      </c>
      <c r="Y57" s="1866">
        <f t="shared" si="23"/>
        <v>25.200988881448779</v>
      </c>
      <c r="Z57" s="1864"/>
      <c r="AA57" s="1867">
        <f t="shared" si="24"/>
        <v>83.807939768538958</v>
      </c>
      <c r="AB57" s="1864"/>
      <c r="AC57" s="1646">
        <f t="shared" ca="1" si="25"/>
        <v>0.27312406778698234</v>
      </c>
      <c r="AD57" s="1868"/>
      <c r="AE57" s="181"/>
      <c r="AF57" s="1647">
        <f>AF56</f>
        <v>32</v>
      </c>
      <c r="AG57" s="1647"/>
      <c r="AH57" s="1649">
        <f>$AH$16/K57</f>
        <v>5</v>
      </c>
      <c r="AI57" s="1649">
        <f>$AH$16/AH57</f>
        <v>1</v>
      </c>
      <c r="AJ57" s="1637">
        <f>$H57*(1-(1+$L$15)^-(AH57*AI57))/((1+$L$15)^AI57-1)*(1+((1+$L$15)^AI57-1))</f>
        <v>28271.066218357213</v>
      </c>
      <c r="AK57" s="1869"/>
    </row>
    <row r="58" spans="2:37" s="1414" customFormat="1" ht="16" customHeight="1">
      <c r="B58" s="1863"/>
      <c r="C58" s="2122"/>
      <c r="D58" s="3924"/>
      <c r="E58" s="1635" t="s">
        <v>21</v>
      </c>
      <c r="F58" s="1636"/>
      <c r="G58" s="1636"/>
      <c r="H58" s="1637"/>
      <c r="I58" s="1861"/>
      <c r="J58" s="1638"/>
      <c r="K58" s="1870"/>
      <c r="L58" s="177"/>
      <c r="M58" s="178"/>
      <c r="N58" s="2272"/>
      <c r="O58" s="1639"/>
      <c r="P58" s="1871"/>
      <c r="Q58" s="3086"/>
      <c r="R58" s="3086"/>
      <c r="S58" s="3086"/>
      <c r="T58" s="1657" t="s">
        <v>811</v>
      </c>
      <c r="U58" s="1643">
        <f t="shared" si="12"/>
        <v>0</v>
      </c>
      <c r="V58" s="1865" t="str">
        <f>IF($T58="L",SUM($U58:U58)*V$16,"")</f>
        <v/>
      </c>
      <c r="W58" s="1865" t="str">
        <f>IF($U58="","",IF(OR($T58="L",$T58="T",$T58="C"),SUM($U58:V58)*W$16,""))</f>
        <v/>
      </c>
      <c r="X58" s="1865">
        <f>IF($U58="","",SUM($U58:W58)*X$16)</f>
        <v>0</v>
      </c>
      <c r="Y58" s="1866">
        <f t="shared" si="23"/>
        <v>0</v>
      </c>
      <c r="Z58" s="1871"/>
      <c r="AA58" s="1872">
        <f t="shared" si="24"/>
        <v>0</v>
      </c>
      <c r="AB58" s="1871"/>
      <c r="AC58" s="1646">
        <f t="shared" ca="1" si="25"/>
        <v>0</v>
      </c>
      <c r="AD58" s="1873"/>
      <c r="AE58" s="181"/>
      <c r="AF58" s="1647">
        <f>AF57</f>
        <v>32</v>
      </c>
      <c r="AG58" s="1647"/>
      <c r="AH58" s="1635"/>
      <c r="AI58" s="1635"/>
      <c r="AJ58" s="1637"/>
      <c r="AK58" s="1874"/>
    </row>
    <row r="59" spans="2:37" s="1875" customFormat="1" ht="18" customHeight="1">
      <c r="B59" s="1876">
        <f>B55+0.1</f>
        <v>4.2999999999999989</v>
      </c>
      <c r="C59" s="1877" t="str">
        <f>C55</f>
        <v>Management Action 1 (b)
(L + T + C + E)</v>
      </c>
      <c r="D59" s="3925" t="str">
        <f>D55</f>
        <v>Ground shooting for problematic bird species (Subsequent years)</v>
      </c>
      <c r="E59" s="1878" t="s">
        <v>3</v>
      </c>
      <c r="F59" s="1879"/>
      <c r="G59" s="1879">
        <f>G482</f>
        <v>33.937219730941706</v>
      </c>
      <c r="H59" s="1880">
        <f t="shared" ref="H59:I61" si="29">J482</f>
        <v>11453.811659192826</v>
      </c>
      <c r="I59" s="1881" t="str">
        <f t="shared" si="29"/>
        <v>Cost for labour</v>
      </c>
      <c r="J59" s="1882" t="str">
        <f>IF(K59=1,"Annual","Done every "&amp;K59&amp;" years")</f>
        <v>Annual</v>
      </c>
      <c r="K59" s="1883">
        <f>L482</f>
        <v>1</v>
      </c>
      <c r="L59" s="1884">
        <f t="shared" ref="L59:M61" si="30">$L$16/K59</f>
        <v>80</v>
      </c>
      <c r="M59" s="1883">
        <f t="shared" si="30"/>
        <v>1</v>
      </c>
      <c r="N59" s="2272">
        <f t="shared" si="26"/>
        <v>273425.47806902824</v>
      </c>
      <c r="O59" s="1885">
        <f>N59/(1+$L$15)*($L$15)/(1-(1+$L$15)^-$L$16)</f>
        <v>10993.301519444089</v>
      </c>
      <c r="P59" s="1886">
        <f>SUM(O59:O62)</f>
        <v>22704.953444564777</v>
      </c>
      <c r="Q59" s="2887"/>
      <c r="R59" s="2887"/>
      <c r="S59" s="2887"/>
      <c r="T59" s="1887" t="s">
        <v>808</v>
      </c>
      <c r="U59" s="1888">
        <f t="shared" si="12"/>
        <v>109.93301519444088</v>
      </c>
      <c r="V59" s="1888">
        <f>IF($T59="L",SUM($U59:U59)*V$16,"")</f>
        <v>32.979904558332265</v>
      </c>
      <c r="W59" s="1888">
        <f>IF($U59="","",IF(OR($T59="L",$T59="T",$T59="C"),SUM($U59:V59)*W$16,""))</f>
        <v>14.291291975277316</v>
      </c>
      <c r="X59" s="1889">
        <f>IF($U59="","",SUM($U59:W59)*X$16)</f>
        <v>47.16126351841514</v>
      </c>
      <c r="Y59" s="1890">
        <f t="shared" si="23"/>
        <v>94.432460052024723</v>
      </c>
      <c r="Z59" s="1886">
        <f>SUM(V59:X62)</f>
        <v>144.79256333004369</v>
      </c>
      <c r="AA59" s="1889">
        <f t="shared" si="24"/>
        <v>204.36547524646562</v>
      </c>
      <c r="AB59" s="1886">
        <f>SUM(AA59:AA62)</f>
        <v>371.84209777569151</v>
      </c>
      <c r="AC59" s="1891">
        <f t="shared" ca="1" si="25"/>
        <v>0.54960284612461019</v>
      </c>
      <c r="AD59" s="1892"/>
      <c r="AE59" s="1893"/>
      <c r="AF59" s="1894">
        <f>AF55+4</f>
        <v>36</v>
      </c>
      <c r="AG59" s="1895">
        <f ca="1">SUM(AC59:AC62)-1</f>
        <v>0</v>
      </c>
      <c r="AH59" s="1896">
        <f>$AH$16/K59</f>
        <v>5</v>
      </c>
      <c r="AI59" s="1896">
        <f>$AH$16/AH59</f>
        <v>1</v>
      </c>
      <c r="AJ59" s="1880">
        <f>$H59*(1-(1+$L$15)^-(AH59*AI59))/((1+$L$15)^AI59-1)*(1+((1+$L$15)^AI59-1))</f>
        <v>53029.947900434359</v>
      </c>
      <c r="AK59" s="1890">
        <f>SUM(AJ59:AJ62)</f>
        <v>109525.10454820527</v>
      </c>
    </row>
    <row r="60" spans="2:37" s="1875" customFormat="1" ht="19" customHeight="1">
      <c r="B60" s="1897"/>
      <c r="C60" s="1898" t="s">
        <v>789</v>
      </c>
      <c r="D60" s="3926"/>
      <c r="E60" s="1878" t="s">
        <v>308</v>
      </c>
      <c r="F60" s="1879">
        <f>$F$467</f>
        <v>1</v>
      </c>
      <c r="G60" s="1879">
        <f t="shared" ref="G60:G61" si="31">G483</f>
        <v>16.968609865470853</v>
      </c>
      <c r="H60" s="1880">
        <f t="shared" si="29"/>
        <v>4836.0538116591933</v>
      </c>
      <c r="I60" s="1881" t="str">
        <f t="shared" si="29"/>
        <v>On site Vehicle Costs</v>
      </c>
      <c r="J60" s="1882" t="str">
        <f>IF(K60=1,"Annual","Done every "&amp;K60&amp;" years")</f>
        <v>Annual</v>
      </c>
      <c r="K60" s="1883">
        <f>L482</f>
        <v>1</v>
      </c>
      <c r="L60" s="1884">
        <f t="shared" si="30"/>
        <v>80</v>
      </c>
      <c r="M60" s="1883">
        <f t="shared" si="30"/>
        <v>1</v>
      </c>
      <c r="N60" s="2272">
        <f t="shared" si="26"/>
        <v>115446.31296247861</v>
      </c>
      <c r="O60" s="1885">
        <f>N60/(1+$L$15)*($L$15)/(1-(1+$L$15)^-$L$16)</f>
        <v>4641.6161970986159</v>
      </c>
      <c r="P60" s="1899"/>
      <c r="Q60" s="2888">
        <f>1*(1-(1+$L$15)^-(L60*M60))/((1+$L$15)^M60-1)*(1+((1+$L$15)^M60-1))</f>
        <v>24.872007520708362</v>
      </c>
      <c r="R60" s="2888">
        <f>Q60/(1+$L$15)*($L$15)/(1-(1+$L$15)^-$L$16)</f>
        <v>0.99999999999999911</v>
      </c>
      <c r="S60" s="2888">
        <f>F60*R60</f>
        <v>0.99999999999999911</v>
      </c>
      <c r="T60" s="1900" t="s">
        <v>809</v>
      </c>
      <c r="U60" s="1888">
        <f t="shared" si="12"/>
        <v>46.41616197098616</v>
      </c>
      <c r="V60" s="1901" t="str">
        <f>IF($T60="L",SUM($U60:U60)*V$16,"")</f>
        <v/>
      </c>
      <c r="W60" s="1901">
        <f>IF($U60="","",IF(OR($T60="L",$T60="T",$T60="C"),SUM($U60:V60)*W$16,""))</f>
        <v>4.6416161970986165</v>
      </c>
      <c r="X60" s="1902">
        <f>IF($U60="","",SUM($U60:W60)*X$16)</f>
        <v>15.317333450425432</v>
      </c>
      <c r="Y60" s="1903">
        <f t="shared" si="23"/>
        <v>19.958949647524047</v>
      </c>
      <c r="Z60" s="1899"/>
      <c r="AA60" s="1902">
        <f t="shared" si="24"/>
        <v>66.375111618510203</v>
      </c>
      <c r="AB60" s="1899"/>
      <c r="AC60" s="1891">
        <f t="shared" ca="1" si="25"/>
        <v>0.17850348848491612</v>
      </c>
      <c r="AD60" s="1904"/>
      <c r="AE60" s="1893"/>
      <c r="AF60" s="1894">
        <f>AF59</f>
        <v>36</v>
      </c>
      <c r="AG60" s="1894"/>
      <c r="AH60" s="1896">
        <f>$AH$16/K60</f>
        <v>5</v>
      </c>
      <c r="AI60" s="1896">
        <f>$AH$16/AH60</f>
        <v>1</v>
      </c>
      <c r="AJ60" s="1880">
        <f>$H60*(1-(1+$L$15)^-(AH60*AI60))/((1+$L$15)^AI60-1)*(1+((1+$L$15)^AI60-1))</f>
        <v>22390.422446850062</v>
      </c>
      <c r="AK60" s="1903"/>
    </row>
    <row r="61" spans="2:37" s="1875" customFormat="1" ht="19" customHeight="1">
      <c r="B61" s="1897"/>
      <c r="C61" s="1898"/>
      <c r="D61" s="3926"/>
      <c r="E61" s="1878" t="s">
        <v>4</v>
      </c>
      <c r="F61" s="1879"/>
      <c r="G61" s="1879">
        <f t="shared" si="31"/>
        <v>32</v>
      </c>
      <c r="H61" s="1880">
        <f t="shared" si="29"/>
        <v>7366.2</v>
      </c>
      <c r="I61" s="1881" t="str">
        <f t="shared" si="29"/>
        <v>Accomodation/food + Ammunition</v>
      </c>
      <c r="J61" s="1882" t="str">
        <f>IF(K61=1,"Annual","Done every "&amp;K61&amp;" years")</f>
        <v>Annual</v>
      </c>
      <c r="K61" s="1883">
        <f>L482</f>
        <v>1</v>
      </c>
      <c r="L61" s="1884">
        <f t="shared" si="30"/>
        <v>80</v>
      </c>
      <c r="M61" s="1883">
        <f t="shared" si="30"/>
        <v>1</v>
      </c>
      <c r="N61" s="2272">
        <f t="shared" si="26"/>
        <v>175845.98179904191</v>
      </c>
      <c r="O61" s="1885">
        <f>N61/(1+$L$15)*($L$15)/(1-(1+$L$15)^-$L$16)</f>
        <v>7070.0357280220715</v>
      </c>
      <c r="P61" s="1905"/>
      <c r="Q61" s="2888"/>
      <c r="R61" s="2888"/>
      <c r="S61" s="2888"/>
      <c r="T61" s="1900" t="s">
        <v>810</v>
      </c>
      <c r="U61" s="1888">
        <f t="shared" si="12"/>
        <v>70.700357280220715</v>
      </c>
      <c r="V61" s="1906" t="str">
        <f>IF($T61="L",SUM($U61:U61)*V$16,"")</f>
        <v/>
      </c>
      <c r="W61" s="1906">
        <f>IF($U61="","",IF(OR($T61="L",$T61="T",$T61="C"),SUM($U61:V61)*W$16,""))</f>
        <v>7.0700357280220718</v>
      </c>
      <c r="X61" s="1907">
        <f>IF($U61="","",SUM($U61:W61)*X$16)</f>
        <v>23.331117902472837</v>
      </c>
      <c r="Y61" s="1908">
        <f t="shared" si="23"/>
        <v>30.40115363049491</v>
      </c>
      <c r="Z61" s="1905"/>
      <c r="AA61" s="1907">
        <f t="shared" si="24"/>
        <v>101.10151091071563</v>
      </c>
      <c r="AB61" s="1905"/>
      <c r="AC61" s="1891">
        <f t="shared" ca="1" si="25"/>
        <v>0.2718936653904736</v>
      </c>
      <c r="AD61" s="1909"/>
      <c r="AE61" s="1893"/>
      <c r="AF61" s="1894">
        <f>AF60</f>
        <v>36</v>
      </c>
      <c r="AG61" s="1894"/>
      <c r="AH61" s="1896">
        <f>$AH$16/K61</f>
        <v>5</v>
      </c>
      <c r="AI61" s="1896">
        <f>$AH$16/AH61</f>
        <v>1</v>
      </c>
      <c r="AJ61" s="1880">
        <f>$H61*(1-(1+$L$15)^-(AH61*AI61))/((1+$L$15)^AI61-1)*(1+((1+$L$15)^AI61-1))</f>
        <v>34104.734200920859</v>
      </c>
      <c r="AK61" s="1908"/>
    </row>
    <row r="62" spans="2:37" s="1875" customFormat="1" ht="16" customHeight="1">
      <c r="B62" s="1897"/>
      <c r="C62" s="1910"/>
      <c r="D62" s="4027"/>
      <c r="E62" s="1878" t="s">
        <v>21</v>
      </c>
      <c r="F62" s="1879"/>
      <c r="G62" s="1879"/>
      <c r="H62" s="1880"/>
      <c r="I62" s="1881"/>
      <c r="J62" s="1882"/>
      <c r="K62" s="1911"/>
      <c r="L62" s="1884"/>
      <c r="M62" s="1883"/>
      <c r="N62" s="2272"/>
      <c r="O62" s="1885"/>
      <c r="P62" s="1912"/>
      <c r="Q62" s="3087"/>
      <c r="R62" s="3087"/>
      <c r="S62" s="3087"/>
      <c r="T62" s="1913" t="s">
        <v>811</v>
      </c>
      <c r="U62" s="1888">
        <f t="shared" si="12"/>
        <v>0</v>
      </c>
      <c r="V62" s="1906" t="str">
        <f>IF($T62="L",SUM($U62:U62)*V$16,"")</f>
        <v/>
      </c>
      <c r="W62" s="1906" t="str">
        <f>IF($U62="","",IF(OR($T62="L",$T62="T",$T62="C"),SUM($U62:V62)*W$16,""))</f>
        <v/>
      </c>
      <c r="X62" s="1907">
        <f>IF($U62="","",SUM($U62:W62)*X$16)</f>
        <v>0</v>
      </c>
      <c r="Y62" s="1914">
        <f t="shared" si="23"/>
        <v>0</v>
      </c>
      <c r="Z62" s="1912"/>
      <c r="AA62" s="1915">
        <f t="shared" si="24"/>
        <v>0</v>
      </c>
      <c r="AB62" s="1912"/>
      <c r="AC62" s="1891">
        <f t="shared" ca="1" si="25"/>
        <v>0</v>
      </c>
      <c r="AD62" s="1916"/>
      <c r="AE62" s="1893"/>
      <c r="AF62" s="1894">
        <f>AF61</f>
        <v>36</v>
      </c>
      <c r="AG62" s="1894"/>
      <c r="AH62" s="1878"/>
      <c r="AI62" s="1878"/>
      <c r="AJ62" s="1880"/>
      <c r="AK62" s="1914"/>
    </row>
    <row r="63" spans="2:37" s="1699" customFormat="1" ht="18" customHeight="1">
      <c r="B63" s="2167">
        <f>B39+1</f>
        <v>4.0999999999999996</v>
      </c>
      <c r="C63" s="2117" t="s">
        <v>1549</v>
      </c>
      <c r="D63" s="4028" t="s">
        <v>1421</v>
      </c>
      <c r="E63" s="1701" t="s">
        <v>3</v>
      </c>
      <c r="F63" s="1702"/>
      <c r="G63" s="1702">
        <f t="shared" ref="G63:G65" si="32">E605</f>
        <v>38.624813153961135</v>
      </c>
      <c r="H63" s="1703">
        <f>H605</f>
        <v>8690.582959641255</v>
      </c>
      <c r="I63" s="2168" t="str">
        <f>K605</f>
        <v>Cost for person hours</v>
      </c>
      <c r="J63" s="1704" t="str">
        <f t="shared" ref="J63:J77" si="33">IF(K63=1,"Annual","Done every "&amp;K63&amp;" years")</f>
        <v>Done every 20 years</v>
      </c>
      <c r="K63" s="1707">
        <f>L605</f>
        <v>20</v>
      </c>
      <c r="L63" s="1706">
        <f t="shared" ref="L63:M77" si="34">$L$16/K63</f>
        <v>4</v>
      </c>
      <c r="M63" s="1707">
        <f t="shared" si="34"/>
        <v>20</v>
      </c>
      <c r="N63" s="1703">
        <f t="shared" ref="N63:N74" si="35">$H63*(1-(1+$L$15)^-(L63*M63))/((1+$L$15)^M63-1)*(1+((1+$L$15)^M63-1))</f>
        <v>15293.135100777559</v>
      </c>
      <c r="O63" s="1708">
        <f t="shared" ref="O63:O77" si="36">N63/(1+$L$15)*($L$15)/(1-(1+$L$15)^-$L$16)</f>
        <v>614.87337071784521</v>
      </c>
      <c r="P63" s="1709">
        <f>SUM(O63:O66)</f>
        <v>5106.4757529935378</v>
      </c>
      <c r="Q63" s="2846"/>
      <c r="R63" s="2846"/>
      <c r="S63" s="2846"/>
      <c r="T63" s="1710" t="s">
        <v>808</v>
      </c>
      <c r="U63" s="1712">
        <f t="shared" si="12"/>
        <v>6.1487337071784518</v>
      </c>
      <c r="V63" s="1712">
        <f>IF($T63="L",SUM($U63:U63)*V$16,"")</f>
        <v>1.8446201121535355</v>
      </c>
      <c r="W63" s="1712">
        <f>IF($U63="","",IF(OR($T63="L",$T63="T",$T63="C"),SUM($U63:V63)*W$16,""))</f>
        <v>0.79933538193319875</v>
      </c>
      <c r="X63" s="1712">
        <f>IF($U63="","",SUM($U63:W63)*X$16)</f>
        <v>2.6378067603795556</v>
      </c>
      <c r="Y63" s="1713">
        <f t="shared" ref="Y63:Y74" si="37">IF($U63="","",SUM(V63:X63))</f>
        <v>5.2817622544662903</v>
      </c>
      <c r="Z63" s="1709">
        <f>SUM(V63:X66)</f>
        <v>19.996793102712466</v>
      </c>
      <c r="AA63" s="1714">
        <f t="shared" ref="AA63:AA74" si="38">IF($U63="","",SUM(U63,Y63))</f>
        <v>11.430495961644741</v>
      </c>
      <c r="AB63" s="1709">
        <f>SUM(AA63:AA66)</f>
        <v>71.061550632647837</v>
      </c>
      <c r="AC63" s="2169">
        <f t="shared" ref="AC63:AC74" ca="1" si="39">IF(AA63="","",AA63/OFFSET($AB$23,AF63,0))</f>
        <v>0.16085345534795048</v>
      </c>
      <c r="AD63" s="2170"/>
      <c r="AE63" s="2171"/>
      <c r="AF63" s="1715">
        <f>AF59+4</f>
        <v>40</v>
      </c>
      <c r="AG63" s="1716">
        <f ca="1">SUM(AC63:AC66)-1</f>
        <v>0</v>
      </c>
      <c r="AH63" s="1717">
        <f>$AH$16/K63</f>
        <v>0.25</v>
      </c>
      <c r="AI63" s="1717">
        <f>$AH$16/AH63</f>
        <v>20</v>
      </c>
      <c r="AJ63" s="1703">
        <f>$H63*(1-(1+$L$15)^-(AH63*AI63))/((1+$L$15)^AI63-1)*(1+((1+$L$15)^AI63-1))</f>
        <v>2846.7992826092691</v>
      </c>
      <c r="AK63" s="1718">
        <f>SUM(AJ63:AJ66)</f>
        <v>7263.8037381557679</v>
      </c>
    </row>
    <row r="64" spans="2:37" s="1699" customFormat="1" ht="19" customHeight="1">
      <c r="B64" s="2172"/>
      <c r="C64" s="2118" t="s">
        <v>749</v>
      </c>
      <c r="D64" s="4029"/>
      <c r="E64" s="1701" t="s">
        <v>308</v>
      </c>
      <c r="F64" s="1702">
        <f>$D$590</f>
        <v>1</v>
      </c>
      <c r="G64" s="1702">
        <f t="shared" si="32"/>
        <v>19.312406576980568</v>
      </c>
      <c r="H64" s="1703">
        <f>H606</f>
        <v>5504.0358744394616</v>
      </c>
      <c r="I64" s="2168" t="str">
        <f>K606</f>
        <v>Cost for ute hire</v>
      </c>
      <c r="J64" s="1704" t="str">
        <f t="shared" si="33"/>
        <v>Done every 20 years</v>
      </c>
      <c r="K64" s="1707">
        <f>L606</f>
        <v>20</v>
      </c>
      <c r="L64" s="1706">
        <f t="shared" si="34"/>
        <v>4</v>
      </c>
      <c r="M64" s="1707">
        <f t="shared" si="34"/>
        <v>20</v>
      </c>
      <c r="N64" s="1703">
        <f t="shared" si="35"/>
        <v>9685.6522304924529</v>
      </c>
      <c r="O64" s="1708">
        <f t="shared" si="36"/>
        <v>389.41980145463526</v>
      </c>
      <c r="P64" s="1720"/>
      <c r="Q64" s="2848">
        <f>1*(1-(1+$L$15)^-(L64*M64))/((1+$L$15)^M64-1)*(1+((1+$L$15)^M64-1))</f>
        <v>1.7597363918851372</v>
      </c>
      <c r="R64" s="2848">
        <f>Q64/(1+$L$15)*($L$15)/(1-(1+$L$15)^-$L$16)</f>
        <v>7.0751683008296956E-2</v>
      </c>
      <c r="S64" s="2848">
        <f>F64*R64</f>
        <v>7.0751683008296956E-2</v>
      </c>
      <c r="T64" s="1721" t="s">
        <v>809</v>
      </c>
      <c r="U64" s="1712">
        <f t="shared" si="12"/>
        <v>3.8941980145463528</v>
      </c>
      <c r="V64" s="1722" t="str">
        <f>IF($T64="L",SUM($U64:U64)*V$16,"")</f>
        <v/>
      </c>
      <c r="W64" s="1722">
        <f>IF($U64="","",IF(OR($T64="L",$T64="T",$T64="C"),SUM($U64:V64)*W$16,""))</f>
        <v>0.38941980145463528</v>
      </c>
      <c r="X64" s="1722">
        <f>IF($U64="","",SUM($U64:W64)*X$16)</f>
        <v>1.2850853448002963</v>
      </c>
      <c r="Y64" s="1723">
        <f t="shared" si="37"/>
        <v>1.6745051462549316</v>
      </c>
      <c r="Z64" s="1720"/>
      <c r="AA64" s="1724">
        <f t="shared" si="38"/>
        <v>5.5687031608012845</v>
      </c>
      <c r="AB64" s="1720"/>
      <c r="AC64" s="2169">
        <f t="shared" ca="1" si="39"/>
        <v>7.8364503887463063E-2</v>
      </c>
      <c r="AD64" s="2173"/>
      <c r="AE64" s="2171"/>
      <c r="AF64" s="1715">
        <f>AF63</f>
        <v>40</v>
      </c>
      <c r="AG64" s="1715"/>
      <c r="AH64" s="1717">
        <f>$AH$16/K64</f>
        <v>0.25</v>
      </c>
      <c r="AI64" s="1717">
        <f>$AH$16/AH64</f>
        <v>20</v>
      </c>
      <c r="AJ64" s="1703">
        <f>$H64*(1-(1+$L$15)^-(AH64*AI64))/((1+$L$15)^AI64-1)*(1+((1+$L$15)^AI64-1))</f>
        <v>1802.9728789858707</v>
      </c>
      <c r="AK64" s="1725"/>
    </row>
    <row r="65" spans="2:37" s="1699" customFormat="1" ht="19" customHeight="1">
      <c r="B65" s="2172"/>
      <c r="C65" s="2118"/>
      <c r="D65" s="4029"/>
      <c r="E65" s="1701" t="s">
        <v>4</v>
      </c>
      <c r="F65" s="1702"/>
      <c r="G65" s="1702">
        <f t="shared" si="32"/>
        <v>38</v>
      </c>
      <c r="H65" s="1703">
        <f>H607</f>
        <v>7980</v>
      </c>
      <c r="I65" s="2168" t="str">
        <f>K607</f>
        <v>Accomodation + Food Cost</v>
      </c>
      <c r="J65" s="1704" t="str">
        <f t="shared" si="33"/>
        <v>Done every 20 years</v>
      </c>
      <c r="K65" s="1707">
        <f>L607</f>
        <v>20</v>
      </c>
      <c r="L65" s="1706">
        <f t="shared" si="34"/>
        <v>4</v>
      </c>
      <c r="M65" s="1707">
        <f t="shared" si="34"/>
        <v>20</v>
      </c>
      <c r="N65" s="1703">
        <f t="shared" si="35"/>
        <v>14042.696407243397</v>
      </c>
      <c r="O65" s="1708">
        <f t="shared" si="36"/>
        <v>564.59843040620979</v>
      </c>
      <c r="P65" s="2174"/>
      <c r="Q65" s="2848"/>
      <c r="R65" s="2848"/>
      <c r="S65" s="2848"/>
      <c r="T65" s="1721" t="s">
        <v>810</v>
      </c>
      <c r="U65" s="1712">
        <f t="shared" si="12"/>
        <v>5.6459843040620976</v>
      </c>
      <c r="V65" s="2175" t="str">
        <f>IF($T65="L",SUM($U65:U65)*V$16,"")</f>
        <v/>
      </c>
      <c r="W65" s="2175">
        <f>IF($U65="","",IF(OR($T65="L",$T65="T",$T65="C"),SUM($U65:V65)*W$16,""))</f>
        <v>0.56459843040620983</v>
      </c>
      <c r="X65" s="2175">
        <f>IF($U65="","",SUM($U65:W65)*X$16)</f>
        <v>1.8631748203404921</v>
      </c>
      <c r="Y65" s="2176">
        <f t="shared" si="37"/>
        <v>2.4277732507467018</v>
      </c>
      <c r="Z65" s="2174"/>
      <c r="AA65" s="2177">
        <f t="shared" si="38"/>
        <v>8.0737575548088003</v>
      </c>
      <c r="AB65" s="2174"/>
      <c r="AC65" s="2169">
        <f t="shared" ca="1" si="39"/>
        <v>0.11361639990866552</v>
      </c>
      <c r="AD65" s="2178"/>
      <c r="AE65" s="2171"/>
      <c r="AF65" s="1715">
        <f>AF64</f>
        <v>40</v>
      </c>
      <c r="AG65" s="1715"/>
      <c r="AH65" s="1717">
        <f>$AH$16/K65</f>
        <v>0.25</v>
      </c>
      <c r="AI65" s="1717">
        <f>$AH$16/AH65</f>
        <v>20</v>
      </c>
      <c r="AJ65" s="1703">
        <f>$H65*(1-(1+$L$15)^-(AH65*AI65))/((1+$L$15)^AI65-1)*(1+((1+$L$15)^AI65-1))</f>
        <v>2614.0315765606288</v>
      </c>
      <c r="AK65" s="2179"/>
    </row>
    <row r="66" spans="2:37" s="1699" customFormat="1" ht="16" customHeight="1">
      <c r="B66" s="2172"/>
      <c r="C66" s="2119"/>
      <c r="D66" s="4030"/>
      <c r="E66" s="1701" t="s">
        <v>21</v>
      </c>
      <c r="F66" s="1702"/>
      <c r="G66" s="1702"/>
      <c r="H66" s="1703">
        <f>H608</f>
        <v>50000</v>
      </c>
      <c r="I66" s="2168" t="str">
        <f>K608</f>
        <v>Consumables cost</v>
      </c>
      <c r="J66" s="1704" t="str">
        <f t="shared" si="33"/>
        <v>Done every 20 years</v>
      </c>
      <c r="K66" s="2180">
        <f>L608</f>
        <v>20</v>
      </c>
      <c r="L66" s="1706">
        <f t="shared" si="34"/>
        <v>4</v>
      </c>
      <c r="M66" s="1707">
        <f t="shared" si="34"/>
        <v>20</v>
      </c>
      <c r="N66" s="1703">
        <f t="shared" si="35"/>
        <v>87986.819594256856</v>
      </c>
      <c r="O66" s="1708">
        <f t="shared" si="36"/>
        <v>3537.5841504148475</v>
      </c>
      <c r="P66" s="2181"/>
      <c r="Q66" s="3088"/>
      <c r="R66" s="3088"/>
      <c r="S66" s="3088"/>
      <c r="T66" s="1727" t="s">
        <v>811</v>
      </c>
      <c r="U66" s="1712">
        <f t="shared" si="12"/>
        <v>35.375841504148475</v>
      </c>
      <c r="V66" s="2175" t="str">
        <f>IF($T66="L",SUM($U66:U66)*V$16,"")</f>
        <v/>
      </c>
      <c r="W66" s="2175" t="str">
        <f>IF($U66="","",IF(OR($T66="L",$T66="T",$T66="C"),SUM($U66:V66)*W$16,""))</f>
        <v/>
      </c>
      <c r="X66" s="2175">
        <f>IF($U66="","",SUM($U66:W66)*X$16)</f>
        <v>10.612752451244543</v>
      </c>
      <c r="Y66" s="2176">
        <f t="shared" si="37"/>
        <v>10.612752451244543</v>
      </c>
      <c r="Z66" s="2181"/>
      <c r="AA66" s="2182">
        <f t="shared" si="38"/>
        <v>45.988593955393014</v>
      </c>
      <c r="AB66" s="2181"/>
      <c r="AC66" s="2169">
        <f t="shared" ca="1" si="39"/>
        <v>0.64716564085592099</v>
      </c>
      <c r="AD66" s="2183"/>
      <c r="AE66" s="2171"/>
      <c r="AF66" s="1715">
        <f>AF65</f>
        <v>40</v>
      </c>
      <c r="AG66" s="1715"/>
      <c r="AH66" s="1701"/>
      <c r="AI66" s="1701"/>
      <c r="AJ66" s="1703"/>
      <c r="AK66" s="2184"/>
    </row>
    <row r="67" spans="2:37" s="2207" customFormat="1" ht="18" customHeight="1">
      <c r="B67" s="2185">
        <f>B63+0.1</f>
        <v>4.1999999999999993</v>
      </c>
      <c r="C67" s="2186" t="str">
        <f>C63</f>
        <v>Management Action 2 (a)
(L + T + C + E)</v>
      </c>
      <c r="D67" s="4020" t="str">
        <f>D63</f>
        <v>Nestbox and protection installation</v>
      </c>
      <c r="E67" s="2187" t="s">
        <v>3</v>
      </c>
      <c r="F67" s="2188"/>
      <c r="G67" s="2188">
        <f>F605</f>
        <v>42.610861983059294</v>
      </c>
      <c r="H67" s="2189">
        <f>I605</f>
        <v>9587.4439461883412</v>
      </c>
      <c r="I67" s="2190" t="str">
        <f>K605</f>
        <v>Cost for person hours</v>
      </c>
      <c r="J67" s="2191" t="str">
        <f t="shared" si="33"/>
        <v>Done every 20 years</v>
      </c>
      <c r="K67" s="2192">
        <f>L605</f>
        <v>20</v>
      </c>
      <c r="L67" s="2193">
        <f t="shared" si="34"/>
        <v>4</v>
      </c>
      <c r="M67" s="2192">
        <f t="shared" si="34"/>
        <v>20</v>
      </c>
      <c r="N67" s="2189">
        <f t="shared" si="35"/>
        <v>16871.374017266477</v>
      </c>
      <c r="O67" s="2194">
        <f t="shared" si="36"/>
        <v>678.32779494053318</v>
      </c>
      <c r="P67" s="2195">
        <f>SUM(O67:O70)</f>
        <v>5269.5493929508975</v>
      </c>
      <c r="Q67" s="2850"/>
      <c r="R67" s="2850"/>
      <c r="S67" s="2850"/>
      <c r="T67" s="2196" t="s">
        <v>808</v>
      </c>
      <c r="U67" s="2197">
        <f t="shared" si="12"/>
        <v>6.7832779494053321</v>
      </c>
      <c r="V67" s="2197">
        <f>IF($T67="L",SUM($U67:U67)*V$16,"")</f>
        <v>2.0349833848215995</v>
      </c>
      <c r="W67" s="2197">
        <f>IF($U67="","",IF(OR($T67="L",$T67="T",$T67="C"),SUM($U67:V67)*W$16,""))</f>
        <v>0.88182613342269323</v>
      </c>
      <c r="X67" s="2197">
        <f>IF($U67="","",SUM($U67:W67)*X$16)</f>
        <v>2.9100262402948878</v>
      </c>
      <c r="Y67" s="2198">
        <f t="shared" si="37"/>
        <v>5.8268357585391808</v>
      </c>
      <c r="Z67" s="2195">
        <f>SUM(V67:X70)</f>
        <v>20.970229234444446</v>
      </c>
      <c r="AA67" s="2199">
        <f t="shared" si="38"/>
        <v>12.610113707944514</v>
      </c>
      <c r="AB67" s="2195">
        <f>SUM(AA67:AA70)</f>
        <v>73.665723163953416</v>
      </c>
      <c r="AC67" s="2200">
        <f t="shared" ca="1" si="39"/>
        <v>0.17118020656471306</v>
      </c>
      <c r="AD67" s="2201"/>
      <c r="AE67" s="2202"/>
      <c r="AF67" s="2203">
        <f>AF63+4</f>
        <v>44</v>
      </c>
      <c r="AG67" s="2204">
        <f ca="1">SUM(AC67:AC70)-1</f>
        <v>0</v>
      </c>
      <c r="AH67" s="2205">
        <f>$AH$16/K67</f>
        <v>0.25</v>
      </c>
      <c r="AI67" s="2205">
        <f>$AH$16/AH67</f>
        <v>20</v>
      </c>
      <c r="AJ67" s="2189">
        <f>$H67*(1-(1+$L$15)^-(AH67*AI67))/((1+$L$15)^AI67-1)*(1+((1+$L$15)^AI67-1))</f>
        <v>3140.5866182758609</v>
      </c>
      <c r="AK67" s="2206">
        <f>SUM(AJ67:AJ70)</f>
        <v>8018.8176049965314</v>
      </c>
    </row>
    <row r="68" spans="2:37" s="2207" customFormat="1" ht="19" customHeight="1">
      <c r="B68" s="2208"/>
      <c r="C68" s="2209" t="s">
        <v>779</v>
      </c>
      <c r="D68" s="4021"/>
      <c r="E68" s="2187" t="s">
        <v>308</v>
      </c>
      <c r="F68" s="2188">
        <f>$E$590</f>
        <v>2</v>
      </c>
      <c r="G68" s="2188">
        <f t="shared" ref="G68:G69" si="40">F606</f>
        <v>21.305430991529647</v>
      </c>
      <c r="H68" s="2189">
        <f>I606</f>
        <v>6072.0478325859494</v>
      </c>
      <c r="I68" s="2190" t="str">
        <f>K606</f>
        <v>Cost for ute hire</v>
      </c>
      <c r="J68" s="2191" t="str">
        <f t="shared" si="33"/>
        <v>Done every 20 years</v>
      </c>
      <c r="K68" s="2192">
        <f>L606</f>
        <v>20</v>
      </c>
      <c r="L68" s="2193">
        <f t="shared" si="34"/>
        <v>4</v>
      </c>
      <c r="M68" s="2192">
        <f t="shared" si="34"/>
        <v>20</v>
      </c>
      <c r="N68" s="2189">
        <f t="shared" si="35"/>
        <v>10685.203544268765</v>
      </c>
      <c r="O68" s="2194">
        <f t="shared" si="36"/>
        <v>429.60760346233758</v>
      </c>
      <c r="P68" s="2210"/>
      <c r="Q68" s="2852">
        <f>1*(1-(1+$L$15)^-(L68*M68))/((1+$L$15)^M68-1)*(1+((1+$L$15)^M68-1))</f>
        <v>1.7597363918851372</v>
      </c>
      <c r="R68" s="2852">
        <f>Q68/(1+$L$15)*($L$15)/(1-(1+$L$15)^-$L$16)</f>
        <v>7.0751683008296956E-2</v>
      </c>
      <c r="S68" s="2852">
        <f>F68*R68</f>
        <v>0.14150336601659391</v>
      </c>
      <c r="T68" s="2211" t="s">
        <v>809</v>
      </c>
      <c r="U68" s="2197">
        <f t="shared" si="12"/>
        <v>4.2960760346233755</v>
      </c>
      <c r="V68" s="2212" t="str">
        <f>IF($T68="L",SUM($U68:U68)*V$16,"")</f>
        <v/>
      </c>
      <c r="W68" s="2212">
        <f>IF($U68="","",IF(OR($T68="L",$T68="T",$T68="C"),SUM($U68:V68)*W$16,""))</f>
        <v>0.42960760346233756</v>
      </c>
      <c r="X68" s="2212">
        <f>IF($U68="","",SUM($U68:W68)*X$16)</f>
        <v>1.4177050914257139</v>
      </c>
      <c r="Y68" s="2213">
        <f t="shared" si="37"/>
        <v>1.8473126948880514</v>
      </c>
      <c r="Z68" s="2210"/>
      <c r="AA68" s="2214">
        <f t="shared" si="38"/>
        <v>6.1433887295114271</v>
      </c>
      <c r="AB68" s="2210"/>
      <c r="AC68" s="2200">
        <f t="shared" ca="1" si="39"/>
        <v>8.3395485249475557E-2</v>
      </c>
      <c r="AD68" s="2215"/>
      <c r="AE68" s="2202"/>
      <c r="AF68" s="2203">
        <f>AF67</f>
        <v>44</v>
      </c>
      <c r="AG68" s="2203"/>
      <c r="AH68" s="2205">
        <f>$AH$16/K68</f>
        <v>0.25</v>
      </c>
      <c r="AI68" s="2205">
        <f>$AH$16/AH68</f>
        <v>20</v>
      </c>
      <c r="AJ68" s="2189">
        <f>$H68*(1-(1+$L$15)^-(AH68*AI68))/((1+$L$15)^AI68-1)*(1+((1+$L$15)^AI68-1))</f>
        <v>1989.0381915747118</v>
      </c>
      <c r="AK68" s="2216"/>
    </row>
    <row r="69" spans="2:37" s="2207" customFormat="1" ht="19" customHeight="1">
      <c r="B69" s="2208"/>
      <c r="C69" s="2209"/>
      <c r="D69" s="4021"/>
      <c r="E69" s="2187" t="s">
        <v>4</v>
      </c>
      <c r="F69" s="2188"/>
      <c r="G69" s="2188">
        <f t="shared" si="40"/>
        <v>42</v>
      </c>
      <c r="H69" s="2189">
        <f>I607</f>
        <v>8820</v>
      </c>
      <c r="I69" s="2190" t="str">
        <f>K607</f>
        <v>Accomodation + Food Cost</v>
      </c>
      <c r="J69" s="2191" t="str">
        <f t="shared" si="33"/>
        <v>Done every 20 years</v>
      </c>
      <c r="K69" s="2192">
        <f>L607</f>
        <v>20</v>
      </c>
      <c r="L69" s="2193">
        <f t="shared" si="34"/>
        <v>4</v>
      </c>
      <c r="M69" s="2192">
        <f t="shared" si="34"/>
        <v>20</v>
      </c>
      <c r="N69" s="2189">
        <f t="shared" si="35"/>
        <v>15520.874976426911</v>
      </c>
      <c r="O69" s="2194">
        <f t="shared" si="36"/>
        <v>624.02984413317915</v>
      </c>
      <c r="P69" s="2217"/>
      <c r="Q69" s="2852"/>
      <c r="R69" s="2852"/>
      <c r="S69" s="2852"/>
      <c r="T69" s="2211" t="s">
        <v>810</v>
      </c>
      <c r="U69" s="2197">
        <f t="shared" si="12"/>
        <v>6.2402984413317917</v>
      </c>
      <c r="V69" s="2218" t="str">
        <f>IF($T69="L",SUM($U69:U69)*V$16,"")</f>
        <v/>
      </c>
      <c r="W69" s="2218">
        <f>IF($U69="","",IF(OR($T69="L",$T69="T",$T69="C"),SUM($U69:V69)*W$16,""))</f>
        <v>0.62402984413317919</v>
      </c>
      <c r="X69" s="2218">
        <f>IF($U69="","",SUM($U69:W69)*X$16)</f>
        <v>2.0592984856394914</v>
      </c>
      <c r="Y69" s="2219">
        <f t="shared" si="37"/>
        <v>2.6833283297726704</v>
      </c>
      <c r="Z69" s="2217"/>
      <c r="AA69" s="2220">
        <f t="shared" si="38"/>
        <v>8.9236267711044626</v>
      </c>
      <c r="AB69" s="2217"/>
      <c r="AC69" s="2200">
        <f t="shared" ca="1" si="39"/>
        <v>0.12113675652438349</v>
      </c>
      <c r="AD69" s="2221"/>
      <c r="AE69" s="2202"/>
      <c r="AF69" s="2203">
        <f>AF68</f>
        <v>44</v>
      </c>
      <c r="AG69" s="2203"/>
      <c r="AH69" s="2205">
        <f>$AH$16/K69</f>
        <v>0.25</v>
      </c>
      <c r="AI69" s="2205">
        <f>$AH$16/AH69</f>
        <v>20</v>
      </c>
      <c r="AJ69" s="2189">
        <f>$H69*(1-(1+$L$15)^-(AH69*AI69))/((1+$L$15)^AI69-1)*(1+((1+$L$15)^AI69-1))</f>
        <v>2889.1927951459588</v>
      </c>
      <c r="AK69" s="2222"/>
    </row>
    <row r="70" spans="2:37" s="2207" customFormat="1" ht="16" customHeight="1">
      <c r="B70" s="2208"/>
      <c r="C70" s="2223"/>
      <c r="D70" s="4022"/>
      <c r="E70" s="2187" t="s">
        <v>21</v>
      </c>
      <c r="F70" s="2188"/>
      <c r="G70" s="2188"/>
      <c r="H70" s="2189">
        <f>I608</f>
        <v>50000</v>
      </c>
      <c r="I70" s="2190" t="str">
        <f>K608</f>
        <v>Consumables cost</v>
      </c>
      <c r="J70" s="2191" t="str">
        <f t="shared" si="33"/>
        <v>Done every 20 years</v>
      </c>
      <c r="K70" s="2224">
        <f>L608</f>
        <v>20</v>
      </c>
      <c r="L70" s="2193">
        <f t="shared" si="34"/>
        <v>4</v>
      </c>
      <c r="M70" s="2192">
        <f t="shared" si="34"/>
        <v>20</v>
      </c>
      <c r="N70" s="2189">
        <f t="shared" si="35"/>
        <v>87986.819594256856</v>
      </c>
      <c r="O70" s="2194">
        <f t="shared" si="36"/>
        <v>3537.5841504148475</v>
      </c>
      <c r="P70" s="2225"/>
      <c r="Q70" s="3089"/>
      <c r="R70" s="3089"/>
      <c r="S70" s="3089"/>
      <c r="T70" s="2226" t="s">
        <v>811</v>
      </c>
      <c r="U70" s="2197">
        <f t="shared" si="12"/>
        <v>35.375841504148475</v>
      </c>
      <c r="V70" s="2218" t="str">
        <f>IF($T70="L",SUM($U70:U70)*V$16,"")</f>
        <v/>
      </c>
      <c r="W70" s="2218" t="str">
        <f>IF($U70="","",IF(OR($T70="L",$T70="T",$T70="C"),SUM($U70:V70)*W$16,""))</f>
        <v/>
      </c>
      <c r="X70" s="2218">
        <f>IF($U70="","",SUM($U70:W70)*X$16)</f>
        <v>10.612752451244543</v>
      </c>
      <c r="Y70" s="2219">
        <f t="shared" si="37"/>
        <v>10.612752451244543</v>
      </c>
      <c r="Z70" s="2225"/>
      <c r="AA70" s="2227">
        <f t="shared" si="38"/>
        <v>45.988593955393014</v>
      </c>
      <c r="AB70" s="2225"/>
      <c r="AC70" s="2200">
        <f t="shared" ca="1" si="39"/>
        <v>0.62428755166142791</v>
      </c>
      <c r="AD70" s="2228"/>
      <c r="AE70" s="2202"/>
      <c r="AF70" s="2203">
        <f>AF69</f>
        <v>44</v>
      </c>
      <c r="AG70" s="2203"/>
      <c r="AH70" s="2187"/>
      <c r="AI70" s="2187"/>
      <c r="AJ70" s="2189"/>
      <c r="AK70" s="2229"/>
    </row>
    <row r="71" spans="2:37" s="2251" customFormat="1" ht="18" customHeight="1">
      <c r="B71" s="2230">
        <f>B67+0.1</f>
        <v>4.2999999999999989</v>
      </c>
      <c r="C71" s="2231" t="str">
        <f>C67</f>
        <v>Management Action 2 (a)
(L + T + C + E)</v>
      </c>
      <c r="D71" s="4066" t="str">
        <f>D67</f>
        <v>Nestbox and protection installation</v>
      </c>
      <c r="E71" s="2232" t="s">
        <v>3</v>
      </c>
      <c r="F71" s="2233"/>
      <c r="G71" s="2233">
        <f>G605</f>
        <v>50.582959641255606</v>
      </c>
      <c r="H71" s="2234">
        <f t="shared" ref="H71:I74" si="41">J605</f>
        <v>11381.165919282512</v>
      </c>
      <c r="I71" s="2235" t="str">
        <f t="shared" si="41"/>
        <v>Cost for person hours</v>
      </c>
      <c r="J71" s="2236" t="str">
        <f t="shared" si="33"/>
        <v>Done every 20 years</v>
      </c>
      <c r="K71" s="2237">
        <f>L605</f>
        <v>20</v>
      </c>
      <c r="L71" s="2238">
        <f t="shared" si="34"/>
        <v>4</v>
      </c>
      <c r="M71" s="2237">
        <f t="shared" si="34"/>
        <v>20</v>
      </c>
      <c r="N71" s="2234">
        <f t="shared" si="35"/>
        <v>20027.851850244297</v>
      </c>
      <c r="O71" s="2239">
        <f t="shared" si="36"/>
        <v>805.23664338590868</v>
      </c>
      <c r="P71" s="2240">
        <f>SUM(O71:O74)</f>
        <v>5595.6966728656171</v>
      </c>
      <c r="Q71" s="3090"/>
      <c r="R71" s="3090"/>
      <c r="S71" s="3090"/>
      <c r="T71" s="2241" t="s">
        <v>808</v>
      </c>
      <c r="U71" s="2242">
        <f t="shared" ref="U71:U89" si="42">O71/$U$16</f>
        <v>8.0523664338590866</v>
      </c>
      <c r="V71" s="2242">
        <f>IF($T71="L",SUM($U71:U71)*V$16,"")</f>
        <v>2.4157099301577261</v>
      </c>
      <c r="W71" s="2242">
        <f>IF($U71="","",IF(OR($T71="L",$T71="T",$T71="C"),SUM($U71:V71)*W$16,""))</f>
        <v>1.0468076364016814</v>
      </c>
      <c r="X71" s="2243">
        <f>IF($U71="","",SUM($U71:W71)*X$16)</f>
        <v>3.454465200125548</v>
      </c>
      <c r="Y71" s="2244">
        <f t="shared" si="37"/>
        <v>6.9169827666849555</v>
      </c>
      <c r="Z71" s="2240">
        <f>SUM(V71:X74)</f>
        <v>22.917101497908398</v>
      </c>
      <c r="AA71" s="2243">
        <f t="shared" si="38"/>
        <v>14.969349200544041</v>
      </c>
      <c r="AB71" s="2240">
        <f>SUM(AA71:AA74)</f>
        <v>78.87406822656456</v>
      </c>
      <c r="AC71" s="2245">
        <f t="shared" ca="1" si="39"/>
        <v>0.1897879688105451</v>
      </c>
      <c r="AD71" s="2246"/>
      <c r="AE71" s="2247"/>
      <c r="AF71" s="2248">
        <f>AF67+4</f>
        <v>48</v>
      </c>
      <c r="AG71" s="2249">
        <f ca="1">SUM(AC71:AC74)-1</f>
        <v>0</v>
      </c>
      <c r="AH71" s="2250">
        <f>$AH$16/K71</f>
        <v>0.25</v>
      </c>
      <c r="AI71" s="2250">
        <f>$AH$16/AH71</f>
        <v>20</v>
      </c>
      <c r="AJ71" s="2234">
        <f>$H71*(1-(1+$L$15)^-(AH71*AI71))/((1+$L$15)^AI71-1)*(1+((1+$L$15)^AI71-1))</f>
        <v>3728.1612896090433</v>
      </c>
      <c r="AK71" s="2244">
        <f>SUM(AJ71:AJ74)</f>
        <v>9528.8453386780548</v>
      </c>
    </row>
    <row r="72" spans="2:37" s="2251" customFormat="1" ht="19" customHeight="1">
      <c r="B72" s="2252"/>
      <c r="C72" s="2253" t="s">
        <v>789</v>
      </c>
      <c r="D72" s="4067"/>
      <c r="E72" s="2232" t="s">
        <v>308</v>
      </c>
      <c r="F72" s="2233">
        <f>$F$590</f>
        <v>2</v>
      </c>
      <c r="G72" s="2233">
        <f t="shared" ref="G72:G73" si="43">G606</f>
        <v>25.291479820627803</v>
      </c>
      <c r="H72" s="2234">
        <f t="shared" si="41"/>
        <v>7208.0717488789242</v>
      </c>
      <c r="I72" s="2235" t="str">
        <f t="shared" si="41"/>
        <v>Cost for ute hire</v>
      </c>
      <c r="J72" s="2236" t="str">
        <f t="shared" si="33"/>
        <v>Done every 20 years</v>
      </c>
      <c r="K72" s="2237">
        <f>L606</f>
        <v>20</v>
      </c>
      <c r="L72" s="2238">
        <f t="shared" si="34"/>
        <v>4</v>
      </c>
      <c r="M72" s="2237">
        <f t="shared" si="34"/>
        <v>20</v>
      </c>
      <c r="N72" s="2234">
        <f t="shared" si="35"/>
        <v>12684.30617182139</v>
      </c>
      <c r="O72" s="2239">
        <f t="shared" si="36"/>
        <v>509.98320747774233</v>
      </c>
      <c r="P72" s="2254"/>
      <c r="Q72" s="3091">
        <f>1*(1-(1+$L$15)^-(L72*M72))/((1+$L$15)^M72-1)*(1+((1+$L$15)^M72-1))</f>
        <v>1.7597363918851372</v>
      </c>
      <c r="R72" s="3091">
        <f>Q72/(1+$L$15)*($L$15)/(1-(1+$L$15)^-$L$16)</f>
        <v>7.0751683008296956E-2</v>
      </c>
      <c r="S72" s="3091">
        <f>F72*R72</f>
        <v>0.14150336601659391</v>
      </c>
      <c r="T72" s="2255" t="s">
        <v>809</v>
      </c>
      <c r="U72" s="2242">
        <f t="shared" si="42"/>
        <v>5.0998320747774235</v>
      </c>
      <c r="V72" s="2256" t="str">
        <f>IF($T72="L",SUM($U72:U72)*V$16,"")</f>
        <v/>
      </c>
      <c r="W72" s="2256">
        <f>IF($U72="","",IF(OR($T72="L",$T72="T",$T72="C"),SUM($U72:V72)*W$16,""))</f>
        <v>0.5099832074777424</v>
      </c>
      <c r="X72" s="2257">
        <f>IF($U72="","",SUM($U72:W72)*X$16)</f>
        <v>1.6829445846765498</v>
      </c>
      <c r="Y72" s="2258">
        <f t="shared" si="37"/>
        <v>2.1929277921542925</v>
      </c>
      <c r="Z72" s="2254"/>
      <c r="AA72" s="2257">
        <f t="shared" si="38"/>
        <v>7.292759866931716</v>
      </c>
      <c r="AB72" s="2254"/>
      <c r="AC72" s="2245">
        <f t="shared" ca="1" si="39"/>
        <v>9.2460805317957917E-2</v>
      </c>
      <c r="AD72" s="2259"/>
      <c r="AE72" s="2247"/>
      <c r="AF72" s="2248">
        <f>AF71</f>
        <v>48</v>
      </c>
      <c r="AG72" s="2248"/>
      <c r="AH72" s="2250">
        <f>$AH$16/K72</f>
        <v>0.25</v>
      </c>
      <c r="AI72" s="2250">
        <f>$AH$16/AH72</f>
        <v>20</v>
      </c>
      <c r="AJ72" s="2234">
        <f>$H72*(1-(1+$L$15)^-(AH72*AI72))/((1+$L$15)^AI72-1)*(1+((1+$L$15)^AI72-1))</f>
        <v>2361.1688167523939</v>
      </c>
      <c r="AK72" s="2258"/>
    </row>
    <row r="73" spans="2:37" s="2251" customFormat="1" ht="19" customHeight="1">
      <c r="B73" s="2252"/>
      <c r="C73" s="2253"/>
      <c r="D73" s="4067"/>
      <c r="E73" s="2232" t="s">
        <v>4</v>
      </c>
      <c r="F73" s="2233"/>
      <c r="G73" s="2233">
        <f t="shared" si="43"/>
        <v>50</v>
      </c>
      <c r="H73" s="2234">
        <f t="shared" si="41"/>
        <v>10500</v>
      </c>
      <c r="I73" s="2235" t="str">
        <f t="shared" si="41"/>
        <v>Accomodation + Food Cost</v>
      </c>
      <c r="J73" s="2236" t="str">
        <f t="shared" si="33"/>
        <v>Done every 20 years</v>
      </c>
      <c r="K73" s="2237">
        <f>L607</f>
        <v>20</v>
      </c>
      <c r="L73" s="2238">
        <f t="shared" si="34"/>
        <v>4</v>
      </c>
      <c r="M73" s="2237">
        <f t="shared" si="34"/>
        <v>20</v>
      </c>
      <c r="N73" s="2234">
        <f t="shared" si="35"/>
        <v>18477.23211479394</v>
      </c>
      <c r="O73" s="2239">
        <f t="shared" si="36"/>
        <v>742.89267158711789</v>
      </c>
      <c r="P73" s="2260"/>
      <c r="Q73" s="3091"/>
      <c r="R73" s="3091"/>
      <c r="S73" s="3091"/>
      <c r="T73" s="2255" t="s">
        <v>810</v>
      </c>
      <c r="U73" s="2242">
        <f t="shared" si="42"/>
        <v>7.4289267158711789</v>
      </c>
      <c r="V73" s="2261" t="str">
        <f>IF($T73="L",SUM($U73:U73)*V$16,"")</f>
        <v/>
      </c>
      <c r="W73" s="2261">
        <f>IF($U73="","",IF(OR($T73="L",$T73="T",$T73="C"),SUM($U73:V73)*W$16,""))</f>
        <v>0.74289267158711791</v>
      </c>
      <c r="X73" s="2262">
        <f>IF($U73="","",SUM($U73:W73)*X$16)</f>
        <v>2.451545816237489</v>
      </c>
      <c r="Y73" s="2263">
        <f t="shared" si="37"/>
        <v>3.1944384878246068</v>
      </c>
      <c r="Z73" s="2260"/>
      <c r="AA73" s="2262">
        <f t="shared" si="38"/>
        <v>10.623365203695785</v>
      </c>
      <c r="AB73" s="2260"/>
      <c r="AC73" s="2245">
        <f t="shared" ca="1" si="39"/>
        <v>0.13468767926589423</v>
      </c>
      <c r="AD73" s="2264"/>
      <c r="AE73" s="2247"/>
      <c r="AF73" s="2248">
        <f>AF72</f>
        <v>48</v>
      </c>
      <c r="AG73" s="2248"/>
      <c r="AH73" s="2250">
        <f>$AH$16/K73</f>
        <v>0.25</v>
      </c>
      <c r="AI73" s="2250">
        <f>$AH$16/AH73</f>
        <v>20</v>
      </c>
      <c r="AJ73" s="2234">
        <f>$H73*(1-(1+$L$15)^-(AH73*AI73))/((1+$L$15)^AI73-1)*(1+((1+$L$15)^AI73-1))</f>
        <v>3439.5152323166176</v>
      </c>
      <c r="AK73" s="2263"/>
    </row>
    <row r="74" spans="2:37" s="2251" customFormat="1" ht="16" customHeight="1">
      <c r="B74" s="2252"/>
      <c r="C74" s="2265"/>
      <c r="D74" s="4068"/>
      <c r="E74" s="2232" t="s">
        <v>21</v>
      </c>
      <c r="F74" s="2233"/>
      <c r="G74" s="2233"/>
      <c r="H74" s="2234">
        <f t="shared" si="41"/>
        <v>50000</v>
      </c>
      <c r="I74" s="2235" t="str">
        <f t="shared" si="41"/>
        <v>Consumables cost</v>
      </c>
      <c r="J74" s="2236" t="str">
        <f t="shared" si="33"/>
        <v>Done every 20 years</v>
      </c>
      <c r="K74" s="2266">
        <f>L608</f>
        <v>20</v>
      </c>
      <c r="L74" s="2238">
        <f t="shared" si="34"/>
        <v>4</v>
      </c>
      <c r="M74" s="2237">
        <f t="shared" si="34"/>
        <v>20</v>
      </c>
      <c r="N74" s="2234">
        <f t="shared" si="35"/>
        <v>87986.819594256856</v>
      </c>
      <c r="O74" s="2239">
        <f t="shared" si="36"/>
        <v>3537.5841504148475</v>
      </c>
      <c r="P74" s="2267"/>
      <c r="Q74" s="3092"/>
      <c r="R74" s="3092"/>
      <c r="S74" s="3092"/>
      <c r="T74" s="2268" t="s">
        <v>811</v>
      </c>
      <c r="U74" s="2242">
        <f t="shared" si="42"/>
        <v>35.375841504148475</v>
      </c>
      <c r="V74" s="2261" t="str">
        <f>IF($T74="L",SUM($U74:U74)*V$16,"")</f>
        <v/>
      </c>
      <c r="W74" s="2261" t="str">
        <f>IF($U74="","",IF(OR($T74="L",$T74="T",$T74="C"),SUM($U74:V74)*W$16,""))</f>
        <v/>
      </c>
      <c r="X74" s="2262">
        <f>IF($U74="","",SUM($U74:W74)*X$16)</f>
        <v>10.612752451244543</v>
      </c>
      <c r="Y74" s="2269">
        <f t="shared" si="37"/>
        <v>10.612752451244543</v>
      </c>
      <c r="Z74" s="2267"/>
      <c r="AA74" s="2270">
        <f t="shared" si="38"/>
        <v>45.988593955393014</v>
      </c>
      <c r="AB74" s="2267"/>
      <c r="AC74" s="2245">
        <f t="shared" ca="1" si="39"/>
        <v>0.58306354660560267</v>
      </c>
      <c r="AD74" s="2271"/>
      <c r="AE74" s="2247"/>
      <c r="AF74" s="2248">
        <f>AF73</f>
        <v>48</v>
      </c>
      <c r="AG74" s="2248"/>
      <c r="AH74" s="2232"/>
      <c r="AI74" s="2232"/>
      <c r="AJ74" s="2234"/>
      <c r="AK74" s="2269"/>
    </row>
    <row r="75" spans="2:37" s="1144" customFormat="1" ht="18" customHeight="1">
      <c r="B75" s="926">
        <f>B63+1</f>
        <v>5.0999999999999996</v>
      </c>
      <c r="C75" s="1782" t="s">
        <v>393</v>
      </c>
      <c r="D75" s="3847" t="s">
        <v>1422</v>
      </c>
      <c r="E75" s="12" t="s">
        <v>3</v>
      </c>
      <c r="F75" s="1172"/>
      <c r="G75" s="1172">
        <f t="shared" ref="G75:G77" si="44">E691</f>
        <v>20.847035376183356</v>
      </c>
      <c r="H75" s="188">
        <f>H691</f>
        <v>4690.582959641255</v>
      </c>
      <c r="I75" s="1145" t="str">
        <f>K691</f>
        <v>Cost for person hours</v>
      </c>
      <c r="J75" s="377" t="str">
        <f t="shared" si="33"/>
        <v>Annual</v>
      </c>
      <c r="K75" s="586">
        <f>L691</f>
        <v>1</v>
      </c>
      <c r="L75" s="158">
        <f t="shared" si="34"/>
        <v>80</v>
      </c>
      <c r="M75" s="586">
        <f t="shared" si="34"/>
        <v>1</v>
      </c>
      <c r="N75" s="2272">
        <f>$H75*(1-(1+$L$15)^-(L75*M75))/((1+$L$15)^M75-1)*(1+((1+$L$15)^M75-1))-H75</f>
        <v>111973.63168906253</v>
      </c>
      <c r="O75" s="1147">
        <f t="shared" si="36"/>
        <v>4501.9941231456096</v>
      </c>
      <c r="P75" s="192">
        <f>SUM(O75:O78)</f>
        <v>11384.392532181339</v>
      </c>
      <c r="Q75" s="2817"/>
      <c r="R75" s="2817"/>
      <c r="S75" s="2817"/>
      <c r="T75" s="1148" t="s">
        <v>808</v>
      </c>
      <c r="U75" s="583">
        <f t="shared" si="42"/>
        <v>45.019941231456094</v>
      </c>
      <c r="V75" s="583">
        <f>IF($T75="L",SUM($U75:U75)*V$16,"")</f>
        <v>13.505982369436827</v>
      </c>
      <c r="W75" s="583">
        <f>IF($U75="","",IF(OR($T75="L",$T75="T",$T75="C"),SUM($U75:V75)*W$16,""))</f>
        <v>5.8525923600892931</v>
      </c>
      <c r="X75" s="583">
        <f>IF($U75="","",SUM($U75:W75)*X$16)</f>
        <v>19.313554788294663</v>
      </c>
      <c r="Y75" s="240">
        <f t="shared" ref="Y75:Y86" si="45">IF($U75="","",SUM(V75:X75))</f>
        <v>38.672129517820778</v>
      </c>
      <c r="Z75" s="192">
        <f>SUM(V75:X78)</f>
        <v>68.266442676674416</v>
      </c>
      <c r="AA75" s="742">
        <f t="shared" ref="AA75:AA86" si="46">IF($U75="","",SUM(U75,Y75))</f>
        <v>83.692070749276866</v>
      </c>
      <c r="AB75" s="192">
        <f>SUM(AA75:AA78)</f>
        <v>182.11036799848779</v>
      </c>
      <c r="AC75" s="727">
        <f t="shared" ref="AC75:AC86" ca="1" si="47">IF(AA75="","",AA75/OFFSET($AB$23,AF75,0))</f>
        <v>0.45956785255615884</v>
      </c>
      <c r="AD75" s="1917"/>
      <c r="AE75" s="1437"/>
      <c r="AF75" s="1438">
        <f>AF71+4</f>
        <v>52</v>
      </c>
      <c r="AG75" s="1439">
        <f ca="1">SUM(AC75:AC78)-1</f>
        <v>0</v>
      </c>
      <c r="AH75" s="13">
        <f>$AH$16/K75</f>
        <v>5</v>
      </c>
      <c r="AI75" s="13">
        <f>$AH$16/AH75</f>
        <v>1</v>
      </c>
      <c r="AJ75" s="188">
        <f>$H75*(1-(1+$L$15)^-(AH75*AI75))/((1+$L$15)^AI75-1)*(1+((1+$L$15)^AI75-1))</f>
        <v>21716.907643823633</v>
      </c>
      <c r="AK75" s="191">
        <f>SUM(AJ75:AJ78)</f>
        <v>54916.509093457404</v>
      </c>
    </row>
    <row r="76" spans="2:37" s="1144" customFormat="1" ht="19" customHeight="1">
      <c r="B76" s="1918"/>
      <c r="C76" s="1783" t="s">
        <v>749</v>
      </c>
      <c r="D76" s="3848"/>
      <c r="E76" s="12" t="s">
        <v>308</v>
      </c>
      <c r="F76" s="1172">
        <f>$D$676</f>
        <v>1</v>
      </c>
      <c r="G76" s="1172">
        <f t="shared" si="44"/>
        <v>10.423517688091678</v>
      </c>
      <c r="H76" s="188">
        <f>H692</f>
        <v>2970.7025411061281</v>
      </c>
      <c r="I76" s="1145" t="str">
        <f>K692</f>
        <v>Cost for ute hire</v>
      </c>
      <c r="J76" s="377" t="str">
        <f t="shared" si="33"/>
        <v>Annual</v>
      </c>
      <c r="K76" s="586">
        <f>L692</f>
        <v>1</v>
      </c>
      <c r="L76" s="158">
        <f t="shared" si="34"/>
        <v>80</v>
      </c>
      <c r="M76" s="586">
        <f t="shared" si="34"/>
        <v>1</v>
      </c>
      <c r="N76" s="2272">
        <f t="shared" ref="N76:N85" si="48">$H76*(1-(1+$L$15)^-(L76*M76))/((1+$L$15)^M76-1)*(1+((1+$L$15)^M76-1))-H76</f>
        <v>70916.633403072934</v>
      </c>
      <c r="O76" s="1147">
        <f t="shared" si="36"/>
        <v>2851.2629446588858</v>
      </c>
      <c r="P76" s="194"/>
      <c r="Q76" s="2819">
        <f>1*(1-(1+$L$15)^-(L76*M76))/((1+$L$15)^M76-1)*(1+((1+$L$15)^M76-1))</f>
        <v>24.872007520708362</v>
      </c>
      <c r="R76" s="2819">
        <f>Q76/(1+$L$15)*($L$15)/(1-(1+$L$15)^-$L$16)</f>
        <v>0.99999999999999911</v>
      </c>
      <c r="S76" s="2819">
        <f>F76*R76</f>
        <v>0.99999999999999911</v>
      </c>
      <c r="T76" s="1152" t="s">
        <v>809</v>
      </c>
      <c r="U76" s="583">
        <f t="shared" si="42"/>
        <v>28.512629446588857</v>
      </c>
      <c r="V76" s="585" t="str">
        <f>IF($T76="L",SUM($U76:U76)*V$16,"")</f>
        <v/>
      </c>
      <c r="W76" s="585">
        <f>IF($U76="","",IF(OR($T76="L",$T76="T",$T76="C"),SUM($U76:V76)*W$16,""))</f>
        <v>2.851262944658886</v>
      </c>
      <c r="X76" s="585">
        <f>IF($U76="","",SUM($U76:W76)*X$16)</f>
        <v>9.4091677173743218</v>
      </c>
      <c r="Y76" s="242">
        <f t="shared" si="45"/>
        <v>12.260430662033208</v>
      </c>
      <c r="Z76" s="194"/>
      <c r="AA76" s="733">
        <f t="shared" si="46"/>
        <v>40.773060108622062</v>
      </c>
      <c r="AB76" s="194"/>
      <c r="AC76" s="727">
        <f t="shared" ca="1" si="47"/>
        <v>0.22389203073248765</v>
      </c>
      <c r="AD76" s="1440"/>
      <c r="AE76" s="1437"/>
      <c r="AF76" s="1438">
        <f>AF75</f>
        <v>52</v>
      </c>
      <c r="AG76" s="1438"/>
      <c r="AH76" s="13">
        <f>$AH$16/K76</f>
        <v>5</v>
      </c>
      <c r="AI76" s="13">
        <f>$AH$16/AH76</f>
        <v>1</v>
      </c>
      <c r="AJ76" s="188">
        <f>$H76*(1-(1+$L$15)^-(AH76*AI76))/((1+$L$15)^AI76-1)*(1+((1+$L$15)^AI76-1))</f>
        <v>13754.04150775497</v>
      </c>
      <c r="AK76" s="342"/>
    </row>
    <row r="77" spans="2:37" s="1144" customFormat="1" ht="19" customHeight="1">
      <c r="B77" s="1918"/>
      <c r="C77" s="1783"/>
      <c r="D77" s="3848"/>
      <c r="E77" s="12" t="s">
        <v>4</v>
      </c>
      <c r="F77" s="1172"/>
      <c r="G77" s="1172">
        <f t="shared" si="44"/>
        <v>20</v>
      </c>
      <c r="H77" s="188">
        <f>H693</f>
        <v>4200</v>
      </c>
      <c r="I77" s="1145" t="str">
        <f>K693</f>
        <v>Accomodation + Food Cost</v>
      </c>
      <c r="J77" s="377" t="str">
        <f t="shared" si="33"/>
        <v>Annual</v>
      </c>
      <c r="K77" s="586">
        <f>L693</f>
        <v>1</v>
      </c>
      <c r="L77" s="158">
        <f t="shared" si="34"/>
        <v>80</v>
      </c>
      <c r="M77" s="586">
        <f t="shared" si="34"/>
        <v>1</v>
      </c>
      <c r="N77" s="2272">
        <f t="shared" si="48"/>
        <v>100262.43158697512</v>
      </c>
      <c r="O77" s="1147">
        <f t="shared" si="36"/>
        <v>4031.1354643768432</v>
      </c>
      <c r="P77" s="210"/>
      <c r="Q77" s="2819"/>
      <c r="R77" s="2819"/>
      <c r="S77" s="2819"/>
      <c r="T77" s="1152" t="s">
        <v>810</v>
      </c>
      <c r="U77" s="583">
        <f t="shared" si="42"/>
        <v>40.311354643768432</v>
      </c>
      <c r="V77" s="584" t="str">
        <f>IF($T77="L",SUM($U77:U77)*V$16,"")</f>
        <v/>
      </c>
      <c r="W77" s="584">
        <f>IF($U77="","",IF(OR($T77="L",$T77="T",$T77="C"),SUM($U77:V77)*W$16,""))</f>
        <v>4.0311354643768436</v>
      </c>
      <c r="X77" s="584">
        <f>IF($U77="","",SUM($U77:W77)*X$16)</f>
        <v>13.302747032443582</v>
      </c>
      <c r="Y77" s="241">
        <f t="shared" si="45"/>
        <v>17.333882496820426</v>
      </c>
      <c r="Z77" s="210"/>
      <c r="AA77" s="746">
        <f t="shared" si="46"/>
        <v>57.645237140588861</v>
      </c>
      <c r="AB77" s="210"/>
      <c r="AC77" s="727">
        <f t="shared" ca="1" si="47"/>
        <v>0.31654011671135351</v>
      </c>
      <c r="AD77" s="1919"/>
      <c r="AE77" s="1437"/>
      <c r="AF77" s="1438">
        <f>AF76</f>
        <v>52</v>
      </c>
      <c r="AG77" s="1438"/>
      <c r="AH77" s="13">
        <f>$AH$16/K77</f>
        <v>5</v>
      </c>
      <c r="AI77" s="13">
        <f>$AH$16/AH77</f>
        <v>1</v>
      </c>
      <c r="AJ77" s="188">
        <f>$H77*(1-(1+$L$15)^-(AH77*AI77))/((1+$L$15)^AI77-1)*(1+((1+$L$15)^AI77-1))</f>
        <v>19445.559941878797</v>
      </c>
      <c r="AK77" s="477"/>
    </row>
    <row r="78" spans="2:37" s="1144" customFormat="1" ht="16" customHeight="1">
      <c r="B78" s="1918"/>
      <c r="C78" s="1784"/>
      <c r="D78" s="3849"/>
      <c r="E78" s="12" t="s">
        <v>21</v>
      </c>
      <c r="F78" s="1172"/>
      <c r="G78" s="1172"/>
      <c r="H78" s="188"/>
      <c r="I78" s="1145"/>
      <c r="J78" s="377"/>
      <c r="K78" s="1146"/>
      <c r="L78" s="157"/>
      <c r="M78" s="11"/>
      <c r="N78" s="2272"/>
      <c r="O78" s="1147"/>
      <c r="P78" s="211"/>
      <c r="Q78" s="2821"/>
      <c r="R78" s="2821"/>
      <c r="S78" s="2821"/>
      <c r="T78" s="1156" t="s">
        <v>811</v>
      </c>
      <c r="U78" s="583">
        <f t="shared" si="42"/>
        <v>0</v>
      </c>
      <c r="V78" s="584" t="str">
        <f>IF($T78="L",SUM($U78:U78)*V$16,"")</f>
        <v/>
      </c>
      <c r="W78" s="584" t="str">
        <f>IF($U78="","",IF(OR($T78="L",$T78="T",$T78="C"),SUM($U78:V78)*W$16,""))</f>
        <v/>
      </c>
      <c r="X78" s="584">
        <f>IF($U78="","",SUM($U78:W78)*X$16)</f>
        <v>0</v>
      </c>
      <c r="Y78" s="241">
        <f t="shared" si="45"/>
        <v>0</v>
      </c>
      <c r="Z78" s="211"/>
      <c r="AA78" s="1920">
        <f t="shared" si="46"/>
        <v>0</v>
      </c>
      <c r="AB78" s="211"/>
      <c r="AC78" s="727">
        <f t="shared" ca="1" si="47"/>
        <v>0</v>
      </c>
      <c r="AD78" s="1921"/>
      <c r="AE78" s="1437"/>
      <c r="AF78" s="1438">
        <f>AF77</f>
        <v>52</v>
      </c>
      <c r="AG78" s="1438"/>
      <c r="AH78" s="12"/>
      <c r="AI78" s="12"/>
      <c r="AJ78" s="188"/>
      <c r="AK78" s="478"/>
    </row>
    <row r="79" spans="2:37" s="1550" customFormat="1" ht="18" customHeight="1">
      <c r="B79" s="1922">
        <f>B75+0.1</f>
        <v>5.1999999999999993</v>
      </c>
      <c r="C79" s="1798" t="str">
        <f>C75</f>
        <v>Management Action 2 (b)
(L + T + C + E)</v>
      </c>
      <c r="D79" s="3753" t="str">
        <f>D75</f>
        <v>Nestbox maintenance (annual cleaning)</v>
      </c>
      <c r="E79" s="1552" t="s">
        <v>3</v>
      </c>
      <c r="F79" s="1553"/>
      <c r="G79" s="1553">
        <f>F691</f>
        <v>24.833084205281516</v>
      </c>
      <c r="H79" s="1554">
        <f>I691</f>
        <v>5587.4439461883412</v>
      </c>
      <c r="I79" s="1923" t="str">
        <f>K691</f>
        <v>Cost for person hours</v>
      </c>
      <c r="J79" s="1555" t="str">
        <f>IF(K79=1,"Annual","Done every "&amp;K79&amp;" years")</f>
        <v>Annual</v>
      </c>
      <c r="K79" s="1558">
        <f>L691</f>
        <v>1</v>
      </c>
      <c r="L79" s="1557">
        <f t="shared" ref="L79:M81" si="49">$L$16/K79</f>
        <v>80</v>
      </c>
      <c r="M79" s="1558">
        <f t="shared" si="49"/>
        <v>1</v>
      </c>
      <c r="N79" s="2272">
        <f t="shared" si="48"/>
        <v>133383.50390494449</v>
      </c>
      <c r="O79" s="1559">
        <f>N79/(1+$L$15)*($L$15)/(1-(1+$L$15)^-$L$16)</f>
        <v>5362.7960587375046</v>
      </c>
      <c r="P79" s="1560">
        <f>SUM(O79:O82)</f>
        <v>13596.596119856804</v>
      </c>
      <c r="Q79" s="3093"/>
      <c r="R79" s="3093"/>
      <c r="S79" s="3093"/>
      <c r="T79" s="1561" t="s">
        <v>808</v>
      </c>
      <c r="U79" s="1563">
        <f t="shared" si="42"/>
        <v>53.627960587375043</v>
      </c>
      <c r="V79" s="1563">
        <f>IF($T79="L",SUM($U79:U79)*V$16,"")</f>
        <v>16.088388176212511</v>
      </c>
      <c r="W79" s="1563">
        <f>IF($U79="","",IF(OR($T79="L",$T79="T",$T79="C"),SUM($U79:V79)*W$16,""))</f>
        <v>6.9716348763587552</v>
      </c>
      <c r="X79" s="1563">
        <f>IF($U79="","",SUM($U79:W79)*X$16)</f>
        <v>23.006395091983887</v>
      </c>
      <c r="Y79" s="1564">
        <f t="shared" si="45"/>
        <v>46.066418144555158</v>
      </c>
      <c r="Z79" s="1560">
        <f>SUM(V79:X82)</f>
        <v>81.471758407368142</v>
      </c>
      <c r="AA79" s="1565">
        <f t="shared" si="46"/>
        <v>99.6943787319302</v>
      </c>
      <c r="AB79" s="1560">
        <f>SUM(AA79:AA82)</f>
        <v>217.43771960593619</v>
      </c>
      <c r="AC79" s="1566">
        <f t="shared" ca="1" si="47"/>
        <v>0.45849624854697235</v>
      </c>
      <c r="AD79" s="1924"/>
      <c r="AE79" s="1568"/>
      <c r="AF79" s="1569">
        <f>AF75+4</f>
        <v>56</v>
      </c>
      <c r="AG79" s="1570">
        <f ca="1">SUM(AC79:AC82)-1</f>
        <v>0</v>
      </c>
      <c r="AH79" s="1571">
        <f>$AH$16/K79</f>
        <v>5</v>
      </c>
      <c r="AI79" s="1571">
        <f>$AH$16/AH79</f>
        <v>1</v>
      </c>
      <c r="AJ79" s="1554">
        <f>$H79*(1-(1+$L$15)^-(AH79*AI79))/((1+$L$15)^AI79-1)*(1+((1+$L$15)^AI79-1))</f>
        <v>25869.280042260285</v>
      </c>
      <c r="AK79" s="1572">
        <f>SUM(AJ79:AJ82)</f>
        <v>65587.829332613008</v>
      </c>
    </row>
    <row r="80" spans="2:37" s="1550" customFormat="1" ht="19" customHeight="1">
      <c r="B80" s="1925"/>
      <c r="C80" s="1799" t="s">
        <v>779</v>
      </c>
      <c r="D80" s="3754"/>
      <c r="E80" s="1552" t="s">
        <v>308</v>
      </c>
      <c r="F80" s="1553">
        <f>$E$676</f>
        <v>1</v>
      </c>
      <c r="G80" s="1553">
        <f t="shared" ref="G80:G81" si="50">F692</f>
        <v>12.416542102640758</v>
      </c>
      <c r="H80" s="1554">
        <f>I692</f>
        <v>3538.714499252616</v>
      </c>
      <c r="I80" s="1923" t="str">
        <f>K692</f>
        <v>Cost for ute hire</v>
      </c>
      <c r="J80" s="1555" t="str">
        <f>IF(K80=1,"Annual","Done every "&amp;K80&amp;" years")</f>
        <v>Annual</v>
      </c>
      <c r="K80" s="1558">
        <f>L692</f>
        <v>1</v>
      </c>
      <c r="L80" s="1557">
        <f t="shared" si="49"/>
        <v>80</v>
      </c>
      <c r="M80" s="1558">
        <f t="shared" si="49"/>
        <v>1</v>
      </c>
      <c r="N80" s="2272">
        <f t="shared" si="48"/>
        <v>84476.219139798166</v>
      </c>
      <c r="O80" s="1559">
        <f>N80/(1+$L$15)*($L$15)/(1-(1+$L$15)^-$L$16)</f>
        <v>3396.4375038670864</v>
      </c>
      <c r="P80" s="1574"/>
      <c r="Q80" s="3094">
        <f>1*(1-(1+$L$15)^-(L80*M80))/((1+$L$15)^M80-1)*(1+((1+$L$15)^M80-1))</f>
        <v>24.872007520708362</v>
      </c>
      <c r="R80" s="3094">
        <f>Q80/(1+$L$15)*($L$15)/(1-(1+$L$15)^-$L$16)</f>
        <v>0.99999999999999911</v>
      </c>
      <c r="S80" s="3094">
        <f>F80*R80</f>
        <v>0.99999999999999911</v>
      </c>
      <c r="T80" s="1575" t="s">
        <v>809</v>
      </c>
      <c r="U80" s="1563">
        <f t="shared" si="42"/>
        <v>33.964375038670866</v>
      </c>
      <c r="V80" s="1576" t="str">
        <f>IF($T80="L",SUM($U80:U80)*V$16,"")</f>
        <v/>
      </c>
      <c r="W80" s="1576">
        <f>IF($U80="","",IF(OR($T80="L",$T80="T",$T80="C"),SUM($U80:V80)*W$16,""))</f>
        <v>3.3964375038670869</v>
      </c>
      <c r="X80" s="1576">
        <f>IF($U80="","",SUM($U80:W80)*X$16)</f>
        <v>11.208243762761384</v>
      </c>
      <c r="Y80" s="1577">
        <f t="shared" si="45"/>
        <v>14.604681266628472</v>
      </c>
      <c r="Z80" s="1574"/>
      <c r="AA80" s="1578">
        <f t="shared" si="46"/>
        <v>48.569056305299341</v>
      </c>
      <c r="AB80" s="1574"/>
      <c r="AC80" s="1566">
        <f t="shared" ca="1" si="47"/>
        <v>0.22336996724083275</v>
      </c>
      <c r="AD80" s="1579"/>
      <c r="AE80" s="1568"/>
      <c r="AF80" s="1569">
        <f>AF79</f>
        <v>56</v>
      </c>
      <c r="AG80" s="1569"/>
      <c r="AH80" s="1571">
        <f>$AH$16/K80</f>
        <v>5</v>
      </c>
      <c r="AI80" s="1571">
        <f>$AH$16/AH80</f>
        <v>1</v>
      </c>
      <c r="AJ80" s="1554">
        <f>$H80*(1-(1+$L$15)^-(AH80*AI80))/((1+$L$15)^AI80-1)*(1+((1+$L$15)^AI80-1))</f>
        <v>16383.877360098179</v>
      </c>
      <c r="AK80" s="1580"/>
    </row>
    <row r="81" spans="1:37" s="1550" customFormat="1" ht="19" customHeight="1">
      <c r="B81" s="1925"/>
      <c r="C81" s="1799"/>
      <c r="D81" s="3754"/>
      <c r="E81" s="1552" t="s">
        <v>4</v>
      </c>
      <c r="F81" s="1553"/>
      <c r="G81" s="1553">
        <f t="shared" si="50"/>
        <v>24</v>
      </c>
      <c r="H81" s="1554">
        <f>I693</f>
        <v>5040</v>
      </c>
      <c r="I81" s="1923" t="str">
        <f>K693</f>
        <v>Accomodation + Food Cost</v>
      </c>
      <c r="J81" s="1555" t="str">
        <f>IF(K81=1,"Annual","Done every "&amp;K81&amp;" years")</f>
        <v>Annual</v>
      </c>
      <c r="K81" s="1558">
        <f>L693</f>
        <v>1</v>
      </c>
      <c r="L81" s="1557">
        <f t="shared" si="49"/>
        <v>80</v>
      </c>
      <c r="M81" s="1558">
        <f t="shared" si="49"/>
        <v>1</v>
      </c>
      <c r="N81" s="2272">
        <f t="shared" si="48"/>
        <v>120314.91790437014</v>
      </c>
      <c r="O81" s="1559">
        <f>N81/(1+$L$15)*($L$15)/(1-(1+$L$15)^-$L$16)</f>
        <v>4837.3625572522114</v>
      </c>
      <c r="P81" s="1926"/>
      <c r="Q81" s="3094"/>
      <c r="R81" s="3094"/>
      <c r="S81" s="3094"/>
      <c r="T81" s="1575" t="s">
        <v>810</v>
      </c>
      <c r="U81" s="1563">
        <f t="shared" si="42"/>
        <v>48.373625572522116</v>
      </c>
      <c r="V81" s="1927" t="str">
        <f>IF($T81="L",SUM($U81:U81)*V$16,"")</f>
        <v/>
      </c>
      <c r="W81" s="1927">
        <f>IF($U81="","",IF(OR($T81="L",$T81="T",$T81="C"),SUM($U81:V81)*W$16,""))</f>
        <v>4.8373625572522121</v>
      </c>
      <c r="X81" s="1927">
        <f>IF($U81="","",SUM($U81:W81)*X$16)</f>
        <v>15.963296438932298</v>
      </c>
      <c r="Y81" s="1928">
        <f t="shared" si="45"/>
        <v>20.800658996184509</v>
      </c>
      <c r="Z81" s="1926"/>
      <c r="AA81" s="1929">
        <f t="shared" si="46"/>
        <v>69.174284568706625</v>
      </c>
      <c r="AB81" s="1926"/>
      <c r="AC81" s="1566">
        <f t="shared" ca="1" si="47"/>
        <v>0.31813378421219479</v>
      </c>
      <c r="AD81" s="1930"/>
      <c r="AE81" s="1568"/>
      <c r="AF81" s="1569">
        <f>AF80</f>
        <v>56</v>
      </c>
      <c r="AG81" s="1569"/>
      <c r="AH81" s="1571">
        <f>$AH$16/K81</f>
        <v>5</v>
      </c>
      <c r="AI81" s="1571">
        <f>$AH$16/AH81</f>
        <v>1</v>
      </c>
      <c r="AJ81" s="1554">
        <f>$H81*(1-(1+$L$15)^-(AH81*AI81))/((1+$L$15)^AI81-1)*(1+((1+$L$15)^AI81-1))</f>
        <v>23334.671930254553</v>
      </c>
      <c r="AK81" s="1931"/>
    </row>
    <row r="82" spans="1:37" s="1550" customFormat="1" ht="16" customHeight="1">
      <c r="B82" s="1925"/>
      <c r="C82" s="1800"/>
      <c r="D82" s="3755"/>
      <c r="E82" s="1552" t="s">
        <v>21</v>
      </c>
      <c r="F82" s="1553"/>
      <c r="G82" s="1553"/>
      <c r="H82" s="1554"/>
      <c r="I82" s="1923"/>
      <c r="J82" s="1555"/>
      <c r="K82" s="1556"/>
      <c r="L82" s="1932"/>
      <c r="M82" s="1933"/>
      <c r="N82" s="2272"/>
      <c r="O82" s="1559"/>
      <c r="P82" s="1934"/>
      <c r="Q82" s="3095"/>
      <c r="R82" s="3095"/>
      <c r="S82" s="3095"/>
      <c r="T82" s="1581" t="s">
        <v>811</v>
      </c>
      <c r="U82" s="1563">
        <f t="shared" si="42"/>
        <v>0</v>
      </c>
      <c r="V82" s="1927" t="str">
        <f>IF($T82="L",SUM($U82:U82)*V$16,"")</f>
        <v/>
      </c>
      <c r="W82" s="1927" t="str">
        <f>IF($U82="","",IF(OR($T82="L",$T82="T",$T82="C"),SUM($U82:V82)*W$16,""))</f>
        <v/>
      </c>
      <c r="X82" s="1927">
        <f>IF($U82="","",SUM($U82:W82)*X$16)</f>
        <v>0</v>
      </c>
      <c r="Y82" s="1928">
        <f t="shared" si="45"/>
        <v>0</v>
      </c>
      <c r="Z82" s="1934"/>
      <c r="AA82" s="1935">
        <f t="shared" si="46"/>
        <v>0</v>
      </c>
      <c r="AB82" s="1934"/>
      <c r="AC82" s="1566">
        <f t="shared" ca="1" si="47"/>
        <v>0</v>
      </c>
      <c r="AD82" s="1936"/>
      <c r="AE82" s="1568"/>
      <c r="AF82" s="1569">
        <f>AF81</f>
        <v>56</v>
      </c>
      <c r="AG82" s="1569"/>
      <c r="AH82" s="1552"/>
      <c r="AI82" s="1552"/>
      <c r="AJ82" s="1554"/>
      <c r="AK82" s="1937"/>
    </row>
    <row r="83" spans="1:37" s="1441" customFormat="1" ht="18" customHeight="1">
      <c r="B83" s="1938">
        <f>B79+0.1</f>
        <v>5.2999999999999989</v>
      </c>
      <c r="C83" s="1795" t="str">
        <f>C79</f>
        <v>Management Action 2 (b)
(L + T + C + E)</v>
      </c>
      <c r="D83" s="3915" t="str">
        <f>D79</f>
        <v>Nestbox maintenance (annual cleaning)</v>
      </c>
      <c r="E83" s="1443" t="s">
        <v>3</v>
      </c>
      <c r="F83" s="1444"/>
      <c r="G83" s="1444">
        <f>G691</f>
        <v>32.805181863477827</v>
      </c>
      <c r="H83" s="1445">
        <f t="shared" ref="H83:I85" si="51">J691</f>
        <v>7381.1659192825109</v>
      </c>
      <c r="I83" s="1446" t="str">
        <f t="shared" si="51"/>
        <v>Cost for person hours</v>
      </c>
      <c r="J83" s="1447" t="str">
        <f>IF(K83=1,"Annual","Done every "&amp;K83&amp;" years")</f>
        <v>Annual</v>
      </c>
      <c r="K83" s="1450">
        <f>L691</f>
        <v>1</v>
      </c>
      <c r="L83" s="1449">
        <f t="shared" ref="L83:M85" si="52">$L$16/K83</f>
        <v>80</v>
      </c>
      <c r="M83" s="1450">
        <f t="shared" si="52"/>
        <v>1</v>
      </c>
      <c r="N83" s="2272">
        <f t="shared" si="48"/>
        <v>176203.24833670835</v>
      </c>
      <c r="O83" s="1451">
        <f>N83/(1+$L$15)*($L$15)/(1-(1+$L$15)^-$L$16)</f>
        <v>7084.3999299212928</v>
      </c>
      <c r="P83" s="1452">
        <f>SUM(O83:O86)</f>
        <v>18021.003295207727</v>
      </c>
      <c r="Q83" s="2839"/>
      <c r="R83" s="2839"/>
      <c r="S83" s="2839"/>
      <c r="T83" s="1453" t="s">
        <v>808</v>
      </c>
      <c r="U83" s="1455">
        <f t="shared" si="42"/>
        <v>70.843999299212925</v>
      </c>
      <c r="V83" s="1455">
        <f>IF($T83="L",SUM($U83:U83)*V$16,"")</f>
        <v>21.253199789763876</v>
      </c>
      <c r="W83" s="1455">
        <f>IF($U83="","",IF(OR($T83="L",$T83="T",$T83="C"),SUM($U83:V83)*W$16,""))</f>
        <v>9.2097199088976804</v>
      </c>
      <c r="X83" s="1457">
        <f>IF($U83="","",SUM($U83:W83)*X$16)</f>
        <v>30.392075699362341</v>
      </c>
      <c r="Y83" s="1464">
        <f t="shared" si="45"/>
        <v>60.854995398023902</v>
      </c>
      <c r="Z83" s="1452">
        <f>SUM(V83:X86)</f>
        <v>107.88238986875558</v>
      </c>
      <c r="AA83" s="1457">
        <f t="shared" si="46"/>
        <v>131.69899469723683</v>
      </c>
      <c r="AB83" s="1452">
        <f>SUM(AA83:AA86)</f>
        <v>288.09242282083284</v>
      </c>
      <c r="AC83" s="1458">
        <f t="shared" ca="1" si="47"/>
        <v>0.45714147358586232</v>
      </c>
      <c r="AD83" s="1939"/>
      <c r="AE83" s="1460"/>
      <c r="AF83" s="1461">
        <f>AF79+4</f>
        <v>60</v>
      </c>
      <c r="AG83" s="1462">
        <f ca="1">SUM(AC83:AC86)-1</f>
        <v>0</v>
      </c>
      <c r="AH83" s="1463">
        <f>$AH$16/K83</f>
        <v>5</v>
      </c>
      <c r="AI83" s="1463">
        <f>$AH$16/AH83</f>
        <v>1</v>
      </c>
      <c r="AJ83" s="1445">
        <f>$H83*(1-(1+$L$15)^-(AH83*AI83))/((1+$L$15)^AI83-1)*(1+((1+$L$15)^AI83-1))</f>
        <v>34174.024839133563</v>
      </c>
      <c r="AK83" s="1464">
        <f>SUM(AJ83:AJ86)</f>
        <v>86930.469810924216</v>
      </c>
    </row>
    <row r="84" spans="1:37" s="1441" customFormat="1" ht="19" customHeight="1">
      <c r="B84" s="1940"/>
      <c r="C84" s="1796" t="s">
        <v>789</v>
      </c>
      <c r="D84" s="3916"/>
      <c r="E84" s="1443" t="s">
        <v>308</v>
      </c>
      <c r="F84" s="1444">
        <f>$F$676</f>
        <v>1</v>
      </c>
      <c r="G84" s="1444">
        <f t="shared" ref="G84:G85" si="53">G692</f>
        <v>16.402590931738914</v>
      </c>
      <c r="H84" s="1445">
        <f t="shared" si="51"/>
        <v>4674.7384155455902</v>
      </c>
      <c r="I84" s="1446" t="str">
        <f t="shared" si="51"/>
        <v>Cost for ute hire</v>
      </c>
      <c r="J84" s="1447" t="str">
        <f>IF(K84=1,"Annual","Done every "&amp;K84&amp;" years")</f>
        <v>Annual</v>
      </c>
      <c r="K84" s="1450">
        <f>L692</f>
        <v>1</v>
      </c>
      <c r="L84" s="1449">
        <f t="shared" si="52"/>
        <v>80</v>
      </c>
      <c r="M84" s="1450">
        <f t="shared" si="52"/>
        <v>1</v>
      </c>
      <c r="N84" s="2272">
        <f t="shared" si="48"/>
        <v>111595.39061324862</v>
      </c>
      <c r="O84" s="1451">
        <f>N84/(1+$L$15)*($L$15)/(1-(1+$L$15)^-$L$16)</f>
        <v>4486.7866222834855</v>
      </c>
      <c r="P84" s="1466"/>
      <c r="Q84" s="2840">
        <f>1*(1-(1+$L$15)^-(L84*M84))/((1+$L$15)^M84-1)*(1+((1+$L$15)^M84-1))</f>
        <v>24.872007520708362</v>
      </c>
      <c r="R84" s="2840">
        <f>Q84/(1+$L$15)*($L$15)/(1-(1+$L$15)^-$L$16)</f>
        <v>0.99999999999999911</v>
      </c>
      <c r="S84" s="2840">
        <f>F84*R84</f>
        <v>0.99999999999999911</v>
      </c>
      <c r="T84" s="1467" t="s">
        <v>809</v>
      </c>
      <c r="U84" s="1455">
        <f t="shared" si="42"/>
        <v>44.867866222834856</v>
      </c>
      <c r="V84" s="1468" t="str">
        <f>IF($T84="L",SUM($U84:U84)*V$16,"")</f>
        <v/>
      </c>
      <c r="W84" s="1468">
        <f>IF($U84="","",IF(OR($T84="L",$T84="T",$T84="C"),SUM($U84:V84)*W$16,""))</f>
        <v>4.4867866222834856</v>
      </c>
      <c r="X84" s="1470">
        <f>IF($U84="","",SUM($U84:W84)*X$16)</f>
        <v>14.8063958535355</v>
      </c>
      <c r="Y84" s="1472">
        <f t="shared" si="45"/>
        <v>19.293182475818988</v>
      </c>
      <c r="Z84" s="1466"/>
      <c r="AA84" s="1470">
        <f t="shared" si="46"/>
        <v>64.161048698653843</v>
      </c>
      <c r="AB84" s="1466"/>
      <c r="AC84" s="1458">
        <f t="shared" ca="1" si="47"/>
        <v>0.22270994867003549</v>
      </c>
      <c r="AD84" s="1471"/>
      <c r="AE84" s="1460"/>
      <c r="AF84" s="1461">
        <f>AF83</f>
        <v>60</v>
      </c>
      <c r="AG84" s="1461"/>
      <c r="AH84" s="1463">
        <f>$AH$16/K84</f>
        <v>5</v>
      </c>
      <c r="AI84" s="1463">
        <f>$AH$16/AH84</f>
        <v>1</v>
      </c>
      <c r="AJ84" s="1445">
        <f>$H84*(1-(1+$L$15)^-(AH84*AI84))/((1+$L$15)^AI84-1)*(1+((1+$L$15)^AI84-1))</f>
        <v>21643.549064784591</v>
      </c>
      <c r="AK84" s="1472"/>
    </row>
    <row r="85" spans="1:37" s="1441" customFormat="1" ht="19" customHeight="1">
      <c r="B85" s="1940"/>
      <c r="C85" s="1796"/>
      <c r="D85" s="3916"/>
      <c r="E85" s="1443" t="s">
        <v>4</v>
      </c>
      <c r="F85" s="1444"/>
      <c r="G85" s="1444">
        <f t="shared" si="53"/>
        <v>32</v>
      </c>
      <c r="H85" s="1445">
        <f t="shared" si="51"/>
        <v>6720</v>
      </c>
      <c r="I85" s="1446" t="str">
        <f t="shared" si="51"/>
        <v>Accomodation + Food Cost</v>
      </c>
      <c r="J85" s="1447" t="str">
        <f>IF(K85=1,"Annual","Done every "&amp;K85&amp;" years")</f>
        <v>Annual</v>
      </c>
      <c r="K85" s="1450">
        <f>L693</f>
        <v>1</v>
      </c>
      <c r="L85" s="1449">
        <f t="shared" si="52"/>
        <v>80</v>
      </c>
      <c r="M85" s="1450">
        <f t="shared" si="52"/>
        <v>1</v>
      </c>
      <c r="N85" s="2272">
        <f t="shared" si="48"/>
        <v>160419.8905391602</v>
      </c>
      <c r="O85" s="1451">
        <f>N85/(1+$L$15)*($L$15)/(1-(1+$L$15)^-$L$16)</f>
        <v>6449.8167430029498</v>
      </c>
      <c r="P85" s="1941"/>
      <c r="Q85" s="2840"/>
      <c r="R85" s="2840"/>
      <c r="S85" s="2840"/>
      <c r="T85" s="1467" t="s">
        <v>810</v>
      </c>
      <c r="U85" s="1455">
        <f t="shared" si="42"/>
        <v>64.498167430029497</v>
      </c>
      <c r="V85" s="1942" t="str">
        <f>IF($T85="L",SUM($U85:U85)*V$16,"")</f>
        <v/>
      </c>
      <c r="W85" s="1942">
        <f>IF($U85="","",IF(OR($T85="L",$T85="T",$T85="C"),SUM($U85:V85)*W$16,""))</f>
        <v>6.44981674300295</v>
      </c>
      <c r="X85" s="1943">
        <f>IF($U85="","",SUM($U85:W85)*X$16)</f>
        <v>21.284395251909736</v>
      </c>
      <c r="Y85" s="1944">
        <f t="shared" si="45"/>
        <v>27.734211994912684</v>
      </c>
      <c r="Z85" s="1941"/>
      <c r="AA85" s="1943">
        <f t="shared" si="46"/>
        <v>92.232379424942181</v>
      </c>
      <c r="AB85" s="1941"/>
      <c r="AC85" s="1458">
        <f t="shared" ca="1" si="47"/>
        <v>0.32014857774410227</v>
      </c>
      <c r="AD85" s="1945"/>
      <c r="AE85" s="1460"/>
      <c r="AF85" s="1461">
        <f>AF84</f>
        <v>60</v>
      </c>
      <c r="AG85" s="1461"/>
      <c r="AH85" s="1463">
        <f>$AH$16/K85</f>
        <v>5</v>
      </c>
      <c r="AI85" s="1463">
        <f>$AH$16/AH85</f>
        <v>1</v>
      </c>
      <c r="AJ85" s="1445">
        <f>$H85*(1-(1+$L$15)^-(AH85*AI85))/((1+$L$15)^AI85-1)*(1+((1+$L$15)^AI85-1))</f>
        <v>31112.89590700607</v>
      </c>
      <c r="AK85" s="1944"/>
    </row>
    <row r="86" spans="1:37" s="1441" customFormat="1" ht="16" customHeight="1">
      <c r="B86" s="1940"/>
      <c r="C86" s="1797"/>
      <c r="D86" s="3917"/>
      <c r="E86" s="1443" t="s">
        <v>21</v>
      </c>
      <c r="F86" s="1444"/>
      <c r="G86" s="1444"/>
      <c r="H86" s="1445"/>
      <c r="I86" s="1946"/>
      <c r="J86" s="1447"/>
      <c r="K86" s="1448"/>
      <c r="L86" s="1947"/>
      <c r="M86" s="1948"/>
      <c r="N86" s="2272"/>
      <c r="O86" s="1451"/>
      <c r="P86" s="1949"/>
      <c r="Q86" s="3096"/>
      <c r="R86" s="3096"/>
      <c r="S86" s="3096"/>
      <c r="T86" s="1473" t="s">
        <v>811</v>
      </c>
      <c r="U86" s="1455">
        <f t="shared" si="42"/>
        <v>0</v>
      </c>
      <c r="V86" s="1942" t="str">
        <f>IF($T86="L",SUM($U86:U86)*V$16,"")</f>
        <v/>
      </c>
      <c r="W86" s="1942" t="str">
        <f>IF($U86="","",IF(OR($T86="L",$T86="T",$T86="C"),SUM($U86:V86)*W$16,""))</f>
        <v/>
      </c>
      <c r="X86" s="1943">
        <f>IF($U86="","",SUM($U86:W86)*X$16)</f>
        <v>0</v>
      </c>
      <c r="Y86" s="1950">
        <f t="shared" si="45"/>
        <v>0</v>
      </c>
      <c r="Z86" s="1949"/>
      <c r="AA86" s="1951">
        <f t="shared" si="46"/>
        <v>0</v>
      </c>
      <c r="AB86" s="1949"/>
      <c r="AC86" s="1458">
        <f t="shared" ca="1" si="47"/>
        <v>0</v>
      </c>
      <c r="AD86" s="1952"/>
      <c r="AE86" s="1460"/>
      <c r="AF86" s="1461">
        <f>AF85</f>
        <v>60</v>
      </c>
      <c r="AG86" s="1461"/>
      <c r="AH86" s="1443"/>
      <c r="AI86" s="1443"/>
      <c r="AJ86" s="1445"/>
      <c r="AK86" s="1950"/>
    </row>
    <row r="87" spans="1:37" ht="19" customHeight="1">
      <c r="A87" s="390"/>
      <c r="B87" s="1768">
        <f>B75+1</f>
        <v>6.1</v>
      </c>
      <c r="C87" s="3859" t="s">
        <v>1008</v>
      </c>
      <c r="D87" s="3850" t="s">
        <v>1550</v>
      </c>
      <c r="E87" s="373" t="s">
        <v>3</v>
      </c>
      <c r="F87" s="1176"/>
      <c r="G87" s="1176">
        <f t="shared" ref="G87:G89" si="54">E710</f>
        <v>6.2541106128550075</v>
      </c>
      <c r="H87" s="370">
        <f>H710</f>
        <v>1407.1748878923768</v>
      </c>
      <c r="I87" s="613" t="s">
        <v>474</v>
      </c>
      <c r="J87" s="375" t="str">
        <f>IF(K87=1,"Annual","Done every "&amp;K87&amp;" years")</f>
        <v>Annual</v>
      </c>
      <c r="K87" s="374">
        <f>L710</f>
        <v>1</v>
      </c>
      <c r="L87" s="386">
        <f t="shared" ref="L87:M89" si="55">$L$16/K87</f>
        <v>80</v>
      </c>
      <c r="M87" s="371">
        <f t="shared" si="55"/>
        <v>1</v>
      </c>
      <c r="N87" s="370">
        <f>$H87*(1-(1+$L$15)^-(L87*M87))/((1+$L$15)^M87-1)*(1+((1+$L$15)^M87-1))</f>
        <v>34999.264394611135</v>
      </c>
      <c r="O87" s="640">
        <f>N87/(1+$L$15)*($L$15)/(1-(1+$L$15)^-$L$16)</f>
        <v>1407.1748878923752</v>
      </c>
      <c r="P87" s="392">
        <f>SUM(O87:O90)</f>
        <v>3558.3856502242124</v>
      </c>
      <c r="Q87" s="3067"/>
      <c r="R87" s="3067"/>
      <c r="S87" s="3067"/>
      <c r="T87" s="1039" t="s">
        <v>808</v>
      </c>
      <c r="U87" s="639">
        <f t="shared" si="42"/>
        <v>14.071748878923751</v>
      </c>
      <c r="V87" s="639">
        <f>IF($T87="L",SUM($U87:U87)*V$16,"")</f>
        <v>4.2215246636771253</v>
      </c>
      <c r="W87" s="639">
        <f>IF($U87="","",IF(OR($T87="L",$T87="T",$T87="C"),SUM($U87:V87)*W$16,""))</f>
        <v>1.8293273542600876</v>
      </c>
      <c r="X87" s="639">
        <f>IF($U87="","",SUM($U87:W87)*X$16)</f>
        <v>6.0367802690582888</v>
      </c>
      <c r="Y87" s="388">
        <f t="shared" ref="Y87:Y102" si="56">IF($U87="","",SUM(V87:X87))</f>
        <v>12.087632286995502</v>
      </c>
      <c r="Z87" s="392">
        <f>SUM(V87:X90)</f>
        <v>21.337838565022402</v>
      </c>
      <c r="AA87" s="734">
        <f t="shared" ref="AA87:AA102" si="57">IF($U87="","",SUM(U87,Y87))</f>
        <v>26.159381165919253</v>
      </c>
      <c r="AB87" s="391">
        <f>SUM(AA87:AA90)</f>
        <v>56.921695067264523</v>
      </c>
      <c r="AC87" s="936">
        <f t="shared" ref="AC87:AC102" ca="1" si="58">IF(AA87="","",AA87/OFFSET($AB$23,AF87,0))</f>
        <v>0.45956785255615878</v>
      </c>
      <c r="AD87" s="638"/>
      <c r="AE87" s="1069"/>
      <c r="AF87" s="587">
        <f>AF83+4</f>
        <v>64</v>
      </c>
      <c r="AG87" s="816">
        <f ca="1">SUM(AC87:AC90)-1</f>
        <v>0</v>
      </c>
      <c r="AH87" s="387">
        <f>$AH$16/K87</f>
        <v>5</v>
      </c>
      <c r="AI87" s="387">
        <f>$AH$16/AH87</f>
        <v>1</v>
      </c>
      <c r="AJ87" s="370">
        <f>$H87*(1-(1+$L$15)^-(AH87*AI87))/((1+$L$15)^AI87-1)*(1+((1+$L$15)^AI87-1))</f>
        <v>6515.0722931470918</v>
      </c>
      <c r="AK87" s="981">
        <f>SUM(AJ87:AJ90)</f>
        <v>16474.95272803722</v>
      </c>
    </row>
    <row r="88" spans="1:37" ht="19" customHeight="1">
      <c r="A88" s="390"/>
      <c r="B88" s="1765"/>
      <c r="C88" s="3860"/>
      <c r="D88" s="3851"/>
      <c r="E88" s="373" t="s">
        <v>308</v>
      </c>
      <c r="F88" s="1176">
        <f>$F$28</f>
        <v>1</v>
      </c>
      <c r="G88" s="1176">
        <f t="shared" si="54"/>
        <v>3.1270553064275037</v>
      </c>
      <c r="H88" s="370">
        <f>H711</f>
        <v>891.21076233183862</v>
      </c>
      <c r="I88" s="613" t="s">
        <v>65</v>
      </c>
      <c r="J88" s="375" t="str">
        <f>IF(K88=1,"Annual","Done every "&amp;K88&amp;" years")</f>
        <v>Annual</v>
      </c>
      <c r="K88" s="374">
        <f>L711</f>
        <v>1</v>
      </c>
      <c r="L88" s="386">
        <f t="shared" si="55"/>
        <v>80</v>
      </c>
      <c r="M88" s="371">
        <f t="shared" si="55"/>
        <v>1</v>
      </c>
      <c r="N88" s="370">
        <f>$H88*(1-(1+$L$15)^-(L88*M88))/((1+$L$15)^M88-1)*(1+((1+$L$15)^M88-1))</f>
        <v>22166.200783253724</v>
      </c>
      <c r="O88" s="640">
        <f>N88/(1+$L$15)*($L$15)/(1-(1+$L$15)^-$L$16)</f>
        <v>891.21076233183794</v>
      </c>
      <c r="P88" s="392"/>
      <c r="Q88" s="3067">
        <f>1*(1-(1+$L$15)^-(L88*M88))/((1+$L$15)^M88-1)*(1+((1+$L$15)^M88-1))</f>
        <v>24.872007520708362</v>
      </c>
      <c r="R88" s="3067">
        <f>Q88/(1+$L$15)*($L$15)/(1-(1+$L$15)^-$L$16)</f>
        <v>0.99999999999999911</v>
      </c>
      <c r="S88" s="3067">
        <f>F88*R88</f>
        <v>0.99999999999999911</v>
      </c>
      <c r="T88" s="1034" t="s">
        <v>809</v>
      </c>
      <c r="U88" s="639">
        <f t="shared" si="42"/>
        <v>8.9121076233183789</v>
      </c>
      <c r="V88" s="642" t="str">
        <f>IF($T88="L",SUM($U88:U88)*V$16,"")</f>
        <v/>
      </c>
      <c r="W88" s="642">
        <f>IF($U88="","",IF(OR($T88="L",$T88="T",$T88="C"),SUM($U88:V88)*W$16,""))</f>
        <v>0.89121076233183794</v>
      </c>
      <c r="X88" s="642">
        <f>IF($U88="","",SUM($U88:W88)*X$16)</f>
        <v>2.9409955156950649</v>
      </c>
      <c r="Y88" s="388">
        <f t="shared" si="56"/>
        <v>3.8322062780269031</v>
      </c>
      <c r="Z88" s="392"/>
      <c r="AA88" s="734">
        <f t="shared" si="57"/>
        <v>12.744313901345283</v>
      </c>
      <c r="AB88" s="391"/>
      <c r="AC88" s="936">
        <f t="shared" ca="1" si="58"/>
        <v>0.2238920307324877</v>
      </c>
      <c r="AD88" s="641"/>
      <c r="AE88" s="1069"/>
      <c r="AF88" s="587">
        <f>AF87</f>
        <v>64</v>
      </c>
      <c r="AG88" s="587"/>
      <c r="AH88" s="387">
        <f>$AH$16/K88</f>
        <v>5</v>
      </c>
      <c r="AI88" s="387">
        <f>$AH$16/AH88</f>
        <v>1</v>
      </c>
      <c r="AJ88" s="370">
        <f>$H88*(1-(1+$L$15)^-(AH88*AI88))/((1+$L$15)^AI88-1)*(1+((1+$L$15)^AI88-1))</f>
        <v>4126.212452326492</v>
      </c>
      <c r="AK88" s="981"/>
    </row>
    <row r="89" spans="1:37" ht="19" customHeight="1">
      <c r="A89" s="390"/>
      <c r="B89" s="1765"/>
      <c r="C89" s="3860"/>
      <c r="D89" s="3851"/>
      <c r="E89" s="373" t="s">
        <v>4</v>
      </c>
      <c r="F89" s="1176"/>
      <c r="G89" s="1176">
        <f t="shared" si="54"/>
        <v>6</v>
      </c>
      <c r="H89" s="370">
        <f>H712</f>
        <v>1260</v>
      </c>
      <c r="I89" s="613" t="s">
        <v>70</v>
      </c>
      <c r="J89" s="375" t="str">
        <f>IF(K89=1,"Annual","Done every "&amp;K89&amp;" years")</f>
        <v>Annual</v>
      </c>
      <c r="K89" s="374">
        <f>L712</f>
        <v>1</v>
      </c>
      <c r="L89" s="386">
        <f t="shared" si="55"/>
        <v>80</v>
      </c>
      <c r="M89" s="371">
        <f t="shared" si="55"/>
        <v>1</v>
      </c>
      <c r="N89" s="370">
        <f>$H89*(1-(1+$L$15)^-(L89*M89))/((1+$L$15)^M89-1)*(1+((1+$L$15)^M89-1))</f>
        <v>31338.729476092536</v>
      </c>
      <c r="O89" s="640">
        <f>N89/(1+$L$15)*($L$15)/(1-(1+$L$15)^-$L$16)</f>
        <v>1259.9999999999991</v>
      </c>
      <c r="P89" s="392"/>
      <c r="Q89" s="3067"/>
      <c r="R89" s="3067"/>
      <c r="S89" s="3067"/>
      <c r="T89" s="1034" t="s">
        <v>810</v>
      </c>
      <c r="U89" s="639">
        <f t="shared" si="42"/>
        <v>12.599999999999991</v>
      </c>
      <c r="V89" s="642" t="str">
        <f>IF($T89="L",SUM($U89:U89)*V$16,"")</f>
        <v/>
      </c>
      <c r="W89" s="642">
        <f>IF($U89="","",IF(OR($T89="L",$T89="T",$T89="C"),SUM($U89:V89)*W$16,""))</f>
        <v>1.2599999999999991</v>
      </c>
      <c r="X89" s="642">
        <f>IF($U89="","",SUM($U89:W89)*X$16)</f>
        <v>4.1579999999999968</v>
      </c>
      <c r="Y89" s="388">
        <f t="shared" si="56"/>
        <v>5.4179999999999957</v>
      </c>
      <c r="Z89" s="392"/>
      <c r="AA89" s="734">
        <f t="shared" si="57"/>
        <v>18.017999999999986</v>
      </c>
      <c r="AB89" s="391"/>
      <c r="AC89" s="936">
        <f t="shared" ca="1" si="58"/>
        <v>0.31654011671135351</v>
      </c>
      <c r="AD89" s="641"/>
      <c r="AE89" s="1069"/>
      <c r="AF89" s="587">
        <f>AF88</f>
        <v>64</v>
      </c>
      <c r="AG89" s="587"/>
      <c r="AH89" s="387">
        <f>$AH$16/K89</f>
        <v>5</v>
      </c>
      <c r="AI89" s="387">
        <f>$AH$16/AH89</f>
        <v>1</v>
      </c>
      <c r="AJ89" s="370">
        <f>$H89*(1-(1+$L$15)^-(AH89*AI89))/((1+$L$15)^AI89-1)*(1+((1+$L$15)^AI89-1))</f>
        <v>5833.6679825636384</v>
      </c>
      <c r="AK89" s="981"/>
    </row>
    <row r="90" spans="1:37" ht="19" customHeight="1">
      <c r="A90" s="390"/>
      <c r="B90" s="1772"/>
      <c r="C90" s="3861"/>
      <c r="D90" s="3862"/>
      <c r="E90" s="373" t="s">
        <v>21</v>
      </c>
      <c r="F90" s="1176"/>
      <c r="G90" s="1176"/>
      <c r="H90" s="370"/>
      <c r="I90" s="613"/>
      <c r="J90" s="375"/>
      <c r="K90" s="374"/>
      <c r="L90" s="386"/>
      <c r="M90" s="371"/>
      <c r="N90" s="370"/>
      <c r="O90" s="699"/>
      <c r="P90" s="396"/>
      <c r="Q90" s="3068"/>
      <c r="R90" s="3068"/>
      <c r="S90" s="3068"/>
      <c r="T90" s="1040" t="s">
        <v>811</v>
      </c>
      <c r="U90" s="700"/>
      <c r="V90" s="700" t="str">
        <f>IF($T90="L",SUM($U90:U90)*V$16,"")</f>
        <v/>
      </c>
      <c r="W90" s="700" t="str">
        <f>IF($U90="","",IF(OR($T90="L",$T90="T",$T90="C"),SUM($U90:V90)*W$16,""))</f>
        <v/>
      </c>
      <c r="X90" s="700" t="str">
        <f>IF($U90="","",SUM($U90:W90)*X$16)</f>
        <v/>
      </c>
      <c r="Y90" s="699" t="str">
        <f t="shared" si="56"/>
        <v/>
      </c>
      <c r="Z90" s="396"/>
      <c r="AA90" s="743" t="str">
        <f t="shared" si="57"/>
        <v/>
      </c>
      <c r="AB90" s="395"/>
      <c r="AC90" s="937" t="str">
        <f t="shared" ca="1" si="58"/>
        <v/>
      </c>
      <c r="AD90" s="822"/>
      <c r="AE90" s="1069"/>
      <c r="AF90" s="587">
        <f>AF89</f>
        <v>64</v>
      </c>
      <c r="AG90" s="587"/>
      <c r="AH90" s="387"/>
      <c r="AI90" s="387"/>
      <c r="AJ90" s="370"/>
      <c r="AK90" s="882"/>
    </row>
    <row r="91" spans="1:37" ht="19" customHeight="1">
      <c r="A91" s="676"/>
      <c r="B91" s="1766">
        <f>B87+0.1</f>
        <v>6.1999999999999993</v>
      </c>
      <c r="C91" s="3875" t="s">
        <v>203</v>
      </c>
      <c r="D91" s="3852" t="str">
        <f>D87</f>
        <v xml:space="preserve">Monitoring of action output. </v>
      </c>
      <c r="E91" s="685" t="s">
        <v>3</v>
      </c>
      <c r="F91" s="1177"/>
      <c r="G91" s="1177">
        <f>F710</f>
        <v>7.449925261584454</v>
      </c>
      <c r="H91" s="665">
        <f>I710</f>
        <v>1676.2331838565024</v>
      </c>
      <c r="I91" s="818" t="s">
        <v>474</v>
      </c>
      <c r="J91" s="666" t="str">
        <f>IF(K91=1,"Annual","Done every "&amp;K91&amp;" years")</f>
        <v>Annual</v>
      </c>
      <c r="K91" s="701">
        <f>K87</f>
        <v>1</v>
      </c>
      <c r="L91" s="668">
        <f t="shared" ref="L91:M93" si="59">$L$16/K91</f>
        <v>80</v>
      </c>
      <c r="M91" s="667">
        <f t="shared" si="59"/>
        <v>1</v>
      </c>
      <c r="N91" s="665">
        <f>$H91*(1-(1+$L$15)^-(L91*M91))/((1+$L$15)^M91-1)*(1+((1+$L$15)^M91-1))</f>
        <v>41691.284355339849</v>
      </c>
      <c r="O91" s="680">
        <f>N91/(1+$L$15)*($L$15)/(1-(1+$L$15)^-$L$16)</f>
        <v>1676.233183856501</v>
      </c>
      <c r="P91" s="720">
        <f>SUM(O91:O94)</f>
        <v>3997.847533632284</v>
      </c>
      <c r="Q91" s="2825"/>
      <c r="R91" s="2825"/>
      <c r="S91" s="2825"/>
      <c r="T91" s="1035" t="s">
        <v>808</v>
      </c>
      <c r="U91" s="675">
        <f>O91/$U$16</f>
        <v>16.762331838565011</v>
      </c>
      <c r="V91" s="675">
        <f>IF($T91="L",SUM($U91:U91)*V$16,"")</f>
        <v>5.0286995515695034</v>
      </c>
      <c r="W91" s="675">
        <f>IF($U91="","",IF(OR($T91="L",$T91="T",$T91="C"),SUM($U91:V91)*W$16,""))</f>
        <v>2.1791031390134514</v>
      </c>
      <c r="X91" s="675">
        <f>IF($U91="","",SUM($U91:W91)*X$16)</f>
        <v>7.1910403587443898</v>
      </c>
      <c r="Y91" s="679">
        <f t="shared" si="56"/>
        <v>14.398843049327345</v>
      </c>
      <c r="Z91" s="720">
        <f>SUM(V91:X94)</f>
        <v>24.381784753363213</v>
      </c>
      <c r="AA91" s="737">
        <f t="shared" si="57"/>
        <v>31.161174887892358</v>
      </c>
      <c r="AB91" s="678">
        <f>SUM(AA91:AA94)</f>
        <v>64.360260089686051</v>
      </c>
      <c r="AC91" s="935">
        <f t="shared" ca="1" si="58"/>
        <v>0.48416794532012841</v>
      </c>
      <c r="AD91" s="674"/>
      <c r="AE91" s="1070"/>
      <c r="AF91" s="587">
        <f>AF87+4</f>
        <v>68</v>
      </c>
      <c r="AG91" s="816">
        <f ca="1">SUM(AC91:AC94)-1</f>
        <v>0</v>
      </c>
      <c r="AH91" s="669">
        <f>$AH$16/K91</f>
        <v>5</v>
      </c>
      <c r="AI91" s="669">
        <f>$AH$16/AH91</f>
        <v>1</v>
      </c>
      <c r="AJ91" s="665">
        <f>$H91*(1-(1+$L$15)^-(AH91*AI91))/((1+$L$15)^AI91-1)*(1+((1+$L$15)^AI91-1))</f>
        <v>7760.7840126780848</v>
      </c>
      <c r="AK91" s="984">
        <f>SUM(AJ91:AJ94)</f>
        <v>18509.615203271176</v>
      </c>
    </row>
    <row r="92" spans="1:37" ht="19" customHeight="1">
      <c r="A92" s="676"/>
      <c r="B92" s="1769"/>
      <c r="C92" s="3876"/>
      <c r="D92" s="3853"/>
      <c r="E92" s="685" t="s">
        <v>308</v>
      </c>
      <c r="F92" s="1177">
        <f>$F$32</f>
        <v>1</v>
      </c>
      <c r="G92" s="1177">
        <f t="shared" ref="G92:G93" si="60">F711</f>
        <v>3.724962630792227</v>
      </c>
      <c r="H92" s="665">
        <f>I711</f>
        <v>1061.6143497757848</v>
      </c>
      <c r="I92" s="818" t="s">
        <v>65</v>
      </c>
      <c r="J92" s="666" t="str">
        <f>IF(K92=1,"Annual","Done every "&amp;K92&amp;" years")</f>
        <v>Annual</v>
      </c>
      <c r="K92" s="701">
        <f>K88</f>
        <v>1</v>
      </c>
      <c r="L92" s="668">
        <f t="shared" si="59"/>
        <v>80</v>
      </c>
      <c r="M92" s="667">
        <f t="shared" si="59"/>
        <v>1</v>
      </c>
      <c r="N92" s="665">
        <f>$H92*(1-(1+$L$15)^-(L92*M92))/((1+$L$15)^M92-1)*(1+((1+$L$15)^M92-1))</f>
        <v>26404.480091715235</v>
      </c>
      <c r="O92" s="680">
        <f>N92/(1+$L$15)*($L$15)/(1-(1+$L$15)^-$L$16)</f>
        <v>1061.6143497757839</v>
      </c>
      <c r="P92" s="720"/>
      <c r="Q92" s="2825">
        <f>1*(1-(1+$L$15)^-(L92*M92))/((1+$L$15)^M92-1)*(1+((1+$L$15)^M92-1))</f>
        <v>24.872007520708362</v>
      </c>
      <c r="R92" s="2825">
        <f>Q92/(1+$L$15)*($L$15)/(1-(1+$L$15)^-$L$16)</f>
        <v>0.99999999999999911</v>
      </c>
      <c r="S92" s="2825">
        <f>F92*R92</f>
        <v>0.99999999999999911</v>
      </c>
      <c r="T92" s="1036" t="s">
        <v>809</v>
      </c>
      <c r="U92" s="675">
        <f>O92/$U$16</f>
        <v>10.616143497757839</v>
      </c>
      <c r="V92" s="682" t="str">
        <f>IF($T92="L",SUM($U92:U92)*V$16,"")</f>
        <v/>
      </c>
      <c r="W92" s="682">
        <f>IF($U92="","",IF(OR($T92="L",$T92="T",$T92="C"),SUM($U92:V92)*W$16,""))</f>
        <v>1.0616143497757839</v>
      </c>
      <c r="X92" s="682">
        <f>IF($U92="","",SUM($U92:W92)*X$16)</f>
        <v>3.5033273542600871</v>
      </c>
      <c r="Y92" s="679">
        <f t="shared" si="56"/>
        <v>4.5649417040358706</v>
      </c>
      <c r="Z92" s="720"/>
      <c r="AA92" s="737">
        <f t="shared" si="57"/>
        <v>15.18108520179371</v>
      </c>
      <c r="AB92" s="678"/>
      <c r="AC92" s="935">
        <f t="shared" ca="1" si="58"/>
        <v>0.2358766913098061</v>
      </c>
      <c r="AD92" s="681"/>
      <c r="AE92" s="1070"/>
      <c r="AF92" s="587">
        <f>AF91</f>
        <v>68</v>
      </c>
      <c r="AG92" s="587"/>
      <c r="AH92" s="669">
        <f>$AH$16/K92</f>
        <v>5</v>
      </c>
      <c r="AI92" s="669">
        <f>$AH$16/AH92</f>
        <v>1</v>
      </c>
      <c r="AJ92" s="665">
        <f>$H92*(1-(1+$L$15)^-(AH92*AI92))/((1+$L$15)^AI92-1)*(1+((1+$L$15)^AI92-1))</f>
        <v>4915.163208029453</v>
      </c>
      <c r="AK92" s="984"/>
    </row>
    <row r="93" spans="1:37" ht="19" customHeight="1">
      <c r="A93" s="676"/>
      <c r="B93" s="1769"/>
      <c r="C93" s="3876"/>
      <c r="D93" s="3853"/>
      <c r="E93" s="685" t="s">
        <v>4</v>
      </c>
      <c r="F93" s="1177"/>
      <c r="G93" s="1177">
        <f t="shared" si="60"/>
        <v>6</v>
      </c>
      <c r="H93" s="665">
        <f>I712</f>
        <v>1260</v>
      </c>
      <c r="I93" s="818" t="s">
        <v>70</v>
      </c>
      <c r="J93" s="666" t="str">
        <f>IF(K93=1,"Annual","Done every "&amp;K93&amp;" years")</f>
        <v>Annual</v>
      </c>
      <c r="K93" s="701">
        <f>K89</f>
        <v>1</v>
      </c>
      <c r="L93" s="668">
        <f t="shared" si="59"/>
        <v>80</v>
      </c>
      <c r="M93" s="667">
        <f t="shared" si="59"/>
        <v>1</v>
      </c>
      <c r="N93" s="665">
        <f>$H93*(1-(1+$L$15)^-(L93*M93))/((1+$L$15)^M93-1)*(1+((1+$L$15)^M93-1))</f>
        <v>31338.729476092536</v>
      </c>
      <c r="O93" s="680">
        <f>N93/(1+$L$15)*($L$15)/(1-(1+$L$15)^-$L$16)</f>
        <v>1259.9999999999991</v>
      </c>
      <c r="P93" s="720"/>
      <c r="Q93" s="2825"/>
      <c r="R93" s="2825"/>
      <c r="S93" s="2825"/>
      <c r="T93" s="1036" t="s">
        <v>810</v>
      </c>
      <c r="U93" s="675">
        <f>O93/$U$16</f>
        <v>12.599999999999991</v>
      </c>
      <c r="V93" s="682" t="str">
        <f>IF($T93="L",SUM($U93:U93)*V$16,"")</f>
        <v/>
      </c>
      <c r="W93" s="682">
        <f>IF($U93="","",IF(OR($T93="L",$T93="T",$T93="C"),SUM($U93:V93)*W$16,""))</f>
        <v>1.2599999999999991</v>
      </c>
      <c r="X93" s="682">
        <f>IF($U93="","",SUM($U93:W93)*X$16)</f>
        <v>4.1579999999999968</v>
      </c>
      <c r="Y93" s="679">
        <f t="shared" si="56"/>
        <v>5.4179999999999957</v>
      </c>
      <c r="Z93" s="720"/>
      <c r="AA93" s="737">
        <f t="shared" si="57"/>
        <v>18.017999999999986</v>
      </c>
      <c r="AB93" s="678"/>
      <c r="AC93" s="935">
        <f t="shared" ca="1" si="58"/>
        <v>0.27995536337006555</v>
      </c>
      <c r="AD93" s="681"/>
      <c r="AE93" s="1070"/>
      <c r="AF93" s="587">
        <f>AF92</f>
        <v>68</v>
      </c>
      <c r="AG93" s="587"/>
      <c r="AH93" s="669">
        <f>$AH$16/K93</f>
        <v>5</v>
      </c>
      <c r="AI93" s="669">
        <f>$AH$16/AH93</f>
        <v>1</v>
      </c>
      <c r="AJ93" s="665">
        <f>$H93*(1-(1+$L$15)^-(AH93*AI93))/((1+$L$15)^AI93-1)*(1+((1+$L$15)^AI93-1))</f>
        <v>5833.6679825636384</v>
      </c>
      <c r="AK93" s="984"/>
    </row>
    <row r="94" spans="1:37" ht="19" customHeight="1">
      <c r="A94" s="676"/>
      <c r="B94" s="1773"/>
      <c r="C94" s="3877"/>
      <c r="D94" s="3854"/>
      <c r="E94" s="685" t="s">
        <v>21</v>
      </c>
      <c r="F94" s="1177"/>
      <c r="G94" s="1177"/>
      <c r="H94" s="665"/>
      <c r="I94" s="818"/>
      <c r="J94" s="666"/>
      <c r="K94" s="701"/>
      <c r="L94" s="668"/>
      <c r="M94" s="667"/>
      <c r="N94" s="665"/>
      <c r="O94" s="703"/>
      <c r="P94" s="718"/>
      <c r="Q94" s="3069"/>
      <c r="R94" s="3069"/>
      <c r="S94" s="3069"/>
      <c r="T94" s="1041" t="s">
        <v>811</v>
      </c>
      <c r="U94" s="704"/>
      <c r="V94" s="704" t="str">
        <f>IF($T94="L",SUM($U94:U94)*V$16,"")</f>
        <v/>
      </c>
      <c r="W94" s="704" t="str">
        <f>IF($U94="","",IF(OR($T94="L",$T94="T",$T94="C"),SUM($U94:V94)*W$16,""))</f>
        <v/>
      </c>
      <c r="X94" s="704" t="str">
        <f>IF($U94="","",SUM($U94:W94)*X$16)</f>
        <v/>
      </c>
      <c r="Y94" s="703" t="str">
        <f t="shared" si="56"/>
        <v/>
      </c>
      <c r="Z94" s="718"/>
      <c r="AA94" s="744" t="str">
        <f t="shared" si="57"/>
        <v/>
      </c>
      <c r="AB94" s="672"/>
      <c r="AC94" s="938" t="str">
        <f t="shared" ca="1" si="58"/>
        <v/>
      </c>
      <c r="AD94" s="823"/>
      <c r="AE94" s="1070"/>
      <c r="AF94" s="587">
        <f>AF93</f>
        <v>68</v>
      </c>
      <c r="AG94" s="587"/>
      <c r="AH94" s="669"/>
      <c r="AI94" s="669"/>
      <c r="AJ94" s="665"/>
      <c r="AK94" s="883"/>
    </row>
    <row r="95" spans="1:37" ht="19" customHeight="1">
      <c r="A95" s="656"/>
      <c r="B95" s="1767">
        <f>B91+0.1</f>
        <v>6.2999999999999989</v>
      </c>
      <c r="C95" s="3878" t="s">
        <v>203</v>
      </c>
      <c r="D95" s="3863" t="str">
        <f>D91</f>
        <v xml:space="preserve">Monitoring of action output. </v>
      </c>
      <c r="E95" s="686" t="s">
        <v>3</v>
      </c>
      <c r="F95" s="1178"/>
      <c r="G95" s="1178">
        <f>G710</f>
        <v>9.8415545590433489</v>
      </c>
      <c r="H95" s="645">
        <f>J710</f>
        <v>2214.3497757847535</v>
      </c>
      <c r="I95" s="820" t="s">
        <v>474</v>
      </c>
      <c r="J95" s="646" t="str">
        <f>IF(K95=1,"Annual","Done every "&amp;K95&amp;" years")</f>
        <v>Annual</v>
      </c>
      <c r="K95" s="705">
        <f>K91</f>
        <v>1</v>
      </c>
      <c r="L95" s="648">
        <f t="shared" ref="L95:M97" si="61">$L$16/K95</f>
        <v>80</v>
      </c>
      <c r="M95" s="647">
        <f t="shared" si="61"/>
        <v>1</v>
      </c>
      <c r="N95" s="645">
        <f>$H95*(1-(1+$L$15)^-(L95*M95))/((1+$L$15)^M95-1)*(1+((1+$L$15)^M95-1))</f>
        <v>55075.324276797262</v>
      </c>
      <c r="O95" s="660">
        <f>N95/(1+$L$15)*($L$15)/(1-(1+$L$15)^-$L$16)</f>
        <v>2214.3497757847517</v>
      </c>
      <c r="P95" s="722">
        <f>SUM(O95:O98)</f>
        <v>5296.7713004484267</v>
      </c>
      <c r="Q95" s="3070"/>
      <c r="R95" s="3070"/>
      <c r="S95" s="3070"/>
      <c r="T95" s="1037" t="s">
        <v>808</v>
      </c>
      <c r="U95" s="655">
        <f>O95/$U$16</f>
        <v>22.143497757847516</v>
      </c>
      <c r="V95" s="655">
        <f>IF($T95="L",SUM($U95:U95)*V$16,"")</f>
        <v>6.6430493273542544</v>
      </c>
      <c r="W95" s="655">
        <f>IF($U95="","",IF(OR($T95="L",$T95="T",$T95="C"),SUM($U95:V95)*W$16,""))</f>
        <v>2.8786547085201772</v>
      </c>
      <c r="X95" s="655">
        <f>IF($U95="","",SUM($U95:W95)*X$16)</f>
        <v>9.4995605381165849</v>
      </c>
      <c r="Y95" s="659">
        <f t="shared" si="56"/>
        <v>19.021264573991019</v>
      </c>
      <c r="Z95" s="722">
        <f>SUM(V95:X98)</f>
        <v>32.275677130044819</v>
      </c>
      <c r="AA95" s="740">
        <f t="shared" si="57"/>
        <v>41.164762331838531</v>
      </c>
      <c r="AB95" s="658">
        <f>SUM(AA95:AA98)</f>
        <v>85.243390134529079</v>
      </c>
      <c r="AC95" s="939">
        <f t="shared" ca="1" si="58"/>
        <v>0.48290855474979688</v>
      </c>
      <c r="AD95" s="654"/>
      <c r="AE95" s="1071"/>
      <c r="AF95" s="587">
        <f>AF91+4</f>
        <v>72</v>
      </c>
      <c r="AG95" s="816">
        <f ca="1">SUM(AC95:AC98)-1</f>
        <v>0</v>
      </c>
      <c r="AH95" s="649">
        <f>$AH$16/K95</f>
        <v>5</v>
      </c>
      <c r="AI95" s="649">
        <f>$AH$16/AH95</f>
        <v>1</v>
      </c>
      <c r="AJ95" s="645">
        <f>$H95*(1-(1+$L$15)^-(AH95*AI95))/((1+$L$15)^AI95-1)*(1+((1+$L$15)^AI95-1))</f>
        <v>10252.207451740071</v>
      </c>
      <c r="AK95" s="932">
        <f>SUM(AJ95:AJ98)</f>
        <v>24523.496147926966</v>
      </c>
    </row>
    <row r="96" spans="1:37" ht="19" customHeight="1">
      <c r="A96" s="656"/>
      <c r="B96" s="1770"/>
      <c r="C96" s="3879"/>
      <c r="D96" s="3864"/>
      <c r="E96" s="686" t="s">
        <v>308</v>
      </c>
      <c r="F96" s="1178">
        <f>$F$36</f>
        <v>1</v>
      </c>
      <c r="G96" s="1178">
        <f t="shared" ref="G96:G97" si="62">G711</f>
        <v>4.9207772795216744</v>
      </c>
      <c r="H96" s="645">
        <f>J711</f>
        <v>1402.4215246636772</v>
      </c>
      <c r="I96" s="820" t="s">
        <v>65</v>
      </c>
      <c r="J96" s="646" t="str">
        <f>IF(K96=1,"Annual","Done every "&amp;K96&amp;" years")</f>
        <v>Annual</v>
      </c>
      <c r="K96" s="705">
        <f>K92</f>
        <v>1</v>
      </c>
      <c r="L96" s="648">
        <f t="shared" si="61"/>
        <v>80</v>
      </c>
      <c r="M96" s="647">
        <f t="shared" si="61"/>
        <v>1</v>
      </c>
      <c r="N96" s="645">
        <f>$H96*(1-(1+$L$15)^-(L96*M96))/((1+$L$15)^M96-1)*(1+((1+$L$15)^M96-1))</f>
        <v>34881.038708638262</v>
      </c>
      <c r="O96" s="660">
        <f>N96/(1+$L$15)*($L$15)/(1-(1+$L$15)^-$L$16)</f>
        <v>1402.4215246636759</v>
      </c>
      <c r="P96" s="722"/>
      <c r="Q96" s="3070">
        <f>1*(1-(1+$L$15)^-(L96*M96))/((1+$L$15)^M96-1)*(1+((1+$L$15)^M96-1))</f>
        <v>24.872007520708362</v>
      </c>
      <c r="R96" s="3070">
        <f>Q96/(1+$L$15)*($L$15)/(1-(1+$L$15)^-$L$16)</f>
        <v>0.99999999999999911</v>
      </c>
      <c r="S96" s="3070">
        <f>F96*R96</f>
        <v>0.99999999999999911</v>
      </c>
      <c r="T96" s="1038" t="s">
        <v>809</v>
      </c>
      <c r="U96" s="655">
        <f>O96/$U$16</f>
        <v>14.024215246636759</v>
      </c>
      <c r="V96" s="662" t="str">
        <f>IF($T96="L",SUM($U96:U96)*V$16,"")</f>
        <v/>
      </c>
      <c r="W96" s="662">
        <f>IF($U96="","",IF(OR($T96="L",$T96="T",$T96="C"),SUM($U96:V96)*W$16,""))</f>
        <v>1.402421524663676</v>
      </c>
      <c r="X96" s="662">
        <f>IF($U96="","",SUM($U96:W96)*X$16)</f>
        <v>4.6279910313901302</v>
      </c>
      <c r="Y96" s="659">
        <f t="shared" si="56"/>
        <v>6.0304125560538058</v>
      </c>
      <c r="Z96" s="722"/>
      <c r="AA96" s="740">
        <f t="shared" si="57"/>
        <v>20.054627802690565</v>
      </c>
      <c r="AB96" s="658"/>
      <c r="AC96" s="939">
        <f t="shared" ca="1" si="58"/>
        <v>0.23526314205759333</v>
      </c>
      <c r="AD96" s="661"/>
      <c r="AE96" s="1071"/>
      <c r="AF96" s="587">
        <f>AF95</f>
        <v>72</v>
      </c>
      <c r="AG96" s="587"/>
      <c r="AH96" s="649">
        <f>$AH$16/K96</f>
        <v>5</v>
      </c>
      <c r="AI96" s="649">
        <f>$AH$16/AH96</f>
        <v>1</v>
      </c>
      <c r="AJ96" s="645">
        <f>$H96*(1-(1+$L$15)^-(AH96*AI96))/((1+$L$15)^AI96-1)*(1+((1+$L$15)^AI96-1))</f>
        <v>6493.0647194353778</v>
      </c>
      <c r="AK96" s="932"/>
    </row>
    <row r="97" spans="1:37" ht="19" customHeight="1">
      <c r="A97" s="656"/>
      <c r="B97" s="1770"/>
      <c r="C97" s="3879"/>
      <c r="D97" s="3864"/>
      <c r="E97" s="686" t="s">
        <v>4</v>
      </c>
      <c r="F97" s="1178"/>
      <c r="G97" s="1178">
        <f t="shared" si="62"/>
        <v>8</v>
      </c>
      <c r="H97" s="645">
        <f>J712</f>
        <v>1680</v>
      </c>
      <c r="I97" s="820" t="s">
        <v>70</v>
      </c>
      <c r="J97" s="646" t="str">
        <f>IF(K97=1,"Annual","Done every "&amp;K97&amp;" years")</f>
        <v>Annual</v>
      </c>
      <c r="K97" s="705">
        <f>K93</f>
        <v>1</v>
      </c>
      <c r="L97" s="648">
        <f t="shared" si="61"/>
        <v>80</v>
      </c>
      <c r="M97" s="647">
        <f t="shared" si="61"/>
        <v>1</v>
      </c>
      <c r="N97" s="645">
        <f>$H97*(1-(1+$L$15)^-(L97*M97))/((1+$L$15)^M97-1)*(1+((1+$L$15)^M97-1))</f>
        <v>41784.972634790051</v>
      </c>
      <c r="O97" s="660">
        <f>N97/(1+$L$15)*($L$15)/(1-(1+$L$15)^-$L$16)</f>
        <v>1679.9999999999986</v>
      </c>
      <c r="P97" s="722"/>
      <c r="Q97" s="3070"/>
      <c r="R97" s="3070"/>
      <c r="S97" s="3070"/>
      <c r="T97" s="1038" t="s">
        <v>810</v>
      </c>
      <c r="U97" s="655">
        <f>O97/$U$16</f>
        <v>16.799999999999986</v>
      </c>
      <c r="V97" s="662" t="str">
        <f>IF($T97="L",SUM($U97:U97)*V$16,"")</f>
        <v/>
      </c>
      <c r="W97" s="662">
        <f>IF($U97="","",IF(OR($T97="L",$T97="T",$T97="C"),SUM($U97:V97)*W$16,""))</f>
        <v>1.6799999999999988</v>
      </c>
      <c r="X97" s="662">
        <f>IF($U97="","",SUM($U97:W97)*X$16)</f>
        <v>5.543999999999996</v>
      </c>
      <c r="Y97" s="659">
        <f t="shared" si="56"/>
        <v>7.2239999999999949</v>
      </c>
      <c r="Z97" s="722"/>
      <c r="AA97" s="740">
        <f t="shared" si="57"/>
        <v>24.02399999999998</v>
      </c>
      <c r="AB97" s="658"/>
      <c r="AC97" s="939">
        <f t="shared" ca="1" si="58"/>
        <v>0.28182830319260976</v>
      </c>
      <c r="AD97" s="661"/>
      <c r="AE97" s="1071"/>
      <c r="AF97" s="587">
        <f>AF96</f>
        <v>72</v>
      </c>
      <c r="AG97" s="587"/>
      <c r="AH97" s="649">
        <f>$AH$16/K97</f>
        <v>5</v>
      </c>
      <c r="AI97" s="649">
        <f>$AH$16/AH97</f>
        <v>1</v>
      </c>
      <c r="AJ97" s="645">
        <f>$H97*(1-(1+$L$15)^-(AH97*AI97))/((1+$L$15)^AI97-1)*(1+((1+$L$15)^AI97-1))</f>
        <v>7778.2239767515175</v>
      </c>
      <c r="AK97" s="932"/>
    </row>
    <row r="98" spans="1:37" ht="19" customHeight="1">
      <c r="A98" s="656"/>
      <c r="B98" s="706"/>
      <c r="C98" s="3880"/>
      <c r="D98" s="3865"/>
      <c r="E98" s="686" t="s">
        <v>21</v>
      </c>
      <c r="F98" s="1178"/>
      <c r="G98" s="1178"/>
      <c r="H98" s="645"/>
      <c r="I98" s="820"/>
      <c r="J98" s="646"/>
      <c r="K98" s="705"/>
      <c r="L98" s="648"/>
      <c r="M98" s="647"/>
      <c r="N98" s="645"/>
      <c r="O98" s="707"/>
      <c r="P98" s="719"/>
      <c r="Q98" s="3071"/>
      <c r="R98" s="3071"/>
      <c r="S98" s="3071"/>
      <c r="T98" s="1042" t="s">
        <v>811</v>
      </c>
      <c r="U98" s="708"/>
      <c r="V98" s="708" t="str">
        <f>IF($T98="L",SUM($U98:U98)*V$16,"")</f>
        <v/>
      </c>
      <c r="W98" s="708" t="str">
        <f>IF($U98="","",IF(OR($T98="L",$T98="T",$T98="C"),SUM($U98:V98)*W$16,""))</f>
        <v/>
      </c>
      <c r="X98" s="708" t="str">
        <f>IF($U98="","",SUM($U98:W98)*X$16)</f>
        <v/>
      </c>
      <c r="Y98" s="707" t="str">
        <f t="shared" si="56"/>
        <v/>
      </c>
      <c r="Z98" s="719"/>
      <c r="AA98" s="745" t="str">
        <f t="shared" si="57"/>
        <v/>
      </c>
      <c r="AB98" s="652"/>
      <c r="AC98" s="940" t="str">
        <f t="shared" ca="1" si="58"/>
        <v/>
      </c>
      <c r="AD98" s="824"/>
      <c r="AE98" s="1071"/>
      <c r="AF98" s="587">
        <f>AF97</f>
        <v>72</v>
      </c>
      <c r="AG98" s="587"/>
      <c r="AH98" s="649"/>
      <c r="AI98" s="649"/>
      <c r="AJ98" s="645"/>
      <c r="AK98" s="884"/>
    </row>
    <row r="99" spans="1:37" ht="19" customHeight="1">
      <c r="B99" s="1771">
        <v>7</v>
      </c>
      <c r="C99" s="1782" t="s">
        <v>397</v>
      </c>
      <c r="D99" s="3847" t="s">
        <v>192</v>
      </c>
      <c r="E99" s="12" t="s">
        <v>3</v>
      </c>
      <c r="F99" s="1172"/>
      <c r="G99" s="1172">
        <f>$E$740</f>
        <v>15</v>
      </c>
      <c r="H99" s="188">
        <f>F740</f>
        <v>5062.5</v>
      </c>
      <c r="I99" s="1088" t="str">
        <f>G740</f>
        <v>Cost for reporting, analysis and feedback</v>
      </c>
      <c r="J99" s="377" t="str">
        <f>IF(K99=1,"Annual","Done every "&amp;K99&amp;" years")</f>
        <v>Annual</v>
      </c>
      <c r="K99" s="586">
        <f>$D$728</f>
        <v>1</v>
      </c>
      <c r="L99" s="158">
        <f>$L$16/K99</f>
        <v>80</v>
      </c>
      <c r="M99" s="586">
        <f>$L$16/L99</f>
        <v>1</v>
      </c>
      <c r="N99" s="188">
        <f>$H99*(1-(1+$L$15)^-(L99*M99))/((1+$L$15)^M99-1)*(1+((1+$L$15)^M99-1))</f>
        <v>125914.53807358607</v>
      </c>
      <c r="O99" s="242">
        <f>N99/(1+$L$15)*($L$15)/(1-(1+$L$15)^-$L$16)</f>
        <v>5062.4999999999955</v>
      </c>
      <c r="P99" s="192">
        <f>SUM(O99:O102)</f>
        <v>5062.4999999999955</v>
      </c>
      <c r="Q99" s="2817"/>
      <c r="R99" s="2817"/>
      <c r="S99" s="2817"/>
      <c r="T99" s="1039" t="s">
        <v>808</v>
      </c>
      <c r="U99" s="583">
        <f>O99/$U$16</f>
        <v>50.624999999999957</v>
      </c>
      <c r="V99" s="583">
        <f>IF($T99="L",SUM($U99:U99)*V$16,"")</f>
        <v>15.187499999999986</v>
      </c>
      <c r="W99" s="1474"/>
      <c r="X99" s="583">
        <f>IF($U99="","",SUM($U99:W99)*X$16)</f>
        <v>19.743749999999981</v>
      </c>
      <c r="Y99" s="240">
        <f t="shared" si="56"/>
        <v>34.931249999999963</v>
      </c>
      <c r="Z99" s="192">
        <f>SUM(V99:X102)</f>
        <v>34.931249999999963</v>
      </c>
      <c r="AA99" s="742">
        <f t="shared" si="57"/>
        <v>85.55624999999992</v>
      </c>
      <c r="AB99" s="192">
        <f>SUM(AA99:AA102)</f>
        <v>85.55624999999992</v>
      </c>
      <c r="AC99" s="727">
        <f t="shared" ca="1" si="58"/>
        <v>1</v>
      </c>
      <c r="AD99" s="589"/>
      <c r="AE99" s="573"/>
      <c r="AF99" s="587">
        <f>AF95+4</f>
        <v>76</v>
      </c>
      <c r="AG99" s="816">
        <f ca="1">SUM(AC99:AC102)-1</f>
        <v>0</v>
      </c>
      <c r="AH99" s="13">
        <f>$AH$16/K99</f>
        <v>5</v>
      </c>
      <c r="AI99" s="13">
        <f>$AH$16/AH99</f>
        <v>1</v>
      </c>
      <c r="AJ99" s="188">
        <f>$H99*(1-(1+$L$15)^-(AH99*AI99))/((1+$L$15)^AI99-1)*(1+((1+$L$15)^AI99-1))</f>
        <v>23438.844572800335</v>
      </c>
      <c r="AK99" s="191">
        <f>SUM(AJ99:AJ102)</f>
        <v>23438.844572800335</v>
      </c>
    </row>
    <row r="100" spans="1:37" ht="19" customHeight="1">
      <c r="B100" s="261"/>
      <c r="C100" s="1783"/>
      <c r="D100" s="3848"/>
      <c r="E100" s="12" t="s">
        <v>308</v>
      </c>
      <c r="F100" s="1172"/>
      <c r="G100" s="1172"/>
      <c r="H100" s="188"/>
      <c r="I100" s="921"/>
      <c r="J100" s="377"/>
      <c r="K100" s="586"/>
      <c r="L100" s="158"/>
      <c r="M100" s="586"/>
      <c r="N100" s="188"/>
      <c r="O100" s="242"/>
      <c r="P100" s="194"/>
      <c r="Q100" s="2819">
        <v>0</v>
      </c>
      <c r="R100" s="2819">
        <v>0</v>
      </c>
      <c r="S100" s="2819">
        <v>0</v>
      </c>
      <c r="T100" s="1034" t="s">
        <v>809</v>
      </c>
      <c r="U100" s="585"/>
      <c r="V100" s="585" t="str">
        <f>IF($T100="L",SUM($U100:U100)*V$16,"")</f>
        <v/>
      </c>
      <c r="W100" s="1475"/>
      <c r="X100" s="585" t="str">
        <f>IF($U100="","",SUM($U100:W100)*X$16)</f>
        <v/>
      </c>
      <c r="Y100" s="242" t="str">
        <f t="shared" si="56"/>
        <v/>
      </c>
      <c r="Z100" s="194"/>
      <c r="AA100" s="733" t="str">
        <f t="shared" si="57"/>
        <v/>
      </c>
      <c r="AB100" s="194"/>
      <c r="AC100" s="728" t="str">
        <f t="shared" ca="1" si="58"/>
        <v/>
      </c>
      <c r="AD100" s="589"/>
      <c r="AE100" s="1072"/>
      <c r="AF100" s="587">
        <f>AF99</f>
        <v>76</v>
      </c>
      <c r="AG100" s="587"/>
      <c r="AH100" s="13"/>
      <c r="AI100" s="13"/>
      <c r="AJ100" s="209"/>
      <c r="AK100" s="342"/>
    </row>
    <row r="101" spans="1:37" ht="19" customHeight="1">
      <c r="B101" s="261"/>
      <c r="C101" s="1783"/>
      <c r="D101" s="3848"/>
      <c r="E101" s="12" t="s">
        <v>4</v>
      </c>
      <c r="F101" s="1172"/>
      <c r="G101" s="1172"/>
      <c r="H101" s="188"/>
      <c r="I101" s="921"/>
      <c r="J101" s="377"/>
      <c r="K101" s="586"/>
      <c r="L101" s="158"/>
      <c r="M101" s="586"/>
      <c r="N101" s="188"/>
      <c r="O101" s="241"/>
      <c r="P101" s="210"/>
      <c r="Q101" s="2819"/>
      <c r="R101" s="2819"/>
      <c r="S101" s="2819"/>
      <c r="T101" s="1034" t="s">
        <v>810</v>
      </c>
      <c r="U101" s="584"/>
      <c r="V101" s="584" t="str">
        <f>IF($T101="L",SUM($U101:U101)*V$16,"")</f>
        <v/>
      </c>
      <c r="W101" s="1475"/>
      <c r="X101" s="584" t="str">
        <f>IF($U101="","",SUM($U101:W101)*X$16)</f>
        <v/>
      </c>
      <c r="Y101" s="241" t="str">
        <f t="shared" si="56"/>
        <v/>
      </c>
      <c r="Z101" s="210"/>
      <c r="AA101" s="746" t="str">
        <f t="shared" si="57"/>
        <v/>
      </c>
      <c r="AB101" s="210"/>
      <c r="AC101" s="732" t="str">
        <f t="shared" ca="1" si="58"/>
        <v/>
      </c>
      <c r="AD101" s="815"/>
      <c r="AE101" s="1072"/>
      <c r="AF101" s="587">
        <f>AF100</f>
        <v>76</v>
      </c>
      <c r="AG101" s="587"/>
      <c r="AH101" s="13"/>
      <c r="AI101" s="13"/>
      <c r="AJ101" s="188"/>
      <c r="AK101" s="477"/>
    </row>
    <row r="102" spans="1:37" ht="19" customHeight="1" thickBot="1">
      <c r="B102" s="261"/>
      <c r="C102" s="1784"/>
      <c r="D102" s="3849"/>
      <c r="E102" s="12" t="s">
        <v>21</v>
      </c>
      <c r="F102" s="1172"/>
      <c r="G102" s="1172"/>
      <c r="H102" s="188"/>
      <c r="I102" s="921"/>
      <c r="J102" s="377"/>
      <c r="K102" s="11"/>
      <c r="L102" s="1046"/>
      <c r="M102" s="1047"/>
      <c r="N102" s="1048"/>
      <c r="O102" s="726"/>
      <c r="P102" s="725"/>
      <c r="Q102" s="2858"/>
      <c r="R102" s="2858"/>
      <c r="S102" s="2858"/>
      <c r="T102" s="1040" t="s">
        <v>811</v>
      </c>
      <c r="U102" s="724"/>
      <c r="V102" s="724" t="str">
        <f>IF($T102="L",SUM($U102:U102)*V$16,"")</f>
        <v/>
      </c>
      <c r="W102" s="1478"/>
      <c r="X102" s="724" t="str">
        <f>IF($U102="","",SUM($U102:W102)*X$16)</f>
        <v/>
      </c>
      <c r="Y102" s="726" t="str">
        <f t="shared" si="56"/>
        <v/>
      </c>
      <c r="Z102" s="725"/>
      <c r="AA102" s="747" t="str">
        <f t="shared" si="57"/>
        <v/>
      </c>
      <c r="AB102" s="725"/>
      <c r="AC102" s="767" t="str">
        <f t="shared" ca="1" si="58"/>
        <v/>
      </c>
      <c r="AD102" s="1073"/>
      <c r="AE102" s="1074"/>
      <c r="AF102" s="587">
        <f>AF101</f>
        <v>76</v>
      </c>
      <c r="AG102" s="587"/>
      <c r="AH102" s="13"/>
      <c r="AI102" s="13"/>
      <c r="AJ102" s="188"/>
      <c r="AK102" s="478"/>
    </row>
    <row r="103" spans="1:37">
      <c r="C103" s="24"/>
      <c r="D103" s="238"/>
      <c r="E103"/>
      <c r="F103" s="359"/>
      <c r="H103" s="6"/>
      <c r="I103" s="359"/>
      <c r="U103" s="5"/>
    </row>
    <row r="104" spans="1:37">
      <c r="C104" s="24"/>
      <c r="D104" s="238"/>
      <c r="E104"/>
      <c r="F104" s="359"/>
      <c r="H104" s="6"/>
      <c r="I104" s="359"/>
      <c r="U104" s="5"/>
    </row>
    <row r="105" spans="1:37">
      <c r="C105" s="24"/>
      <c r="D105" s="238"/>
      <c r="E105"/>
      <c r="F105" s="359"/>
      <c r="H105" s="6"/>
      <c r="I105" s="359"/>
      <c r="U105" s="5"/>
    </row>
    <row r="106" spans="1:37">
      <c r="C106" s="24"/>
      <c r="D106" s="238"/>
      <c r="E106"/>
      <c r="F106" s="359"/>
      <c r="H106" s="6"/>
      <c r="I106" s="359"/>
      <c r="U106" s="5"/>
    </row>
    <row r="107" spans="1:37">
      <c r="C107" s="24"/>
      <c r="D107" s="238"/>
      <c r="E107"/>
      <c r="F107" s="359"/>
      <c r="H107" s="6"/>
      <c r="I107" s="359"/>
      <c r="U107" s="5"/>
    </row>
    <row r="108" spans="1:37">
      <c r="C108" s="24"/>
      <c r="D108" s="238" t="s">
        <v>299</v>
      </c>
      <c r="E108"/>
      <c r="F108" s="359"/>
      <c r="H108" s="6"/>
      <c r="I108" s="359"/>
      <c r="U108" s="5"/>
    </row>
    <row r="109" spans="1:37">
      <c r="C109" s="24"/>
      <c r="D109" s="238"/>
      <c r="E109"/>
      <c r="F109" s="359"/>
      <c r="H109" s="6"/>
      <c r="I109" s="359"/>
      <c r="U109" s="5"/>
    </row>
    <row r="110" spans="1:37">
      <c r="C110" s="24"/>
      <c r="D110" s="238"/>
      <c r="E110"/>
      <c r="F110" s="359"/>
      <c r="H110" s="6"/>
      <c r="I110" s="359"/>
      <c r="U110" s="5"/>
    </row>
    <row r="111" spans="1:37">
      <c r="C111" s="24"/>
      <c r="D111" s="238"/>
      <c r="E111"/>
      <c r="F111" s="359"/>
      <c r="H111" s="6"/>
      <c r="I111" s="359"/>
      <c r="U111" s="5"/>
    </row>
    <row r="112" spans="1:37" s="7" customFormat="1">
      <c r="E112" s="36"/>
      <c r="G112" s="1089"/>
    </row>
    <row r="113" spans="3:7" s="9" customFormat="1">
      <c r="C113" s="120" t="s">
        <v>57</v>
      </c>
      <c r="D113" s="34" t="s">
        <v>1054</v>
      </c>
      <c r="E113" s="34"/>
      <c r="G113" s="572"/>
    </row>
    <row r="114" spans="3:7" s="9" customFormat="1">
      <c r="D114" s="592" t="s">
        <v>237</v>
      </c>
      <c r="E114" s="970"/>
      <c r="G114" s="572"/>
    </row>
    <row r="115" spans="3:7" s="9" customFormat="1">
      <c r="D115" s="332" t="s">
        <v>91</v>
      </c>
      <c r="E115" s="43"/>
      <c r="F115" s="24"/>
      <c r="G115" s="359"/>
    </row>
    <row r="116" spans="3:7" s="9" customFormat="1">
      <c r="D116" s="135">
        <f>'Overall Assumptions'!$C$6</f>
        <v>100</v>
      </c>
      <c r="E116" s="246" t="s">
        <v>967</v>
      </c>
      <c r="F116"/>
      <c r="G116" s="359"/>
    </row>
    <row r="117" spans="3:7" s="9" customFormat="1">
      <c r="D117" s="332">
        <f>'Overall Assumptions'!$C$115</f>
        <v>3</v>
      </c>
      <c r="E117" s="131" t="str">
        <f>'Overall Assumptions'!$D$115</f>
        <v>weeks</v>
      </c>
      <c r="F117"/>
      <c r="G117" s="359"/>
    </row>
    <row r="118" spans="3:7" s="9" customFormat="1">
      <c r="C118" s="105"/>
      <c r="D118" s="332">
        <f>'Overall Assumptions'!$C$116</f>
        <v>15</v>
      </c>
      <c r="E118" s="131" t="str">
        <f>'Overall Assumptions'!$D$116</f>
        <v>days</v>
      </c>
      <c r="F118"/>
      <c r="G118" s="359"/>
    </row>
    <row r="119" spans="3:7" s="9" customFormat="1">
      <c r="C119" s="105"/>
      <c r="D119" s="332"/>
      <c r="E119" s="43"/>
      <c r="F119"/>
      <c r="G119" s="359"/>
    </row>
    <row r="120" spans="3:7" s="9" customFormat="1">
      <c r="C120" s="105"/>
      <c r="D120" s="268">
        <v>1</v>
      </c>
      <c r="E120" s="43" t="s">
        <v>245</v>
      </c>
      <c r="F120"/>
      <c r="G120" s="359"/>
    </row>
    <row r="121" spans="3:7" s="9" customFormat="1">
      <c r="C121" s="105"/>
      <c r="D121" s="332"/>
      <c r="E121" s="43"/>
      <c r="F121"/>
      <c r="G121" s="359"/>
    </row>
    <row r="122" spans="3:7" s="9" customFormat="1">
      <c r="C122" s="105"/>
      <c r="D122" s="332"/>
      <c r="E122" s="43"/>
      <c r="F122"/>
      <c r="G122" s="359"/>
    </row>
    <row r="123" spans="3:7" s="9" customFormat="1">
      <c r="C123" s="105"/>
      <c r="D123" s="332" t="str">
        <f>'Overall Assumptions'!$D$76</f>
        <v>Daily rate (AUD) for labour assuming 7.5 hours/day</v>
      </c>
      <c r="E123" s="246"/>
      <c r="F123"/>
      <c r="G123" s="359"/>
    </row>
    <row r="124" spans="3:7" s="9" customFormat="1">
      <c r="D124" s="614">
        <f>'Overall Assumptions'!$C$68</f>
        <v>225</v>
      </c>
      <c r="E124" s="246" t="str">
        <f>'Overall Assumptions'!$B$67</f>
        <v>Labour 1- APS Low (Entry lvl)</v>
      </c>
      <c r="F124"/>
      <c r="G124" s="359"/>
    </row>
    <row r="125" spans="3:7" s="9" customFormat="1">
      <c r="D125" s="399">
        <f>'Overall Assumptions'!$C$72</f>
        <v>337.5</v>
      </c>
      <c r="E125" s="530" t="str">
        <f>'Overall Assumptions'!$B$71</f>
        <v>Labour 2 - APS High (Experienced)</v>
      </c>
      <c r="F125"/>
      <c r="G125" s="359"/>
    </row>
    <row r="126" spans="3:7" s="9" customFormat="1">
      <c r="D126" s="112">
        <f>'Overall Assumptions'!$C$76</f>
        <v>487.5</v>
      </c>
      <c r="E126" s="45" t="str">
        <f>'Overall Assumptions'!$B$75</f>
        <v>Labour 3 - EL (Management)</v>
      </c>
      <c r="F126"/>
      <c r="G126" s="359"/>
    </row>
    <row r="127" spans="3:7" s="9" customFormat="1">
      <c r="D127" s="33"/>
      <c r="E127" s="16"/>
      <c r="F127"/>
      <c r="G127" s="359"/>
    </row>
    <row r="128" spans="3:7" s="9" customFormat="1">
      <c r="D128" s="531"/>
      <c r="E128" s="33"/>
      <c r="F128"/>
      <c r="G128" s="359"/>
    </row>
    <row r="129" spans="3:8" s="9" customFormat="1">
      <c r="D129" s="912"/>
      <c r="E129" s="16"/>
      <c r="F129"/>
      <c r="G129" s="359"/>
    </row>
    <row r="130" spans="3:8" s="9" customFormat="1">
      <c r="D130" s="33"/>
      <c r="E130" s="16"/>
      <c r="F130"/>
      <c r="G130" s="359"/>
    </row>
    <row r="131" spans="3:8" s="9" customFormat="1">
      <c r="D131" s="33"/>
      <c r="E131" s="16"/>
      <c r="F131"/>
      <c r="G131" s="359"/>
    </row>
    <row r="132" spans="3:8" s="9" customFormat="1">
      <c r="D132" s="175"/>
      <c r="E132" s="164" t="s">
        <v>155</v>
      </c>
      <c r="F132" s="255" t="s">
        <v>166</v>
      </c>
      <c r="G132" s="1090" t="s">
        <v>69</v>
      </c>
      <c r="H132" s="108"/>
    </row>
    <row r="133" spans="3:8" s="9" customFormat="1">
      <c r="D133" s="405" t="s">
        <v>3</v>
      </c>
      <c r="E133" s="509">
        <f>D118</f>
        <v>15</v>
      </c>
      <c r="F133" s="321">
        <f>D118*D125</f>
        <v>5062.5</v>
      </c>
      <c r="G133" s="1091" t="s">
        <v>162</v>
      </c>
      <c r="H133" s="323"/>
    </row>
    <row r="134" spans="3:8" s="9" customFormat="1">
      <c r="D134" s="105"/>
      <c r="E134" s="34"/>
      <c r="G134" s="572"/>
    </row>
    <row r="135" spans="3:8" s="7" customFormat="1">
      <c r="D135" s="977"/>
      <c r="E135" s="35"/>
      <c r="G135" s="1089"/>
    </row>
    <row r="136" spans="3:8" s="7" customFormat="1">
      <c r="D136" s="35"/>
      <c r="E136" s="36"/>
      <c r="G136" s="1089"/>
    </row>
    <row r="137" spans="3:8">
      <c r="C137" s="8" t="s">
        <v>1001</v>
      </c>
      <c r="D137" s="16" t="s">
        <v>163</v>
      </c>
    </row>
    <row r="138" spans="3:8">
      <c r="D138" t="s">
        <v>168</v>
      </c>
    </row>
    <row r="139" spans="3:8">
      <c r="D139" t="s">
        <v>1375</v>
      </c>
      <c r="E139"/>
    </row>
    <row r="140" spans="3:8">
      <c r="D140"/>
      <c r="E140"/>
    </row>
    <row r="141" spans="3:8">
      <c r="D141" s="455"/>
      <c r="E141"/>
    </row>
    <row r="142" spans="3:8" ht="17">
      <c r="D142" s="456"/>
      <c r="E142"/>
    </row>
    <row r="143" spans="3:8">
      <c r="D143" s="455"/>
      <c r="E143"/>
    </row>
    <row r="144" spans="3:8">
      <c r="D144"/>
      <c r="E144"/>
    </row>
    <row r="145" spans="4:8">
      <c r="D145" s="592" t="s">
        <v>179</v>
      </c>
      <c r="E145" s="274"/>
    </row>
    <row r="146" spans="4:8">
      <c r="D146" s="974">
        <f>'Overall Assumptions'!$C$6</f>
        <v>100</v>
      </c>
      <c r="E146" s="246" t="s">
        <v>451</v>
      </c>
    </row>
    <row r="147" spans="4:8">
      <c r="D147" s="408">
        <f>'Overall Assumptions'!$C$120</f>
        <v>0.3</v>
      </c>
      <c r="E147" s="483" t="str">
        <f>'Overall Assumptions'!$D$120</f>
        <v>Percentage of field that needs to be surveyed (ground)</v>
      </c>
    </row>
    <row r="148" spans="4:8">
      <c r="D148" s="332">
        <f>D146*D147</f>
        <v>30</v>
      </c>
      <c r="E148" s="483" t="s">
        <v>450</v>
      </c>
    </row>
    <row r="149" spans="4:8">
      <c r="D149" s="447">
        <v>1</v>
      </c>
      <c r="E149" s="483" t="s">
        <v>246</v>
      </c>
    </row>
    <row r="150" spans="4:8">
      <c r="D150" s="482">
        <f>'Overall Assumptions'!$C$132</f>
        <v>0.5</v>
      </c>
      <c r="E150" s="43" t="s">
        <v>79</v>
      </c>
    </row>
    <row r="151" spans="4:8">
      <c r="D151" s="54">
        <f>D148/D150</f>
        <v>60</v>
      </c>
      <c r="E151" s="483" t="s">
        <v>972</v>
      </c>
    </row>
    <row r="152" spans="4:8">
      <c r="D152" s="42">
        <f>'Overall Assumptions'!$C$53</f>
        <v>4.46</v>
      </c>
      <c r="E152" s="631" t="s">
        <v>780</v>
      </c>
    </row>
    <row r="153" spans="4:8">
      <c r="D153" s="42">
        <f>'Overall Assumptions'!$C$54</f>
        <v>3.3449999999999998</v>
      </c>
      <c r="E153" s="631" t="s">
        <v>781</v>
      </c>
    </row>
    <row r="154" spans="4:8">
      <c r="D154" s="125">
        <f>'Overall Assumptions'!$C$55</f>
        <v>2.23</v>
      </c>
      <c r="E154" s="635" t="s">
        <v>782</v>
      </c>
    </row>
    <row r="156" spans="4:8">
      <c r="D156" s="25"/>
    </row>
    <row r="157" spans="4:8">
      <c r="D157" s="151" t="s">
        <v>179</v>
      </c>
      <c r="E157" s="164"/>
      <c r="F157" s="255"/>
      <c r="G157" s="1090"/>
      <c r="H157" s="161"/>
    </row>
    <row r="158" spans="4:8">
      <c r="D158" s="444">
        <f>10/60</f>
        <v>0.16666666666666666</v>
      </c>
      <c r="E158" s="443" t="s">
        <v>447</v>
      </c>
      <c r="F158" s="465"/>
      <c r="G158" s="1097"/>
      <c r="H158" s="466"/>
    </row>
    <row r="159" spans="4:8">
      <c r="D159" s="332">
        <f>D148/D150</f>
        <v>60</v>
      </c>
      <c r="E159" s="16" t="s">
        <v>253</v>
      </c>
      <c r="H159" s="246"/>
    </row>
    <row r="160" spans="4:8">
      <c r="D160" s="154">
        <f>D158*D159</f>
        <v>10</v>
      </c>
      <c r="E160" s="333" t="s">
        <v>985</v>
      </c>
      <c r="F160" s="439"/>
      <c r="G160" s="1098"/>
      <c r="H160" s="162"/>
    </row>
    <row r="161" spans="3:12">
      <c r="D161" s="152"/>
      <c r="H161" s="246"/>
    </row>
    <row r="162" spans="3:12">
      <c r="D162"/>
      <c r="E162"/>
    </row>
    <row r="163" spans="3:12">
      <c r="D163"/>
      <c r="E163"/>
    </row>
    <row r="164" spans="3:12">
      <c r="D164"/>
      <c r="K164" s="1774"/>
      <c r="L164" s="1774"/>
    </row>
    <row r="165" spans="3:12">
      <c r="D165" s="825"/>
      <c r="E165" s="825"/>
    </row>
    <row r="166" spans="3:12">
      <c r="D166"/>
      <c r="E166"/>
      <c r="F166" s="432"/>
      <c r="G166" s="1099"/>
    </row>
    <row r="167" spans="3:12" ht="19">
      <c r="C167" t="s">
        <v>50</v>
      </c>
      <c r="D167" s="37" t="s">
        <v>81</v>
      </c>
      <c r="E167" s="24"/>
      <c r="F167" s="1"/>
      <c r="G167" s="1100"/>
      <c r="H167" s="3"/>
      <c r="I167" s="3"/>
      <c r="J167" s="3"/>
    </row>
    <row r="168" spans="3:12">
      <c r="F168" s="1"/>
      <c r="G168" s="1100"/>
      <c r="H168" s="3"/>
      <c r="I168" s="3"/>
      <c r="J168" s="3"/>
    </row>
    <row r="169" spans="3:12">
      <c r="D169" s="160" t="s">
        <v>408</v>
      </c>
    </row>
    <row r="171" spans="3:12">
      <c r="D171" s="50"/>
    </row>
    <row r="172" spans="3:12">
      <c r="D172" s="51" t="s">
        <v>82</v>
      </c>
      <c r="E172" s="273"/>
      <c r="F172" s="274"/>
    </row>
    <row r="173" spans="3:12" ht="19">
      <c r="D173" s="54">
        <f>'Overall Assumptions'!$C$68</f>
        <v>225</v>
      </c>
      <c r="E173" s="1215" t="s">
        <v>99</v>
      </c>
      <c r="F173" s="246"/>
    </row>
    <row r="174" spans="3:12">
      <c r="D174" s="54">
        <f>'Overall Assumptions'!$C$130</f>
        <v>2</v>
      </c>
      <c r="E174" s="76" t="s">
        <v>84</v>
      </c>
      <c r="F174" s="246"/>
    </row>
    <row r="175" spans="3:12">
      <c r="D175" s="152"/>
      <c r="E175" s="76"/>
      <c r="F175" s="246"/>
    </row>
    <row r="176" spans="3:12">
      <c r="D176" s="42">
        <f>'Overall Assumptions'!$C$53</f>
        <v>4.46</v>
      </c>
      <c r="E176" s="629" t="s">
        <v>780</v>
      </c>
      <c r="F176" s="246"/>
    </row>
    <row r="177" spans="3:10">
      <c r="D177" s="42">
        <f>'Overall Assumptions'!$C$54</f>
        <v>3.3449999999999998</v>
      </c>
      <c r="E177" s="629" t="s">
        <v>781</v>
      </c>
      <c r="F177" s="246"/>
    </row>
    <row r="178" spans="3:10">
      <c r="D178" s="42">
        <f>'Overall Assumptions'!$C$55</f>
        <v>2.23</v>
      </c>
      <c r="E178" s="629" t="s">
        <v>782</v>
      </c>
      <c r="F178" s="246"/>
    </row>
    <row r="179" spans="3:10">
      <c r="D179" s="616"/>
      <c r="E179" s="833"/>
      <c r="F179" s="246"/>
    </row>
    <row r="180" spans="3:10">
      <c r="D180" s="467">
        <f>D151</f>
        <v>60</v>
      </c>
      <c r="E180" s="1216" t="str">
        <f>E151</f>
        <v>Effective distance to be walked along</v>
      </c>
      <c r="F180" s="246"/>
    </row>
    <row r="181" spans="3:10">
      <c r="D181" s="467"/>
      <c r="E181" s="76"/>
      <c r="F181" s="246"/>
    </row>
    <row r="182" spans="3:10">
      <c r="D182" s="468">
        <f>D160/7.5</f>
        <v>1.3333333333333333</v>
      </c>
      <c r="E182" s="76" t="s">
        <v>464</v>
      </c>
      <c r="F182" s="246"/>
    </row>
    <row r="183" spans="3:10">
      <c r="D183" s="54">
        <f>'Overall Assumptions'!$C$10</f>
        <v>0</v>
      </c>
      <c r="E183" s="76" t="s">
        <v>85</v>
      </c>
      <c r="F183" s="246"/>
    </row>
    <row r="184" spans="3:10">
      <c r="D184" s="54">
        <f>'Overall Assumptions'!$C$90</f>
        <v>80</v>
      </c>
      <c r="E184" s="76" t="s">
        <v>86</v>
      </c>
      <c r="F184" s="246"/>
    </row>
    <row r="185" spans="3:10">
      <c r="D185" s="56">
        <f>'Overall Assumptions'!$C$81</f>
        <v>210</v>
      </c>
      <c r="E185" s="333" t="s">
        <v>87</v>
      </c>
      <c r="F185" s="162"/>
      <c r="J185" s="578"/>
    </row>
    <row r="186" spans="3:10">
      <c r="D186" s="57"/>
    </row>
    <row r="187" spans="3:10">
      <c r="C187" s="21"/>
      <c r="J187" s="90"/>
    </row>
    <row r="188" spans="3:10">
      <c r="C188" s="21"/>
      <c r="D188" s="59" t="s">
        <v>735</v>
      </c>
      <c r="E188" s="2" t="s">
        <v>218</v>
      </c>
      <c r="F188" s="2" t="s">
        <v>733</v>
      </c>
      <c r="G188" s="359" t="s">
        <v>796</v>
      </c>
    </row>
    <row r="189" spans="3:10">
      <c r="C189" s="21"/>
      <c r="D189" s="46">
        <f>D176</f>
        <v>4.46</v>
      </c>
      <c r="E189" s="46">
        <f>D177</f>
        <v>3.3449999999999998</v>
      </c>
      <c r="F189" s="1219">
        <f>D178</f>
        <v>2.23</v>
      </c>
      <c r="G189" s="359" t="s">
        <v>254</v>
      </c>
      <c r="J189" s="90"/>
    </row>
    <row r="190" spans="3:10">
      <c r="C190" s="21"/>
      <c r="D190" s="77">
        <f>2*D183/D184/7.5</f>
        <v>0</v>
      </c>
      <c r="E190" s="77">
        <f>D190</f>
        <v>0</v>
      </c>
      <c r="F190" s="77">
        <f>E190</f>
        <v>0</v>
      </c>
      <c r="G190" s="59" t="s">
        <v>95</v>
      </c>
      <c r="J190" s="90"/>
    </row>
    <row r="191" spans="3:10">
      <c r="C191" s="21"/>
      <c r="D191" s="77"/>
      <c r="G191" s="16" t="s">
        <v>778</v>
      </c>
      <c r="J191" s="90"/>
    </row>
    <row r="192" spans="3:10">
      <c r="C192" s="21"/>
      <c r="J192" s="90"/>
    </row>
    <row r="193" spans="3:11" ht="18" customHeight="1">
      <c r="C193" s="21"/>
      <c r="D193" s="77">
        <f>$D180/D189/7.5</f>
        <v>1.7937219730941705</v>
      </c>
      <c r="E193" s="77">
        <f>$D180/E189/7.5</f>
        <v>2.391629297458894</v>
      </c>
      <c r="F193" s="77">
        <f>$D180/F189/7.5</f>
        <v>3.5874439461883409</v>
      </c>
      <c r="G193" s="693" t="s">
        <v>1497</v>
      </c>
    </row>
    <row r="194" spans="3:11" ht="18" customHeight="1">
      <c r="C194" s="21"/>
      <c r="D194" s="77">
        <f>$D182</f>
        <v>1.3333333333333333</v>
      </c>
      <c r="E194" s="77">
        <f>$D182</f>
        <v>1.3333333333333333</v>
      </c>
      <c r="F194" s="77">
        <f>$D182</f>
        <v>1.3333333333333333</v>
      </c>
      <c r="G194" s="693" t="s">
        <v>786</v>
      </c>
    </row>
    <row r="195" spans="3:11" ht="18" customHeight="1">
      <c r="C195" s="21"/>
      <c r="D195" s="77">
        <f>SUM(D193:D194)</f>
        <v>3.1270553064275037</v>
      </c>
      <c r="E195" s="77">
        <f>SUM(E193:E194)</f>
        <v>3.724962630792227</v>
      </c>
      <c r="F195" s="77">
        <f>SUM(F193:F194)</f>
        <v>4.9207772795216744</v>
      </c>
      <c r="G195" s="693" t="s">
        <v>171</v>
      </c>
    </row>
    <row r="196" spans="3:11" ht="18" customHeight="1">
      <c r="C196" s="21"/>
      <c r="D196" s="16"/>
      <c r="E196"/>
    </row>
    <row r="197" spans="3:11" ht="18" customHeight="1">
      <c r="C197" s="21"/>
      <c r="D197" s="77">
        <f>D195*$D174</f>
        <v>6.2541106128550075</v>
      </c>
      <c r="E197" s="77">
        <f>E195*$D174</f>
        <v>7.449925261584454</v>
      </c>
      <c r="F197" s="77">
        <f>F195*$D174</f>
        <v>9.8415545590433489</v>
      </c>
      <c r="G197" s="99" t="s">
        <v>787</v>
      </c>
    </row>
    <row r="198" spans="3:11">
      <c r="C198" s="21"/>
      <c r="D198" s="16"/>
      <c r="E198"/>
      <c r="G198" s="99"/>
    </row>
    <row r="199" spans="3:11">
      <c r="C199" s="21"/>
      <c r="D199" s="63">
        <f>$D173*$D174*D193</f>
        <v>807.17488789237666</v>
      </c>
      <c r="E199" s="63">
        <f>$D173*$D174*E193</f>
        <v>1076.2331838565024</v>
      </c>
      <c r="F199" s="63">
        <f>$D173*$D174*F193</f>
        <v>1614.3497757847533</v>
      </c>
      <c r="G199" s="99" t="s">
        <v>37</v>
      </c>
      <c r="J199" s="90"/>
    </row>
    <row r="200" spans="3:11">
      <c r="C200" s="21"/>
      <c r="D200" s="63">
        <f>$D173*$D174*D194</f>
        <v>600</v>
      </c>
      <c r="E200" s="63">
        <f>$D173*$D174*E194</f>
        <v>600</v>
      </c>
      <c r="F200" s="63">
        <f>$D173*$D174*F194</f>
        <v>600</v>
      </c>
      <c r="G200" s="99" t="s">
        <v>412</v>
      </c>
      <c r="J200" s="259"/>
      <c r="K200" s="16"/>
    </row>
    <row r="201" spans="3:11">
      <c r="C201" s="21"/>
      <c r="D201" s="64">
        <f>SUM(D199:D200)</f>
        <v>1407.1748878923768</v>
      </c>
      <c r="E201" s="905">
        <f>SUM(E199:E200)</f>
        <v>1676.2331838565024</v>
      </c>
      <c r="F201" s="905">
        <f>SUM(F199:F200)</f>
        <v>2214.3497757847535</v>
      </c>
      <c r="G201" s="1101" t="s">
        <v>486</v>
      </c>
      <c r="J201" s="259"/>
      <c r="K201" s="16"/>
    </row>
    <row r="202" spans="3:11">
      <c r="F202" s="16"/>
      <c r="G202" s="99"/>
    </row>
    <row r="203" spans="3:11">
      <c r="D203" s="46"/>
      <c r="E203" s="46"/>
      <c r="F203" s="46"/>
      <c r="J203" s="65"/>
      <c r="K203" s="24"/>
    </row>
    <row r="204" spans="3:11">
      <c r="D204" s="75"/>
      <c r="E204" s="75"/>
      <c r="F204" s="75"/>
      <c r="G204" s="99"/>
      <c r="J204" s="65"/>
      <c r="K204" s="24"/>
    </row>
    <row r="205" spans="3:11">
      <c r="D205" s="75"/>
      <c r="E205" s="75"/>
      <c r="F205" s="75"/>
      <c r="G205" s="99"/>
      <c r="J205" s="65"/>
      <c r="K205" s="24"/>
    </row>
    <row r="206" spans="3:11" ht="19">
      <c r="C206" t="s">
        <v>64</v>
      </c>
      <c r="D206" s="37" t="s">
        <v>89</v>
      </c>
    </row>
    <row r="207" spans="3:11">
      <c r="C207" t="s">
        <v>54</v>
      </c>
    </row>
    <row r="209" spans="4:11">
      <c r="D209" s="16"/>
    </row>
    <row r="210" spans="4:11">
      <c r="D210" s="67" t="s">
        <v>91</v>
      </c>
      <c r="E210" s="41"/>
    </row>
    <row r="211" spans="4:11">
      <c r="D211" s="52">
        <f>'Overall Assumptions'!$C$93</f>
        <v>285</v>
      </c>
      <c r="E211" s="41" t="s">
        <v>93</v>
      </c>
    </row>
    <row r="212" spans="4:11">
      <c r="D212" s="54">
        <f>'Overall Assumptions'!$C$10</f>
        <v>0</v>
      </c>
      <c r="E212" s="43" t="s">
        <v>85</v>
      </c>
    </row>
    <row r="213" spans="4:11">
      <c r="D213" s="54"/>
      <c r="E213" s="43"/>
    </row>
    <row r="214" spans="4:11">
      <c r="D214" s="616"/>
      <c r="E214" s="43"/>
    </row>
    <row r="215" spans="4:11">
      <c r="D215" s="56"/>
      <c r="E215" s="45"/>
      <c r="J215" s="578"/>
    </row>
    <row r="216" spans="4:11">
      <c r="D216" s="75"/>
    </row>
    <row r="217" spans="4:11">
      <c r="D217" s="46">
        <f>D190</f>
        <v>0</v>
      </c>
      <c r="E217" s="46">
        <f>D217</f>
        <v>0</v>
      </c>
      <c r="F217" s="46">
        <f>E217</f>
        <v>0</v>
      </c>
      <c r="G217" s="693"/>
      <c r="J217" s="532"/>
      <c r="K217" s="59"/>
    </row>
    <row r="218" spans="4:11">
      <c r="D218" s="46">
        <f t="shared" ref="D218:F219" si="63">D193</f>
        <v>1.7937219730941705</v>
      </c>
      <c r="E218" s="46">
        <f t="shared" si="63"/>
        <v>2.391629297458894</v>
      </c>
      <c r="F218" s="46">
        <f t="shared" si="63"/>
        <v>3.5874439461883409</v>
      </c>
      <c r="G218" s="693" t="s">
        <v>98</v>
      </c>
      <c r="K218" s="59"/>
    </row>
    <row r="219" spans="4:11">
      <c r="D219" s="46">
        <f t="shared" si="63"/>
        <v>1.3333333333333333</v>
      </c>
      <c r="E219" s="46">
        <f t="shared" si="63"/>
        <v>1.3333333333333333</v>
      </c>
      <c r="F219" s="46">
        <f t="shared" si="63"/>
        <v>1.3333333333333333</v>
      </c>
      <c r="G219" s="693" t="str">
        <f>G194</f>
        <v>3rd term is the days required to do all activities (for one person)</v>
      </c>
      <c r="K219" s="59"/>
    </row>
    <row r="220" spans="4:11">
      <c r="D220" s="46"/>
      <c r="E220" s="46"/>
      <c r="F220" s="46"/>
      <c r="G220" s="693"/>
      <c r="K220" s="59"/>
    </row>
    <row r="221" spans="4:11">
      <c r="D221" s="46">
        <f>SUM(D217:D219)</f>
        <v>3.1270553064275037</v>
      </c>
      <c r="E221" s="46">
        <f>SUM(E217:E219)</f>
        <v>3.724962630792227</v>
      </c>
      <c r="F221" s="46">
        <f>SUM(F217:F219)</f>
        <v>4.9207772795216744</v>
      </c>
      <c r="G221" s="693" t="s">
        <v>135</v>
      </c>
      <c r="J221" s="90"/>
    </row>
    <row r="222" spans="4:11">
      <c r="D222" s="46"/>
      <c r="E222" s="59"/>
      <c r="J222" s="90"/>
    </row>
    <row r="223" spans="4:11">
      <c r="D223" s="63"/>
      <c r="E223" s="63"/>
      <c r="F223" s="63"/>
      <c r="G223" s="99"/>
      <c r="J223" s="259"/>
      <c r="K223" s="16"/>
    </row>
    <row r="224" spans="4:11">
      <c r="D224" s="63">
        <f>$D211*D218</f>
        <v>511.21076233183857</v>
      </c>
      <c r="E224" s="63">
        <f>$D211*E218</f>
        <v>681.61434977578483</v>
      </c>
      <c r="F224" s="63">
        <f>$D211*F218</f>
        <v>1022.4215246636771</v>
      </c>
      <c r="G224" s="99" t="s">
        <v>52</v>
      </c>
      <c r="J224" s="259"/>
      <c r="K224" s="16"/>
    </row>
    <row r="225" spans="3:11">
      <c r="D225" s="63">
        <f>$D211*D219</f>
        <v>380</v>
      </c>
      <c r="E225" s="63">
        <f>$D211*E219</f>
        <v>380</v>
      </c>
      <c r="F225" s="63">
        <f>$D211*F219</f>
        <v>380</v>
      </c>
      <c r="G225" s="99" t="s">
        <v>52</v>
      </c>
      <c r="J225" s="259"/>
      <c r="K225" s="16"/>
    </row>
    <row r="226" spans="3:11">
      <c r="D226" s="68">
        <f>SUM(D223:D225)</f>
        <v>891.21076233183862</v>
      </c>
      <c r="E226" s="906">
        <f>SUM(E223:E225)</f>
        <v>1061.6143497757848</v>
      </c>
      <c r="F226" s="906">
        <f>SUM(F223:F225)</f>
        <v>1402.4215246636772</v>
      </c>
      <c r="G226" s="1101" t="s">
        <v>53</v>
      </c>
      <c r="J226" s="65"/>
      <c r="K226" s="24"/>
    </row>
    <row r="227" spans="3:11">
      <c r="D227" s="432"/>
      <c r="J227" s="65"/>
      <c r="K227" s="24"/>
    </row>
    <row r="228" spans="3:11">
      <c r="D228" s="46">
        <f>D221</f>
        <v>3.1270553064275037</v>
      </c>
      <c r="E228" s="46">
        <f>E221</f>
        <v>3.724962630792227</v>
      </c>
      <c r="F228" s="46">
        <f>F221</f>
        <v>4.9207772795216744</v>
      </c>
      <c r="G228" s="359" t="s">
        <v>795</v>
      </c>
      <c r="J228" s="65"/>
      <c r="K228" s="24"/>
    </row>
    <row r="229" spans="3:11">
      <c r="D229" s="75">
        <f>ROUNDUP((D221/21),0)</f>
        <v>1</v>
      </c>
      <c r="E229" s="75">
        <f>ROUNDUP((E221/21),0)</f>
        <v>1</v>
      </c>
      <c r="F229" s="75">
        <f>ROUNDUP((F221/21),0)</f>
        <v>1</v>
      </c>
      <c r="G229" s="99" t="s">
        <v>739</v>
      </c>
      <c r="J229" s="65"/>
      <c r="K229" s="24"/>
    </row>
    <row r="230" spans="3:11">
      <c r="D230" s="432"/>
      <c r="J230" s="65"/>
      <c r="K230" s="24"/>
    </row>
    <row r="231" spans="3:11">
      <c r="D231" s="65"/>
      <c r="E231" s="24"/>
      <c r="J231" s="65"/>
      <c r="K231" s="24"/>
    </row>
    <row r="232" spans="3:11">
      <c r="C232" t="s">
        <v>70</v>
      </c>
      <c r="D232" s="58"/>
      <c r="E232" s="59" t="s">
        <v>156</v>
      </c>
      <c r="J232" s="65"/>
      <c r="K232" s="24"/>
    </row>
    <row r="233" spans="3:11">
      <c r="D233" s="160" t="s">
        <v>238</v>
      </c>
      <c r="E233" s="59"/>
      <c r="J233" s="65"/>
      <c r="K233" s="24"/>
    </row>
    <row r="234" spans="3:11">
      <c r="D234" s="58"/>
      <c r="E234" s="59"/>
      <c r="J234" s="65"/>
      <c r="K234" s="24"/>
    </row>
    <row r="235" spans="3:11">
      <c r="D235" s="25">
        <f>D195</f>
        <v>3.1270553064275037</v>
      </c>
      <c r="E235" s="25">
        <f>E195</f>
        <v>3.724962630792227</v>
      </c>
      <c r="F235" s="25">
        <f>F195</f>
        <v>4.9207772795216744</v>
      </c>
      <c r="G235" s="99" t="s">
        <v>157</v>
      </c>
      <c r="J235" s="65"/>
      <c r="K235" s="24"/>
    </row>
    <row r="236" spans="3:11">
      <c r="D236" s="61">
        <f>FLOOR(D235,1)</f>
        <v>3</v>
      </c>
      <c r="E236" s="61">
        <f>FLOOR(E235,1)</f>
        <v>3</v>
      </c>
      <c r="F236" s="61">
        <f>FLOOR(F235,1)</f>
        <v>4</v>
      </c>
      <c r="G236" s="99" t="s">
        <v>73</v>
      </c>
      <c r="J236" s="65"/>
      <c r="K236" s="24"/>
    </row>
    <row r="237" spans="3:11">
      <c r="D237" s="65"/>
      <c r="G237" s="1102"/>
      <c r="J237" s="65"/>
      <c r="K237" s="24"/>
    </row>
    <row r="238" spans="3:11">
      <c r="D238" s="65">
        <f>D236*$D174</f>
        <v>6</v>
      </c>
      <c r="E238" s="65">
        <f>E236*$D174</f>
        <v>6</v>
      </c>
      <c r="F238" s="65">
        <f>F236*$D174</f>
        <v>8</v>
      </c>
      <c r="G238" s="1102" t="s">
        <v>88</v>
      </c>
      <c r="J238" s="65"/>
      <c r="K238" s="24"/>
    </row>
    <row r="239" spans="3:11">
      <c r="D239" s="102">
        <f>D238*$D185</f>
        <v>1260</v>
      </c>
      <c r="E239" s="907">
        <f>E238*$D185</f>
        <v>1260</v>
      </c>
      <c r="F239" s="907">
        <f>F238*$D185</f>
        <v>1680</v>
      </c>
      <c r="G239" s="1101" t="s">
        <v>74</v>
      </c>
      <c r="J239" s="259"/>
      <c r="K239" s="16"/>
    </row>
    <row r="240" spans="3:11">
      <c r="D240" s="825"/>
      <c r="E240" s="1" t="s">
        <v>788</v>
      </c>
      <c r="F240" s="1" t="s">
        <v>779</v>
      </c>
      <c r="G240" s="1" t="s">
        <v>789</v>
      </c>
      <c r="H240" s="1" t="s">
        <v>788</v>
      </c>
      <c r="I240" s="1" t="s">
        <v>779</v>
      </c>
      <c r="J240" s="1" t="s">
        <v>789</v>
      </c>
    </row>
    <row r="241" spans="3:12">
      <c r="D241" s="617" t="s">
        <v>172</v>
      </c>
      <c r="E241" s="618" t="s">
        <v>155</v>
      </c>
      <c r="F241" s="618" t="s">
        <v>155</v>
      </c>
      <c r="G241" s="618" t="s">
        <v>155</v>
      </c>
      <c r="H241" s="618" t="s">
        <v>166</v>
      </c>
      <c r="I241" s="618" t="s">
        <v>166</v>
      </c>
      <c r="J241" s="618" t="s">
        <v>166</v>
      </c>
      <c r="K241" s="619" t="s">
        <v>69</v>
      </c>
    </row>
    <row r="242" spans="3:12">
      <c r="D242" s="404" t="s">
        <v>3</v>
      </c>
      <c r="E242" s="90">
        <f>D197</f>
        <v>6.2541106128550075</v>
      </c>
      <c r="F242" s="90">
        <f t="shared" ref="F242:G242" si="64">E197</f>
        <v>7.449925261584454</v>
      </c>
      <c r="G242" s="90">
        <f t="shared" si="64"/>
        <v>9.8415545590433489</v>
      </c>
      <c r="H242" s="432">
        <f>D201</f>
        <v>1407.1748878923768</v>
      </c>
      <c r="I242" s="432">
        <f>E201</f>
        <v>1676.2331838565024</v>
      </c>
      <c r="J242" s="432">
        <f>F201</f>
        <v>2214.3497757847535</v>
      </c>
      <c r="K242" s="830" t="str">
        <f>G201</f>
        <v>Cost for labour</v>
      </c>
      <c r="L242" s="558">
        <f>D149</f>
        <v>1</v>
      </c>
    </row>
    <row r="243" spans="3:12">
      <c r="D243" s="404" t="s">
        <v>490</v>
      </c>
      <c r="E243" s="90">
        <f>D221</f>
        <v>3.1270553064275037</v>
      </c>
      <c r="F243" s="90">
        <f t="shared" ref="F243:G243" si="65">E221</f>
        <v>3.724962630792227</v>
      </c>
      <c r="G243" s="90">
        <f t="shared" si="65"/>
        <v>4.9207772795216744</v>
      </c>
      <c r="H243" s="432">
        <f>D226</f>
        <v>891.21076233183862</v>
      </c>
      <c r="I243" s="432">
        <f>E226</f>
        <v>1061.6143497757848</v>
      </c>
      <c r="J243" s="432">
        <f>F226</f>
        <v>1402.4215246636772</v>
      </c>
      <c r="K243" s="830" t="str">
        <f>G226</f>
        <v>Cost for ute hire for the whole activity</v>
      </c>
      <c r="L243" s="558">
        <f>L242</f>
        <v>1</v>
      </c>
    </row>
    <row r="244" spans="3:12">
      <c r="D244" s="404" t="s">
        <v>169</v>
      </c>
      <c r="E244" s="90">
        <f>D238</f>
        <v>6</v>
      </c>
      <c r="F244" s="90">
        <f t="shared" ref="F244:G244" si="66">E238</f>
        <v>6</v>
      </c>
      <c r="G244" s="90">
        <f t="shared" si="66"/>
        <v>8</v>
      </c>
      <c r="H244" s="432">
        <f>D239</f>
        <v>1260</v>
      </c>
      <c r="I244" s="432">
        <f>E239</f>
        <v>1260</v>
      </c>
      <c r="J244" s="432">
        <f>F239</f>
        <v>1680</v>
      </c>
      <c r="K244" s="830" t="str">
        <f>G239</f>
        <v>Accomodation + Food Cost</v>
      </c>
      <c r="L244" s="558">
        <f>L243</f>
        <v>1</v>
      </c>
    </row>
    <row r="245" spans="3:12">
      <c r="D245" s="404"/>
      <c r="E245" s="90"/>
      <c r="F245" s="531"/>
      <c r="H245" s="432"/>
      <c r="I245" s="259"/>
      <c r="J245" s="259"/>
      <c r="K245" s="830"/>
      <c r="L245" s="558"/>
    </row>
    <row r="246" spans="3:12">
      <c r="D246" s="404"/>
      <c r="E246" s="90"/>
      <c r="F246" s="531"/>
      <c r="H246" s="432"/>
      <c r="I246" s="259"/>
      <c r="J246" s="259"/>
      <c r="K246" s="830"/>
    </row>
    <row r="247" spans="3:12">
      <c r="D247" s="405"/>
      <c r="E247" s="439"/>
      <c r="F247" s="439"/>
      <c r="G247" s="1098"/>
      <c r="H247" s="622">
        <f>SUM(H242:H246)</f>
        <v>3558.3856502242152</v>
      </c>
      <c r="I247" s="622">
        <f>SUM(I242:I246)</f>
        <v>3997.8475336322872</v>
      </c>
      <c r="J247" s="622">
        <f>SUM(J242:J246)</f>
        <v>5296.7713004484303</v>
      </c>
      <c r="K247" s="623" t="s">
        <v>165</v>
      </c>
    </row>
    <row r="248" spans="3:12">
      <c r="D248"/>
      <c r="E248"/>
      <c r="F248" s="432"/>
      <c r="G248" s="1099"/>
    </row>
    <row r="249" spans="3:12">
      <c r="D249" s="25"/>
    </row>
    <row r="250" spans="3:12" s="7" customFormat="1">
      <c r="D250" s="134"/>
      <c r="E250" s="134"/>
      <c r="G250" s="1089"/>
    </row>
    <row r="251" spans="3:12" s="351" customFormat="1">
      <c r="D251" s="352"/>
      <c r="E251" s="353"/>
      <c r="G251" s="1122"/>
    </row>
    <row r="252" spans="3:12" s="351" customFormat="1">
      <c r="D252" s="352"/>
      <c r="E252" s="353"/>
      <c r="G252" s="1122"/>
    </row>
    <row r="253" spans="3:12" s="9" customFormat="1">
      <c r="D253" s="9" t="s">
        <v>1509</v>
      </c>
      <c r="E253" s="34"/>
      <c r="F253" s="34"/>
      <c r="G253" s="572"/>
    </row>
    <row r="254" spans="3:12" s="9" customFormat="1">
      <c r="C254" s="121" t="s">
        <v>1516</v>
      </c>
      <c r="D254" s="34" t="s">
        <v>1531</v>
      </c>
      <c r="E254" s="34"/>
      <c r="G254" s="572"/>
    </row>
    <row r="255" spans="3:12" s="79" customFormat="1">
      <c r="G255" s="1120"/>
      <c r="H255" s="324"/>
      <c r="I255" s="325"/>
    </row>
    <row r="256" spans="3:12" s="79" customFormat="1">
      <c r="C256" s="9"/>
      <c r="H256" s="288"/>
    </row>
    <row r="257" spans="3:13" s="79" customFormat="1">
      <c r="C257" s="9"/>
      <c r="E257" s="10" t="s">
        <v>1530</v>
      </c>
      <c r="H257" s="288"/>
    </row>
    <row r="258" spans="3:13" s="79" customFormat="1" ht="19">
      <c r="C258" s="107" t="s">
        <v>179</v>
      </c>
      <c r="D258" s="2155">
        <f>'Overall Assumptions'!$C$6</f>
        <v>100</v>
      </c>
      <c r="E258" s="320" t="s">
        <v>1523</v>
      </c>
      <c r="F258" s="255"/>
      <c r="G258" s="161"/>
      <c r="H258" s="288"/>
      <c r="I258" s="2160" t="s">
        <v>1529</v>
      </c>
      <c r="J258" s="255"/>
      <c r="K258" s="320"/>
      <c r="L258" s="255"/>
      <c r="M258" s="161"/>
    </row>
    <row r="259" spans="3:13" s="79" customFormat="1">
      <c r="C259" s="135"/>
      <c r="D259" s="2154">
        <v>0.3</v>
      </c>
      <c r="E259" s="122" t="s">
        <v>1521</v>
      </c>
      <c r="G259" s="246"/>
      <c r="H259" s="288"/>
      <c r="I259" s="135"/>
      <c r="J259" s="79" t="s">
        <v>1499</v>
      </c>
      <c r="K259" s="122"/>
      <c r="M259" s="246"/>
    </row>
    <row r="260" spans="3:13" s="79" customFormat="1">
      <c r="C260" s="135"/>
      <c r="D260" s="620">
        <f>D258*D259</f>
        <v>30</v>
      </c>
      <c r="E260" s="122" t="s">
        <v>1524</v>
      </c>
      <c r="G260" s="246"/>
      <c r="H260" s="288"/>
      <c r="I260" s="135"/>
      <c r="J260" s="79" t="s">
        <v>1538</v>
      </c>
      <c r="K260" s="122"/>
      <c r="M260" s="246"/>
    </row>
    <row r="261" spans="3:13" s="79" customFormat="1">
      <c r="C261" s="135"/>
      <c r="D261" s="2153">
        <v>10</v>
      </c>
      <c r="E261" s="122" t="s">
        <v>1507</v>
      </c>
      <c r="G261" s="246"/>
      <c r="H261" s="288"/>
      <c r="I261" s="135"/>
      <c r="J261" s="1209" t="s">
        <v>1498</v>
      </c>
      <c r="K261" s="122"/>
      <c r="M261" s="246"/>
    </row>
    <row r="262" spans="3:13" s="79" customFormat="1">
      <c r="C262" s="135"/>
      <c r="D262" s="2153">
        <v>80</v>
      </c>
      <c r="E262" s="122" t="s">
        <v>1520</v>
      </c>
      <c r="G262" s="246"/>
      <c r="H262" s="288"/>
      <c r="I262" s="135"/>
      <c r="J262" s="122">
        <v>4.3</v>
      </c>
      <c r="K262" s="122" t="s">
        <v>1500</v>
      </c>
      <c r="M262" s="246"/>
    </row>
    <row r="263" spans="3:13" s="79" customFormat="1">
      <c r="C263" s="404"/>
      <c r="D263" s="2154">
        <v>0.15</v>
      </c>
      <c r="E263" s="122" t="s">
        <v>1506</v>
      </c>
      <c r="G263" s="246"/>
      <c r="H263" s="288"/>
      <c r="I263" s="135"/>
      <c r="J263" s="122">
        <v>7</v>
      </c>
      <c r="K263" s="122" t="s">
        <v>1501</v>
      </c>
      <c r="M263" s="246"/>
    </row>
    <row r="264" spans="3:13" s="79" customFormat="1">
      <c r="C264" s="404"/>
      <c r="D264" s="620">
        <f>D262*D263</f>
        <v>12</v>
      </c>
      <c r="E264" s="122" t="s">
        <v>1527</v>
      </c>
      <c r="G264" s="246"/>
      <c r="H264" s="288"/>
      <c r="I264" s="135"/>
      <c r="J264" s="122">
        <v>350</v>
      </c>
      <c r="K264" s="122" t="s">
        <v>1502</v>
      </c>
      <c r="M264" s="246"/>
    </row>
    <row r="265" spans="3:13" s="79" customFormat="1">
      <c r="C265" s="137"/>
      <c r="D265" s="2156">
        <f>I279</f>
        <v>1.7949999999999999</v>
      </c>
      <c r="E265" s="142" t="str">
        <f>J279</f>
        <v>Cost per bullet</v>
      </c>
      <c r="F265" s="439"/>
      <c r="G265" s="162"/>
      <c r="H265" s="288"/>
      <c r="I265" s="135"/>
      <c r="J265" s="122">
        <f>AVERAGE(56,52)</f>
        <v>54</v>
      </c>
      <c r="K265" s="122" t="s">
        <v>1505</v>
      </c>
      <c r="M265" s="246"/>
    </row>
    <row r="266" spans="3:13" s="79" customFormat="1">
      <c r="C266" s="9"/>
      <c r="D266" s="543"/>
      <c r="E266" s="122"/>
      <c r="H266" s="288"/>
      <c r="I266" s="135"/>
      <c r="J266" s="2151">
        <f>J264/J262</f>
        <v>81.395348837209312</v>
      </c>
      <c r="K266" s="186" t="s">
        <v>1517</v>
      </c>
      <c r="L266" s="401"/>
      <c r="M266" s="274"/>
    </row>
    <row r="267" spans="3:13" s="79" customFormat="1">
      <c r="C267" s="122"/>
      <c r="E267" s="276" t="s">
        <v>1503</v>
      </c>
      <c r="H267" s="288"/>
      <c r="I267" s="135"/>
      <c r="J267" s="2142">
        <f>J263/J264*7.5*60</f>
        <v>9</v>
      </c>
      <c r="K267" s="122" t="s">
        <v>1507</v>
      </c>
      <c r="M267" s="246"/>
    </row>
    <row r="268" spans="3:13" s="79" customFormat="1">
      <c r="C268" s="107" t="s">
        <v>1510</v>
      </c>
      <c r="D268" s="2158">
        <f>D262</f>
        <v>80</v>
      </c>
      <c r="E268" s="2158" t="str">
        <f>E262</f>
        <v>number of miners culled/km2 in year 1</v>
      </c>
      <c r="F268" s="255"/>
      <c r="G268" s="161"/>
      <c r="H268" s="288"/>
      <c r="I268" s="135"/>
      <c r="J268" s="2142">
        <f>J263/J262</f>
        <v>1.6279069767441861</v>
      </c>
      <c r="K268" s="122" t="s">
        <v>1508</v>
      </c>
      <c r="M268" s="246"/>
    </row>
    <row r="269" spans="3:13" s="79" customFormat="1">
      <c r="C269" s="135"/>
      <c r="D269" s="336">
        <f>D260*D268</f>
        <v>2400</v>
      </c>
      <c r="E269" s="79" t="s">
        <v>1522</v>
      </c>
      <c r="G269" s="246"/>
      <c r="H269" s="288"/>
      <c r="I269" s="135"/>
      <c r="J269" s="79">
        <f>D272*J262</f>
        <v>229.33333333333334</v>
      </c>
      <c r="K269" s="122" t="s">
        <v>1514</v>
      </c>
      <c r="M269" s="246"/>
    </row>
    <row r="270" spans="3:13" s="79" customFormat="1">
      <c r="C270" s="135"/>
      <c r="D270" s="336">
        <f>D261</f>
        <v>10</v>
      </c>
      <c r="E270" s="336" t="str">
        <f>E261</f>
        <v>Shooting minutes required per miner culled</v>
      </c>
      <c r="G270" s="246"/>
      <c r="H270" s="288"/>
      <c r="I270" s="135"/>
      <c r="K270" s="122"/>
      <c r="M270" s="246"/>
    </row>
    <row r="271" spans="3:13" s="79" customFormat="1">
      <c r="C271" s="135"/>
      <c r="D271" s="128">
        <f>D268*D270/60/7.5</f>
        <v>1.7777777777777779</v>
      </c>
      <c r="E271" s="79" t="s">
        <v>1508</v>
      </c>
      <c r="G271" s="246"/>
      <c r="H271" s="288"/>
      <c r="I271" s="135"/>
      <c r="J271" s="2142">
        <f>J265/J262</f>
        <v>12.558139534883722</v>
      </c>
      <c r="K271" s="2150" t="s">
        <v>1518</v>
      </c>
      <c r="M271" s="246"/>
    </row>
    <row r="272" spans="3:13" s="79" customFormat="1">
      <c r="C272" s="135"/>
      <c r="D272" s="2140">
        <f>D269*D270/60/7.5</f>
        <v>53.333333333333336</v>
      </c>
      <c r="E272" s="122" t="s">
        <v>1525</v>
      </c>
      <c r="G272" s="246"/>
      <c r="H272" s="288"/>
      <c r="I272" s="137"/>
      <c r="J272" s="2152">
        <f>J271/J266</f>
        <v>0.15428571428571428</v>
      </c>
      <c r="K272" s="186" t="s">
        <v>1519</v>
      </c>
      <c r="L272" s="401"/>
      <c r="M272" s="274"/>
    </row>
    <row r="273" spans="3:11" s="79" customFormat="1">
      <c r="C273" s="135"/>
      <c r="E273" s="122"/>
      <c r="G273" s="246"/>
      <c r="H273" s="288"/>
      <c r="I273" s="288"/>
    </row>
    <row r="274" spans="3:11" s="79" customFormat="1">
      <c r="C274" s="137" t="s">
        <v>1511</v>
      </c>
      <c r="D274" s="2147">
        <f>D269*D265</f>
        <v>4308</v>
      </c>
      <c r="E274" s="142" t="s">
        <v>1526</v>
      </c>
      <c r="F274" s="439"/>
      <c r="G274" s="162"/>
      <c r="H274" s="288"/>
    </row>
    <row r="275" spans="3:11" s="79" customFormat="1">
      <c r="C275" s="122"/>
      <c r="D275" s="330">
        <v>80</v>
      </c>
      <c r="E275" s="66" t="s">
        <v>1541</v>
      </c>
      <c r="H275" s="288"/>
      <c r="I275" s="2145" t="s">
        <v>271</v>
      </c>
      <c r="J275"/>
    </row>
    <row r="276" spans="3:11" s="79" customFormat="1">
      <c r="C276" s="122"/>
      <c r="D276" s="2164"/>
      <c r="E276" s="66"/>
      <c r="H276" s="288"/>
      <c r="I276" s="9" t="s">
        <v>275</v>
      </c>
    </row>
    <row r="277" spans="3:11" s="79" customFormat="1">
      <c r="E277" s="276" t="s">
        <v>1504</v>
      </c>
      <c r="H277" s="288"/>
      <c r="I277" s="349">
        <v>359</v>
      </c>
      <c r="J277" t="s">
        <v>272</v>
      </c>
    </row>
    <row r="278" spans="3:11" s="79" customFormat="1">
      <c r="C278" s="107" t="s">
        <v>1513</v>
      </c>
      <c r="D278" s="2159">
        <f>D264</f>
        <v>12</v>
      </c>
      <c r="E278" s="2159" t="str">
        <f>E264</f>
        <v>Number of miners culled/km2 in subsequent years</v>
      </c>
      <c r="F278" s="255"/>
      <c r="G278" s="161"/>
      <c r="H278" s="288"/>
      <c r="I278">
        <v>200</v>
      </c>
      <c r="J278" t="s">
        <v>273</v>
      </c>
    </row>
    <row r="279" spans="3:11" s="79" customFormat="1">
      <c r="C279" s="135"/>
      <c r="D279" s="132">
        <f>D278*D260</f>
        <v>360</v>
      </c>
      <c r="E279" s="79" t="s">
        <v>1528</v>
      </c>
      <c r="G279" s="246"/>
      <c r="H279" s="288"/>
      <c r="I279" s="2146">
        <f>I277/I278</f>
        <v>1.7949999999999999</v>
      </c>
      <c r="J279" t="s">
        <v>274</v>
      </c>
    </row>
    <row r="280" spans="3:11" s="79" customFormat="1">
      <c r="C280" s="135"/>
      <c r="D280" s="929">
        <f>D261</f>
        <v>10</v>
      </c>
      <c r="E280" s="79" t="s">
        <v>1507</v>
      </c>
      <c r="G280" s="246"/>
      <c r="H280" s="288"/>
    </row>
    <row r="281" spans="3:11" s="79" customFormat="1">
      <c r="C281" s="135"/>
      <c r="D281" s="128">
        <f>D278*D280/60/7.5</f>
        <v>0.26666666666666666</v>
      </c>
      <c r="E281" s="79" t="s">
        <v>1508</v>
      </c>
      <c r="G281" s="2148"/>
      <c r="H281" s="288"/>
    </row>
    <row r="282" spans="3:11" s="79" customFormat="1">
      <c r="C282" s="135"/>
      <c r="D282" s="128">
        <f>D279*D280/60/7.5</f>
        <v>8</v>
      </c>
      <c r="E282" s="122" t="s">
        <v>1525</v>
      </c>
      <c r="G282" s="2148"/>
      <c r="H282" s="288"/>
    </row>
    <row r="283" spans="3:11" s="79" customFormat="1">
      <c r="C283" s="135"/>
      <c r="D283" s="2141"/>
      <c r="E283" s="122"/>
      <c r="G283" s="2148"/>
      <c r="H283" s="288"/>
      <c r="I283" s="288"/>
      <c r="J283" s="289"/>
      <c r="K283" s="216"/>
    </row>
    <row r="284" spans="3:11" s="79" customFormat="1">
      <c r="C284" s="137" t="s">
        <v>1512</v>
      </c>
      <c r="D284" s="176">
        <f>D279*D265</f>
        <v>646.19999999999993</v>
      </c>
      <c r="E284" s="142" t="s">
        <v>1526</v>
      </c>
      <c r="F284" s="138"/>
      <c r="G284" s="2149"/>
      <c r="H284" s="288"/>
      <c r="I284" s="288"/>
    </row>
    <row r="285" spans="3:11" s="79" customFormat="1">
      <c r="C285" s="122"/>
      <c r="D285" s="330">
        <v>1</v>
      </c>
      <c r="E285" s="66" t="s">
        <v>1537</v>
      </c>
      <c r="G285" s="2157"/>
      <c r="H285" s="288"/>
      <c r="I285" s="288"/>
    </row>
    <row r="286" spans="3:11" s="79" customFormat="1">
      <c r="C286" s="9"/>
      <c r="D286" s="2144"/>
      <c r="E286" s="147"/>
      <c r="F286" s="147"/>
      <c r="G286" s="1121"/>
      <c r="H286" s="288"/>
      <c r="I286" s="288"/>
    </row>
    <row r="287" spans="3:11" s="79" customFormat="1">
      <c r="C287" s="9"/>
      <c r="D287" s="290"/>
      <c r="E287" s="147"/>
      <c r="F287" s="147"/>
      <c r="G287" s="1121"/>
      <c r="H287" s="288"/>
      <c r="I287" s="288"/>
    </row>
    <row r="288" spans="3:11" s="79" customFormat="1">
      <c r="C288" s="9"/>
      <c r="D288" s="290"/>
      <c r="E288" s="147"/>
      <c r="F288" s="147"/>
      <c r="G288" s="1121"/>
      <c r="H288" s="288"/>
      <c r="I288" s="288"/>
    </row>
    <row r="289" spans="3:21" s="79" customFormat="1" ht="19">
      <c r="C289" t="s">
        <v>50</v>
      </c>
      <c r="D289" s="37" t="s">
        <v>81</v>
      </c>
      <c r="E289" s="24"/>
      <c r="F289" s="1"/>
      <c r="G289" s="1100"/>
      <c r="H289" s="286"/>
      <c r="I289" s="286"/>
      <c r="J289" s="289"/>
      <c r="K289" s="216"/>
    </row>
    <row r="290" spans="3:21" s="79" customFormat="1">
      <c r="C290"/>
      <c r="D290" s="24"/>
      <c r="E290" s="16"/>
      <c r="F290" s="1"/>
      <c r="G290" s="1100"/>
      <c r="J290" s="248"/>
      <c r="K290" s="248"/>
      <c r="L290" s="122"/>
    </row>
    <row r="291" spans="3:21" s="79" customFormat="1">
      <c r="C291"/>
      <c r="D291" s="160" t="s">
        <v>294</v>
      </c>
      <c r="E291" s="16"/>
      <c r="F291"/>
      <c r="G291" s="359"/>
      <c r="J291" s="248"/>
      <c r="K291" s="288"/>
      <c r="L291" s="122"/>
    </row>
    <row r="292" spans="3:21" s="79" customFormat="1">
      <c r="C292"/>
      <c r="D292" s="50"/>
      <c r="E292" s="16"/>
      <c r="F292"/>
      <c r="G292" s="359"/>
      <c r="J292" s="286"/>
      <c r="K292" s="286"/>
      <c r="L292" s="122"/>
    </row>
    <row r="293" spans="3:21" s="79" customFormat="1">
      <c r="C293"/>
      <c r="D293" s="484" t="s">
        <v>82</v>
      </c>
      <c r="E293" s="164"/>
      <c r="F293" s="255"/>
      <c r="G293" s="1139"/>
      <c r="I293" s="212"/>
      <c r="J293" s="212" t="s">
        <v>994</v>
      </c>
      <c r="K293" s="216"/>
    </row>
    <row r="294" spans="3:21" s="79" customFormat="1" ht="19">
      <c r="C294"/>
      <c r="D294" s="2161">
        <f>'Overall Assumptions'!$C$72</f>
        <v>337.5</v>
      </c>
      <c r="E294" s="1215" t="s">
        <v>99</v>
      </c>
      <c r="G294" s="1140"/>
      <c r="J294" s="1216">
        <f>AVERAGE(J296,J300)</f>
        <v>750</v>
      </c>
    </row>
    <row r="295" spans="3:21" s="79" customFormat="1" ht="19">
      <c r="C295"/>
      <c r="D295" s="381"/>
      <c r="E295" s="1215"/>
      <c r="G295" s="1140"/>
      <c r="H295" s="1216"/>
      <c r="K295" s="76" t="s">
        <v>480</v>
      </c>
    </row>
    <row r="296" spans="3:21" s="79" customFormat="1">
      <c r="C296"/>
      <c r="D296" s="54">
        <f>D260</f>
        <v>30</v>
      </c>
      <c r="E296" s="133" t="s">
        <v>1533</v>
      </c>
      <c r="G296" s="1140"/>
      <c r="I296" s="65"/>
      <c r="J296" s="122">
        <v>500</v>
      </c>
      <c r="K296" s="76" t="s">
        <v>478</v>
      </c>
    </row>
    <row r="297" spans="3:21" s="79" customFormat="1">
      <c r="C297"/>
      <c r="D297" s="482">
        <f>'Overall Assumptions'!$C$135</f>
        <v>0.2</v>
      </c>
      <c r="E297" s="76" t="s">
        <v>79</v>
      </c>
      <c r="G297" s="1140"/>
      <c r="H297" s="122"/>
      <c r="I297" s="978"/>
      <c r="J297" s="122">
        <v>350</v>
      </c>
      <c r="K297" s="124" t="s">
        <v>479</v>
      </c>
      <c r="U297" s="9"/>
    </row>
    <row r="298" spans="3:21" s="79" customFormat="1">
      <c r="C298"/>
      <c r="D298" s="54">
        <f>D296/D297</f>
        <v>150</v>
      </c>
      <c r="E298" s="2165" t="s">
        <v>972</v>
      </c>
      <c r="G298" s="1140"/>
      <c r="H298" s="122"/>
      <c r="I298" s="978"/>
      <c r="J298" s="129"/>
      <c r="K298" s="76"/>
      <c r="U298" s="9"/>
    </row>
    <row r="299" spans="3:21" s="79" customFormat="1">
      <c r="C299"/>
      <c r="D299" s="54"/>
      <c r="E299" s="2165"/>
      <c r="G299" s="1140"/>
      <c r="H299" s="122"/>
      <c r="I299" s="978"/>
      <c r="K299" s="79" t="s">
        <v>485</v>
      </c>
      <c r="U299" s="9"/>
    </row>
    <row r="300" spans="3:21" s="79" customFormat="1">
      <c r="C300"/>
      <c r="D300" s="42">
        <f>'Overall Assumptions'!$C$53</f>
        <v>4.46</v>
      </c>
      <c r="E300" s="629" t="s">
        <v>780</v>
      </c>
      <c r="G300" s="1140"/>
      <c r="H300" s="122"/>
      <c r="I300" s="978"/>
      <c r="J300" s="122">
        <v>1000</v>
      </c>
      <c r="K300" s="122" t="s">
        <v>484</v>
      </c>
      <c r="U300" s="9"/>
    </row>
    <row r="301" spans="3:21" s="79" customFormat="1">
      <c r="C301"/>
      <c r="D301" s="42">
        <f>'Overall Assumptions'!$C$54</f>
        <v>3.3449999999999998</v>
      </c>
      <c r="E301" s="629" t="s">
        <v>781</v>
      </c>
      <c r="G301" s="1140"/>
      <c r="H301" s="122"/>
      <c r="I301" s="978"/>
      <c r="K301" s="79" t="s">
        <v>483</v>
      </c>
      <c r="U301" s="9"/>
    </row>
    <row r="302" spans="3:21" s="79" customFormat="1">
      <c r="C302"/>
      <c r="D302" s="42">
        <f>'Overall Assumptions'!$C$55</f>
        <v>2.23</v>
      </c>
      <c r="E302" s="629" t="s">
        <v>782</v>
      </c>
      <c r="G302" s="1140"/>
      <c r="H302" s="122"/>
      <c r="I302" s="978"/>
      <c r="K302" s="79" t="s">
        <v>481</v>
      </c>
      <c r="U302" s="9"/>
    </row>
    <row r="303" spans="3:21" s="79" customFormat="1">
      <c r="C303"/>
      <c r="D303" s="354">
        <v>2</v>
      </c>
      <c r="E303" s="76" t="s">
        <v>84</v>
      </c>
      <c r="G303" s="1140"/>
      <c r="H303" s="122"/>
      <c r="I303" s="978"/>
      <c r="K303" s="473" t="s">
        <v>482</v>
      </c>
      <c r="U303" s="9"/>
    </row>
    <row r="304" spans="3:21" s="79" customFormat="1">
      <c r="C304"/>
      <c r="D304" s="44"/>
      <c r="E304" s="76"/>
      <c r="G304" s="1140"/>
      <c r="H304" s="122"/>
      <c r="I304" s="978"/>
      <c r="U304" s="9"/>
    </row>
    <row r="305" spans="3:21" s="79" customFormat="1">
      <c r="C305"/>
      <c r="D305" s="44"/>
      <c r="E305" s="66" t="s">
        <v>1503</v>
      </c>
      <c r="G305" s="1140"/>
      <c r="H305" s="122"/>
      <c r="I305" s="978"/>
      <c r="K305" s="473"/>
      <c r="U305" s="9"/>
    </row>
    <row r="306" spans="3:21" s="79" customFormat="1">
      <c r="C306"/>
      <c r="D306" s="44">
        <f>D269</f>
        <v>2400</v>
      </c>
      <c r="E306" s="76" t="s">
        <v>1532</v>
      </c>
      <c r="G306" s="1140"/>
      <c r="H306" s="122"/>
      <c r="I306" s="978"/>
      <c r="K306" s="473"/>
      <c r="U306" s="9"/>
    </row>
    <row r="307" spans="3:21" s="79" customFormat="1">
      <c r="C307"/>
      <c r="D307" s="1245">
        <f>D272</f>
        <v>53.333333333333336</v>
      </c>
      <c r="E307" s="124" t="s">
        <v>1021</v>
      </c>
      <c r="G307" s="1140"/>
      <c r="U307"/>
    </row>
    <row r="308" spans="3:21" s="79" customFormat="1">
      <c r="C308"/>
      <c r="D308" s="1672">
        <f>D274</f>
        <v>4308</v>
      </c>
      <c r="E308" s="79" t="str">
        <f>E274</f>
        <v>Total bullet costs</v>
      </c>
      <c r="G308" s="1140"/>
      <c r="U308"/>
    </row>
    <row r="309" spans="3:21" s="79" customFormat="1">
      <c r="C309"/>
      <c r="D309" s="404"/>
      <c r="G309" s="1140"/>
      <c r="U309"/>
    </row>
    <row r="310" spans="3:21" s="79" customFormat="1">
      <c r="C310"/>
      <c r="D310" s="54">
        <f>'Overall Assumptions'!$C$10</f>
        <v>0</v>
      </c>
      <c r="E310" s="76" t="s">
        <v>85</v>
      </c>
      <c r="G310" s="1140"/>
      <c r="U310"/>
    </row>
    <row r="311" spans="3:21" s="79" customFormat="1">
      <c r="C311"/>
      <c r="D311" s="54">
        <f>'Overall Assumptions'!$C$90</f>
        <v>80</v>
      </c>
      <c r="E311" s="76" t="s">
        <v>86</v>
      </c>
      <c r="G311" s="1140"/>
      <c r="U311"/>
    </row>
    <row r="312" spans="3:21" s="79" customFormat="1">
      <c r="C312"/>
      <c r="D312" s="56">
        <f>'Overall Assumptions'!$C$81</f>
        <v>210</v>
      </c>
      <c r="E312" s="333" t="s">
        <v>87</v>
      </c>
      <c r="F312" s="439"/>
      <c r="G312" s="2166"/>
      <c r="U312"/>
    </row>
    <row r="313" spans="3:21" s="79" customFormat="1">
      <c r="C313"/>
      <c r="D313" s="75"/>
      <c r="E313" s="76"/>
      <c r="F313"/>
      <c r="G313" s="359"/>
      <c r="U313"/>
    </row>
    <row r="314" spans="3:21" s="79" customFormat="1">
      <c r="C314"/>
      <c r="E314" s="122" t="s">
        <v>996</v>
      </c>
      <c r="F314"/>
      <c r="G314" s="359"/>
      <c r="U314"/>
    </row>
    <row r="315" spans="3:21" s="79" customFormat="1">
      <c r="C315"/>
      <c r="F315"/>
      <c r="G315" s="359"/>
      <c r="U315"/>
    </row>
    <row r="316" spans="3:21" s="79" customFormat="1">
      <c r="C316"/>
      <c r="D316" s="79" t="s">
        <v>988</v>
      </c>
      <c r="F316"/>
      <c r="G316" s="359"/>
      <c r="U316"/>
    </row>
    <row r="317" spans="3:21" s="79" customFormat="1">
      <c r="C317"/>
      <c r="G317" s="1119"/>
      <c r="U317"/>
    </row>
    <row r="318" spans="3:21" s="79" customFormat="1">
      <c r="C318"/>
      <c r="D318" s="79" t="s">
        <v>735</v>
      </c>
      <c r="E318" s="79" t="s">
        <v>987</v>
      </c>
      <c r="F318" t="s">
        <v>733</v>
      </c>
      <c r="G318" s="359" t="s">
        <v>796</v>
      </c>
      <c r="U318"/>
    </row>
    <row r="319" spans="3:21" s="79" customFormat="1">
      <c r="C319"/>
      <c r="D319" s="132">
        <f>D300</f>
        <v>4.46</v>
      </c>
      <c r="E319" s="132">
        <f>D301</f>
        <v>3.3449999999999998</v>
      </c>
      <c r="F319" s="532">
        <f>D302</f>
        <v>2.23</v>
      </c>
      <c r="G319" s="359" t="s">
        <v>997</v>
      </c>
      <c r="U319"/>
    </row>
    <row r="320" spans="3:21" s="79" customFormat="1">
      <c r="C320"/>
      <c r="F320"/>
      <c r="G320" s="1093"/>
      <c r="U320"/>
    </row>
    <row r="321" spans="3:21" s="79" customFormat="1">
      <c r="C321" s="21"/>
      <c r="D321" s="296">
        <f>2*D310/D311/7.5</f>
        <v>0</v>
      </c>
      <c r="E321" s="979">
        <f>D321</f>
        <v>0</v>
      </c>
      <c r="F321" s="979">
        <f>E321</f>
        <v>0</v>
      </c>
      <c r="G321" s="693" t="s">
        <v>95</v>
      </c>
      <c r="I321"/>
      <c r="J321"/>
      <c r="U321"/>
    </row>
    <row r="322" spans="3:21" s="79" customFormat="1">
      <c r="C322" s="21"/>
      <c r="D322" s="296"/>
      <c r="G322" s="1123"/>
      <c r="I322"/>
      <c r="J322"/>
      <c r="U322"/>
    </row>
    <row r="323" spans="3:21" s="79" customFormat="1">
      <c r="C323" s="21"/>
      <c r="D323" s="296">
        <f>$D298/D319/7.5</f>
        <v>4.4843049327354256</v>
      </c>
      <c r="E323" s="296">
        <f>$D298/E319/7.5</f>
        <v>5.9790732436472354</v>
      </c>
      <c r="F323" s="296">
        <f>$D298/F319/7.5</f>
        <v>8.9686098654708513</v>
      </c>
      <c r="G323" s="1124" t="s">
        <v>992</v>
      </c>
      <c r="I323"/>
      <c r="J323"/>
      <c r="U323"/>
    </row>
    <row r="324" spans="3:21" s="79" customFormat="1">
      <c r="C324" s="21"/>
      <c r="D324" s="297">
        <f>$D307</f>
        <v>53.333333333333336</v>
      </c>
      <c r="E324" s="297">
        <f>$D307</f>
        <v>53.333333333333336</v>
      </c>
      <c r="F324" s="297">
        <f>$D307</f>
        <v>53.333333333333336</v>
      </c>
      <c r="G324" s="693" t="s">
        <v>993</v>
      </c>
      <c r="U324"/>
    </row>
    <row r="325" spans="3:21" s="79" customFormat="1" ht="17" customHeight="1">
      <c r="C325" s="21"/>
      <c r="D325" s="296">
        <f>D321+D323+D324</f>
        <v>57.817638266068762</v>
      </c>
      <c r="E325" s="296">
        <f>E321+E323+E324</f>
        <v>59.312406576980571</v>
      </c>
      <c r="F325" s="296">
        <f>F321+F323+F324</f>
        <v>62.301943198804189</v>
      </c>
      <c r="G325" s="99" t="s">
        <v>157</v>
      </c>
      <c r="I325" s="19"/>
      <c r="J325"/>
      <c r="U325"/>
    </row>
    <row r="326" spans="3:21" s="122" customFormat="1">
      <c r="C326" s="9"/>
      <c r="D326" s="105"/>
      <c r="G326" s="1125"/>
      <c r="I326" s="9"/>
      <c r="J326" s="9"/>
      <c r="U326"/>
    </row>
    <row r="327" spans="3:21" s="79" customFormat="1">
      <c r="C327"/>
      <c r="D327" s="77">
        <f>D325*$D303</f>
        <v>115.63527653213752</v>
      </c>
      <c r="E327" s="77">
        <f>E325*$D303</f>
        <v>118.62481315396114</v>
      </c>
      <c r="F327" s="77">
        <f>F325*$D303</f>
        <v>124.60388639760838</v>
      </c>
      <c r="G327" s="99" t="s">
        <v>787</v>
      </c>
      <c r="I327"/>
      <c r="J327"/>
      <c r="U327"/>
    </row>
    <row r="328" spans="3:21" s="79" customFormat="1">
      <c r="C328"/>
      <c r="D328" s="77"/>
      <c r="E328" s="16"/>
      <c r="F328"/>
      <c r="G328" s="359"/>
      <c r="U328"/>
    </row>
    <row r="329" spans="3:21" s="79" customFormat="1">
      <c r="C329" s="21"/>
      <c r="D329" s="64">
        <f>D327*$D294</f>
        <v>39026.905829596413</v>
      </c>
      <c r="E329" s="64">
        <f>E327*$D294</f>
        <v>40035.874439461884</v>
      </c>
      <c r="F329" s="64">
        <f>F327*$D294</f>
        <v>42053.811659192826</v>
      </c>
      <c r="G329" s="1101" t="s">
        <v>486</v>
      </c>
      <c r="H329" s="276"/>
      <c r="I329" s="276"/>
      <c r="U329"/>
    </row>
    <row r="330" spans="3:21" s="79" customFormat="1">
      <c r="C330" s="21"/>
      <c r="G330" s="1119"/>
      <c r="H330" s="119"/>
      <c r="I330" s="119"/>
      <c r="L330"/>
      <c r="U330" s="3"/>
    </row>
    <row r="331" spans="3:21" s="79" customFormat="1" ht="19">
      <c r="C331" s="2" t="s">
        <v>132</v>
      </c>
      <c r="D331" s="37" t="s">
        <v>89</v>
      </c>
      <c r="E331" s="16"/>
      <c r="F331"/>
      <c r="G331" s="359"/>
      <c r="H331"/>
      <c r="I331"/>
      <c r="L331"/>
      <c r="U331" s="3"/>
    </row>
    <row r="332" spans="3:21" s="79" customFormat="1">
      <c r="C332" t="s">
        <v>54</v>
      </c>
      <c r="D332" s="160" t="s">
        <v>296</v>
      </c>
      <c r="E332" s="16"/>
      <c r="F332"/>
      <c r="G332" s="359"/>
      <c r="H332"/>
      <c r="I332"/>
      <c r="L332"/>
      <c r="U332" s="3"/>
    </row>
    <row r="333" spans="3:21" s="79" customFormat="1">
      <c r="C333"/>
      <c r="D333" s="160"/>
      <c r="E333" s="16"/>
      <c r="F333"/>
      <c r="G333" s="359"/>
      <c r="H333"/>
      <c r="I333"/>
      <c r="L333"/>
      <c r="M333" s="122"/>
    </row>
    <row r="334" spans="3:21" s="79" customFormat="1">
      <c r="C334"/>
      <c r="D334" s="16"/>
      <c r="E334" s="16"/>
      <c r="F334"/>
      <c r="G334" s="359"/>
      <c r="H334"/>
      <c r="I334"/>
      <c r="L334"/>
    </row>
    <row r="335" spans="3:21" s="79" customFormat="1">
      <c r="C335"/>
      <c r="D335" s="67" t="s">
        <v>91</v>
      </c>
      <c r="E335" s="41"/>
      <c r="F335"/>
      <c r="G335" s="359"/>
      <c r="H335"/>
      <c r="I335"/>
      <c r="L335"/>
    </row>
    <row r="336" spans="3:21" s="79" customFormat="1">
      <c r="C336"/>
      <c r="D336" s="52">
        <f>'Overall Assumptions'!$C$93</f>
        <v>285</v>
      </c>
      <c r="E336" s="41" t="s">
        <v>93</v>
      </c>
      <c r="F336"/>
      <c r="G336" s="359"/>
      <c r="H336"/>
      <c r="I336"/>
      <c r="L336"/>
    </row>
    <row r="337" spans="3:12" s="79" customFormat="1">
      <c r="C337"/>
      <c r="D337" s="54">
        <v>1</v>
      </c>
      <c r="E337" s="43" t="s">
        <v>995</v>
      </c>
      <c r="F337"/>
      <c r="G337" s="359"/>
      <c r="H337"/>
      <c r="I337"/>
      <c r="L337"/>
    </row>
    <row r="338" spans="3:12" s="79" customFormat="1">
      <c r="C338"/>
      <c r="D338" s="54"/>
      <c r="E338" s="43"/>
      <c r="F338"/>
      <c r="G338" s="359"/>
      <c r="H338"/>
      <c r="I338"/>
    </row>
    <row r="339" spans="3:12" s="79" customFormat="1">
      <c r="C339"/>
      <c r="D339" s="56"/>
      <c r="E339" s="45"/>
      <c r="F339"/>
      <c r="G339" s="359"/>
      <c r="H339"/>
      <c r="I339"/>
      <c r="L339"/>
    </row>
    <row r="340" spans="3:12" s="79" customFormat="1">
      <c r="C340"/>
      <c r="D340" s="75"/>
      <c r="E340" s="76"/>
      <c r="F340"/>
      <c r="G340" s="359"/>
      <c r="H340"/>
      <c r="I340"/>
      <c r="L340"/>
    </row>
    <row r="341" spans="3:12" s="79" customFormat="1">
      <c r="C341"/>
      <c r="D341" s="46">
        <f>D321</f>
        <v>0</v>
      </c>
      <c r="E341" s="46">
        <f>E321</f>
        <v>0</v>
      </c>
      <c r="F341" s="46">
        <f>F321</f>
        <v>0</v>
      </c>
      <c r="G341" s="693" t="s">
        <v>97</v>
      </c>
      <c r="H341"/>
      <c r="I341"/>
    </row>
    <row r="342" spans="3:12" s="79" customFormat="1">
      <c r="C342"/>
      <c r="D342" s="46">
        <f>D325</f>
        <v>57.817638266068762</v>
      </c>
      <c r="E342" s="46">
        <f>E325</f>
        <v>59.312406576980571</v>
      </c>
      <c r="F342" s="46">
        <f>F325</f>
        <v>62.301943198804189</v>
      </c>
      <c r="G342" s="693" t="s">
        <v>98</v>
      </c>
      <c r="H342"/>
      <c r="I342"/>
    </row>
    <row r="343" spans="3:12" s="79" customFormat="1">
      <c r="C343"/>
      <c r="D343" s="46"/>
      <c r="F343"/>
      <c r="G343" s="693"/>
      <c r="H343"/>
      <c r="I343"/>
    </row>
    <row r="344" spans="3:12" s="79" customFormat="1">
      <c r="C344"/>
      <c r="D344" s="46">
        <f>SUM(D341:D343)</f>
        <v>57.817638266068762</v>
      </c>
      <c r="E344" s="46">
        <f>SUM(E341:E343)</f>
        <v>59.312406576980571</v>
      </c>
      <c r="F344" s="46">
        <f>SUM(F341:F343)</f>
        <v>62.301943198804189</v>
      </c>
      <c r="G344" s="693" t="s">
        <v>135</v>
      </c>
      <c r="H344"/>
      <c r="I344"/>
    </row>
    <row r="345" spans="3:12" s="79" customFormat="1">
      <c r="C345"/>
      <c r="D345" s="63"/>
      <c r="E345" s="16"/>
      <c r="F345"/>
      <c r="G345" s="359"/>
      <c r="H345"/>
      <c r="I345"/>
    </row>
    <row r="346" spans="3:12" s="79" customFormat="1">
      <c r="C346"/>
      <c r="D346" s="63"/>
      <c r="E346" s="16"/>
      <c r="F346"/>
      <c r="G346" s="359"/>
      <c r="H346"/>
      <c r="I346"/>
    </row>
    <row r="347" spans="3:12" s="79" customFormat="1">
      <c r="C347" t="s">
        <v>998</v>
      </c>
      <c r="D347" s="68">
        <f>D344*$D336*$D337</f>
        <v>16478.026905829596</v>
      </c>
      <c r="E347" s="68">
        <f>E344*$D336*$D337</f>
        <v>16904.035874439462</v>
      </c>
      <c r="F347" s="68">
        <f>F344*$D336*$D337</f>
        <v>17756.053811659192</v>
      </c>
      <c r="G347" s="1126" t="s">
        <v>53</v>
      </c>
      <c r="H347"/>
      <c r="I347"/>
    </row>
    <row r="348" spans="3:12" s="79" customFormat="1">
      <c r="D348" s="46">
        <f>D342</f>
        <v>57.817638266068762</v>
      </c>
      <c r="E348" s="46">
        <f>E342</f>
        <v>59.312406576980571</v>
      </c>
      <c r="F348" s="46">
        <f>F342</f>
        <v>62.301943198804189</v>
      </c>
      <c r="G348" s="359" t="s">
        <v>795</v>
      </c>
    </row>
    <row r="349" spans="3:12" s="79" customFormat="1">
      <c r="D349" s="75">
        <f>ROUNDUP((D344/21),0)</f>
        <v>3</v>
      </c>
      <c r="E349" s="75">
        <f>ROUNDUP((E344/21),0)</f>
        <v>3</v>
      </c>
      <c r="F349" s="75">
        <f>ROUNDUP((F344/21),0)</f>
        <v>3</v>
      </c>
      <c r="G349" s="99" t="s">
        <v>739</v>
      </c>
    </row>
    <row r="350" spans="3:12" s="79" customFormat="1">
      <c r="D350" s="75"/>
      <c r="E350" s="75"/>
      <c r="F350" s="75"/>
      <c r="G350" s="99"/>
    </row>
    <row r="351" spans="3:12" s="79" customFormat="1">
      <c r="C351" s="215" t="s">
        <v>70</v>
      </c>
      <c r="D351" s="230"/>
      <c r="E351" s="224" t="s">
        <v>156</v>
      </c>
      <c r="F351" s="212"/>
      <c r="G351" s="1108"/>
      <c r="H351" s="212"/>
      <c r="I351" s="119"/>
    </row>
    <row r="352" spans="3:12" s="79" customFormat="1">
      <c r="C352" s="212"/>
      <c r="D352" s="230"/>
      <c r="E352" s="224"/>
      <c r="F352" s="212"/>
      <c r="G352" s="1108"/>
      <c r="H352" s="212"/>
      <c r="I352" s="119"/>
    </row>
    <row r="353" spans="3:13" s="79" customFormat="1">
      <c r="C353" s="212"/>
      <c r="D353" s="230"/>
      <c r="E353" s="224"/>
      <c r="F353" s="212"/>
      <c r="G353" s="1108"/>
      <c r="H353" s="212"/>
      <c r="I353" s="119"/>
    </row>
    <row r="354" spans="3:13" s="79" customFormat="1">
      <c r="C354" s="212"/>
      <c r="D354" s="222">
        <f>D344</f>
        <v>57.817638266068762</v>
      </c>
      <c r="E354" s="222">
        <f>E344</f>
        <v>59.312406576980571</v>
      </c>
      <c r="F354" s="222">
        <f>F344</f>
        <v>62.301943198804189</v>
      </c>
      <c r="G354" s="1127" t="s">
        <v>157</v>
      </c>
      <c r="H354" s="212"/>
      <c r="I354" s="119"/>
    </row>
    <row r="355" spans="3:13" s="79" customFormat="1">
      <c r="C355" s="212"/>
      <c r="D355" s="229">
        <f>FLOOR(D354,1)</f>
        <v>57</v>
      </c>
      <c r="E355" s="229">
        <f>FLOOR(E354,1)</f>
        <v>59</v>
      </c>
      <c r="F355" s="229">
        <f>FLOOR(F354,1)</f>
        <v>62</v>
      </c>
      <c r="G355" s="1127" t="s">
        <v>73</v>
      </c>
      <c r="H355" s="212"/>
      <c r="I355" s="119"/>
    </row>
    <row r="356" spans="3:13" s="79" customFormat="1">
      <c r="C356" s="212"/>
      <c r="D356" s="228">
        <f>D355*$D303</f>
        <v>114</v>
      </c>
      <c r="E356" s="228">
        <f>E355*$D303</f>
        <v>118</v>
      </c>
      <c r="F356" s="228">
        <f>F355*$D303</f>
        <v>124</v>
      </c>
      <c r="G356" s="1128" t="s">
        <v>175</v>
      </c>
      <c r="H356" s="212"/>
      <c r="I356" s="119"/>
    </row>
    <row r="357" spans="3:13" s="79" customFormat="1">
      <c r="C357" s="212"/>
      <c r="D357" s="227"/>
      <c r="E357" s="227"/>
      <c r="F357" s="227"/>
      <c r="G357" s="1128" t="s">
        <v>88</v>
      </c>
      <c r="H357" s="212"/>
    </row>
    <row r="358" spans="3:13" s="79" customFormat="1">
      <c r="C358" s="212"/>
      <c r="D358" s="226">
        <f>D356*$D312</f>
        <v>23940</v>
      </c>
      <c r="E358" s="226">
        <f>E356*$D312</f>
        <v>24780</v>
      </c>
      <c r="F358" s="226">
        <f>F356*$D312</f>
        <v>26040</v>
      </c>
      <c r="G358" s="1129" t="s">
        <v>74</v>
      </c>
      <c r="H358" s="212"/>
      <c r="J358" s="276"/>
      <c r="K358" s="276"/>
      <c r="L358" s="276"/>
      <c r="M358" s="276"/>
    </row>
    <row r="359" spans="3:13" s="79" customFormat="1">
      <c r="D359" s="282"/>
      <c r="E359" s="76"/>
      <c r="G359" s="1119"/>
      <c r="J359" s="122"/>
      <c r="K359" s="136"/>
      <c r="L359" s="119"/>
      <c r="M359" s="119"/>
    </row>
    <row r="360" spans="3:13" s="79" customFormat="1">
      <c r="C360" s="79" t="s">
        <v>1534</v>
      </c>
      <c r="D360" s="2162">
        <f>$D308</f>
        <v>4308</v>
      </c>
      <c r="E360" s="2163">
        <f>$D308</f>
        <v>4308</v>
      </c>
      <c r="F360" s="2163">
        <f>$D308</f>
        <v>4308</v>
      </c>
      <c r="G360" s="1118" t="s">
        <v>1535</v>
      </c>
      <c r="J360" s="122"/>
      <c r="K360" s="136"/>
      <c r="L360" s="119"/>
      <c r="M360" s="119"/>
    </row>
    <row r="361" spans="3:13" s="79" customFormat="1">
      <c r="D361" s="283"/>
      <c r="E361" s="284"/>
      <c r="F361" s="78"/>
      <c r="G361" s="1119"/>
      <c r="J361" s="122"/>
      <c r="K361" s="136"/>
      <c r="L361" s="119"/>
      <c r="M361" s="119"/>
    </row>
    <row r="362" spans="3:13" s="79" customFormat="1">
      <c r="D362" s="283"/>
      <c r="E362" s="1103" t="s">
        <v>788</v>
      </c>
      <c r="F362" s="618" t="s">
        <v>779</v>
      </c>
      <c r="G362" s="618" t="s">
        <v>789</v>
      </c>
      <c r="H362" s="1103" t="s">
        <v>788</v>
      </c>
      <c r="I362" s="618" t="s">
        <v>779</v>
      </c>
      <c r="J362" s="618" t="s">
        <v>789</v>
      </c>
      <c r="K362" s="122"/>
      <c r="L362" s="136"/>
      <c r="M362" s="119"/>
    </row>
    <row r="363" spans="3:13" s="79" customFormat="1">
      <c r="D363" s="143" t="s">
        <v>172</v>
      </c>
      <c r="E363" s="144" t="s">
        <v>155</v>
      </c>
      <c r="F363" s="144" t="s">
        <v>155</v>
      </c>
      <c r="G363" s="144" t="s">
        <v>155</v>
      </c>
      <c r="H363" s="1103" t="s">
        <v>166</v>
      </c>
      <c r="I363" s="1103" t="s">
        <v>166</v>
      </c>
      <c r="J363" s="1103" t="s">
        <v>166</v>
      </c>
      <c r="K363" s="145" t="s">
        <v>69</v>
      </c>
      <c r="M363" s="119"/>
    </row>
    <row r="364" spans="3:13" s="79" customFormat="1">
      <c r="D364" s="135" t="s">
        <v>3</v>
      </c>
      <c r="E364" s="136">
        <f>D327</f>
        <v>115.63527653213752</v>
      </c>
      <c r="F364" s="136">
        <f t="shared" ref="F364:G364" si="67">E327</f>
        <v>118.62481315396114</v>
      </c>
      <c r="G364" s="136">
        <f t="shared" si="67"/>
        <v>124.60388639760838</v>
      </c>
      <c r="H364" s="1092">
        <f>D329</f>
        <v>39026.905829596413</v>
      </c>
      <c r="I364" s="119">
        <f>E329</f>
        <v>40035.874439461884</v>
      </c>
      <c r="J364" s="119">
        <f>F329</f>
        <v>42053.811659192826</v>
      </c>
      <c r="K364" s="358" t="str">
        <f>G329</f>
        <v>Cost for labour</v>
      </c>
      <c r="L364" s="1216">
        <f>D275</f>
        <v>80</v>
      </c>
    </row>
    <row r="365" spans="3:13" s="79" customFormat="1">
      <c r="D365" s="135" t="s">
        <v>132</v>
      </c>
      <c r="E365" s="136">
        <f>D344</f>
        <v>57.817638266068762</v>
      </c>
      <c r="F365" s="136">
        <f t="shared" ref="F365:G365" si="68">E344</f>
        <v>59.312406576980571</v>
      </c>
      <c r="G365" s="136">
        <f t="shared" si="68"/>
        <v>62.301943198804189</v>
      </c>
      <c r="H365" s="1092">
        <f>D347</f>
        <v>16478.026905829596</v>
      </c>
      <c r="I365" s="119">
        <f>E347</f>
        <v>16904.035874439462</v>
      </c>
      <c r="J365" s="119">
        <f>F347</f>
        <v>17756.053811659192</v>
      </c>
      <c r="K365" s="358" t="s">
        <v>999</v>
      </c>
      <c r="L365" s="621">
        <f>L364</f>
        <v>80</v>
      </c>
    </row>
    <row r="366" spans="3:13" s="79" customFormat="1">
      <c r="D366" s="135" t="s">
        <v>169</v>
      </c>
      <c r="E366" s="136">
        <f>D356</f>
        <v>114</v>
      </c>
      <c r="F366" s="136">
        <f t="shared" ref="F366:G366" si="69">E356</f>
        <v>118</v>
      </c>
      <c r="G366" s="136">
        <f t="shared" si="69"/>
        <v>124</v>
      </c>
      <c r="H366" s="1092">
        <f>SUM(D358,D360)</f>
        <v>28248</v>
      </c>
      <c r="I366" s="1092">
        <f>SUM(E358,E360)</f>
        <v>29088</v>
      </c>
      <c r="J366" s="1092">
        <f>SUM(F358,F360)</f>
        <v>30348</v>
      </c>
      <c r="K366" s="358" t="s">
        <v>1536</v>
      </c>
      <c r="L366" s="621">
        <f>L365</f>
        <v>80</v>
      </c>
    </row>
    <row r="367" spans="3:13" s="79" customFormat="1">
      <c r="D367" s="137"/>
      <c r="E367" s="138"/>
      <c r="F367" s="142"/>
      <c r="H367" s="1116">
        <f>SUM(H364:H366)</f>
        <v>83752.932735426002</v>
      </c>
      <c r="I367" s="139">
        <f>SUM(I364:I366)</f>
        <v>86027.910313901346</v>
      </c>
      <c r="J367" s="139">
        <f>SUM(J364:J366)</f>
        <v>90157.865470852019</v>
      </c>
      <c r="K367" s="140" t="s">
        <v>165</v>
      </c>
    </row>
    <row r="368" spans="3:13">
      <c r="D368" s="25"/>
    </row>
    <row r="369" spans="3:13" s="7" customFormat="1">
      <c r="D369" s="69"/>
      <c r="E369" s="36"/>
      <c r="G369" s="1089"/>
    </row>
    <row r="370" spans="3:13" s="351" customFormat="1">
      <c r="D370" s="352"/>
      <c r="E370" s="353"/>
      <c r="G370" s="1122"/>
    </row>
    <row r="371" spans="3:13" s="9" customFormat="1">
      <c r="D371" s="9" t="s">
        <v>1509</v>
      </c>
      <c r="E371" s="34"/>
      <c r="F371" s="34"/>
      <c r="G371" s="572"/>
    </row>
    <row r="372" spans="3:13" s="9" customFormat="1">
      <c r="C372" s="121" t="s">
        <v>1515</v>
      </c>
      <c r="D372" s="34" t="s">
        <v>1539</v>
      </c>
      <c r="E372" s="34"/>
      <c r="G372" s="572"/>
    </row>
    <row r="373" spans="3:13" s="79" customFormat="1">
      <c r="G373" s="1120"/>
      <c r="H373" s="324"/>
      <c r="I373" s="325"/>
    </row>
    <row r="374" spans="3:13" s="79" customFormat="1">
      <c r="C374" s="9"/>
      <c r="H374" s="288"/>
    </row>
    <row r="375" spans="3:13" s="79" customFormat="1">
      <c r="C375" s="9"/>
      <c r="E375" s="10" t="s">
        <v>1530</v>
      </c>
      <c r="H375" s="288"/>
    </row>
    <row r="376" spans="3:13" s="79" customFormat="1" ht="19">
      <c r="C376" s="107" t="s">
        <v>179</v>
      </c>
      <c r="D376" s="2155">
        <f>'Overall Assumptions'!$C$6</f>
        <v>100</v>
      </c>
      <c r="E376" s="320" t="s">
        <v>1523</v>
      </c>
      <c r="F376" s="255"/>
      <c r="G376" s="161"/>
      <c r="H376" s="288"/>
      <c r="I376" s="2160" t="s">
        <v>1529</v>
      </c>
      <c r="J376" s="255"/>
      <c r="K376" s="320"/>
      <c r="L376" s="255"/>
      <c r="M376" s="161"/>
    </row>
    <row r="377" spans="3:13" s="79" customFormat="1">
      <c r="C377" s="135"/>
      <c r="D377" s="2154">
        <f>D259</f>
        <v>0.3</v>
      </c>
      <c r="E377" s="122" t="s">
        <v>1521</v>
      </c>
      <c r="G377" s="246"/>
      <c r="H377" s="288"/>
      <c r="I377" s="135"/>
      <c r="J377" s="79" t="s">
        <v>1499</v>
      </c>
      <c r="K377" s="122"/>
      <c r="M377" s="246"/>
    </row>
    <row r="378" spans="3:13" s="79" customFormat="1">
      <c r="C378" s="135"/>
      <c r="D378" s="620">
        <f>D376*D377</f>
        <v>30</v>
      </c>
      <c r="E378" s="122" t="s">
        <v>1524</v>
      </c>
      <c r="G378" s="246"/>
      <c r="H378" s="288"/>
      <c r="I378" s="135"/>
      <c r="J378" s="79" t="s">
        <v>1538</v>
      </c>
      <c r="K378" s="122"/>
      <c r="M378" s="246"/>
    </row>
    <row r="379" spans="3:13" s="79" customFormat="1">
      <c r="C379" s="135"/>
      <c r="D379" s="2153">
        <v>10</v>
      </c>
      <c r="E379" s="122" t="s">
        <v>1507</v>
      </c>
      <c r="G379" s="246"/>
      <c r="H379" s="288"/>
      <c r="I379" s="135"/>
      <c r="J379" s="1209" t="s">
        <v>1498</v>
      </c>
      <c r="K379" s="122"/>
      <c r="M379" s="246"/>
    </row>
    <row r="380" spans="3:13" s="79" customFormat="1">
      <c r="C380" s="135"/>
      <c r="D380" s="2153">
        <v>80</v>
      </c>
      <c r="E380" s="122" t="s">
        <v>1520</v>
      </c>
      <c r="G380" s="246"/>
      <c r="H380" s="288"/>
      <c r="I380" s="135"/>
      <c r="J380" s="122">
        <v>4.3</v>
      </c>
      <c r="K380" s="122" t="s">
        <v>1500</v>
      </c>
      <c r="M380" s="246"/>
    </row>
    <row r="381" spans="3:13" s="79" customFormat="1">
      <c r="C381" s="404"/>
      <c r="D381" s="2154">
        <v>0.15</v>
      </c>
      <c r="E381" s="122" t="s">
        <v>1506</v>
      </c>
      <c r="G381" s="246"/>
      <c r="H381" s="288"/>
      <c r="I381" s="135"/>
      <c r="J381" s="122">
        <v>7</v>
      </c>
      <c r="K381" s="122" t="s">
        <v>1501</v>
      </c>
      <c r="M381" s="246"/>
    </row>
    <row r="382" spans="3:13" s="79" customFormat="1">
      <c r="C382" s="404"/>
      <c r="D382" s="620">
        <f>D380*D381</f>
        <v>12</v>
      </c>
      <c r="E382" s="122" t="s">
        <v>1527</v>
      </c>
      <c r="G382" s="246"/>
      <c r="H382" s="288"/>
      <c r="I382" s="135"/>
      <c r="J382" s="122">
        <v>350</v>
      </c>
      <c r="K382" s="122" t="s">
        <v>1502</v>
      </c>
      <c r="M382" s="246"/>
    </row>
    <row r="383" spans="3:13" s="79" customFormat="1">
      <c r="C383" s="137"/>
      <c r="D383" s="2156">
        <f>I397</f>
        <v>1.7949999999999999</v>
      </c>
      <c r="E383" s="142" t="str">
        <f>J397</f>
        <v>Cost per bullet</v>
      </c>
      <c r="F383" s="439"/>
      <c r="G383" s="162"/>
      <c r="H383" s="288"/>
      <c r="I383" s="135"/>
      <c r="J383" s="122">
        <f>AVERAGE(56,52)</f>
        <v>54</v>
      </c>
      <c r="K383" s="122" t="s">
        <v>1505</v>
      </c>
      <c r="M383" s="246"/>
    </row>
    <row r="384" spans="3:13" s="79" customFormat="1">
      <c r="C384" s="9"/>
      <c r="D384" s="543"/>
      <c r="E384" s="122"/>
      <c r="H384" s="288"/>
      <c r="I384" s="135"/>
      <c r="J384" s="2151">
        <f>J382/J380</f>
        <v>81.395348837209312</v>
      </c>
      <c r="K384" s="186" t="s">
        <v>1517</v>
      </c>
      <c r="L384" s="401"/>
      <c r="M384" s="274"/>
    </row>
    <row r="385" spans="3:13" s="79" customFormat="1">
      <c r="C385" s="122"/>
      <c r="E385" s="276" t="s">
        <v>1503</v>
      </c>
      <c r="H385" s="288"/>
      <c r="I385" s="135"/>
      <c r="J385" s="2142">
        <f>J381/J382*7.5*60</f>
        <v>9</v>
      </c>
      <c r="K385" s="122" t="s">
        <v>1507</v>
      </c>
      <c r="M385" s="246"/>
    </row>
    <row r="386" spans="3:13" s="79" customFormat="1">
      <c r="C386" s="107" t="s">
        <v>1510</v>
      </c>
      <c r="D386" s="2158">
        <f>D380</f>
        <v>80</v>
      </c>
      <c r="E386" s="2158" t="str">
        <f>E380</f>
        <v>number of miners culled/km2 in year 1</v>
      </c>
      <c r="F386" s="255"/>
      <c r="G386" s="161"/>
      <c r="H386" s="288"/>
      <c r="I386" s="135"/>
      <c r="J386" s="2142">
        <f>J381/J380</f>
        <v>1.6279069767441861</v>
      </c>
      <c r="K386" s="122" t="s">
        <v>1508</v>
      </c>
      <c r="M386" s="246"/>
    </row>
    <row r="387" spans="3:13" s="79" customFormat="1">
      <c r="C387" s="135"/>
      <c r="D387" s="336">
        <f>D378*D386</f>
        <v>2400</v>
      </c>
      <c r="E387" s="79" t="s">
        <v>1522</v>
      </c>
      <c r="G387" s="246"/>
      <c r="H387" s="288"/>
      <c r="I387" s="135"/>
      <c r="J387" s="79">
        <f>D390*J380</f>
        <v>229.33333333333334</v>
      </c>
      <c r="K387" s="122" t="s">
        <v>1514</v>
      </c>
      <c r="M387" s="246"/>
    </row>
    <row r="388" spans="3:13" s="79" customFormat="1">
      <c r="C388" s="135"/>
      <c r="D388" s="336">
        <f>D379</f>
        <v>10</v>
      </c>
      <c r="E388" s="336" t="str">
        <f>E379</f>
        <v>Shooting minutes required per miner culled</v>
      </c>
      <c r="G388" s="246"/>
      <c r="H388" s="288"/>
      <c r="I388" s="135"/>
      <c r="K388" s="122"/>
      <c r="M388" s="246"/>
    </row>
    <row r="389" spans="3:13" s="79" customFormat="1">
      <c r="C389" s="135"/>
      <c r="D389" s="128">
        <f>D386*D388/60/7.5</f>
        <v>1.7777777777777779</v>
      </c>
      <c r="E389" s="79" t="s">
        <v>1508</v>
      </c>
      <c r="G389" s="246"/>
      <c r="H389" s="288"/>
      <c r="I389" s="135"/>
      <c r="J389" s="2142">
        <f>J383/J380</f>
        <v>12.558139534883722</v>
      </c>
      <c r="K389" s="2150" t="s">
        <v>1518</v>
      </c>
      <c r="M389" s="246"/>
    </row>
    <row r="390" spans="3:13" s="79" customFormat="1">
      <c r="C390" s="135"/>
      <c r="D390" s="2140">
        <f>D387*D388/60/7.5</f>
        <v>53.333333333333336</v>
      </c>
      <c r="E390" s="122" t="s">
        <v>1525</v>
      </c>
      <c r="G390" s="246"/>
      <c r="H390" s="288"/>
      <c r="I390" s="137"/>
      <c r="J390" s="2152">
        <f>J389/J384</f>
        <v>0.15428571428571428</v>
      </c>
      <c r="K390" s="186" t="s">
        <v>1519</v>
      </c>
      <c r="L390" s="401"/>
      <c r="M390" s="274"/>
    </row>
    <row r="391" spans="3:13" s="79" customFormat="1">
      <c r="C391" s="135"/>
      <c r="E391" s="122"/>
      <c r="G391" s="246"/>
      <c r="H391" s="288"/>
      <c r="I391" s="288"/>
    </row>
    <row r="392" spans="3:13" s="79" customFormat="1">
      <c r="C392" s="137" t="s">
        <v>1511</v>
      </c>
      <c r="D392" s="2147">
        <f>D387*D383</f>
        <v>4308</v>
      </c>
      <c r="E392" s="142" t="s">
        <v>1526</v>
      </c>
      <c r="F392" s="439"/>
      <c r="G392" s="162"/>
      <c r="H392" s="288"/>
    </row>
    <row r="393" spans="3:13" s="79" customFormat="1">
      <c r="C393" s="122"/>
      <c r="D393" s="330">
        <v>80</v>
      </c>
      <c r="E393" s="66" t="s">
        <v>1544</v>
      </c>
      <c r="H393" s="288"/>
      <c r="I393" s="2145" t="s">
        <v>271</v>
      </c>
      <c r="J393"/>
    </row>
    <row r="394" spans="3:13" s="79" customFormat="1">
      <c r="C394" s="122"/>
      <c r="D394" s="2164"/>
      <c r="E394" s="66"/>
      <c r="H394" s="288"/>
      <c r="I394" s="9" t="s">
        <v>275</v>
      </c>
    </row>
    <row r="395" spans="3:13" s="79" customFormat="1">
      <c r="E395" s="276" t="s">
        <v>1504</v>
      </c>
      <c r="H395" s="288"/>
      <c r="I395" s="349">
        <v>359</v>
      </c>
      <c r="J395" t="s">
        <v>272</v>
      </c>
    </row>
    <row r="396" spans="3:13" s="79" customFormat="1">
      <c r="C396" s="107" t="s">
        <v>1513</v>
      </c>
      <c r="D396" s="2159">
        <f>D382</f>
        <v>12</v>
      </c>
      <c r="E396" s="2159" t="str">
        <f>E382</f>
        <v>Number of miners culled/km2 in subsequent years</v>
      </c>
      <c r="F396" s="255"/>
      <c r="G396" s="161"/>
      <c r="H396" s="288"/>
      <c r="I396">
        <v>200</v>
      </c>
      <c r="J396" t="s">
        <v>273</v>
      </c>
    </row>
    <row r="397" spans="3:13" s="79" customFormat="1">
      <c r="C397" s="135"/>
      <c r="D397" s="132">
        <f>D396*D378</f>
        <v>360</v>
      </c>
      <c r="E397" s="79" t="s">
        <v>1528</v>
      </c>
      <c r="G397" s="246"/>
      <c r="H397" s="288"/>
      <c r="I397" s="2146">
        <f>I395/I396</f>
        <v>1.7949999999999999</v>
      </c>
      <c r="J397" t="s">
        <v>274</v>
      </c>
    </row>
    <row r="398" spans="3:13" s="79" customFormat="1">
      <c r="C398" s="135"/>
      <c r="D398" s="929">
        <f>D379</f>
        <v>10</v>
      </c>
      <c r="E398" s="79" t="s">
        <v>1507</v>
      </c>
      <c r="G398" s="246"/>
      <c r="H398" s="288"/>
    </row>
    <row r="399" spans="3:13" s="79" customFormat="1">
      <c r="C399" s="135"/>
      <c r="D399" s="128">
        <f>D396*D398/60/7.5</f>
        <v>0.26666666666666666</v>
      </c>
      <c r="E399" s="79" t="s">
        <v>1508</v>
      </c>
      <c r="G399" s="2148"/>
      <c r="H399" s="288"/>
    </row>
    <row r="400" spans="3:13" s="79" customFormat="1">
      <c r="C400" s="135"/>
      <c r="D400" s="128">
        <f>D397*D398/60/7.5</f>
        <v>8</v>
      </c>
      <c r="E400" s="122" t="s">
        <v>1525</v>
      </c>
      <c r="G400" s="2148"/>
      <c r="H400" s="288"/>
    </row>
    <row r="401" spans="3:21" s="79" customFormat="1">
      <c r="C401" s="135"/>
      <c r="D401" s="2141"/>
      <c r="E401" s="122"/>
      <c r="G401" s="2148"/>
      <c r="H401" s="288"/>
      <c r="I401" s="288"/>
      <c r="J401" s="289"/>
      <c r="K401" s="216"/>
    </row>
    <row r="402" spans="3:21" s="79" customFormat="1">
      <c r="C402" s="137" t="s">
        <v>1512</v>
      </c>
      <c r="D402" s="176">
        <f>D397*D383</f>
        <v>646.19999999999993</v>
      </c>
      <c r="E402" s="142" t="s">
        <v>1526</v>
      </c>
      <c r="F402" s="138"/>
      <c r="G402" s="2149"/>
      <c r="H402" s="288"/>
      <c r="I402" s="288"/>
    </row>
    <row r="403" spans="3:21" s="79" customFormat="1">
      <c r="C403" s="122"/>
      <c r="D403" s="330">
        <v>1</v>
      </c>
      <c r="E403" s="66" t="s">
        <v>1537</v>
      </c>
      <c r="G403" s="2157"/>
      <c r="H403" s="288"/>
      <c r="I403" s="288"/>
    </row>
    <row r="404" spans="3:21" s="79" customFormat="1">
      <c r="C404" s="9"/>
      <c r="D404" s="2144"/>
      <c r="E404" s="147"/>
      <c r="F404" s="147"/>
      <c r="G404" s="1121"/>
      <c r="H404" s="288"/>
      <c r="I404" s="288"/>
    </row>
    <row r="405" spans="3:21" s="79" customFormat="1">
      <c r="C405" s="9"/>
      <c r="D405" s="290"/>
      <c r="E405" s="147"/>
      <c r="F405" s="147"/>
      <c r="G405" s="1121"/>
      <c r="H405" s="288"/>
      <c r="I405" s="288"/>
    </row>
    <row r="406" spans="3:21" s="79" customFormat="1">
      <c r="C406" s="9"/>
      <c r="D406" s="290"/>
      <c r="E406" s="147"/>
      <c r="F406" s="147"/>
      <c r="G406" s="1121"/>
      <c r="H406" s="288"/>
      <c r="I406" s="288"/>
    </row>
    <row r="407" spans="3:21" s="79" customFormat="1" ht="19">
      <c r="C407" t="s">
        <v>50</v>
      </c>
      <c r="D407" s="37" t="s">
        <v>81</v>
      </c>
      <c r="E407" s="24"/>
      <c r="F407" s="1"/>
      <c r="G407" s="1100"/>
      <c r="H407" s="286"/>
      <c r="I407" s="286"/>
      <c r="J407" s="289"/>
      <c r="K407" s="216"/>
    </row>
    <row r="408" spans="3:21" s="79" customFormat="1">
      <c r="C408"/>
      <c r="D408" s="24"/>
      <c r="E408" s="16"/>
      <c r="F408" s="1"/>
      <c r="G408" s="1100"/>
      <c r="J408" s="248"/>
      <c r="K408" s="248"/>
      <c r="L408" s="122"/>
    </row>
    <row r="409" spans="3:21" s="79" customFormat="1">
      <c r="C409"/>
      <c r="D409" s="160" t="s">
        <v>294</v>
      </c>
      <c r="E409" s="16"/>
      <c r="F409"/>
      <c r="G409" s="359"/>
      <c r="J409" s="248"/>
      <c r="K409" s="288"/>
      <c r="L409" s="122"/>
    </row>
    <row r="410" spans="3:21" s="79" customFormat="1">
      <c r="C410"/>
      <c r="D410" s="50"/>
      <c r="E410" s="16"/>
      <c r="F410"/>
      <c r="G410" s="359"/>
      <c r="J410" s="286"/>
      <c r="K410" s="286"/>
      <c r="L410" s="122"/>
    </row>
    <row r="411" spans="3:21" s="79" customFormat="1">
      <c r="C411"/>
      <c r="D411" s="484" t="s">
        <v>82</v>
      </c>
      <c r="E411" s="164"/>
      <c r="F411" s="255"/>
      <c r="G411" s="1139"/>
      <c r="I411" s="212"/>
      <c r="J411" s="212" t="s">
        <v>994</v>
      </c>
      <c r="K411" s="216"/>
    </row>
    <row r="412" spans="3:21" s="79" customFormat="1" ht="19">
      <c r="C412"/>
      <c r="D412" s="2161">
        <f>'Overall Assumptions'!$C$72</f>
        <v>337.5</v>
      </c>
      <c r="E412" s="1215" t="s">
        <v>99</v>
      </c>
      <c r="G412" s="1140"/>
      <c r="J412" s="1216">
        <f>AVERAGE(J414,J418)</f>
        <v>750</v>
      </c>
    </row>
    <row r="413" spans="3:21" s="79" customFormat="1" ht="19">
      <c r="C413"/>
      <c r="D413" s="381"/>
      <c r="E413" s="1215"/>
      <c r="G413" s="1140"/>
      <c r="H413" s="1216"/>
      <c r="K413" s="76" t="s">
        <v>480</v>
      </c>
    </row>
    <row r="414" spans="3:21" s="79" customFormat="1">
      <c r="C414"/>
      <c r="D414" s="54">
        <f>D378</f>
        <v>30</v>
      </c>
      <c r="E414" s="133" t="s">
        <v>1533</v>
      </c>
      <c r="G414" s="1140"/>
      <c r="I414" s="65"/>
      <c r="J414" s="122">
        <v>500</v>
      </c>
      <c r="K414" s="76" t="s">
        <v>478</v>
      </c>
    </row>
    <row r="415" spans="3:21" s="79" customFormat="1">
      <c r="C415"/>
      <c r="D415" s="482">
        <f>'Overall Assumptions'!$C$135</f>
        <v>0.2</v>
      </c>
      <c r="E415" s="76" t="s">
        <v>79</v>
      </c>
      <c r="G415" s="1140"/>
      <c r="H415" s="122"/>
      <c r="I415" s="978"/>
      <c r="J415" s="122">
        <v>350</v>
      </c>
      <c r="K415" s="124" t="s">
        <v>479</v>
      </c>
      <c r="U415" s="9"/>
    </row>
    <row r="416" spans="3:21" s="79" customFormat="1">
      <c r="C416"/>
      <c r="D416" s="54">
        <f>D414/D415</f>
        <v>150</v>
      </c>
      <c r="E416" s="2165" t="s">
        <v>972</v>
      </c>
      <c r="G416" s="1140"/>
      <c r="H416" s="122"/>
      <c r="I416" s="978"/>
      <c r="J416" s="129"/>
      <c r="K416" s="76"/>
      <c r="U416" s="9"/>
    </row>
    <row r="417" spans="3:21" s="79" customFormat="1">
      <c r="C417"/>
      <c r="D417" s="54"/>
      <c r="E417" s="2165"/>
      <c r="G417" s="1140"/>
      <c r="H417" s="122"/>
      <c r="I417" s="978"/>
      <c r="K417" s="79" t="s">
        <v>485</v>
      </c>
      <c r="U417" s="9"/>
    </row>
    <row r="418" spans="3:21" s="79" customFormat="1">
      <c r="C418"/>
      <c r="D418" s="42">
        <f>'Overall Assumptions'!$C$53</f>
        <v>4.46</v>
      </c>
      <c r="E418" s="629" t="s">
        <v>780</v>
      </c>
      <c r="G418" s="1140"/>
      <c r="H418" s="122"/>
      <c r="I418" s="978"/>
      <c r="J418" s="122">
        <v>1000</v>
      </c>
      <c r="K418" s="122" t="s">
        <v>484</v>
      </c>
      <c r="U418" s="9"/>
    </row>
    <row r="419" spans="3:21" s="79" customFormat="1">
      <c r="C419"/>
      <c r="D419" s="42">
        <f>'Overall Assumptions'!$C$54</f>
        <v>3.3449999999999998</v>
      </c>
      <c r="E419" s="629" t="s">
        <v>781</v>
      </c>
      <c r="G419" s="1140"/>
      <c r="H419" s="122"/>
      <c r="I419" s="978"/>
      <c r="K419" s="79" t="s">
        <v>483</v>
      </c>
      <c r="U419" s="9"/>
    </row>
    <row r="420" spans="3:21" s="79" customFormat="1">
      <c r="C420"/>
      <c r="D420" s="42">
        <f>'Overall Assumptions'!$C$55</f>
        <v>2.23</v>
      </c>
      <c r="E420" s="629" t="s">
        <v>782</v>
      </c>
      <c r="G420" s="1140"/>
      <c r="H420" s="122"/>
      <c r="I420" s="978"/>
      <c r="K420" s="79" t="s">
        <v>481</v>
      </c>
      <c r="U420" s="9"/>
    </row>
    <row r="421" spans="3:21" s="79" customFormat="1">
      <c r="C421"/>
      <c r="D421" s="354">
        <v>2</v>
      </c>
      <c r="E421" s="76" t="s">
        <v>84</v>
      </c>
      <c r="G421" s="1140"/>
      <c r="H421" s="122"/>
      <c r="I421" s="978"/>
      <c r="K421" s="473" t="s">
        <v>482</v>
      </c>
      <c r="U421" s="9"/>
    </row>
    <row r="422" spans="3:21" s="79" customFormat="1">
      <c r="C422"/>
      <c r="D422" s="44"/>
      <c r="E422" s="76"/>
      <c r="G422" s="1140"/>
      <c r="H422" s="122"/>
      <c r="I422" s="978"/>
      <c r="U422" s="9"/>
    </row>
    <row r="423" spans="3:21" s="79" customFormat="1">
      <c r="C423"/>
      <c r="D423" s="44"/>
      <c r="E423" s="66" t="s">
        <v>1540</v>
      </c>
      <c r="G423" s="1140"/>
      <c r="H423" s="122"/>
      <c r="I423" s="978"/>
      <c r="K423" s="473"/>
      <c r="U423" s="9"/>
    </row>
    <row r="424" spans="3:21" s="79" customFormat="1">
      <c r="C424"/>
      <c r="D424" s="44">
        <f>D397</f>
        <v>360</v>
      </c>
      <c r="E424" s="76" t="s">
        <v>1532</v>
      </c>
      <c r="G424" s="1140"/>
      <c r="H424" s="122"/>
      <c r="I424" s="978"/>
      <c r="K424" s="473"/>
      <c r="U424" s="9"/>
    </row>
    <row r="425" spans="3:21" s="79" customFormat="1">
      <c r="C425"/>
      <c r="D425" s="1245">
        <f>D400</f>
        <v>8</v>
      </c>
      <c r="E425" s="124" t="s">
        <v>1021</v>
      </c>
      <c r="G425" s="1140"/>
      <c r="U425"/>
    </row>
    <row r="426" spans="3:21" s="79" customFormat="1">
      <c r="C426"/>
      <c r="D426" s="1672">
        <f>D402</f>
        <v>646.19999999999993</v>
      </c>
      <c r="E426" s="79" t="str">
        <f>E392</f>
        <v>Total bullet costs</v>
      </c>
      <c r="G426" s="1140"/>
      <c r="U426"/>
    </row>
    <row r="427" spans="3:21" s="79" customFormat="1">
      <c r="C427"/>
      <c r="D427" s="404"/>
      <c r="G427" s="1140"/>
      <c r="U427"/>
    </row>
    <row r="428" spans="3:21" s="79" customFormat="1">
      <c r="C428"/>
      <c r="D428" s="54">
        <f>'Overall Assumptions'!$C$10</f>
        <v>0</v>
      </c>
      <c r="E428" s="76" t="s">
        <v>85</v>
      </c>
      <c r="G428" s="1140"/>
      <c r="U428"/>
    </row>
    <row r="429" spans="3:21" s="79" customFormat="1">
      <c r="C429"/>
      <c r="D429" s="54">
        <f>'Overall Assumptions'!$C$90</f>
        <v>80</v>
      </c>
      <c r="E429" s="76" t="s">
        <v>86</v>
      </c>
      <c r="G429" s="1140"/>
      <c r="U429"/>
    </row>
    <row r="430" spans="3:21" s="79" customFormat="1">
      <c r="C430"/>
      <c r="D430" s="56">
        <f>'Overall Assumptions'!$C$81</f>
        <v>210</v>
      </c>
      <c r="E430" s="333" t="s">
        <v>87</v>
      </c>
      <c r="F430" s="439"/>
      <c r="G430" s="2166"/>
      <c r="U430"/>
    </row>
    <row r="431" spans="3:21" s="79" customFormat="1">
      <c r="C431"/>
      <c r="D431" s="75"/>
      <c r="E431" s="76"/>
      <c r="F431"/>
      <c r="G431" s="359"/>
      <c r="U431"/>
    </row>
    <row r="432" spans="3:21" s="79" customFormat="1">
      <c r="C432"/>
      <c r="E432" s="122" t="s">
        <v>996</v>
      </c>
      <c r="F432"/>
      <c r="G432" s="359"/>
      <c r="U432"/>
    </row>
    <row r="433" spans="3:21" s="79" customFormat="1">
      <c r="C433"/>
      <c r="F433"/>
      <c r="G433" s="359"/>
      <c r="U433"/>
    </row>
    <row r="434" spans="3:21" s="79" customFormat="1">
      <c r="C434"/>
      <c r="D434" s="79" t="s">
        <v>988</v>
      </c>
      <c r="F434"/>
      <c r="G434" s="359"/>
      <c r="U434"/>
    </row>
    <row r="435" spans="3:21" s="79" customFormat="1">
      <c r="C435"/>
      <c r="G435" s="1119"/>
      <c r="U435"/>
    </row>
    <row r="436" spans="3:21" s="79" customFormat="1">
      <c r="C436"/>
      <c r="D436" s="79" t="s">
        <v>735</v>
      </c>
      <c r="E436" s="79" t="s">
        <v>987</v>
      </c>
      <c r="F436" t="s">
        <v>733</v>
      </c>
      <c r="G436" s="359" t="s">
        <v>796</v>
      </c>
      <c r="U436"/>
    </row>
    <row r="437" spans="3:21" s="79" customFormat="1">
      <c r="C437"/>
      <c r="D437" s="132">
        <f>D418</f>
        <v>4.46</v>
      </c>
      <c r="E437" s="132">
        <f>D419</f>
        <v>3.3449999999999998</v>
      </c>
      <c r="F437" s="532">
        <f>D420</f>
        <v>2.23</v>
      </c>
      <c r="G437" s="359" t="s">
        <v>997</v>
      </c>
      <c r="U437"/>
    </row>
    <row r="438" spans="3:21" s="79" customFormat="1">
      <c r="C438"/>
      <c r="F438"/>
      <c r="G438" s="1093"/>
      <c r="U438"/>
    </row>
    <row r="439" spans="3:21" s="79" customFormat="1">
      <c r="C439" s="21"/>
      <c r="D439" s="296">
        <f>2*D428/D429/7.5</f>
        <v>0</v>
      </c>
      <c r="E439" s="979">
        <f>D439</f>
        <v>0</v>
      </c>
      <c r="F439" s="979">
        <f>E439</f>
        <v>0</v>
      </c>
      <c r="G439" s="693" t="s">
        <v>95</v>
      </c>
      <c r="I439"/>
      <c r="J439"/>
      <c r="U439"/>
    </row>
    <row r="440" spans="3:21" s="79" customFormat="1">
      <c r="C440" s="21"/>
      <c r="D440" s="296"/>
      <c r="G440" s="1123"/>
      <c r="I440"/>
      <c r="J440"/>
      <c r="U440"/>
    </row>
    <row r="441" spans="3:21" s="79" customFormat="1">
      <c r="C441" s="21"/>
      <c r="D441" s="296">
        <f>$D416/D437/7.5</f>
        <v>4.4843049327354256</v>
      </c>
      <c r="E441" s="296">
        <f>$D416/E437/7.5</f>
        <v>5.9790732436472354</v>
      </c>
      <c r="F441" s="296">
        <f>$D416/F437/7.5</f>
        <v>8.9686098654708513</v>
      </c>
      <c r="G441" s="1124" t="s">
        <v>992</v>
      </c>
      <c r="I441"/>
      <c r="J441"/>
      <c r="U441"/>
    </row>
    <row r="442" spans="3:21" s="79" customFormat="1">
      <c r="C442" s="21"/>
      <c r="D442" s="297">
        <f>$D425</f>
        <v>8</v>
      </c>
      <c r="E442" s="297">
        <f>$D425</f>
        <v>8</v>
      </c>
      <c r="F442" s="297">
        <f>$D425</f>
        <v>8</v>
      </c>
      <c r="G442" s="693" t="s">
        <v>993</v>
      </c>
      <c r="U442"/>
    </row>
    <row r="443" spans="3:21" s="79" customFormat="1" ht="17" customHeight="1">
      <c r="C443" s="21"/>
      <c r="D443" s="296">
        <f>D439+D441+D442</f>
        <v>12.484304932735427</v>
      </c>
      <c r="E443" s="296">
        <f>E439+E441+E442</f>
        <v>13.979073243647235</v>
      </c>
      <c r="F443" s="296">
        <f>F439+F441+F442</f>
        <v>16.968609865470853</v>
      </c>
      <c r="G443" s="99" t="s">
        <v>157</v>
      </c>
      <c r="I443" s="19"/>
      <c r="J443"/>
      <c r="U443"/>
    </row>
    <row r="444" spans="3:21" s="122" customFormat="1">
      <c r="C444" s="9"/>
      <c r="D444" s="105"/>
      <c r="G444" s="1125"/>
      <c r="I444" s="9"/>
      <c r="J444" s="9"/>
      <c r="U444"/>
    </row>
    <row r="445" spans="3:21" s="79" customFormat="1">
      <c r="C445"/>
      <c r="D445" s="77">
        <f>D443*$D421</f>
        <v>24.968609865470853</v>
      </c>
      <c r="E445" s="77">
        <f>E443*$D421</f>
        <v>27.958146487294471</v>
      </c>
      <c r="F445" s="77">
        <f>F443*$D421</f>
        <v>33.937219730941706</v>
      </c>
      <c r="G445" s="99" t="s">
        <v>787</v>
      </c>
      <c r="I445"/>
      <c r="J445"/>
      <c r="U445"/>
    </row>
    <row r="446" spans="3:21" s="79" customFormat="1">
      <c r="C446"/>
      <c r="D446" s="77"/>
      <c r="E446" s="16"/>
      <c r="F446"/>
      <c r="G446" s="359"/>
      <c r="U446"/>
    </row>
    <row r="447" spans="3:21" s="79" customFormat="1">
      <c r="C447" s="21"/>
      <c r="D447" s="64">
        <f>D445*$D412</f>
        <v>8426.9058295964132</v>
      </c>
      <c r="E447" s="64">
        <f>E445*$D412</f>
        <v>9435.8744394618843</v>
      </c>
      <c r="F447" s="64">
        <f>F445*$D412</f>
        <v>11453.811659192826</v>
      </c>
      <c r="G447" s="1101" t="s">
        <v>486</v>
      </c>
      <c r="H447" s="276"/>
      <c r="I447" s="276"/>
      <c r="U447"/>
    </row>
    <row r="448" spans="3:21" s="79" customFormat="1">
      <c r="C448" s="21"/>
      <c r="G448" s="1119"/>
      <c r="H448" s="119"/>
      <c r="I448" s="119"/>
      <c r="L448"/>
      <c r="U448" s="3"/>
    </row>
    <row r="449" spans="3:21" s="79" customFormat="1" ht="19">
      <c r="C449" s="2" t="s">
        <v>132</v>
      </c>
      <c r="D449" s="37" t="s">
        <v>89</v>
      </c>
      <c r="E449" s="16"/>
      <c r="F449"/>
      <c r="G449" s="359"/>
      <c r="H449"/>
      <c r="I449"/>
      <c r="L449"/>
      <c r="U449" s="3"/>
    </row>
    <row r="450" spans="3:21" s="79" customFormat="1">
      <c r="C450" t="s">
        <v>54</v>
      </c>
      <c r="D450" s="160" t="s">
        <v>296</v>
      </c>
      <c r="E450" s="16"/>
      <c r="F450"/>
      <c r="G450" s="359"/>
      <c r="H450"/>
      <c r="I450"/>
      <c r="L450"/>
      <c r="U450" s="3"/>
    </row>
    <row r="451" spans="3:21" s="79" customFormat="1">
      <c r="C451"/>
      <c r="D451" s="160"/>
      <c r="E451" s="16"/>
      <c r="F451"/>
      <c r="G451" s="359"/>
      <c r="H451"/>
      <c r="I451"/>
      <c r="L451"/>
      <c r="M451" s="122"/>
    </row>
    <row r="452" spans="3:21" s="79" customFormat="1">
      <c r="C452"/>
      <c r="D452" s="16"/>
      <c r="E452" s="16"/>
      <c r="F452"/>
      <c r="G452" s="359"/>
      <c r="H452"/>
      <c r="I452"/>
      <c r="L452"/>
    </row>
    <row r="453" spans="3:21" s="79" customFormat="1">
      <c r="C453"/>
      <c r="D453" s="67" t="s">
        <v>91</v>
      </c>
      <c r="E453" s="41"/>
      <c r="F453"/>
      <c r="G453" s="359"/>
      <c r="H453"/>
      <c r="I453"/>
      <c r="L453"/>
    </row>
    <row r="454" spans="3:21" s="79" customFormat="1">
      <c r="C454"/>
      <c r="D454" s="52">
        <f>'Overall Assumptions'!$C$93</f>
        <v>285</v>
      </c>
      <c r="E454" s="41" t="s">
        <v>93</v>
      </c>
      <c r="F454"/>
      <c r="G454" s="359"/>
      <c r="H454"/>
      <c r="I454"/>
      <c r="L454"/>
    </row>
    <row r="455" spans="3:21" s="79" customFormat="1">
      <c r="C455"/>
      <c r="D455" s="54">
        <v>1</v>
      </c>
      <c r="E455" s="43" t="s">
        <v>995</v>
      </c>
      <c r="F455"/>
      <c r="G455" s="359"/>
      <c r="H455"/>
      <c r="I455"/>
      <c r="L455"/>
    </row>
    <row r="456" spans="3:21" s="79" customFormat="1">
      <c r="C456"/>
      <c r="D456" s="54"/>
      <c r="E456" s="43"/>
      <c r="F456"/>
      <c r="G456" s="359"/>
      <c r="H456"/>
      <c r="I456"/>
    </row>
    <row r="457" spans="3:21" s="79" customFormat="1">
      <c r="C457"/>
      <c r="D457" s="56"/>
      <c r="E457" s="45"/>
      <c r="F457"/>
      <c r="G457" s="359"/>
      <c r="H457"/>
      <c r="I457"/>
      <c r="L457"/>
    </row>
    <row r="458" spans="3:21" s="79" customFormat="1">
      <c r="C458"/>
      <c r="D458" s="75"/>
      <c r="E458" s="76"/>
      <c r="F458"/>
      <c r="G458" s="359"/>
      <c r="H458"/>
      <c r="I458"/>
      <c r="L458"/>
    </row>
    <row r="459" spans="3:21" s="79" customFormat="1">
      <c r="C459"/>
      <c r="D459" s="46">
        <f>D439</f>
        <v>0</v>
      </c>
      <c r="E459" s="46">
        <f>E439</f>
        <v>0</v>
      </c>
      <c r="F459" s="46">
        <f>F439</f>
        <v>0</v>
      </c>
      <c r="G459" s="693" t="s">
        <v>97</v>
      </c>
      <c r="H459"/>
      <c r="I459"/>
    </row>
    <row r="460" spans="3:21" s="79" customFormat="1">
      <c r="C460"/>
      <c r="D460" s="46">
        <f>D443</f>
        <v>12.484304932735427</v>
      </c>
      <c r="E460" s="46">
        <f>E443</f>
        <v>13.979073243647235</v>
      </c>
      <c r="F460" s="46">
        <f>F443</f>
        <v>16.968609865470853</v>
      </c>
      <c r="G460" s="693" t="s">
        <v>98</v>
      </c>
      <c r="H460"/>
      <c r="I460"/>
    </row>
    <row r="461" spans="3:21" s="79" customFormat="1">
      <c r="C461"/>
      <c r="D461" s="46"/>
      <c r="F461"/>
      <c r="G461" s="693"/>
      <c r="H461"/>
      <c r="I461"/>
    </row>
    <row r="462" spans="3:21" s="79" customFormat="1">
      <c r="C462"/>
      <c r="D462" s="46">
        <f>SUM(D459:D461)</f>
        <v>12.484304932735427</v>
      </c>
      <c r="E462" s="46">
        <f>SUM(E459:E461)</f>
        <v>13.979073243647235</v>
      </c>
      <c r="F462" s="46">
        <f>SUM(F459:F461)</f>
        <v>16.968609865470853</v>
      </c>
      <c r="G462" s="693" t="s">
        <v>135</v>
      </c>
      <c r="H462"/>
      <c r="I462"/>
    </row>
    <row r="463" spans="3:21" s="79" customFormat="1">
      <c r="C463"/>
      <c r="D463" s="63"/>
      <c r="E463" s="16"/>
      <c r="F463"/>
      <c r="G463" s="359"/>
      <c r="H463"/>
      <c r="I463"/>
    </row>
    <row r="464" spans="3:21" s="79" customFormat="1">
      <c r="C464"/>
      <c r="D464" s="63"/>
      <c r="E464" s="16"/>
      <c r="F464"/>
      <c r="G464" s="359"/>
      <c r="H464"/>
      <c r="I464"/>
    </row>
    <row r="465" spans="3:13" s="79" customFormat="1">
      <c r="C465" t="s">
        <v>998</v>
      </c>
      <c r="D465" s="68">
        <f>D462*$D454*$D455</f>
        <v>3558.0269058295967</v>
      </c>
      <c r="E465" s="68">
        <f>E462*$D454*$D455</f>
        <v>3984.0358744394621</v>
      </c>
      <c r="F465" s="68">
        <f>F462*$D454*$D455</f>
        <v>4836.0538116591933</v>
      </c>
      <c r="G465" s="1126" t="s">
        <v>53</v>
      </c>
      <c r="H465"/>
      <c r="I465"/>
    </row>
    <row r="466" spans="3:13" s="79" customFormat="1">
      <c r="D466" s="46">
        <f>D460</f>
        <v>12.484304932735427</v>
      </c>
      <c r="E466" s="46">
        <f>E460</f>
        <v>13.979073243647235</v>
      </c>
      <c r="F466" s="46">
        <f>F460</f>
        <v>16.968609865470853</v>
      </c>
      <c r="G466" s="359" t="s">
        <v>795</v>
      </c>
    </row>
    <row r="467" spans="3:13" s="79" customFormat="1">
      <c r="D467" s="75">
        <f>ROUNDUP((D462/21),0)</f>
        <v>1</v>
      </c>
      <c r="E467" s="75">
        <f>ROUNDUP((E462/21),0)</f>
        <v>1</v>
      </c>
      <c r="F467" s="75">
        <f>ROUNDUP((F462/21),0)</f>
        <v>1</v>
      </c>
      <c r="G467" s="99" t="s">
        <v>739</v>
      </c>
    </row>
    <row r="468" spans="3:13" s="79" customFormat="1">
      <c r="D468" s="75"/>
      <c r="E468" s="75"/>
      <c r="F468" s="75"/>
      <c r="G468" s="99"/>
    </row>
    <row r="469" spans="3:13" s="79" customFormat="1">
      <c r="C469" s="215" t="s">
        <v>70</v>
      </c>
      <c r="D469" s="230"/>
      <c r="E469" s="224" t="s">
        <v>156</v>
      </c>
      <c r="F469" s="212"/>
      <c r="G469" s="1108"/>
      <c r="H469" s="212"/>
      <c r="I469" s="119"/>
    </row>
    <row r="470" spans="3:13" s="79" customFormat="1">
      <c r="C470" s="212"/>
      <c r="D470" s="230"/>
      <c r="E470" s="224"/>
      <c r="F470" s="212"/>
      <c r="G470" s="1108"/>
      <c r="H470" s="212"/>
      <c r="I470" s="119"/>
    </row>
    <row r="471" spans="3:13" s="79" customFormat="1">
      <c r="C471" s="212"/>
      <c r="D471" s="230"/>
      <c r="E471" s="224"/>
      <c r="F471" s="212"/>
      <c r="G471" s="1108"/>
      <c r="H471" s="212"/>
      <c r="I471" s="119"/>
    </row>
    <row r="472" spans="3:13" s="79" customFormat="1">
      <c r="C472" s="212"/>
      <c r="D472" s="222">
        <f>D462</f>
        <v>12.484304932735427</v>
      </c>
      <c r="E472" s="222">
        <f>E462</f>
        <v>13.979073243647235</v>
      </c>
      <c r="F472" s="222">
        <f>F462</f>
        <v>16.968609865470853</v>
      </c>
      <c r="G472" s="1127" t="s">
        <v>157</v>
      </c>
      <c r="H472" s="212"/>
      <c r="I472" s="119"/>
    </row>
    <row r="473" spans="3:13" s="79" customFormat="1">
      <c r="C473" s="212"/>
      <c r="D473" s="229">
        <f>FLOOR(D472,1)</f>
        <v>12</v>
      </c>
      <c r="E473" s="229">
        <f>FLOOR(E472,1)</f>
        <v>13</v>
      </c>
      <c r="F473" s="229">
        <f>FLOOR(F472,1)</f>
        <v>16</v>
      </c>
      <c r="G473" s="1127" t="s">
        <v>73</v>
      </c>
      <c r="H473" s="212"/>
      <c r="I473" s="119"/>
    </row>
    <row r="474" spans="3:13" s="79" customFormat="1">
      <c r="C474" s="212"/>
      <c r="D474" s="228">
        <f>D473*$D421</f>
        <v>24</v>
      </c>
      <c r="E474" s="228">
        <f>E473*$D421</f>
        <v>26</v>
      </c>
      <c r="F474" s="228">
        <f>F473*$D421</f>
        <v>32</v>
      </c>
      <c r="G474" s="1128" t="s">
        <v>175</v>
      </c>
      <c r="H474" s="212"/>
      <c r="I474" s="119"/>
    </row>
    <row r="475" spans="3:13" s="79" customFormat="1">
      <c r="C475" s="212"/>
      <c r="D475" s="227"/>
      <c r="E475" s="227"/>
      <c r="F475" s="227"/>
      <c r="G475" s="1128" t="s">
        <v>88</v>
      </c>
      <c r="H475" s="212"/>
    </row>
    <row r="476" spans="3:13" s="79" customFormat="1">
      <c r="C476" s="212"/>
      <c r="D476" s="226">
        <f>D474*$D430</f>
        <v>5040</v>
      </c>
      <c r="E476" s="226">
        <f>E474*$D430</f>
        <v>5460</v>
      </c>
      <c r="F476" s="226">
        <f>F474*$D430</f>
        <v>6720</v>
      </c>
      <c r="G476" s="1129" t="s">
        <v>74</v>
      </c>
      <c r="H476" s="212"/>
      <c r="J476" s="276"/>
      <c r="K476" s="276"/>
      <c r="L476" s="276"/>
      <c r="M476" s="276"/>
    </row>
    <row r="477" spans="3:13" s="79" customFormat="1">
      <c r="D477" s="282"/>
      <c r="E477" s="76"/>
      <c r="G477" s="1119"/>
      <c r="J477" s="122"/>
      <c r="K477" s="136"/>
      <c r="L477" s="119"/>
      <c r="M477" s="119"/>
    </row>
    <row r="478" spans="3:13" s="79" customFormat="1">
      <c r="C478" s="79" t="s">
        <v>1534</v>
      </c>
      <c r="D478" s="2162">
        <f>$D426</f>
        <v>646.19999999999993</v>
      </c>
      <c r="E478" s="2163">
        <f>$D426</f>
        <v>646.19999999999993</v>
      </c>
      <c r="F478" s="2163">
        <f>$D426</f>
        <v>646.19999999999993</v>
      </c>
      <c r="G478" s="1118" t="s">
        <v>1535</v>
      </c>
      <c r="J478" s="122"/>
      <c r="K478" s="136"/>
      <c r="L478" s="119"/>
      <c r="M478" s="119"/>
    </row>
    <row r="479" spans="3:13" s="79" customFormat="1">
      <c r="D479" s="283"/>
      <c r="E479" s="284"/>
      <c r="F479" s="78"/>
      <c r="G479" s="1119"/>
      <c r="J479" s="122"/>
      <c r="K479" s="136"/>
      <c r="L479" s="119"/>
      <c r="M479" s="119"/>
    </row>
    <row r="480" spans="3:13" s="79" customFormat="1">
      <c r="D480" s="283"/>
      <c r="E480" s="1103" t="s">
        <v>788</v>
      </c>
      <c r="F480" s="618" t="s">
        <v>779</v>
      </c>
      <c r="G480" s="618" t="s">
        <v>789</v>
      </c>
      <c r="H480" s="1103" t="s">
        <v>788</v>
      </c>
      <c r="I480" s="618" t="s">
        <v>779</v>
      </c>
      <c r="J480" s="618" t="s">
        <v>789</v>
      </c>
      <c r="K480" s="122"/>
      <c r="L480" s="136"/>
      <c r="M480" s="119"/>
    </row>
    <row r="481" spans="1:42" s="79" customFormat="1">
      <c r="D481" s="143" t="s">
        <v>172</v>
      </c>
      <c r="E481" s="144" t="s">
        <v>155</v>
      </c>
      <c r="F481" s="144" t="s">
        <v>155</v>
      </c>
      <c r="G481" s="144" t="s">
        <v>155</v>
      </c>
      <c r="H481" s="1103" t="s">
        <v>166</v>
      </c>
      <c r="I481" s="1103" t="s">
        <v>166</v>
      </c>
      <c r="J481" s="1103" t="s">
        <v>166</v>
      </c>
      <c r="K481" s="145" t="s">
        <v>69</v>
      </c>
      <c r="M481" s="119"/>
    </row>
    <row r="482" spans="1:42" s="79" customFormat="1">
      <c r="D482" s="135" t="s">
        <v>3</v>
      </c>
      <c r="E482" s="136">
        <f>D445</f>
        <v>24.968609865470853</v>
      </c>
      <c r="F482" s="136">
        <f t="shared" ref="F482:G482" si="70">E445</f>
        <v>27.958146487294471</v>
      </c>
      <c r="G482" s="136">
        <f t="shared" si="70"/>
        <v>33.937219730941706</v>
      </c>
      <c r="H482" s="1092">
        <f>D447</f>
        <v>8426.9058295964132</v>
      </c>
      <c r="I482" s="119">
        <f>E447</f>
        <v>9435.8744394618843</v>
      </c>
      <c r="J482" s="119">
        <f>F447</f>
        <v>11453.811659192826</v>
      </c>
      <c r="K482" s="358" t="str">
        <f>G447</f>
        <v>Cost for labour</v>
      </c>
      <c r="L482" s="1216">
        <f>$D$403</f>
        <v>1</v>
      </c>
    </row>
    <row r="483" spans="1:42" s="79" customFormat="1">
      <c r="D483" s="135" t="s">
        <v>132</v>
      </c>
      <c r="E483" s="136">
        <f>D462</f>
        <v>12.484304932735427</v>
      </c>
      <c r="F483" s="136">
        <f t="shared" ref="F483:G483" si="71">E462</f>
        <v>13.979073243647235</v>
      </c>
      <c r="G483" s="136">
        <f t="shared" si="71"/>
        <v>16.968609865470853</v>
      </c>
      <c r="H483" s="1092">
        <f>D465</f>
        <v>3558.0269058295967</v>
      </c>
      <c r="I483" s="119">
        <f>E465</f>
        <v>3984.0358744394621</v>
      </c>
      <c r="J483" s="119">
        <f>F465</f>
        <v>4836.0538116591933</v>
      </c>
      <c r="K483" s="358" t="s">
        <v>999</v>
      </c>
      <c r="L483" s="1216">
        <f>$D$403</f>
        <v>1</v>
      </c>
    </row>
    <row r="484" spans="1:42" s="79" customFormat="1">
      <c r="D484" s="135" t="s">
        <v>169</v>
      </c>
      <c r="E484" s="136">
        <f>D474</f>
        <v>24</v>
      </c>
      <c r="F484" s="136">
        <f t="shared" ref="F484:G484" si="72">E474</f>
        <v>26</v>
      </c>
      <c r="G484" s="136">
        <f t="shared" si="72"/>
        <v>32</v>
      </c>
      <c r="H484" s="1092">
        <f>SUM(D476,D478)</f>
        <v>5686.2</v>
      </c>
      <c r="I484" s="1092">
        <f>SUM(E476,E478)</f>
        <v>6106.2</v>
      </c>
      <c r="J484" s="1092">
        <f>SUM(F476,F478)</f>
        <v>7366.2</v>
      </c>
      <c r="K484" s="358" t="s">
        <v>1536</v>
      </c>
      <c r="L484" s="1216">
        <f>$D$403</f>
        <v>1</v>
      </c>
    </row>
    <row r="485" spans="1:42" s="79" customFormat="1">
      <c r="D485" s="137"/>
      <c r="E485" s="138"/>
      <c r="F485" s="142"/>
      <c r="H485" s="1116">
        <f>SUM(H482:H484)</f>
        <v>17671.13273542601</v>
      </c>
      <c r="I485" s="139">
        <f>SUM(I482:I484)</f>
        <v>19526.110313901347</v>
      </c>
      <c r="J485" s="139">
        <f>SUM(J482:J484)</f>
        <v>23656.06547085202</v>
      </c>
      <c r="K485" s="140" t="s">
        <v>165</v>
      </c>
    </row>
    <row r="486" spans="1:42">
      <c r="D486" s="25"/>
    </row>
    <row r="487" spans="1:42" s="7" customFormat="1">
      <c r="D487" s="69"/>
      <c r="E487" s="36"/>
      <c r="G487" s="1089"/>
    </row>
    <row r="488" spans="1:42" s="212" customFormat="1" ht="18" customHeight="1">
      <c r="A488" s="219"/>
      <c r="B488" s="219"/>
      <c r="C488" s="219"/>
      <c r="D488" s="223"/>
      <c r="E488" s="220"/>
      <c r="F488" s="219"/>
      <c r="G488" s="219"/>
      <c r="H488" s="219"/>
      <c r="I488" s="219"/>
      <c r="J488" s="219"/>
      <c r="K488" s="219"/>
      <c r="L488" s="219"/>
      <c r="M488" s="219"/>
      <c r="N488" s="219"/>
      <c r="O488" s="219"/>
      <c r="P488" s="219"/>
      <c r="Q488" s="219"/>
      <c r="R488" s="219"/>
      <c r="S488" s="219"/>
      <c r="T488" s="219"/>
      <c r="U488" s="219"/>
      <c r="V488" s="219"/>
      <c r="W488" s="219"/>
      <c r="X488" s="219"/>
      <c r="Y488" s="219"/>
      <c r="Z488" s="219"/>
      <c r="AA488" s="219"/>
      <c r="AB488" s="219"/>
      <c r="AC488" s="219"/>
      <c r="AD488" s="219"/>
      <c r="AE488" s="219"/>
      <c r="AF488" s="219"/>
      <c r="AG488" s="219"/>
      <c r="AH488" s="219"/>
      <c r="AI488" s="219"/>
      <c r="AJ488" s="219"/>
      <c r="AK488" s="219"/>
      <c r="AL488" s="219"/>
      <c r="AM488" s="219"/>
      <c r="AN488" s="219"/>
      <c r="AO488" s="219"/>
      <c r="AP488" s="219"/>
    </row>
    <row r="489" spans="1:42" s="79" customFormat="1">
      <c r="D489" s="279"/>
      <c r="E489" s="76"/>
    </row>
    <row r="490" spans="1:42" s="79" customFormat="1">
      <c r="C490" s="233" t="s">
        <v>1546</v>
      </c>
      <c r="D490" s="232" t="s">
        <v>700</v>
      </c>
      <c r="E490" s="76"/>
      <c r="G490" s="76"/>
      <c r="H490" s="92"/>
      <c r="I490" s="76"/>
      <c r="J490" s="65"/>
      <c r="K490" s="66"/>
    </row>
    <row r="491" spans="1:42" s="79" customFormat="1">
      <c r="D491" s="489" t="s">
        <v>1417</v>
      </c>
      <c r="E491" s="66"/>
      <c r="G491" s="76"/>
      <c r="H491" s="76"/>
      <c r="I491" s="76"/>
      <c r="J491" s="65"/>
      <c r="K491" s="66"/>
    </row>
    <row r="492" spans="1:42" s="79" customFormat="1">
      <c r="D492" s="76"/>
      <c r="E492" s="66"/>
      <c r="L492" s="491"/>
    </row>
    <row r="493" spans="1:42" s="79" customFormat="1">
      <c r="D493" s="76"/>
      <c r="E493" s="66"/>
      <c r="L493" s="491"/>
    </row>
    <row r="494" spans="1:42" s="79" customFormat="1">
      <c r="D494" s="494"/>
      <c r="E494" s="495" t="s">
        <v>1378</v>
      </c>
      <c r="F494" s="79" t="s">
        <v>1377</v>
      </c>
      <c r="G494" s="494" t="s">
        <v>1376</v>
      </c>
      <c r="H494" s="79" t="s">
        <v>141</v>
      </c>
      <c r="L494" s="491"/>
    </row>
    <row r="495" spans="1:42" s="79" customFormat="1">
      <c r="C495" s="1" t="s">
        <v>1402</v>
      </c>
      <c r="D495" s="498">
        <v>460</v>
      </c>
      <c r="E495" s="499" t="s">
        <v>1379</v>
      </c>
      <c r="F495" s="1824">
        <v>100</v>
      </c>
      <c r="G495" s="500">
        <v>20</v>
      </c>
      <c r="H495" s="473" t="s">
        <v>699</v>
      </c>
      <c r="L495" s="491"/>
    </row>
    <row r="496" spans="1:42" s="79" customFormat="1">
      <c r="D496" s="502">
        <v>40</v>
      </c>
      <c r="E496" s="503" t="s">
        <v>1389</v>
      </c>
      <c r="F496" s="1824">
        <v>100</v>
      </c>
      <c r="G496" s="503">
        <v>20</v>
      </c>
      <c r="H496" s="473" t="s">
        <v>1388</v>
      </c>
      <c r="L496" s="491"/>
    </row>
    <row r="497" spans="3:13" s="79" customFormat="1">
      <c r="D497" s="1822"/>
      <c r="E497" s="1823"/>
      <c r="F497" s="122"/>
      <c r="G497" s="1823"/>
      <c r="H497" s="473"/>
      <c r="L497" s="491"/>
    </row>
    <row r="498" spans="3:13" s="79" customFormat="1">
      <c r="D498" s="10" t="s">
        <v>1399</v>
      </c>
      <c r="F498" s="122"/>
      <c r="G498" s="1823"/>
      <c r="H498" s="473"/>
      <c r="L498" s="491"/>
    </row>
    <row r="499" spans="3:13" s="79" customFormat="1">
      <c r="E499" s="79" t="s">
        <v>1396</v>
      </c>
      <c r="F499" s="122"/>
      <c r="G499" s="1823"/>
      <c r="H499" s="473"/>
      <c r="L499" s="491"/>
    </row>
    <row r="500" spans="3:13" s="79" customFormat="1">
      <c r="E500" s="473" t="s">
        <v>699</v>
      </c>
      <c r="F500" s="122"/>
      <c r="G500" s="1823"/>
      <c r="H500" s="473"/>
      <c r="L500" s="491"/>
    </row>
    <row r="501" spans="3:13" s="79" customFormat="1">
      <c r="E501" s="79" t="s">
        <v>1394</v>
      </c>
      <c r="F501" s="122"/>
      <c r="G501" s="1823"/>
      <c r="H501" s="473"/>
      <c r="L501" s="491"/>
    </row>
    <row r="502" spans="3:13" s="79" customFormat="1">
      <c r="E502" s="473" t="s">
        <v>1380</v>
      </c>
      <c r="F502" s="122"/>
      <c r="G502" s="1823"/>
      <c r="H502" s="473"/>
      <c r="L502" s="491"/>
    </row>
    <row r="503" spans="3:13" s="79" customFormat="1">
      <c r="E503" s="79" t="s">
        <v>1395</v>
      </c>
      <c r="F503" s="122"/>
      <c r="G503" s="1823"/>
      <c r="H503" s="473"/>
      <c r="L503" s="491"/>
    </row>
    <row r="504" spans="3:13" s="79" customFormat="1">
      <c r="E504" s="473" t="s">
        <v>1386</v>
      </c>
      <c r="F504" s="122"/>
      <c r="G504" s="1823"/>
      <c r="H504" s="473"/>
      <c r="L504" s="491"/>
    </row>
    <row r="505" spans="3:13" s="79" customFormat="1">
      <c r="E505" s="473"/>
      <c r="F505" s="122"/>
      <c r="G505" s="1823"/>
      <c r="H505" s="473"/>
      <c r="L505" s="491"/>
    </row>
    <row r="506" spans="3:13" s="79" customFormat="1">
      <c r="C506" s="79" t="s">
        <v>1403</v>
      </c>
      <c r="D506" s="1822" t="s">
        <v>1398</v>
      </c>
      <c r="E506" s="1823"/>
      <c r="F506" s="122"/>
      <c r="G506" s="1823"/>
      <c r="H506" s="473"/>
      <c r="L506" s="491"/>
    </row>
    <row r="507" spans="3:13" s="79" customFormat="1">
      <c r="D507" s="473" t="s">
        <v>1381</v>
      </c>
      <c r="E507" s="1823"/>
      <c r="F507" s="122"/>
      <c r="G507" s="1823"/>
      <c r="H507" s="473"/>
      <c r="L507" s="491"/>
    </row>
    <row r="508" spans="3:13" s="122" customFormat="1">
      <c r="D508" s="1827" t="s">
        <v>1392</v>
      </c>
      <c r="E508" s="1836"/>
      <c r="F508" s="1828"/>
      <c r="H508" s="1823"/>
      <c r="I508" s="1023"/>
      <c r="M508" s="1825"/>
    </row>
    <row r="509" spans="3:13" s="79" customFormat="1">
      <c r="D509" s="404"/>
      <c r="E509" s="1826" t="s">
        <v>1390</v>
      </c>
      <c r="F509" s="1826"/>
      <c r="G509" s="122"/>
      <c r="H509" s="1823"/>
      <c r="I509" s="473"/>
      <c r="J509" s="122"/>
      <c r="M509" s="491"/>
    </row>
    <row r="510" spans="3:13" s="79" customFormat="1">
      <c r="D510" s="404">
        <v>15</v>
      </c>
      <c r="E510" s="1820" t="s">
        <v>1382</v>
      </c>
      <c r="F510" s="1820"/>
      <c r="G510" s="122"/>
      <c r="H510" s="1823"/>
      <c r="I510" s="1023"/>
      <c r="J510" s="122"/>
      <c r="M510" s="491"/>
    </row>
    <row r="511" spans="3:13" s="79" customFormat="1">
      <c r="D511" s="1821">
        <v>15</v>
      </c>
      <c r="E511" s="246" t="s">
        <v>1383</v>
      </c>
      <c r="F511" s="246"/>
      <c r="G511" s="122"/>
      <c r="H511" s="1823"/>
      <c r="I511" s="1023"/>
      <c r="J511" s="122"/>
      <c r="M511" s="491"/>
    </row>
    <row r="512" spans="3:13" s="79" customFormat="1">
      <c r="D512" s="1821">
        <v>20</v>
      </c>
      <c r="E512" s="1820" t="s">
        <v>1431</v>
      </c>
      <c r="F512" s="1820"/>
      <c r="G512" s="122"/>
      <c r="H512" s="122"/>
      <c r="I512" s="122"/>
      <c r="J512" s="122"/>
      <c r="M512" s="491"/>
    </row>
    <row r="513" spans="3:13" s="79" customFormat="1">
      <c r="D513" s="1821"/>
      <c r="E513" s="1820"/>
      <c r="F513" s="1820"/>
      <c r="M513" s="491"/>
    </row>
    <row r="514" spans="3:13" s="79" customFormat="1">
      <c r="D514" s="1819"/>
      <c r="E514" s="1830" t="s">
        <v>1391</v>
      </c>
      <c r="F514" s="1830"/>
      <c r="M514" s="491"/>
    </row>
    <row r="515" spans="3:13" s="79" customFormat="1">
      <c r="D515" s="1831">
        <v>10</v>
      </c>
      <c r="E515" s="1832" t="s">
        <v>1387</v>
      </c>
      <c r="F515" s="1832"/>
      <c r="M515" s="491"/>
    </row>
    <row r="516" spans="3:13" s="79" customFormat="1">
      <c r="D516" s="4">
        <f>SUM(D510:D515)</f>
        <v>60</v>
      </c>
      <c r="E516" s="1829" t="s">
        <v>1393</v>
      </c>
      <c r="F516" s="1829"/>
      <c r="M516" s="491"/>
    </row>
    <row r="517" spans="3:13" s="79" customFormat="1">
      <c r="L517" s="491"/>
    </row>
    <row r="518" spans="3:13" s="79" customFormat="1">
      <c r="D518" s="1827"/>
      <c r="E518" s="1836" t="s">
        <v>1384</v>
      </c>
      <c r="F518" s="274"/>
      <c r="L518" s="491"/>
    </row>
    <row r="519" spans="3:13" s="79" customFormat="1">
      <c r="D519" s="1821">
        <v>20</v>
      </c>
      <c r="E519" s="1833" t="s">
        <v>1385</v>
      </c>
      <c r="F519" s="246"/>
      <c r="L519" s="491"/>
    </row>
    <row r="520" spans="3:13" s="79" customFormat="1">
      <c r="D520" s="1834">
        <f>D519</f>
        <v>20</v>
      </c>
      <c r="E520" s="1835" t="s">
        <v>1397</v>
      </c>
      <c r="F520" s="162"/>
      <c r="L520" s="491"/>
    </row>
    <row r="521" spans="3:13" s="79" customFormat="1">
      <c r="D521" s="1837"/>
      <c r="E521" s="1837"/>
      <c r="L521" s="491"/>
    </row>
    <row r="522" spans="3:13" s="79" customFormat="1">
      <c r="C522" s="1" t="s">
        <v>4</v>
      </c>
      <c r="D522" s="23" t="s">
        <v>128</v>
      </c>
      <c r="E522" s="34"/>
      <c r="F522" s="9"/>
    </row>
    <row r="523" spans="3:13" s="79" customFormat="1">
      <c r="C523" s="9"/>
      <c r="D523" s="293">
        <f>F495</f>
        <v>100</v>
      </c>
      <c r="E523" s="124" t="s">
        <v>1400</v>
      </c>
      <c r="F523" s="147"/>
    </row>
    <row r="524" spans="3:13" s="79" customFormat="1">
      <c r="C524" s="9"/>
      <c r="D524" s="1838">
        <f>D516/60/7.5</f>
        <v>0.13333333333333333</v>
      </c>
      <c r="E524" s="124" t="s">
        <v>2366</v>
      </c>
      <c r="F524" s="147"/>
      <c r="G524" s="492"/>
      <c r="K524" s="213"/>
    </row>
    <row r="525" spans="3:13" s="79" customFormat="1">
      <c r="C525" s="9"/>
      <c r="D525" s="1838">
        <f>D520/60/7.5</f>
        <v>4.4444444444444439E-2</v>
      </c>
      <c r="E525" s="124" t="s">
        <v>1401</v>
      </c>
      <c r="F525" s="147"/>
      <c r="G525" s="492"/>
      <c r="K525" s="213"/>
    </row>
    <row r="526" spans="3:13" s="79" customFormat="1">
      <c r="C526"/>
      <c r="D526" s="504">
        <f>D495</f>
        <v>460</v>
      </c>
      <c r="E526" s="124" t="s">
        <v>1406</v>
      </c>
      <c r="F526" s="147"/>
      <c r="G526" s="490"/>
      <c r="J526" s="493"/>
    </row>
    <row r="527" spans="3:13" s="79" customFormat="1">
      <c r="C527" s="9"/>
      <c r="D527" s="504">
        <f>D496</f>
        <v>40</v>
      </c>
      <c r="E527" s="124" t="s">
        <v>1407</v>
      </c>
      <c r="F527" s="147"/>
      <c r="G527" s="212"/>
      <c r="J527" s="493"/>
    </row>
    <row r="528" spans="3:13" s="79" customFormat="1">
      <c r="C528" s="9"/>
      <c r="D528" s="328">
        <f>SUM(D526:D527)</f>
        <v>500</v>
      </c>
      <c r="E528" s="124" t="s">
        <v>1408</v>
      </c>
      <c r="F528" s="147"/>
      <c r="G528" s="288"/>
      <c r="J528" s="493"/>
    </row>
    <row r="529" spans="3:12" s="79" customFormat="1">
      <c r="C529" s="9"/>
      <c r="G529" s="288"/>
    </row>
    <row r="530" spans="3:12" s="79" customFormat="1">
      <c r="C530" s="9"/>
      <c r="E530" s="122"/>
      <c r="F530" s="213"/>
      <c r="G530" s="213"/>
    </row>
    <row r="531" spans="3:12" s="79" customFormat="1">
      <c r="C531" s="9"/>
      <c r="D531" s="74">
        <f>D523*D528</f>
        <v>50000</v>
      </c>
      <c r="E531" s="39" t="s">
        <v>67</v>
      </c>
      <c r="F531"/>
      <c r="G531" s="288"/>
      <c r="J531" s="289"/>
      <c r="K531" s="216"/>
    </row>
    <row r="532" spans="3:12" s="79" customFormat="1">
      <c r="C532" s="9"/>
      <c r="D532" s="339">
        <f>G495</f>
        <v>20</v>
      </c>
      <c r="E532" s="218" t="s">
        <v>261</v>
      </c>
      <c r="G532" s="288"/>
      <c r="J532" s="289"/>
      <c r="K532" s="216"/>
    </row>
    <row r="533" spans="3:12" s="79" customFormat="1">
      <c r="C533" s="9"/>
      <c r="D533" s="290"/>
      <c r="E533" s="124"/>
      <c r="F533" s="147"/>
      <c r="G533" s="288"/>
      <c r="J533" s="288"/>
      <c r="K533" s="216"/>
    </row>
    <row r="534" spans="3:12" s="79" customFormat="1">
      <c r="C534" s="9"/>
      <c r="D534" s="290"/>
      <c r="E534" s="124"/>
      <c r="F534" s="147"/>
      <c r="G534" s="288"/>
      <c r="J534" s="289"/>
      <c r="K534" s="216"/>
    </row>
    <row r="535" spans="3:12" s="79" customFormat="1" ht="19">
      <c r="C535" t="s">
        <v>50</v>
      </c>
      <c r="D535" s="37" t="s">
        <v>81</v>
      </c>
      <c r="E535" s="24"/>
      <c r="F535" s="1"/>
      <c r="G535" s="3"/>
      <c r="H535" s="286"/>
      <c r="I535" s="286"/>
      <c r="J535" s="289"/>
      <c r="K535" s="216"/>
    </row>
    <row r="536" spans="3:12" s="79" customFormat="1">
      <c r="C536"/>
      <c r="D536" s="24" t="s">
        <v>519</v>
      </c>
      <c r="E536" s="16"/>
      <c r="F536" s="1"/>
      <c r="G536" s="3"/>
      <c r="J536" s="248"/>
      <c r="K536" s="248"/>
      <c r="L536" s="122"/>
    </row>
    <row r="537" spans="3:12" s="79" customFormat="1">
      <c r="C537"/>
      <c r="D537" s="160" t="s">
        <v>514</v>
      </c>
      <c r="E537" s="16"/>
      <c r="F537"/>
      <c r="G537"/>
      <c r="J537" s="248"/>
      <c r="K537" s="288"/>
      <c r="L537" s="122"/>
    </row>
    <row r="538" spans="3:12" s="79" customFormat="1">
      <c r="C538"/>
      <c r="D538" s="50"/>
      <c r="E538" s="16"/>
      <c r="F538"/>
      <c r="G538"/>
      <c r="J538" s="286"/>
      <c r="K538" s="286"/>
      <c r="L538" s="122"/>
    </row>
    <row r="539" spans="3:12" s="79" customFormat="1">
      <c r="C539"/>
      <c r="D539" s="51" t="s">
        <v>82</v>
      </c>
      <c r="E539" s="39"/>
      <c r="F539"/>
      <c r="G539"/>
      <c r="H539" s="212"/>
      <c r="I539" s="212"/>
      <c r="J539" s="216"/>
      <c r="K539" s="216"/>
    </row>
    <row r="540" spans="3:12" s="79" customFormat="1">
      <c r="C540"/>
      <c r="D540" s="1839">
        <f>'Overall Assumptions'!$C$6</f>
        <v>100</v>
      </c>
      <c r="E540" s="43" t="s">
        <v>80</v>
      </c>
      <c r="F540"/>
      <c r="G540"/>
      <c r="H540" s="212"/>
      <c r="I540" s="212"/>
      <c r="J540" s="216"/>
      <c r="K540" s="216"/>
    </row>
    <row r="541" spans="3:12" s="79" customFormat="1">
      <c r="C541"/>
      <c r="D541" s="1839">
        <f>'Overall Assumptions'!$C$132</f>
        <v>0.5</v>
      </c>
      <c r="E541" s="43" t="s">
        <v>1409</v>
      </c>
      <c r="F541"/>
      <c r="G541"/>
      <c r="H541" s="212"/>
      <c r="I541" s="212"/>
      <c r="J541" s="216"/>
      <c r="K541" s="216"/>
    </row>
    <row r="542" spans="3:12" s="79" customFormat="1">
      <c r="C542"/>
      <c r="D542" s="467">
        <f>D540/D541</f>
        <v>200</v>
      </c>
      <c r="E542" s="96" t="s">
        <v>253</v>
      </c>
      <c r="F542"/>
      <c r="G542"/>
      <c r="H542" s="212"/>
      <c r="I542" s="212"/>
      <c r="J542" s="216"/>
      <c r="K542" s="216"/>
    </row>
    <row r="543" spans="3:12" s="79" customFormat="1">
      <c r="C543"/>
      <c r="D543" s="1839"/>
      <c r="E543" s="43"/>
      <c r="F543"/>
      <c r="G543"/>
      <c r="H543" s="212"/>
      <c r="I543" s="212"/>
      <c r="J543" s="216"/>
      <c r="K543" s="216"/>
    </row>
    <row r="544" spans="3:12" s="79" customFormat="1" ht="19">
      <c r="C544"/>
      <c r="D544" s="54">
        <f>'Overall Assumptions'!$C$68</f>
        <v>225</v>
      </c>
      <c r="E544" s="355" t="s">
        <v>99</v>
      </c>
      <c r="F544" s="246"/>
      <c r="G544"/>
      <c r="J544" s="65"/>
      <c r="K544" s="66"/>
    </row>
    <row r="545" spans="3:11" s="79" customFormat="1">
      <c r="C545"/>
      <c r="D545" s="54">
        <f>'Overall Assumptions'!$C$130</f>
        <v>2</v>
      </c>
      <c r="E545" s="43" t="s">
        <v>84</v>
      </c>
      <c r="F545" s="246"/>
      <c r="G545"/>
      <c r="J545" s="65"/>
      <c r="K545" s="66"/>
    </row>
    <row r="546" spans="3:11" s="79" customFormat="1">
      <c r="C546"/>
      <c r="D546" s="467"/>
      <c r="E546" s="43"/>
      <c r="F546"/>
      <c r="G546"/>
      <c r="J546" s="65"/>
      <c r="K546" s="66"/>
    </row>
    <row r="547" spans="3:11" s="79" customFormat="1">
      <c r="C547"/>
      <c r="D547" s="506">
        <f>D524</f>
        <v>0.13333333333333333</v>
      </c>
      <c r="E547" s="43" t="s">
        <v>1404</v>
      </c>
      <c r="F547"/>
      <c r="G547"/>
      <c r="J547" s="65"/>
      <c r="K547" s="66"/>
    </row>
    <row r="548" spans="3:11" s="79" customFormat="1">
      <c r="C548"/>
      <c r="D548" s="54">
        <f>F495</f>
        <v>100</v>
      </c>
      <c r="E548" s="43" t="s">
        <v>1405</v>
      </c>
      <c r="F548"/>
      <c r="G548"/>
      <c r="J548" s="65"/>
      <c r="K548" s="66"/>
    </row>
    <row r="549" spans="3:11" s="79" customFormat="1">
      <c r="C549"/>
      <c r="D549" s="404"/>
      <c r="E549" s="246"/>
      <c r="F549"/>
      <c r="G549"/>
      <c r="J549" s="65"/>
      <c r="K549" s="66"/>
    </row>
    <row r="550" spans="3:11" s="79" customFormat="1">
      <c r="C550"/>
      <c r="D550" s="1840">
        <f>'Overall Assumptions'!$C$53</f>
        <v>4.46</v>
      </c>
      <c r="E550" s="1841" t="str">
        <f>'Overall Assumptions'!D53</f>
        <v>Effective walking speed - low resistance (km/h)</v>
      </c>
      <c r="F550"/>
      <c r="G550"/>
      <c r="J550" s="65"/>
      <c r="K550" s="66"/>
    </row>
    <row r="551" spans="3:11" s="79" customFormat="1">
      <c r="C551"/>
      <c r="D551" s="1840">
        <f>'Overall Assumptions'!$C$54</f>
        <v>3.3449999999999998</v>
      </c>
      <c r="E551" s="1841" t="str">
        <f>'Overall Assumptions'!D54</f>
        <v>Effective walking speed - moderate resistance (km/h)</v>
      </c>
      <c r="F551"/>
      <c r="G551"/>
      <c r="J551" s="65"/>
      <c r="K551" s="66"/>
    </row>
    <row r="552" spans="3:11" s="79" customFormat="1">
      <c r="C552"/>
      <c r="D552" s="1840">
        <f>'Overall Assumptions'!$C$55</f>
        <v>2.23</v>
      </c>
      <c r="E552" s="1841" t="str">
        <f>'Overall Assumptions'!D55</f>
        <v>Effective walking speed - high resistance (km/h)</v>
      </c>
      <c r="F552"/>
      <c r="G552"/>
      <c r="J552" s="65"/>
      <c r="K552" s="66"/>
    </row>
    <row r="553" spans="3:11" s="79" customFormat="1">
      <c r="C553"/>
      <c r="D553" s="467"/>
      <c r="E553" s="96"/>
      <c r="F553"/>
      <c r="G553"/>
      <c r="J553" s="65"/>
      <c r="K553" s="66"/>
    </row>
    <row r="554" spans="3:11" s="79" customFormat="1">
      <c r="C554"/>
      <c r="D554" s="54">
        <f>'Overall Assumptions'!$C$10</f>
        <v>0</v>
      </c>
      <c r="E554" s="43" t="s">
        <v>85</v>
      </c>
      <c r="F554"/>
      <c r="G554"/>
      <c r="J554" s="65"/>
      <c r="K554" s="66"/>
    </row>
    <row r="555" spans="3:11" s="79" customFormat="1">
      <c r="C555"/>
      <c r="D555" s="54">
        <f>'Overall Assumptions'!$C$90</f>
        <v>80</v>
      </c>
      <c r="E555" s="43" t="s">
        <v>86</v>
      </c>
      <c r="F555"/>
      <c r="G555"/>
      <c r="J555" s="65"/>
      <c r="K555" s="66"/>
    </row>
    <row r="556" spans="3:11" s="79" customFormat="1">
      <c r="C556"/>
      <c r="D556" s="56">
        <f>'Overall Assumptions'!$C$81</f>
        <v>210</v>
      </c>
      <c r="E556" s="45" t="s">
        <v>87</v>
      </c>
      <c r="F556"/>
      <c r="G556"/>
      <c r="J556" s="65"/>
      <c r="K556" s="66"/>
    </row>
    <row r="557" spans="3:11" s="79" customFormat="1">
      <c r="C557"/>
      <c r="D557" s="57"/>
      <c r="E557" s="16"/>
      <c r="F557"/>
      <c r="G557"/>
      <c r="J557" s="65"/>
      <c r="K557" s="66"/>
    </row>
    <row r="558" spans="3:11" s="79" customFormat="1">
      <c r="C558"/>
      <c r="D558" s="57" t="s">
        <v>735</v>
      </c>
      <c r="E558" s="124" t="s">
        <v>1411</v>
      </c>
      <c r="F558" t="s">
        <v>733</v>
      </c>
      <c r="G558" t="s">
        <v>796</v>
      </c>
      <c r="J558" s="65"/>
      <c r="K558" s="66"/>
    </row>
    <row r="559" spans="3:11" s="79" customFormat="1">
      <c r="C559"/>
      <c r="D559" s="836">
        <f>D550</f>
        <v>4.46</v>
      </c>
      <c r="E559" s="866">
        <f>D551</f>
        <v>3.3449999999999998</v>
      </c>
      <c r="F559" s="539">
        <f>D552</f>
        <v>2.23</v>
      </c>
      <c r="G559" t="s">
        <v>1412</v>
      </c>
      <c r="J559" s="65"/>
      <c r="K559" s="66"/>
    </row>
    <row r="560" spans="3:11" s="79" customFormat="1">
      <c r="C560" s="21"/>
      <c r="D560" s="296">
        <f>2*D554/D555/7.5</f>
        <v>0</v>
      </c>
      <c r="F560"/>
      <c r="G560" s="59" t="s">
        <v>95</v>
      </c>
      <c r="J560" s="129"/>
      <c r="K560" s="76"/>
    </row>
    <row r="561" spans="3:11" s="79" customFormat="1">
      <c r="C561" s="21"/>
      <c r="D561" s="296"/>
      <c r="F561"/>
      <c r="G561" s="60" t="s">
        <v>100</v>
      </c>
      <c r="J561" s="65"/>
      <c r="K561" s="66"/>
    </row>
    <row r="562" spans="3:11" s="79" customFormat="1">
      <c r="C562" s="21"/>
      <c r="D562" s="296">
        <f>$D$542/D559/7.5</f>
        <v>5.9790732436472345</v>
      </c>
      <c r="E562" s="296">
        <f>$D$542/E559/7.5</f>
        <v>7.9720976581963141</v>
      </c>
      <c r="F562" s="296">
        <f>$D$542/F559/7.5</f>
        <v>11.958146487294469</v>
      </c>
      <c r="G562" s="124" t="s">
        <v>1410</v>
      </c>
    </row>
    <row r="563" spans="3:11" s="79" customFormat="1">
      <c r="C563" s="21"/>
      <c r="D563" s="297">
        <f>$D547*$D548</f>
        <v>13.333333333333334</v>
      </c>
      <c r="E563" s="297">
        <f>$D547*$D548</f>
        <v>13.333333333333334</v>
      </c>
      <c r="F563" s="297">
        <f>$D547*$D548</f>
        <v>13.333333333333334</v>
      </c>
      <c r="G563" s="59" t="s">
        <v>522</v>
      </c>
    </row>
    <row r="564" spans="3:11" s="79" customFormat="1">
      <c r="C564" s="21"/>
      <c r="D564" s="296">
        <f>D560+D562+D563</f>
        <v>19.312406576980568</v>
      </c>
      <c r="E564" s="296">
        <f>E560+E562+E563</f>
        <v>21.305430991529647</v>
      </c>
      <c r="F564" s="296">
        <f>F560+F562+F563</f>
        <v>25.291479820627803</v>
      </c>
      <c r="G564" s="16" t="s">
        <v>157</v>
      </c>
    </row>
    <row r="565" spans="3:11" s="122" customFormat="1">
      <c r="C565" s="9"/>
      <c r="D565" s="105"/>
      <c r="F565" s="9"/>
      <c r="G565" s="34" t="s">
        <v>88</v>
      </c>
    </row>
    <row r="566" spans="3:11" s="79" customFormat="1">
      <c r="C566"/>
      <c r="D566" s="77">
        <f>D564*$D545</f>
        <v>38.624813153961135</v>
      </c>
      <c r="E566" s="77">
        <f>E564*$D545</f>
        <v>42.610861983059294</v>
      </c>
      <c r="F566" s="77">
        <f>F564*$D545</f>
        <v>50.582959641255606</v>
      </c>
      <c r="G566" s="16" t="s">
        <v>133</v>
      </c>
    </row>
    <row r="567" spans="3:11" s="79" customFormat="1">
      <c r="C567"/>
      <c r="D567" s="77"/>
      <c r="E567" s="16"/>
      <c r="F567"/>
      <c r="G567"/>
    </row>
    <row r="568" spans="3:11" s="79" customFormat="1">
      <c r="C568" s="21"/>
      <c r="D568" s="64">
        <f>D566*$D544</f>
        <v>8690.582959641255</v>
      </c>
      <c r="E568" s="64">
        <f>E566*$D544</f>
        <v>9587.4439461883412</v>
      </c>
      <c r="F568" s="64">
        <f>F566*$D544</f>
        <v>11381.165919282512</v>
      </c>
      <c r="G568" s="47" t="s">
        <v>329</v>
      </c>
      <c r="H568" s="276"/>
      <c r="I568" s="276"/>
    </row>
    <row r="569" spans="3:11" s="79" customFormat="1">
      <c r="C569" s="21"/>
      <c r="H569" s="119"/>
      <c r="I569" s="119"/>
    </row>
    <row r="570" spans="3:11" s="79" customFormat="1">
      <c r="C570" s="21"/>
      <c r="D570" s="46"/>
      <c r="E570" s="46"/>
      <c r="F570" s="46"/>
      <c r="G570" s="359"/>
      <c r="H570" s="119"/>
      <c r="I570" s="119"/>
    </row>
    <row r="571" spans="3:11" s="79" customFormat="1">
      <c r="C571" s="21"/>
      <c r="D571" s="75"/>
      <c r="E571" s="75"/>
      <c r="F571" s="75"/>
      <c r="G571" s="99"/>
      <c r="H571" s="119"/>
      <c r="I571" s="119"/>
    </row>
    <row r="572" spans="3:11" s="79" customFormat="1">
      <c r="C572" s="21"/>
      <c r="H572" s="119"/>
      <c r="I572" s="119"/>
    </row>
    <row r="573" spans="3:11" s="79" customFormat="1" ht="19">
      <c r="C573" s="2" t="s">
        <v>132</v>
      </c>
      <c r="D573" s="37" t="s">
        <v>89</v>
      </c>
      <c r="E573" s="16"/>
      <c r="F573"/>
      <c r="G573"/>
      <c r="H573"/>
      <c r="I573"/>
    </row>
    <row r="574" spans="3:11" s="79" customFormat="1">
      <c r="C574" t="s">
        <v>54</v>
      </c>
      <c r="E574" s="16"/>
      <c r="F574"/>
      <c r="G574"/>
      <c r="H574"/>
      <c r="I574"/>
    </row>
    <row r="575" spans="3:11" s="79" customFormat="1">
      <c r="C575"/>
      <c r="D575" s="160" t="s">
        <v>251</v>
      </c>
      <c r="E575" s="16"/>
      <c r="F575"/>
      <c r="G575"/>
      <c r="H575"/>
      <c r="I575"/>
    </row>
    <row r="576" spans="3:11" s="79" customFormat="1">
      <c r="C576"/>
      <c r="D576" s="16"/>
      <c r="E576" s="16"/>
      <c r="F576"/>
      <c r="G576"/>
      <c r="H576"/>
      <c r="I576"/>
    </row>
    <row r="577" spans="3:9" s="79" customFormat="1">
      <c r="C577"/>
      <c r="D577" s="67" t="s">
        <v>91</v>
      </c>
      <c r="E577" s="41"/>
      <c r="F577"/>
      <c r="G577"/>
      <c r="H577"/>
      <c r="I577"/>
    </row>
    <row r="578" spans="3:9" s="79" customFormat="1">
      <c r="C578"/>
      <c r="D578" s="52">
        <f>'Overall Assumptions'!$C$93</f>
        <v>285</v>
      </c>
      <c r="E578" s="41" t="s">
        <v>93</v>
      </c>
      <c r="F578"/>
      <c r="G578"/>
      <c r="H578"/>
      <c r="I578"/>
    </row>
    <row r="579" spans="3:9" s="79" customFormat="1">
      <c r="C579"/>
      <c r="D579" s="56"/>
      <c r="E579" s="45"/>
      <c r="F579"/>
      <c r="G579"/>
      <c r="H579"/>
      <c r="I579"/>
    </row>
    <row r="580" spans="3:9" s="79" customFormat="1">
      <c r="C580"/>
      <c r="D580" s="75"/>
      <c r="E580" s="76"/>
      <c r="F580"/>
      <c r="G580"/>
      <c r="H580"/>
      <c r="I580"/>
    </row>
    <row r="581" spans="3:9" s="79" customFormat="1">
      <c r="C581"/>
      <c r="D581" s="50">
        <f>D560</f>
        <v>0</v>
      </c>
      <c r="E581" s="50">
        <f>E560</f>
        <v>0</v>
      </c>
      <c r="F581" s="50">
        <f>F560</f>
        <v>0</v>
      </c>
      <c r="G581" s="59" t="s">
        <v>97</v>
      </c>
      <c r="H581"/>
      <c r="I581"/>
    </row>
    <row r="582" spans="3:9" s="79" customFormat="1">
      <c r="C582"/>
      <c r="D582" s="50">
        <f t="shared" ref="D582:F583" si="73">D562</f>
        <v>5.9790732436472345</v>
      </c>
      <c r="E582" s="50">
        <f t="shared" si="73"/>
        <v>7.9720976581963141</v>
      </c>
      <c r="F582" s="50">
        <f t="shared" si="73"/>
        <v>11.958146487294469</v>
      </c>
      <c r="G582" s="59" t="s">
        <v>98</v>
      </c>
      <c r="H582"/>
      <c r="I582"/>
    </row>
    <row r="583" spans="3:9" s="79" customFormat="1">
      <c r="C583"/>
      <c r="D583" s="50">
        <f t="shared" si="73"/>
        <v>13.333333333333334</v>
      </c>
      <c r="E583" s="50">
        <f t="shared" si="73"/>
        <v>13.333333333333334</v>
      </c>
      <c r="F583" s="50">
        <f t="shared" si="73"/>
        <v>13.333333333333334</v>
      </c>
      <c r="G583" s="59" t="s">
        <v>244</v>
      </c>
      <c r="H583"/>
      <c r="I583"/>
    </row>
    <row r="584" spans="3:9" s="79" customFormat="1">
      <c r="C584"/>
      <c r="D584" s="50">
        <f>SUM(D581:D583)</f>
        <v>19.312406576980568</v>
      </c>
      <c r="E584" s="50">
        <f>SUM(E581:E583)</f>
        <v>21.305430991529647</v>
      </c>
      <c r="F584" s="50">
        <f>SUM(F581:F583)</f>
        <v>25.291479820627803</v>
      </c>
      <c r="G584" s="59" t="s">
        <v>135</v>
      </c>
      <c r="H584"/>
      <c r="I584"/>
    </row>
    <row r="585" spans="3:9" s="79" customFormat="1">
      <c r="C585"/>
      <c r="D585" s="63"/>
      <c r="E585" s="16"/>
      <c r="F585"/>
      <c r="G585"/>
      <c r="H585"/>
      <c r="I585"/>
    </row>
    <row r="586" spans="3:9" s="79" customFormat="1">
      <c r="C586"/>
      <c r="D586" s="63"/>
      <c r="E586" s="16"/>
      <c r="F586"/>
      <c r="G586"/>
      <c r="H586"/>
      <c r="I586"/>
    </row>
    <row r="587" spans="3:9" s="79" customFormat="1">
      <c r="C587"/>
      <c r="D587" s="68">
        <f>D584*$D578</f>
        <v>5504.0358744394616</v>
      </c>
      <c r="E587" s="68">
        <f>E584*$D578</f>
        <v>6072.0478325859494</v>
      </c>
      <c r="F587" s="68">
        <f>F584*$D578</f>
        <v>7208.0717488789242</v>
      </c>
      <c r="G587" s="47" t="s">
        <v>500</v>
      </c>
      <c r="H587"/>
      <c r="I587"/>
    </row>
    <row r="588" spans="3:9" s="79" customFormat="1"/>
    <row r="589" spans="3:9" s="79" customFormat="1">
      <c r="D589" s="46">
        <f>D584</f>
        <v>19.312406576980568</v>
      </c>
      <c r="E589" s="46">
        <f>E584</f>
        <v>21.305430991529647</v>
      </c>
      <c r="F589" s="46">
        <f>F584</f>
        <v>25.291479820627803</v>
      </c>
      <c r="G589" s="359" t="s">
        <v>795</v>
      </c>
    </row>
    <row r="590" spans="3:9" s="79" customFormat="1">
      <c r="D590" s="75">
        <f>ROUNDUP((D589/21),0)</f>
        <v>1</v>
      </c>
      <c r="E590" s="75">
        <f>ROUNDUP((E589/21),0)</f>
        <v>2</v>
      </c>
      <c r="F590" s="75">
        <f>ROUNDUP((F589/21),0)</f>
        <v>2</v>
      </c>
      <c r="G590" s="99" t="s">
        <v>739</v>
      </c>
    </row>
    <row r="591" spans="3:9" s="79" customFormat="1">
      <c r="F591" s="75"/>
    </row>
    <row r="592" spans="3:9" s="79" customFormat="1">
      <c r="D592" s="75"/>
      <c r="E592" s="99"/>
      <c r="F592" s="75"/>
    </row>
    <row r="593" spans="3:12" s="79" customFormat="1">
      <c r="C593" s="225" t="s">
        <v>70</v>
      </c>
      <c r="D593" s="230"/>
      <c r="E593" s="224" t="s">
        <v>156</v>
      </c>
      <c r="F593" s="212"/>
      <c r="G593" s="212"/>
      <c r="H593" s="212"/>
      <c r="I593" s="119"/>
    </row>
    <row r="594" spans="3:12" s="79" customFormat="1">
      <c r="C594" s="212"/>
      <c r="D594" s="230"/>
      <c r="E594" s="224"/>
      <c r="F594" s="212"/>
      <c r="G594" s="212"/>
      <c r="H594" s="212"/>
      <c r="I594" s="119"/>
    </row>
    <row r="595" spans="3:12" s="79" customFormat="1">
      <c r="C595" s="212"/>
      <c r="D595" s="230"/>
      <c r="E595" s="224"/>
      <c r="F595" s="212"/>
      <c r="G595" s="212"/>
      <c r="H595" s="212"/>
      <c r="I595" s="119"/>
    </row>
    <row r="596" spans="3:12" s="79" customFormat="1">
      <c r="C596" s="212"/>
      <c r="D596" s="222">
        <f>D564</f>
        <v>19.312406576980568</v>
      </c>
      <c r="E596" s="222">
        <f>E564</f>
        <v>21.305430991529647</v>
      </c>
      <c r="F596" s="222">
        <f>F564</f>
        <v>25.291479820627803</v>
      </c>
      <c r="G596" s="213" t="s">
        <v>157</v>
      </c>
      <c r="H596" s="212"/>
      <c r="I596" s="119"/>
    </row>
    <row r="597" spans="3:12" s="79" customFormat="1">
      <c r="C597" s="212"/>
      <c r="D597" s="229">
        <f>FLOOR(D596,1)</f>
        <v>19</v>
      </c>
      <c r="E597" s="229">
        <f>FLOOR(E596,1)</f>
        <v>21</v>
      </c>
      <c r="F597" s="229">
        <f>FLOOR(F596,1)</f>
        <v>25</v>
      </c>
      <c r="G597" s="213" t="s">
        <v>73</v>
      </c>
      <c r="H597" s="212"/>
      <c r="I597" s="119"/>
    </row>
    <row r="598" spans="3:12" s="79" customFormat="1">
      <c r="C598" s="212"/>
      <c r="D598" s="228">
        <f>D597*$D545</f>
        <v>38</v>
      </c>
      <c r="E598" s="228">
        <f>E597*$D545</f>
        <v>42</v>
      </c>
      <c r="F598" s="228">
        <f>F597*$D545</f>
        <v>50</v>
      </c>
      <c r="G598" s="214" t="s">
        <v>175</v>
      </c>
      <c r="H598" s="212"/>
      <c r="I598" s="119"/>
    </row>
    <row r="599" spans="3:12" s="79" customFormat="1">
      <c r="C599" s="212"/>
      <c r="D599" s="227"/>
      <c r="E599" s="227"/>
      <c r="F599" s="227"/>
      <c r="G599" s="214" t="s">
        <v>88</v>
      </c>
      <c r="H599" s="212"/>
    </row>
    <row r="600" spans="3:12" s="79" customFormat="1">
      <c r="C600" s="212"/>
      <c r="D600" s="226">
        <f>D598*$D556</f>
        <v>7980</v>
      </c>
      <c r="E600" s="226">
        <f>E598*$D556</f>
        <v>8820</v>
      </c>
      <c r="F600" s="226">
        <f>F598*$D556</f>
        <v>10500</v>
      </c>
      <c r="G600" s="221" t="s">
        <v>74</v>
      </c>
      <c r="H600" s="212"/>
    </row>
    <row r="601" spans="3:12" s="79" customFormat="1">
      <c r="D601" s="282"/>
      <c r="E601" s="76"/>
    </row>
    <row r="602" spans="3:12" s="79" customFormat="1">
      <c r="D602" s="283"/>
      <c r="E602" s="284"/>
      <c r="F602" s="78"/>
    </row>
    <row r="603" spans="3:12" s="79" customFormat="1">
      <c r="D603" s="283"/>
      <c r="E603" s="1843" t="s">
        <v>735</v>
      </c>
      <c r="F603" s="1844" t="s">
        <v>1414</v>
      </c>
      <c r="G603" s="1303" t="s">
        <v>733</v>
      </c>
      <c r="H603" s="1843" t="s">
        <v>735</v>
      </c>
      <c r="I603" s="1844" t="s">
        <v>1414</v>
      </c>
      <c r="J603" s="1303" t="s">
        <v>733</v>
      </c>
    </row>
    <row r="604" spans="3:12" s="79" customFormat="1">
      <c r="D604" s="143" t="s">
        <v>172</v>
      </c>
      <c r="E604" s="144" t="s">
        <v>155</v>
      </c>
      <c r="F604" s="144" t="s">
        <v>155</v>
      </c>
      <c r="G604" s="144" t="s">
        <v>155</v>
      </c>
      <c r="H604" s="143" t="s">
        <v>1415</v>
      </c>
      <c r="I604" s="1844" t="s">
        <v>1414</v>
      </c>
      <c r="J604" s="1303" t="s">
        <v>733</v>
      </c>
      <c r="K604" s="145" t="s">
        <v>69</v>
      </c>
      <c r="L604" s="276" t="s">
        <v>391</v>
      </c>
    </row>
    <row r="605" spans="3:12" s="79" customFormat="1">
      <c r="D605" s="135" t="s">
        <v>3</v>
      </c>
      <c r="E605" s="136">
        <f>D566</f>
        <v>38.624813153961135</v>
      </c>
      <c r="F605" s="136">
        <f t="shared" ref="F605:G605" si="74">E566</f>
        <v>42.610861983059294</v>
      </c>
      <c r="G605" s="136">
        <f t="shared" si="74"/>
        <v>50.582959641255606</v>
      </c>
      <c r="H605" s="1842">
        <f>D568</f>
        <v>8690.582959641255</v>
      </c>
      <c r="I605" s="119">
        <f>E568</f>
        <v>9587.4439461883412</v>
      </c>
      <c r="J605" s="358">
        <f>F568</f>
        <v>11381.165919282512</v>
      </c>
      <c r="K605" s="119" t="str">
        <f>G568</f>
        <v>Cost for person hours</v>
      </c>
      <c r="L605" s="79">
        <f>D532</f>
        <v>20</v>
      </c>
    </row>
    <row r="606" spans="3:12" s="79" customFormat="1">
      <c r="D606" s="135" t="s">
        <v>132</v>
      </c>
      <c r="E606" s="136">
        <f>D584</f>
        <v>19.312406576980568</v>
      </c>
      <c r="F606" s="136">
        <f t="shared" ref="F606:G606" si="75">E584</f>
        <v>21.305430991529647</v>
      </c>
      <c r="G606" s="136">
        <f t="shared" si="75"/>
        <v>25.291479820627803</v>
      </c>
      <c r="H606" s="1842">
        <f>D587</f>
        <v>5504.0358744394616</v>
      </c>
      <c r="I606" s="119">
        <f>E587</f>
        <v>6072.0478325859494</v>
      </c>
      <c r="J606" s="358">
        <f>F587</f>
        <v>7208.0717488789242</v>
      </c>
      <c r="K606" s="119" t="str">
        <f>G587</f>
        <v>Cost for ute hire</v>
      </c>
      <c r="L606" s="79">
        <f>L605</f>
        <v>20</v>
      </c>
    </row>
    <row r="607" spans="3:12" s="79" customFormat="1">
      <c r="D607" s="135" t="s">
        <v>169</v>
      </c>
      <c r="E607" s="136">
        <f>D598</f>
        <v>38</v>
      </c>
      <c r="F607" s="136">
        <f t="shared" ref="F607:G607" si="76">E598</f>
        <v>42</v>
      </c>
      <c r="G607" s="136">
        <f t="shared" si="76"/>
        <v>50</v>
      </c>
      <c r="H607" s="1842">
        <f>D600</f>
        <v>7980</v>
      </c>
      <c r="I607" s="119">
        <f>E600</f>
        <v>8820</v>
      </c>
      <c r="J607" s="358">
        <f>F600</f>
        <v>10500</v>
      </c>
      <c r="K607" s="119" t="str">
        <f>G600</f>
        <v>Accomodation + Food Cost</v>
      </c>
      <c r="L607" s="79">
        <f>L606</f>
        <v>20</v>
      </c>
    </row>
    <row r="608" spans="3:12" s="79" customFormat="1">
      <c r="D608" s="135" t="s">
        <v>1413</v>
      </c>
      <c r="E608" s="136"/>
      <c r="F608" s="122"/>
      <c r="H608" s="1842">
        <f>$D531</f>
        <v>50000</v>
      </c>
      <c r="I608" s="119">
        <f>$D531</f>
        <v>50000</v>
      </c>
      <c r="J608" s="358">
        <f>$D531</f>
        <v>50000</v>
      </c>
      <c r="K608" s="119" t="str">
        <f>E531</f>
        <v>Consumables cost</v>
      </c>
      <c r="L608" s="79">
        <f>L607</f>
        <v>20</v>
      </c>
    </row>
    <row r="609" spans="1:42" s="79" customFormat="1">
      <c r="D609" s="135"/>
      <c r="E609" s="136"/>
      <c r="F609" s="122"/>
      <c r="H609" s="1842"/>
      <c r="J609" s="246"/>
      <c r="K609" s="119"/>
    </row>
    <row r="610" spans="1:42" s="79" customFormat="1">
      <c r="D610" s="137"/>
      <c r="E610" s="138"/>
      <c r="F610" s="142"/>
      <c r="H610" s="1845">
        <f>SUM(H605:H609)</f>
        <v>72174.618834080713</v>
      </c>
      <c r="I610" s="1845">
        <f>SUM(I605:I609)</f>
        <v>74479.491778774289</v>
      </c>
      <c r="J610" s="1845">
        <f>SUM(J605:J609)</f>
        <v>79089.237668161441</v>
      </c>
      <c r="K610" s="1621" t="s">
        <v>165</v>
      </c>
    </row>
    <row r="611" spans="1:42" s="79" customFormat="1">
      <c r="D611" s="278"/>
      <c r="E611" s="76"/>
      <c r="F611" s="10"/>
      <c r="G611" s="397"/>
    </row>
    <row r="612" spans="1:42" s="79" customFormat="1">
      <c r="D612" s="277"/>
      <c r="E612" s="76"/>
    </row>
    <row r="613" spans="1:42">
      <c r="D613" s="25"/>
      <c r="G613"/>
    </row>
    <row r="614" spans="1:42" s="7" customFormat="1">
      <c r="D614" s="35"/>
      <c r="E614" s="36"/>
      <c r="G614" s="1089"/>
    </row>
    <row r="615" spans="1:42" s="212" customFormat="1" ht="18" customHeight="1">
      <c r="A615" s="219"/>
      <c r="B615" s="219"/>
      <c r="C615" s="219"/>
      <c r="D615" s="223"/>
      <c r="E615" s="220"/>
      <c r="F615" s="219"/>
      <c r="G615" s="219"/>
      <c r="H615" s="219"/>
      <c r="I615" s="219"/>
      <c r="J615" s="219"/>
      <c r="K615" s="219"/>
      <c r="L615" s="219"/>
      <c r="M615" s="219"/>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c r="AL615" s="219"/>
      <c r="AM615" s="219"/>
      <c r="AN615" s="219"/>
      <c r="AO615" s="219"/>
      <c r="AP615" s="219"/>
    </row>
    <row r="616" spans="1:42" s="79" customFormat="1">
      <c r="D616" s="279"/>
      <c r="E616" s="76"/>
    </row>
    <row r="617" spans="1:42" s="79" customFormat="1">
      <c r="C617" s="233" t="s">
        <v>1545</v>
      </c>
      <c r="D617" s="232" t="s">
        <v>1416</v>
      </c>
      <c r="E617" s="76"/>
      <c r="G617" s="76"/>
      <c r="H617" s="92"/>
      <c r="I617" s="76"/>
      <c r="J617" s="65"/>
      <c r="K617" s="66"/>
    </row>
    <row r="618" spans="1:42" s="79" customFormat="1">
      <c r="D618" s="489" t="s">
        <v>1418</v>
      </c>
      <c r="E618" s="66"/>
      <c r="G618" s="76"/>
      <c r="H618" s="76"/>
      <c r="I618" s="76"/>
      <c r="J618" s="65"/>
      <c r="K618" s="66"/>
    </row>
    <row r="619" spans="1:42" s="79" customFormat="1">
      <c r="C619" s="9"/>
      <c r="D619" s="290" t="s">
        <v>1420</v>
      </c>
      <c r="E619" s="124"/>
      <c r="F619" s="147"/>
      <c r="G619" s="288"/>
      <c r="J619" s="289"/>
      <c r="K619" s="216"/>
    </row>
    <row r="620" spans="1:42" s="79" customFormat="1">
      <c r="C620" s="9"/>
      <c r="D620" s="339">
        <v>1</v>
      </c>
      <c r="E620" s="218" t="s">
        <v>261</v>
      </c>
      <c r="F620" s="147"/>
      <c r="G620" s="288"/>
      <c r="J620" s="289"/>
      <c r="K620" s="216"/>
    </row>
    <row r="621" spans="1:42" s="79" customFormat="1" ht="19">
      <c r="C621" t="s">
        <v>50</v>
      </c>
      <c r="D621" s="37" t="s">
        <v>81</v>
      </c>
      <c r="E621" s="24"/>
      <c r="F621" s="1"/>
      <c r="G621" s="3"/>
      <c r="H621" s="286"/>
      <c r="I621" s="286"/>
      <c r="J621" s="289"/>
      <c r="K621" s="216"/>
    </row>
    <row r="622" spans="1:42" s="79" customFormat="1">
      <c r="C622"/>
      <c r="D622" s="24" t="s">
        <v>519</v>
      </c>
      <c r="E622" s="16"/>
      <c r="F622" s="1"/>
      <c r="G622" s="3"/>
      <c r="J622" s="248"/>
      <c r="K622" s="248"/>
      <c r="L622" s="122"/>
    </row>
    <row r="623" spans="1:42" s="79" customFormat="1">
      <c r="C623"/>
      <c r="D623" s="160" t="s">
        <v>514</v>
      </c>
      <c r="E623" s="16"/>
      <c r="F623"/>
      <c r="G623"/>
      <c r="J623" s="248"/>
      <c r="K623" s="288"/>
      <c r="L623" s="122"/>
    </row>
    <row r="624" spans="1:42" s="79" customFormat="1">
      <c r="C624"/>
      <c r="D624" s="50"/>
      <c r="E624" s="16"/>
      <c r="F624"/>
      <c r="G624"/>
      <c r="J624" s="286"/>
      <c r="K624" s="286"/>
      <c r="L624" s="122"/>
    </row>
    <row r="625" spans="3:11" s="79" customFormat="1">
      <c r="C625"/>
      <c r="D625" s="51" t="s">
        <v>82</v>
      </c>
      <c r="E625" s="39"/>
      <c r="F625"/>
      <c r="G625"/>
      <c r="H625" s="212"/>
      <c r="I625" s="212"/>
      <c r="J625" s="216"/>
      <c r="K625" s="216"/>
    </row>
    <row r="626" spans="3:11" s="79" customFormat="1">
      <c r="C626"/>
      <c r="D626" s="1839">
        <f>'Overall Assumptions'!$C$6</f>
        <v>100</v>
      </c>
      <c r="E626" s="43" t="s">
        <v>80</v>
      </c>
      <c r="F626"/>
      <c r="G626"/>
      <c r="H626" s="212"/>
      <c r="I626" s="212"/>
      <c r="J626" s="216"/>
      <c r="K626" s="216"/>
    </row>
    <row r="627" spans="3:11" s="79" customFormat="1">
      <c r="C627"/>
      <c r="D627" s="1839">
        <f>'Overall Assumptions'!$C$132</f>
        <v>0.5</v>
      </c>
      <c r="E627" s="43" t="s">
        <v>1409</v>
      </c>
      <c r="F627"/>
      <c r="G627"/>
      <c r="H627" s="212"/>
      <c r="I627" s="212"/>
      <c r="J627" s="216"/>
      <c r="K627" s="216"/>
    </row>
    <row r="628" spans="3:11" s="79" customFormat="1">
      <c r="C628"/>
      <c r="D628" s="467">
        <f>D626/D627</f>
        <v>200</v>
      </c>
      <c r="E628" s="96" t="s">
        <v>253</v>
      </c>
      <c r="F628"/>
      <c r="G628"/>
      <c r="H628" s="212"/>
      <c r="I628" s="212"/>
      <c r="J628" s="216"/>
      <c r="K628" s="216"/>
    </row>
    <row r="629" spans="3:11" s="79" customFormat="1">
      <c r="C629"/>
      <c r="D629" s="1839"/>
      <c r="E629" s="43"/>
      <c r="F629"/>
      <c r="G629"/>
      <c r="H629" s="212"/>
      <c r="I629" s="212"/>
      <c r="J629" s="216"/>
      <c r="K629" s="216"/>
    </row>
    <row r="630" spans="3:11" s="79" customFormat="1" ht="19">
      <c r="C630"/>
      <c r="D630" s="54">
        <f>'Overall Assumptions'!$C$68</f>
        <v>225</v>
      </c>
      <c r="E630" s="355" t="s">
        <v>99</v>
      </c>
      <c r="F630" s="246"/>
      <c r="G630"/>
      <c r="J630" s="65"/>
      <c r="K630" s="66"/>
    </row>
    <row r="631" spans="3:11" s="79" customFormat="1">
      <c r="C631"/>
      <c r="D631" s="54">
        <f>'Overall Assumptions'!$C$130</f>
        <v>2</v>
      </c>
      <c r="E631" s="43" t="s">
        <v>84</v>
      </c>
      <c r="F631" s="246"/>
      <c r="G631"/>
      <c r="J631" s="65"/>
      <c r="K631" s="66"/>
    </row>
    <row r="632" spans="3:11" s="79" customFormat="1">
      <c r="C632"/>
      <c r="D632" s="467"/>
      <c r="E632" s="43"/>
      <c r="F632"/>
      <c r="G632"/>
      <c r="J632" s="65"/>
      <c r="K632" s="66"/>
    </row>
    <row r="633" spans="3:11" s="79" customFormat="1">
      <c r="C633"/>
      <c r="D633" s="295">
        <f>D525</f>
        <v>4.4444444444444439E-2</v>
      </c>
      <c r="E633" s="43" t="s">
        <v>1419</v>
      </c>
      <c r="F633"/>
      <c r="G633"/>
      <c r="J633" s="65"/>
      <c r="K633" s="66"/>
    </row>
    <row r="634" spans="3:11" s="79" customFormat="1">
      <c r="C634"/>
      <c r="D634" s="354">
        <f>D523</f>
        <v>100</v>
      </c>
      <c r="E634" s="43" t="s">
        <v>1405</v>
      </c>
      <c r="F634"/>
      <c r="G634"/>
      <c r="J634" s="65"/>
      <c r="K634" s="66"/>
    </row>
    <row r="635" spans="3:11" s="79" customFormat="1">
      <c r="C635"/>
      <c r="D635" s="404"/>
      <c r="E635" s="246"/>
      <c r="F635"/>
      <c r="G635"/>
      <c r="J635" s="65"/>
      <c r="K635" s="66"/>
    </row>
    <row r="636" spans="3:11" s="79" customFormat="1">
      <c r="C636"/>
      <c r="D636" s="1840">
        <f>'Overall Assumptions'!$C$53</f>
        <v>4.46</v>
      </c>
      <c r="E636" s="1841" t="str">
        <f>'Overall Assumptions'!$D$53</f>
        <v>Effective walking speed - low resistance (km/h)</v>
      </c>
      <c r="F636"/>
      <c r="G636"/>
      <c r="J636" s="65"/>
      <c r="K636" s="66"/>
    </row>
    <row r="637" spans="3:11" s="79" customFormat="1">
      <c r="C637"/>
      <c r="D637" s="1840">
        <f>'Overall Assumptions'!$C$54</f>
        <v>3.3449999999999998</v>
      </c>
      <c r="E637" s="1841" t="str">
        <f>'Overall Assumptions'!$D$54</f>
        <v>Effective walking speed - moderate resistance (km/h)</v>
      </c>
      <c r="F637"/>
      <c r="G637"/>
      <c r="J637" s="65"/>
      <c r="K637" s="66"/>
    </row>
    <row r="638" spans="3:11" s="79" customFormat="1">
      <c r="C638"/>
      <c r="D638" s="1840">
        <f>'Overall Assumptions'!$C$55</f>
        <v>2.23</v>
      </c>
      <c r="E638" s="1841" t="str">
        <f>'Overall Assumptions'!$D$55</f>
        <v>Effective walking speed - high resistance (km/h)</v>
      </c>
      <c r="F638"/>
      <c r="G638"/>
      <c r="J638" s="65"/>
      <c r="K638" s="66"/>
    </row>
    <row r="639" spans="3:11" s="79" customFormat="1">
      <c r="C639"/>
      <c r="D639" s="467"/>
      <c r="E639" s="96"/>
      <c r="F639"/>
      <c r="G639"/>
      <c r="J639" s="65"/>
      <c r="K639" s="66"/>
    </row>
    <row r="640" spans="3:11" s="79" customFormat="1">
      <c r="C640"/>
      <c r="D640" s="54">
        <f>'Overall Assumptions'!$C$10</f>
        <v>0</v>
      </c>
      <c r="E640" s="43" t="s">
        <v>85</v>
      </c>
      <c r="F640"/>
      <c r="G640"/>
      <c r="J640" s="65"/>
      <c r="K640" s="66"/>
    </row>
    <row r="641" spans="3:11" s="79" customFormat="1">
      <c r="C641"/>
      <c r="D641" s="54">
        <f>'Overall Assumptions'!$C$90</f>
        <v>80</v>
      </c>
      <c r="E641" s="43" t="s">
        <v>86</v>
      </c>
      <c r="F641"/>
      <c r="G641"/>
      <c r="J641" s="65"/>
      <c r="K641" s="66"/>
    </row>
    <row r="642" spans="3:11" s="79" customFormat="1">
      <c r="C642"/>
      <c r="D642" s="56">
        <f>'Overall Assumptions'!$C$81</f>
        <v>210</v>
      </c>
      <c r="E642" s="45" t="s">
        <v>87</v>
      </c>
      <c r="F642"/>
      <c r="G642"/>
      <c r="J642" s="65"/>
      <c r="K642" s="66"/>
    </row>
    <row r="643" spans="3:11" s="79" customFormat="1">
      <c r="C643"/>
      <c r="D643" s="57"/>
      <c r="E643" s="16"/>
      <c r="F643"/>
      <c r="G643"/>
      <c r="J643" s="65"/>
      <c r="K643" s="66"/>
    </row>
    <row r="644" spans="3:11" s="79" customFormat="1">
      <c r="C644"/>
      <c r="D644" s="57" t="s">
        <v>735</v>
      </c>
      <c r="E644" s="124" t="s">
        <v>1411</v>
      </c>
      <c r="F644" t="s">
        <v>733</v>
      </c>
      <c r="G644" t="s">
        <v>796</v>
      </c>
      <c r="J644" s="65"/>
      <c r="K644" s="66"/>
    </row>
    <row r="645" spans="3:11" s="79" customFormat="1">
      <c r="C645"/>
      <c r="D645" s="836">
        <f>D636</f>
        <v>4.46</v>
      </c>
      <c r="E645" s="866">
        <f>D637</f>
        <v>3.3449999999999998</v>
      </c>
      <c r="F645" s="539">
        <f>D638</f>
        <v>2.23</v>
      </c>
      <c r="G645" t="s">
        <v>1412</v>
      </c>
      <c r="J645" s="65"/>
      <c r="K645" s="66"/>
    </row>
    <row r="646" spans="3:11" s="79" customFormat="1">
      <c r="C646" s="21"/>
      <c r="D646" s="296">
        <f>2*D640/D641/7.5</f>
        <v>0</v>
      </c>
      <c r="F646"/>
      <c r="G646" s="59" t="s">
        <v>95</v>
      </c>
      <c r="J646" s="129"/>
      <c r="K646" s="76"/>
    </row>
    <row r="647" spans="3:11" s="79" customFormat="1">
      <c r="C647" s="21"/>
      <c r="D647" s="296"/>
      <c r="F647"/>
      <c r="G647" s="60" t="s">
        <v>100</v>
      </c>
      <c r="J647" s="65"/>
      <c r="K647" s="66"/>
    </row>
    <row r="648" spans="3:11" s="79" customFormat="1">
      <c r="C648" s="21"/>
      <c r="D648" s="296">
        <f>$D$542/D645/7.5</f>
        <v>5.9790732436472345</v>
      </c>
      <c r="E648" s="296">
        <f>$D$542/E645/7.5</f>
        <v>7.9720976581963141</v>
      </c>
      <c r="F648" s="296">
        <f>$D$542/F645/7.5</f>
        <v>11.958146487294469</v>
      </c>
      <c r="G648" s="124" t="s">
        <v>1410</v>
      </c>
    </row>
    <row r="649" spans="3:11" s="79" customFormat="1">
      <c r="C649" s="21"/>
      <c r="D649" s="297">
        <f>$D633*$D634</f>
        <v>4.4444444444444438</v>
      </c>
      <c r="E649" s="297">
        <f>$D633*$D634</f>
        <v>4.4444444444444438</v>
      </c>
      <c r="F649" s="297">
        <f>$D633*$D634</f>
        <v>4.4444444444444438</v>
      </c>
      <c r="G649" s="59" t="s">
        <v>522</v>
      </c>
    </row>
    <row r="650" spans="3:11" s="79" customFormat="1">
      <c r="C650" s="21"/>
      <c r="D650" s="296">
        <f>D646+D648+D649</f>
        <v>10.423517688091678</v>
      </c>
      <c r="E650" s="296">
        <f>E646+E648+E649</f>
        <v>12.416542102640758</v>
      </c>
      <c r="F650" s="296">
        <f>F646+F648+F649</f>
        <v>16.402590931738914</v>
      </c>
      <c r="G650" s="16" t="s">
        <v>157</v>
      </c>
    </row>
    <row r="651" spans="3:11" s="122" customFormat="1">
      <c r="C651" s="9"/>
      <c r="D651" s="105"/>
      <c r="F651" s="9"/>
      <c r="G651" s="34" t="s">
        <v>88</v>
      </c>
    </row>
    <row r="652" spans="3:11" s="79" customFormat="1">
      <c r="C652"/>
      <c r="D652" s="77">
        <f>D650*$D631</f>
        <v>20.847035376183356</v>
      </c>
      <c r="E652" s="77">
        <f>E650*$D631</f>
        <v>24.833084205281516</v>
      </c>
      <c r="F652" s="77">
        <f>F650*$D631</f>
        <v>32.805181863477827</v>
      </c>
      <c r="G652" s="16" t="s">
        <v>133</v>
      </c>
    </row>
    <row r="653" spans="3:11" s="79" customFormat="1">
      <c r="C653"/>
      <c r="D653" s="77"/>
      <c r="E653" s="16"/>
      <c r="F653"/>
      <c r="G653"/>
    </row>
    <row r="654" spans="3:11" s="79" customFormat="1">
      <c r="C654" s="21"/>
      <c r="D654" s="64">
        <f>D652*$D630</f>
        <v>4690.582959641255</v>
      </c>
      <c r="E654" s="64">
        <f>E652*$D630</f>
        <v>5587.4439461883412</v>
      </c>
      <c r="F654" s="64">
        <f>F652*$D630</f>
        <v>7381.1659192825109</v>
      </c>
      <c r="G654" s="47" t="s">
        <v>329</v>
      </c>
      <c r="H654" s="276"/>
      <c r="I654" s="276"/>
    </row>
    <row r="655" spans="3:11" s="79" customFormat="1">
      <c r="C655" s="21"/>
      <c r="H655" s="119"/>
      <c r="I655" s="119"/>
    </row>
    <row r="656" spans="3:11" s="79" customFormat="1">
      <c r="C656" s="21"/>
      <c r="D656" s="46"/>
      <c r="E656" s="46"/>
      <c r="F656" s="46"/>
      <c r="G656" s="359"/>
      <c r="H656" s="119"/>
      <c r="I656" s="119"/>
    </row>
    <row r="657" spans="3:9" s="79" customFormat="1">
      <c r="C657" s="21"/>
      <c r="D657" s="75"/>
      <c r="E657" s="75"/>
      <c r="F657" s="75"/>
      <c r="G657" s="99"/>
      <c r="H657" s="119"/>
      <c r="I657" s="119"/>
    </row>
    <row r="658" spans="3:9" s="79" customFormat="1">
      <c r="C658" s="21"/>
      <c r="H658" s="119"/>
      <c r="I658" s="119"/>
    </row>
    <row r="659" spans="3:9" s="79" customFormat="1" ht="19">
      <c r="C659" s="2" t="s">
        <v>132</v>
      </c>
      <c r="D659" s="37" t="s">
        <v>89</v>
      </c>
      <c r="E659" s="16"/>
      <c r="F659"/>
      <c r="G659"/>
      <c r="H659"/>
      <c r="I659"/>
    </row>
    <row r="660" spans="3:9" s="79" customFormat="1">
      <c r="C660" t="s">
        <v>54</v>
      </c>
      <c r="E660" s="16"/>
      <c r="F660"/>
      <c r="G660"/>
      <c r="H660"/>
      <c r="I660"/>
    </row>
    <row r="661" spans="3:9" s="79" customFormat="1">
      <c r="C661"/>
      <c r="D661" s="160" t="s">
        <v>251</v>
      </c>
      <c r="E661" s="16"/>
      <c r="F661"/>
      <c r="G661"/>
      <c r="H661"/>
      <c r="I661"/>
    </row>
    <row r="662" spans="3:9" s="79" customFormat="1">
      <c r="C662"/>
      <c r="D662" s="16"/>
      <c r="E662" s="16"/>
      <c r="F662"/>
      <c r="G662"/>
      <c r="H662"/>
      <c r="I662"/>
    </row>
    <row r="663" spans="3:9" s="79" customFormat="1">
      <c r="C663"/>
      <c r="D663" s="67" t="s">
        <v>91</v>
      </c>
      <c r="E663" s="41"/>
      <c r="F663"/>
      <c r="G663"/>
      <c r="H663"/>
      <c r="I663"/>
    </row>
    <row r="664" spans="3:9" s="79" customFormat="1">
      <c r="C664"/>
      <c r="D664" s="52">
        <f>'Overall Assumptions'!$C$93</f>
        <v>285</v>
      </c>
      <c r="E664" s="41" t="s">
        <v>93</v>
      </c>
      <c r="F664"/>
      <c r="G664"/>
      <c r="H664"/>
      <c r="I664"/>
    </row>
    <row r="665" spans="3:9" s="79" customFormat="1">
      <c r="C665"/>
      <c r="D665" s="56"/>
      <c r="E665" s="45"/>
      <c r="F665"/>
      <c r="G665"/>
      <c r="H665"/>
      <c r="I665"/>
    </row>
    <row r="666" spans="3:9" s="79" customFormat="1">
      <c r="C666"/>
      <c r="D666" s="75"/>
      <c r="E666" s="76"/>
      <c r="F666"/>
      <c r="G666"/>
      <c r="H666"/>
      <c r="I666"/>
    </row>
    <row r="667" spans="3:9" s="79" customFormat="1">
      <c r="C667"/>
      <c r="D667" s="50">
        <f>D646</f>
        <v>0</v>
      </c>
      <c r="E667" s="50">
        <f>E646</f>
        <v>0</v>
      </c>
      <c r="F667" s="50">
        <f>F646</f>
        <v>0</v>
      </c>
      <c r="G667" s="59" t="s">
        <v>97</v>
      </c>
      <c r="H667"/>
      <c r="I667"/>
    </row>
    <row r="668" spans="3:9" s="79" customFormat="1">
      <c r="C668"/>
      <c r="D668" s="50">
        <f t="shared" ref="D668:F669" si="77">D648</f>
        <v>5.9790732436472345</v>
      </c>
      <c r="E668" s="50">
        <f t="shared" si="77"/>
        <v>7.9720976581963141</v>
      </c>
      <c r="F668" s="50">
        <f t="shared" si="77"/>
        <v>11.958146487294469</v>
      </c>
      <c r="G668" s="59" t="s">
        <v>98</v>
      </c>
      <c r="H668"/>
      <c r="I668"/>
    </row>
    <row r="669" spans="3:9" s="79" customFormat="1">
      <c r="C669"/>
      <c r="D669" s="50">
        <f t="shared" si="77"/>
        <v>4.4444444444444438</v>
      </c>
      <c r="E669" s="50">
        <f t="shared" si="77"/>
        <v>4.4444444444444438</v>
      </c>
      <c r="F669" s="50">
        <f t="shared" si="77"/>
        <v>4.4444444444444438</v>
      </c>
      <c r="G669" s="59" t="s">
        <v>244</v>
      </c>
      <c r="H669"/>
      <c r="I669"/>
    </row>
    <row r="670" spans="3:9" s="79" customFormat="1">
      <c r="C670"/>
      <c r="D670" s="50">
        <f>SUM(D667:D669)</f>
        <v>10.423517688091678</v>
      </c>
      <c r="E670" s="50">
        <f>SUM(E667:E669)</f>
        <v>12.416542102640758</v>
      </c>
      <c r="F670" s="50">
        <f>SUM(F667:F669)</f>
        <v>16.402590931738914</v>
      </c>
      <c r="G670" s="59" t="s">
        <v>135</v>
      </c>
      <c r="H670"/>
      <c r="I670"/>
    </row>
    <row r="671" spans="3:9" s="79" customFormat="1">
      <c r="C671"/>
      <c r="D671" s="63"/>
      <c r="E671" s="16"/>
      <c r="F671"/>
      <c r="G671"/>
      <c r="H671"/>
      <c r="I671"/>
    </row>
    <row r="672" spans="3:9" s="79" customFormat="1">
      <c r="C672"/>
      <c r="D672" s="63"/>
      <c r="E672" s="16"/>
      <c r="F672"/>
      <c r="G672"/>
      <c r="H672"/>
      <c r="I672"/>
    </row>
    <row r="673" spans="3:9" s="79" customFormat="1">
      <c r="C673"/>
      <c r="D673" s="68">
        <f>D670*$D664</f>
        <v>2970.7025411061281</v>
      </c>
      <c r="E673" s="68">
        <f>E670*$D664</f>
        <v>3538.714499252616</v>
      </c>
      <c r="F673" s="68">
        <f>F670*$D664</f>
        <v>4674.7384155455902</v>
      </c>
      <c r="G673" s="47" t="s">
        <v>500</v>
      </c>
      <c r="H673"/>
      <c r="I673"/>
    </row>
    <row r="674" spans="3:9" s="79" customFormat="1"/>
    <row r="675" spans="3:9" s="79" customFormat="1">
      <c r="D675" s="46">
        <f>D670</f>
        <v>10.423517688091678</v>
      </c>
      <c r="E675" s="46">
        <f>E670</f>
        <v>12.416542102640758</v>
      </c>
      <c r="F675" s="46">
        <f>F670</f>
        <v>16.402590931738914</v>
      </c>
      <c r="G675" s="359" t="s">
        <v>795</v>
      </c>
    </row>
    <row r="676" spans="3:9" s="79" customFormat="1">
      <c r="D676" s="75">
        <f>ROUNDUP((D675/21),0)</f>
        <v>1</v>
      </c>
      <c r="E676" s="75">
        <f>ROUNDUP((E675/21),0)</f>
        <v>1</v>
      </c>
      <c r="F676" s="75">
        <f>ROUNDUP((F675/21),0)</f>
        <v>1</v>
      </c>
      <c r="G676" s="99" t="s">
        <v>739</v>
      </c>
    </row>
    <row r="677" spans="3:9" s="79" customFormat="1">
      <c r="F677" s="75"/>
    </row>
    <row r="678" spans="3:9" s="79" customFormat="1">
      <c r="D678" s="75"/>
      <c r="E678" s="99"/>
      <c r="F678" s="75"/>
    </row>
    <row r="679" spans="3:9" s="79" customFormat="1">
      <c r="C679" s="225" t="s">
        <v>70</v>
      </c>
      <c r="D679" s="230"/>
      <c r="E679" s="224" t="s">
        <v>156</v>
      </c>
      <c r="F679" s="212"/>
      <c r="G679" s="212"/>
      <c r="H679" s="212"/>
      <c r="I679" s="119"/>
    </row>
    <row r="680" spans="3:9" s="79" customFormat="1">
      <c r="C680" s="212"/>
      <c r="D680" s="230"/>
      <c r="E680" s="224"/>
      <c r="F680" s="212"/>
      <c r="G680" s="212"/>
      <c r="H680" s="212"/>
      <c r="I680" s="119"/>
    </row>
    <row r="681" spans="3:9" s="79" customFormat="1">
      <c r="C681" s="212"/>
      <c r="D681" s="230"/>
      <c r="E681" s="224"/>
      <c r="F681" s="212"/>
      <c r="G681" s="212"/>
      <c r="H681" s="212"/>
      <c r="I681" s="119"/>
    </row>
    <row r="682" spans="3:9" s="79" customFormat="1">
      <c r="C682" s="212"/>
      <c r="D682" s="222">
        <f>D650</f>
        <v>10.423517688091678</v>
      </c>
      <c r="E682" s="222">
        <f>E650</f>
        <v>12.416542102640758</v>
      </c>
      <c r="F682" s="222">
        <f>F650</f>
        <v>16.402590931738914</v>
      </c>
      <c r="G682" s="213" t="s">
        <v>157</v>
      </c>
      <c r="H682" s="212"/>
      <c r="I682" s="119"/>
    </row>
    <row r="683" spans="3:9" s="79" customFormat="1">
      <c r="C683" s="212"/>
      <c r="D683" s="229">
        <f>FLOOR(D682,1)</f>
        <v>10</v>
      </c>
      <c r="E683" s="229">
        <f>FLOOR(E682,1)</f>
        <v>12</v>
      </c>
      <c r="F683" s="229">
        <f>FLOOR(F682,1)</f>
        <v>16</v>
      </c>
      <c r="G683" s="213" t="s">
        <v>73</v>
      </c>
      <c r="H683" s="212"/>
      <c r="I683" s="119"/>
    </row>
    <row r="684" spans="3:9" s="79" customFormat="1">
      <c r="C684" s="212"/>
      <c r="D684" s="228">
        <f>D683*$D631</f>
        <v>20</v>
      </c>
      <c r="E684" s="228">
        <f>E683*$D631</f>
        <v>24</v>
      </c>
      <c r="F684" s="228">
        <f>F683*$D631</f>
        <v>32</v>
      </c>
      <c r="G684" s="214" t="s">
        <v>175</v>
      </c>
      <c r="H684" s="212"/>
      <c r="I684" s="119"/>
    </row>
    <row r="685" spans="3:9" s="79" customFormat="1">
      <c r="C685" s="212"/>
      <c r="D685" s="227"/>
      <c r="E685" s="227"/>
      <c r="F685" s="227"/>
      <c r="G685" s="214" t="s">
        <v>88</v>
      </c>
      <c r="H685" s="212"/>
    </row>
    <row r="686" spans="3:9" s="79" customFormat="1">
      <c r="C686" s="212"/>
      <c r="D686" s="226">
        <f>D684*$D642</f>
        <v>4200</v>
      </c>
      <c r="E686" s="226">
        <f>E684*$D642</f>
        <v>5040</v>
      </c>
      <c r="F686" s="226">
        <f>F684*$D642</f>
        <v>6720</v>
      </c>
      <c r="G686" s="221" t="s">
        <v>74</v>
      </c>
      <c r="H686" s="212"/>
    </row>
    <row r="687" spans="3:9" s="79" customFormat="1">
      <c r="D687" s="282"/>
      <c r="E687" s="76"/>
    </row>
    <row r="688" spans="3:9" s="79" customFormat="1">
      <c r="D688" s="283"/>
      <c r="E688" s="284"/>
      <c r="F688" s="78"/>
    </row>
    <row r="689" spans="3:12" s="79" customFormat="1">
      <c r="D689" s="283"/>
      <c r="E689" s="1843" t="s">
        <v>735</v>
      </c>
      <c r="F689" s="1844" t="s">
        <v>1414</v>
      </c>
      <c r="G689" s="1303" t="s">
        <v>733</v>
      </c>
      <c r="H689" s="1843" t="s">
        <v>735</v>
      </c>
      <c r="I689" s="1844" t="s">
        <v>1414</v>
      </c>
      <c r="J689" s="1303" t="s">
        <v>733</v>
      </c>
    </row>
    <row r="690" spans="3:12" s="79" customFormat="1">
      <c r="D690" s="143" t="s">
        <v>172</v>
      </c>
      <c r="E690" s="144" t="s">
        <v>155</v>
      </c>
      <c r="F690" s="144" t="s">
        <v>155</v>
      </c>
      <c r="G690" s="144" t="s">
        <v>155</v>
      </c>
      <c r="H690" s="143" t="s">
        <v>1415</v>
      </c>
      <c r="I690" s="255"/>
      <c r="J690" s="161"/>
      <c r="K690" s="145" t="s">
        <v>69</v>
      </c>
      <c r="L690" s="276" t="s">
        <v>391</v>
      </c>
    </row>
    <row r="691" spans="3:12" s="79" customFormat="1">
      <c r="D691" s="135" t="s">
        <v>3</v>
      </c>
      <c r="E691" s="136">
        <f>D652</f>
        <v>20.847035376183356</v>
      </c>
      <c r="F691" s="136">
        <f t="shared" ref="F691:G691" si="78">E652</f>
        <v>24.833084205281516</v>
      </c>
      <c r="G691" s="136">
        <f t="shared" si="78"/>
        <v>32.805181863477827</v>
      </c>
      <c r="H691" s="1842">
        <f>D654</f>
        <v>4690.582959641255</v>
      </c>
      <c r="I691" s="119">
        <f>E654</f>
        <v>5587.4439461883412</v>
      </c>
      <c r="J691" s="358">
        <f>F654</f>
        <v>7381.1659192825109</v>
      </c>
      <c r="K691" s="119" t="str">
        <f>G654</f>
        <v>Cost for person hours</v>
      </c>
      <c r="L691" s="79">
        <f>D620</f>
        <v>1</v>
      </c>
    </row>
    <row r="692" spans="3:12" s="79" customFormat="1">
      <c r="D692" s="135" t="s">
        <v>132</v>
      </c>
      <c r="E692" s="136">
        <f>D670</f>
        <v>10.423517688091678</v>
      </c>
      <c r="F692" s="136">
        <f t="shared" ref="F692:G692" si="79">E670</f>
        <v>12.416542102640758</v>
      </c>
      <c r="G692" s="136">
        <f t="shared" si="79"/>
        <v>16.402590931738914</v>
      </c>
      <c r="H692" s="1842">
        <f>D673</f>
        <v>2970.7025411061281</v>
      </c>
      <c r="I692" s="119">
        <f>E673</f>
        <v>3538.714499252616</v>
      </c>
      <c r="J692" s="358">
        <f>F673</f>
        <v>4674.7384155455902</v>
      </c>
      <c r="K692" s="119" t="str">
        <f>G673</f>
        <v>Cost for ute hire</v>
      </c>
      <c r="L692" s="79">
        <f>L691</f>
        <v>1</v>
      </c>
    </row>
    <row r="693" spans="3:12" s="79" customFormat="1">
      <c r="D693" s="135" t="s">
        <v>169</v>
      </c>
      <c r="E693" s="136">
        <f>D684</f>
        <v>20</v>
      </c>
      <c r="F693" s="136">
        <f t="shared" ref="F693:G693" si="80">E684</f>
        <v>24</v>
      </c>
      <c r="G693" s="136">
        <f t="shared" si="80"/>
        <v>32</v>
      </c>
      <c r="H693" s="1842">
        <f>D686</f>
        <v>4200</v>
      </c>
      <c r="I693" s="119">
        <f>E686</f>
        <v>5040</v>
      </c>
      <c r="J693" s="358">
        <f>F686</f>
        <v>6720</v>
      </c>
      <c r="K693" s="119" t="str">
        <f>G686</f>
        <v>Accomodation + Food Cost</v>
      </c>
      <c r="L693" s="79">
        <f>L692</f>
        <v>1</v>
      </c>
    </row>
    <row r="694" spans="3:12" s="79" customFormat="1">
      <c r="D694" s="135" t="s">
        <v>1413</v>
      </c>
      <c r="E694" s="136"/>
      <c r="F694" s="122"/>
      <c r="H694" s="1842"/>
      <c r="I694" s="119"/>
      <c r="J694" s="358"/>
      <c r="K694" s="119"/>
    </row>
    <row r="695" spans="3:12" s="79" customFormat="1">
      <c r="D695" s="135"/>
      <c r="E695" s="136"/>
      <c r="F695" s="122"/>
      <c r="H695" s="1842"/>
      <c r="J695" s="246"/>
      <c r="K695" s="119"/>
    </row>
    <row r="696" spans="3:12" s="79" customFormat="1">
      <c r="D696" s="137"/>
      <c r="E696" s="138"/>
      <c r="F696" s="142"/>
      <c r="H696" s="1845">
        <f>SUM(H691:H695)</f>
        <v>11861.285500747383</v>
      </c>
      <c r="I696" s="1845">
        <f>SUM(I691:I695)</f>
        <v>14166.158445440957</v>
      </c>
      <c r="J696" s="1845">
        <f>SUM(J691:J695)</f>
        <v>18775.904334828101</v>
      </c>
      <c r="K696" s="1621" t="s">
        <v>165</v>
      </c>
    </row>
    <row r="697" spans="3:12" s="79" customFormat="1">
      <c r="D697" s="278"/>
      <c r="E697" s="76"/>
      <c r="F697" s="10"/>
      <c r="G697" s="397"/>
    </row>
    <row r="698" spans="3:12" s="79" customFormat="1">
      <c r="D698" s="277"/>
      <c r="E698" s="76"/>
    </row>
    <row r="699" spans="3:12">
      <c r="D699" s="25"/>
      <c r="G699"/>
    </row>
    <row r="700" spans="3:12" s="7" customFormat="1">
      <c r="D700" s="35"/>
      <c r="E700" s="36"/>
      <c r="G700" s="1089"/>
    </row>
    <row r="701" spans="3:12">
      <c r="C701" t="s">
        <v>1002</v>
      </c>
    </row>
    <row r="703" spans="3:12">
      <c r="D703" s="66" t="s">
        <v>1004</v>
      </c>
      <c r="E703" s="76"/>
      <c r="F703" s="79"/>
      <c r="G703" s="1119"/>
    </row>
    <row r="704" spans="3:12">
      <c r="D704" s="329"/>
      <c r="E704" s="76"/>
      <c r="F704" s="79"/>
      <c r="G704" s="1119"/>
    </row>
    <row r="705" spans="4:12">
      <c r="D705" s="117" t="s">
        <v>91</v>
      </c>
      <c r="E705" s="118"/>
      <c r="F705" s="9"/>
      <c r="G705" s="1119"/>
    </row>
    <row r="706" spans="4:12">
      <c r="D706" s="114">
        <v>0.3</v>
      </c>
      <c r="E706" s="115" t="s">
        <v>262</v>
      </c>
      <c r="F706" s="9"/>
      <c r="G706" s="1119"/>
    </row>
    <row r="707" spans="4:12">
      <c r="D707" s="472">
        <v>1</v>
      </c>
      <c r="E707" s="97" t="s">
        <v>260</v>
      </c>
      <c r="F707" s="9"/>
      <c r="G707" s="1119"/>
    </row>
    <row r="708" spans="4:12">
      <c r="D708" s="825"/>
      <c r="E708" s="825"/>
      <c r="H708" s="1" t="s">
        <v>788</v>
      </c>
      <c r="I708" s="1" t="s">
        <v>779</v>
      </c>
      <c r="J708" s="1" t="s">
        <v>789</v>
      </c>
    </row>
    <row r="709" spans="4:12">
      <c r="D709" s="617" t="str">
        <f t="shared" ref="D709:K712" si="81">D241</f>
        <v>Component</v>
      </c>
      <c r="E709" s="618" t="str">
        <f t="shared" si="81"/>
        <v>Days</v>
      </c>
      <c r="F709" s="618" t="str">
        <f t="shared" si="81"/>
        <v>Days</v>
      </c>
      <c r="G709" s="1103" t="str">
        <f t="shared" si="81"/>
        <v>Days</v>
      </c>
      <c r="H709" s="618" t="str">
        <f t="shared" si="81"/>
        <v>Cost</v>
      </c>
      <c r="I709" s="618" t="str">
        <f t="shared" si="81"/>
        <v>Cost</v>
      </c>
      <c r="J709" s="618" t="str">
        <f t="shared" si="81"/>
        <v>Cost</v>
      </c>
      <c r="K709" s="619" t="str">
        <f t="shared" si="81"/>
        <v>Description</v>
      </c>
    </row>
    <row r="710" spans="4:12">
      <c r="D710" s="404" t="str">
        <f t="shared" si="81"/>
        <v>Labour</v>
      </c>
      <c r="E710" s="90">
        <f t="shared" si="81"/>
        <v>6.2541106128550075</v>
      </c>
      <c r="F710" s="90">
        <f t="shared" ref="F710:G710" si="82">F242</f>
        <v>7.449925261584454</v>
      </c>
      <c r="G710" s="90">
        <f t="shared" si="82"/>
        <v>9.8415545590433489</v>
      </c>
      <c r="H710" s="432">
        <f t="shared" si="81"/>
        <v>1407.1748878923768</v>
      </c>
      <c r="I710" s="432">
        <f t="shared" si="81"/>
        <v>1676.2331838565024</v>
      </c>
      <c r="J710" s="432">
        <f t="shared" si="81"/>
        <v>2214.3497757847535</v>
      </c>
      <c r="K710" s="830" t="str">
        <f t="shared" si="81"/>
        <v>Cost for labour</v>
      </c>
      <c r="L710">
        <v>1</v>
      </c>
    </row>
    <row r="711" spans="4:12">
      <c r="D711" s="404" t="str">
        <f t="shared" si="81"/>
        <v>transport</v>
      </c>
      <c r="E711" s="90">
        <f t="shared" si="81"/>
        <v>3.1270553064275037</v>
      </c>
      <c r="F711" s="90">
        <f t="shared" ref="F711:G711" si="83">F243</f>
        <v>3.724962630792227</v>
      </c>
      <c r="G711" s="90">
        <f t="shared" si="83"/>
        <v>4.9207772795216744</v>
      </c>
      <c r="H711" s="432">
        <f t="shared" si="81"/>
        <v>891.21076233183862</v>
      </c>
      <c r="I711" s="432">
        <f t="shared" si="81"/>
        <v>1061.6143497757848</v>
      </c>
      <c r="J711" s="432">
        <f t="shared" si="81"/>
        <v>1402.4215246636772</v>
      </c>
      <c r="K711" s="830" t="str">
        <f t="shared" si="81"/>
        <v>Cost for ute hire for the whole activity</v>
      </c>
      <c r="L711">
        <v>1</v>
      </c>
    </row>
    <row r="712" spans="4:12">
      <c r="D712" s="404" t="str">
        <f t="shared" si="81"/>
        <v>Consumables (Accomodation)</v>
      </c>
      <c r="E712" s="90">
        <f t="shared" si="81"/>
        <v>6</v>
      </c>
      <c r="F712" s="90">
        <f t="shared" ref="F712:G712" si="84">F244</f>
        <v>6</v>
      </c>
      <c r="G712" s="90">
        <f t="shared" si="84"/>
        <v>8</v>
      </c>
      <c r="H712" s="432">
        <f t="shared" si="81"/>
        <v>1260</v>
      </c>
      <c r="I712" s="432">
        <f t="shared" si="81"/>
        <v>1260</v>
      </c>
      <c r="J712" s="432">
        <f t="shared" si="81"/>
        <v>1680</v>
      </c>
      <c r="K712" s="830" t="str">
        <f t="shared" si="81"/>
        <v>Accomodation + Food Cost</v>
      </c>
      <c r="L712">
        <v>1</v>
      </c>
    </row>
    <row r="713" spans="4:12">
      <c r="D713" s="404"/>
      <c r="E713" s="90"/>
      <c r="F713" s="531"/>
      <c r="H713" s="432"/>
      <c r="I713" s="259"/>
      <c r="J713" s="259"/>
      <c r="K713" s="830"/>
      <c r="L713" s="558"/>
    </row>
    <row r="714" spans="4:12">
      <c r="D714" s="404"/>
      <c r="E714" s="90"/>
      <c r="F714" s="531"/>
      <c r="H714" s="432"/>
      <c r="I714" s="259"/>
      <c r="J714" s="259"/>
      <c r="K714" s="830"/>
    </row>
    <row r="715" spans="4:12">
      <c r="D715" s="405"/>
      <c r="E715" s="439"/>
      <c r="F715" s="439"/>
      <c r="G715" s="1098"/>
      <c r="H715" s="622">
        <f>SUM(H710:H714)</f>
        <v>3558.3856502242152</v>
      </c>
      <c r="I715" s="622">
        <f>SUM(I710:I714)</f>
        <v>3997.8475336322872</v>
      </c>
      <c r="J715" s="622">
        <f>SUM(J710:J714)</f>
        <v>5296.7713004484303</v>
      </c>
      <c r="K715" s="623" t="s">
        <v>165</v>
      </c>
    </row>
    <row r="716" spans="4:12">
      <c r="D716"/>
      <c r="E716"/>
      <c r="F716" s="432"/>
      <c r="G716" s="1099"/>
    </row>
    <row r="717" spans="4:12">
      <c r="D717"/>
      <c r="E717"/>
      <c r="F717" s="432"/>
      <c r="G717" s="1099"/>
    </row>
    <row r="719" spans="4:12" s="7" customFormat="1">
      <c r="D719" s="35"/>
      <c r="E719" s="36"/>
      <c r="G719" s="1089"/>
    </row>
    <row r="720" spans="4:12" s="9" customFormat="1">
      <c r="D720" s="105"/>
      <c r="E720" s="34"/>
      <c r="G720" s="572"/>
    </row>
    <row r="721" spans="3:10" s="9" customFormat="1">
      <c r="C721" s="120" t="s">
        <v>247</v>
      </c>
      <c r="D721" s="105"/>
      <c r="E721" s="34"/>
      <c r="G721" s="572"/>
    </row>
    <row r="722" spans="3:10" s="9" customFormat="1">
      <c r="D722" s="34" t="s">
        <v>258</v>
      </c>
      <c r="E722" s="34"/>
      <c r="G722" s="572"/>
    </row>
    <row r="723" spans="3:10" s="9" customFormat="1">
      <c r="D723" s="38" t="s">
        <v>91</v>
      </c>
      <c r="E723" s="39"/>
      <c r="F723" s="105"/>
      <c r="G723" s="572"/>
    </row>
    <row r="724" spans="3:10" s="9" customFormat="1">
      <c r="D724" s="402"/>
      <c r="E724" s="161"/>
      <c r="G724" s="572"/>
    </row>
    <row r="725" spans="3:10" s="9" customFormat="1">
      <c r="D725" s="332">
        <f>'Overall Assumptions'!$C$125</f>
        <v>3</v>
      </c>
      <c r="E725" s="131" t="str">
        <f>'Overall Assumptions'!$D$115</f>
        <v>weeks</v>
      </c>
      <c r="G725" s="572"/>
    </row>
    <row r="726" spans="3:10" s="9" customFormat="1">
      <c r="C726" s="105"/>
      <c r="D726" s="332">
        <f>D725*5</f>
        <v>15</v>
      </c>
      <c r="E726" s="43" t="str">
        <f>'Overall Assumptions'!$D$116</f>
        <v>days</v>
      </c>
      <c r="G726" s="572"/>
    </row>
    <row r="727" spans="3:10" s="9" customFormat="1">
      <c r="C727" s="105"/>
      <c r="D727" s="332"/>
      <c r="E727" s="43"/>
      <c r="G727" s="572"/>
    </row>
    <row r="728" spans="3:10" s="9" customFormat="1">
      <c r="C728" s="105"/>
      <c r="D728" s="268">
        <v>1</v>
      </c>
      <c r="E728" s="43" t="s">
        <v>259</v>
      </c>
      <c r="G728" s="572"/>
    </row>
    <row r="729" spans="3:10" s="9" customFormat="1">
      <c r="C729" s="105"/>
      <c r="D729" s="332"/>
      <c r="E729" s="43"/>
      <c r="G729" s="572"/>
    </row>
    <row r="730" spans="3:10" s="9" customFormat="1">
      <c r="C730" s="105"/>
      <c r="D730" s="332"/>
      <c r="E730" s="246"/>
      <c r="G730" s="572"/>
    </row>
    <row r="731" spans="3:10" s="9" customFormat="1">
      <c r="D731" s="614">
        <f>'Overall Assumptions'!$C$68</f>
        <v>225</v>
      </c>
      <c r="E731" s="246" t="str">
        <f>'Overall Assumptions'!$B$67</f>
        <v>Labour 1- APS Low (Entry lvl)</v>
      </c>
      <c r="G731" s="572"/>
    </row>
    <row r="732" spans="3:10" s="9" customFormat="1">
      <c r="D732" s="399">
        <f>'Overall Assumptions'!$C$72</f>
        <v>337.5</v>
      </c>
      <c r="E732" s="530" t="str">
        <f>'Overall Assumptions'!$B$71</f>
        <v>Labour 2 - APS High (Experienced)</v>
      </c>
      <c r="G732" s="572"/>
    </row>
    <row r="733" spans="3:10" s="9" customFormat="1">
      <c r="D733" s="112">
        <f>'Overall Assumptions'!$C$76</f>
        <v>487.5</v>
      </c>
      <c r="E733" s="45" t="str">
        <f>'Overall Assumptions'!$B$75</f>
        <v>Labour 3 - EL (Management)</v>
      </c>
      <c r="G733" s="572"/>
    </row>
    <row r="734" spans="3:10" s="9" customFormat="1">
      <c r="D734" s="33"/>
      <c r="E734" s="34"/>
      <c r="G734" s="572"/>
    </row>
    <row r="735" spans="3:10">
      <c r="C735" s="9"/>
      <c r="D735" s="247"/>
      <c r="E735" s="33"/>
      <c r="F735" s="9"/>
      <c r="G735" s="572"/>
      <c r="H735" s="9"/>
      <c r="I735" s="9"/>
      <c r="J735" s="9"/>
    </row>
    <row r="736" spans="3:10">
      <c r="C736" s="9"/>
      <c r="D736" s="33"/>
      <c r="E736" s="34"/>
      <c r="F736" s="9"/>
      <c r="G736" s="572"/>
      <c r="H736" s="9"/>
      <c r="I736" s="9"/>
      <c r="J736" s="9"/>
    </row>
    <row r="737" spans="3:10">
      <c r="C737" s="9"/>
      <c r="D737" s="33"/>
      <c r="E737" s="34"/>
      <c r="F737" s="9"/>
      <c r="G737" s="572"/>
      <c r="H737" s="9"/>
      <c r="I737" s="9"/>
      <c r="J737" s="9"/>
    </row>
    <row r="738" spans="3:10">
      <c r="C738" s="9"/>
      <c r="D738" s="33"/>
      <c r="E738" s="34"/>
      <c r="F738" s="9"/>
      <c r="G738" s="572"/>
      <c r="H738" s="9"/>
      <c r="I738" s="9"/>
      <c r="J738" s="9"/>
    </row>
    <row r="739" spans="3:10">
      <c r="C739" s="9"/>
      <c r="D739" s="175"/>
      <c r="E739" s="164" t="s">
        <v>155</v>
      </c>
      <c r="F739" s="255" t="s">
        <v>166</v>
      </c>
      <c r="G739" s="1090" t="s">
        <v>69</v>
      </c>
      <c r="H739" s="161"/>
      <c r="I739" s="9"/>
      <c r="J739" s="9"/>
    </row>
    <row r="740" spans="3:10">
      <c r="C740" s="9"/>
      <c r="D740" s="405" t="s">
        <v>3</v>
      </c>
      <c r="E740" s="615">
        <f>D726</f>
        <v>15</v>
      </c>
      <c r="F740" s="321">
        <f>D726*D732</f>
        <v>5062.5</v>
      </c>
      <c r="G740" s="1091" t="s">
        <v>182</v>
      </c>
      <c r="H740" s="162"/>
      <c r="I740" s="9"/>
      <c r="J740" s="9"/>
    </row>
    <row r="741" spans="3:10">
      <c r="H741" s="9"/>
    </row>
    <row r="744" spans="3:10" s="182" customFormat="1">
      <c r="D744" s="183"/>
      <c r="E744" s="184"/>
      <c r="G744" s="1131"/>
    </row>
    <row r="745" spans="3:10">
      <c r="C745" s="1"/>
    </row>
    <row r="746" spans="3:10">
      <c r="C746" s="199"/>
      <c r="D746" s="200"/>
    </row>
    <row r="747" spans="3:10">
      <c r="C747" s="201"/>
      <c r="D747" s="202"/>
    </row>
    <row r="749" spans="3:10">
      <c r="C749" s="198"/>
    </row>
    <row r="751" spans="3:10">
      <c r="C751" s="160"/>
    </row>
    <row r="754" spans="1:42" s="359" customFormat="1">
      <c r="A754"/>
      <c r="B754"/>
      <c r="C754"/>
      <c r="D754" s="1081"/>
      <c r="E754" s="16"/>
      <c r="F754"/>
      <c r="H754"/>
      <c r="I754"/>
      <c r="J754"/>
      <c r="K754"/>
      <c r="L754"/>
      <c r="M754"/>
      <c r="N754"/>
      <c r="O754"/>
      <c r="P754"/>
      <c r="Q754" s="2791"/>
      <c r="R754" s="2791"/>
      <c r="S754" s="2791"/>
      <c r="T754"/>
      <c r="U754"/>
      <c r="V754"/>
      <c r="W754"/>
      <c r="X754"/>
      <c r="Y754"/>
      <c r="Z754"/>
      <c r="AA754"/>
      <c r="AB754"/>
      <c r="AC754"/>
      <c r="AD754"/>
      <c r="AE754"/>
      <c r="AF754"/>
      <c r="AG754"/>
      <c r="AH754"/>
      <c r="AI754"/>
      <c r="AJ754"/>
      <c r="AK754"/>
      <c r="AL754"/>
      <c r="AM754"/>
      <c r="AN754"/>
      <c r="AO754"/>
      <c r="AP754"/>
    </row>
    <row r="755" spans="1:42" s="359" customFormat="1">
      <c r="A755"/>
      <c r="B755"/>
      <c r="C755"/>
      <c r="D755" s="58"/>
      <c r="E755" s="16"/>
      <c r="F755"/>
      <c r="H755"/>
      <c r="I755"/>
      <c r="J755"/>
      <c r="K755"/>
      <c r="L755"/>
      <c r="M755"/>
      <c r="N755"/>
      <c r="O755"/>
      <c r="P755"/>
      <c r="Q755" s="2791"/>
      <c r="R755" s="2791"/>
      <c r="S755" s="2791"/>
      <c r="T755"/>
      <c r="U755"/>
      <c r="V755"/>
      <c r="W755"/>
      <c r="X755"/>
      <c r="Y755"/>
      <c r="Z755"/>
      <c r="AA755"/>
      <c r="AB755"/>
      <c r="AC755"/>
      <c r="AD755"/>
      <c r="AE755"/>
      <c r="AF755"/>
      <c r="AG755"/>
      <c r="AH755"/>
      <c r="AI755"/>
      <c r="AJ755"/>
      <c r="AK755"/>
      <c r="AL755"/>
      <c r="AM755"/>
      <c r="AN755"/>
      <c r="AO755"/>
      <c r="AP755"/>
    </row>
    <row r="757" spans="1:42" s="359" customFormat="1">
      <c r="A757"/>
      <c r="B757"/>
      <c r="C757" s="90"/>
      <c r="D757"/>
      <c r="E757" s="16"/>
      <c r="F757"/>
      <c r="H757"/>
      <c r="I757"/>
      <c r="J757"/>
      <c r="K757"/>
      <c r="L757"/>
      <c r="M757"/>
      <c r="N757"/>
      <c r="O757"/>
      <c r="P757"/>
      <c r="Q757" s="2791"/>
      <c r="R757" s="2791"/>
      <c r="S757" s="2791"/>
      <c r="T757"/>
      <c r="U757"/>
      <c r="V757"/>
      <c r="W757"/>
      <c r="X757"/>
      <c r="Y757"/>
      <c r="Z757"/>
      <c r="AA757"/>
      <c r="AB757"/>
      <c r="AC757"/>
      <c r="AD757"/>
      <c r="AE757"/>
      <c r="AF757"/>
      <c r="AG757"/>
      <c r="AH757"/>
      <c r="AI757"/>
      <c r="AJ757"/>
      <c r="AK757"/>
      <c r="AL757"/>
      <c r="AM757"/>
      <c r="AN757"/>
      <c r="AO757"/>
      <c r="AP757"/>
    </row>
    <row r="758" spans="1:42" s="359" customFormat="1" ht="24" customHeight="1">
      <c r="A758"/>
      <c r="B758"/>
      <c r="C758" s="436"/>
      <c r="D758" s="24"/>
      <c r="E758" s="16"/>
      <c r="F758"/>
      <c r="H758"/>
      <c r="I758"/>
      <c r="J758"/>
      <c r="K758"/>
      <c r="L758"/>
      <c r="M758"/>
      <c r="N758"/>
      <c r="O758"/>
      <c r="P758"/>
      <c r="Q758" s="2791"/>
      <c r="R758" s="2791"/>
      <c r="S758" s="2791"/>
      <c r="T758"/>
      <c r="U758"/>
      <c r="V758"/>
      <c r="W758"/>
      <c r="X758"/>
      <c r="Y758"/>
      <c r="Z758"/>
      <c r="AA758"/>
      <c r="AB758"/>
      <c r="AC758"/>
      <c r="AD758"/>
      <c r="AE758"/>
      <c r="AF758"/>
      <c r="AG758"/>
      <c r="AH758"/>
      <c r="AI758"/>
      <c r="AJ758"/>
      <c r="AK758"/>
      <c r="AL758"/>
      <c r="AM758"/>
      <c r="AN758"/>
      <c r="AO758"/>
      <c r="AP758"/>
    </row>
    <row r="759" spans="1:42" s="359" customFormat="1">
      <c r="A759"/>
      <c r="B759"/>
      <c r="C759"/>
      <c r="D759" s="58"/>
      <c r="E759" s="16"/>
      <c r="F759"/>
      <c r="H759"/>
      <c r="I759"/>
      <c r="J759"/>
      <c r="K759"/>
      <c r="L759"/>
      <c r="M759"/>
      <c r="N759"/>
      <c r="O759"/>
      <c r="P759"/>
      <c r="Q759" s="2791"/>
      <c r="R759" s="2791"/>
      <c r="S759" s="2791"/>
      <c r="T759"/>
      <c r="U759"/>
      <c r="V759"/>
      <c r="W759"/>
      <c r="X759"/>
      <c r="Y759"/>
      <c r="Z759"/>
      <c r="AA759"/>
      <c r="AB759"/>
      <c r="AC759"/>
      <c r="AD759"/>
      <c r="AE759"/>
      <c r="AF759"/>
      <c r="AG759"/>
      <c r="AH759"/>
      <c r="AI759"/>
      <c r="AJ759"/>
      <c r="AK759"/>
      <c r="AL759"/>
      <c r="AM759"/>
      <c r="AN759"/>
      <c r="AO759"/>
      <c r="AP759"/>
    </row>
    <row r="760" spans="1:42" s="359" customFormat="1">
      <c r="A760"/>
      <c r="B760"/>
      <c r="C760"/>
      <c r="D760" s="58"/>
      <c r="E760" s="16"/>
      <c r="F760"/>
      <c r="H760"/>
      <c r="I760"/>
      <c r="J760"/>
      <c r="K760"/>
      <c r="L760"/>
      <c r="M760"/>
      <c r="N760"/>
      <c r="O760"/>
      <c r="P760"/>
      <c r="Q760" s="2791"/>
      <c r="R760" s="2791"/>
      <c r="S760" s="2791"/>
      <c r="T760"/>
      <c r="U760"/>
      <c r="V760"/>
      <c r="W760"/>
      <c r="X760"/>
      <c r="Y760"/>
      <c r="Z760"/>
      <c r="AA760"/>
      <c r="AB760"/>
      <c r="AC760"/>
      <c r="AD760"/>
      <c r="AE760"/>
      <c r="AF760"/>
      <c r="AG760"/>
      <c r="AH760"/>
      <c r="AI760"/>
      <c r="AJ760"/>
      <c r="AK760"/>
      <c r="AL760"/>
      <c r="AM760"/>
      <c r="AN760"/>
      <c r="AO760"/>
      <c r="AP760"/>
    </row>
    <row r="761" spans="1:42" s="359" customFormat="1">
      <c r="A761"/>
      <c r="B761"/>
      <c r="C761" s="204"/>
      <c r="D761" s="24"/>
      <c r="E761" s="16"/>
      <c r="F761"/>
      <c r="H761"/>
      <c r="I761"/>
      <c r="J761"/>
      <c r="K761"/>
      <c r="L761"/>
      <c r="M761"/>
      <c r="N761"/>
      <c r="O761"/>
      <c r="P761"/>
      <c r="Q761" s="2791"/>
      <c r="R761" s="2791"/>
      <c r="S761" s="2791"/>
      <c r="T761"/>
      <c r="U761"/>
      <c r="V761"/>
      <c r="W761"/>
      <c r="X761"/>
      <c r="Y761"/>
      <c r="Z761"/>
      <c r="AA761"/>
      <c r="AB761"/>
      <c r="AC761"/>
      <c r="AD761"/>
      <c r="AE761"/>
      <c r="AF761"/>
      <c r="AG761"/>
      <c r="AH761"/>
      <c r="AI761"/>
      <c r="AJ761"/>
      <c r="AK761"/>
      <c r="AL761"/>
      <c r="AM761"/>
      <c r="AN761"/>
      <c r="AO761"/>
      <c r="AP761"/>
    </row>
    <row r="763" spans="1:42" s="359" customFormat="1">
      <c r="A763"/>
      <c r="B763"/>
      <c r="C763" s="206"/>
      <c r="D763" s="24"/>
      <c r="E763" s="16"/>
      <c r="F763" s="2"/>
      <c r="H763"/>
      <c r="I763"/>
      <c r="J763"/>
      <c r="K763"/>
      <c r="L763"/>
      <c r="M763"/>
      <c r="N763"/>
      <c r="O763"/>
      <c r="P763"/>
      <c r="Q763" s="2791"/>
      <c r="R763" s="2791"/>
      <c r="S763" s="2791"/>
      <c r="T763"/>
      <c r="U763"/>
      <c r="V763"/>
      <c r="W763"/>
      <c r="X763"/>
      <c r="Y763"/>
      <c r="Z763"/>
      <c r="AA763"/>
      <c r="AB763"/>
      <c r="AC763"/>
      <c r="AD763"/>
      <c r="AE763"/>
      <c r="AF763"/>
      <c r="AG763"/>
      <c r="AH763"/>
      <c r="AI763"/>
      <c r="AJ763"/>
      <c r="AK763"/>
      <c r="AL763"/>
      <c r="AM763"/>
      <c r="AN763"/>
      <c r="AO763"/>
      <c r="AP763"/>
    </row>
    <row r="764" spans="1:42" s="359" customFormat="1" ht="15" customHeight="1">
      <c r="A764"/>
      <c r="B764"/>
      <c r="C764" s="2"/>
      <c r="D764" s="207"/>
      <c r="E764" s="16"/>
      <c r="F764" s="2"/>
      <c r="H764"/>
      <c r="I764"/>
      <c r="J764"/>
      <c r="K764"/>
      <c r="L764"/>
      <c r="M764"/>
      <c r="N764"/>
      <c r="O764"/>
      <c r="P764"/>
      <c r="Q764" s="2791"/>
      <c r="R764" s="2791"/>
      <c r="S764" s="2791"/>
      <c r="T764"/>
      <c r="U764"/>
      <c r="V764"/>
      <c r="W764"/>
      <c r="X764"/>
      <c r="Y764"/>
      <c r="Z764"/>
      <c r="AA764"/>
      <c r="AB764"/>
      <c r="AC764"/>
      <c r="AD764"/>
      <c r="AE764"/>
      <c r="AF764"/>
      <c r="AG764"/>
      <c r="AH764"/>
      <c r="AI764"/>
      <c r="AJ764"/>
      <c r="AK764"/>
      <c r="AL764"/>
      <c r="AM764"/>
      <c r="AN764"/>
      <c r="AO764"/>
      <c r="AP764"/>
    </row>
    <row r="765" spans="1:42" s="359" customFormat="1" ht="15" customHeight="1">
      <c r="A765"/>
      <c r="B765"/>
      <c r="C765" s="2"/>
      <c r="D765" s="207"/>
      <c r="E765" s="16"/>
      <c r="F765" s="2"/>
      <c r="H765"/>
      <c r="I765"/>
      <c r="J765"/>
      <c r="K765"/>
      <c r="L765"/>
      <c r="M765"/>
      <c r="N765"/>
      <c r="O765"/>
      <c r="P765"/>
      <c r="Q765" s="2791"/>
      <c r="R765" s="2791"/>
      <c r="S765" s="2791"/>
      <c r="T765"/>
      <c r="U765"/>
      <c r="V765"/>
      <c r="W765"/>
      <c r="X765"/>
      <c r="Y765"/>
      <c r="Z765"/>
      <c r="AA765"/>
      <c r="AB765"/>
      <c r="AC765"/>
      <c r="AD765"/>
      <c r="AE765"/>
      <c r="AF765"/>
      <c r="AG765"/>
      <c r="AH765"/>
      <c r="AI765"/>
      <c r="AJ765"/>
      <c r="AK765"/>
      <c r="AL765"/>
      <c r="AM765"/>
      <c r="AN765"/>
      <c r="AO765"/>
      <c r="AP765"/>
    </row>
    <row r="766" spans="1:42" s="359" customFormat="1" ht="15" customHeight="1">
      <c r="A766"/>
      <c r="B766"/>
      <c r="C766" s="2"/>
      <c r="D766" s="207"/>
      <c r="E766" s="16"/>
      <c r="F766" s="2"/>
      <c r="H766"/>
      <c r="I766"/>
      <c r="J766"/>
      <c r="K766"/>
      <c r="L766"/>
      <c r="M766"/>
      <c r="N766"/>
      <c r="O766"/>
      <c r="P766"/>
      <c r="Q766" s="2791"/>
      <c r="R766" s="2791"/>
      <c r="S766" s="2791"/>
      <c r="T766"/>
      <c r="U766"/>
      <c r="V766"/>
      <c r="W766"/>
      <c r="X766"/>
      <c r="Y766"/>
      <c r="Z766"/>
      <c r="AA766"/>
      <c r="AB766"/>
      <c r="AC766"/>
      <c r="AD766"/>
      <c r="AE766"/>
      <c r="AF766"/>
      <c r="AG766"/>
      <c r="AH766"/>
      <c r="AI766"/>
      <c r="AJ766"/>
      <c r="AK766"/>
      <c r="AL766"/>
      <c r="AM766"/>
      <c r="AN766"/>
      <c r="AO766"/>
      <c r="AP766"/>
    </row>
    <row r="767" spans="1:42" s="359" customFormat="1" ht="15" customHeight="1">
      <c r="A767"/>
      <c r="B767"/>
      <c r="C767" s="2"/>
      <c r="D767" s="207"/>
      <c r="E767" s="16"/>
      <c r="F767" s="2"/>
      <c r="H767"/>
      <c r="I767"/>
      <c r="J767"/>
      <c r="K767"/>
      <c r="L767"/>
      <c r="M767"/>
      <c r="N767"/>
      <c r="O767"/>
      <c r="P767"/>
      <c r="Q767" s="2791"/>
      <c r="R767" s="2791"/>
      <c r="S767" s="2791"/>
      <c r="T767"/>
      <c r="U767"/>
      <c r="V767"/>
      <c r="W767"/>
      <c r="X767"/>
      <c r="Y767"/>
      <c r="Z767"/>
      <c r="AA767"/>
      <c r="AB767"/>
      <c r="AC767"/>
      <c r="AD767"/>
      <c r="AE767"/>
      <c r="AF767"/>
      <c r="AG767"/>
      <c r="AH767"/>
      <c r="AI767"/>
      <c r="AJ767"/>
      <c r="AK767"/>
      <c r="AL767"/>
      <c r="AM767"/>
      <c r="AN767"/>
      <c r="AO767"/>
      <c r="AP767"/>
    </row>
    <row r="768" spans="1:42" s="359" customFormat="1" ht="15" customHeight="1">
      <c r="A768"/>
      <c r="B768"/>
      <c r="C768" s="206"/>
      <c r="D768" s="207"/>
      <c r="E768" s="16"/>
      <c r="F768" s="2"/>
      <c r="H768"/>
      <c r="I768"/>
      <c r="J768"/>
      <c r="K768"/>
      <c r="L768"/>
      <c r="M768"/>
      <c r="N768"/>
      <c r="O768"/>
      <c r="P768"/>
      <c r="Q768" s="2791"/>
      <c r="R768" s="2791"/>
      <c r="S768" s="2791"/>
      <c r="T768"/>
      <c r="U768"/>
      <c r="V768"/>
      <c r="W768"/>
      <c r="X768"/>
      <c r="Y768"/>
      <c r="Z768"/>
      <c r="AA768"/>
      <c r="AB768"/>
      <c r="AC768"/>
      <c r="AD768"/>
      <c r="AE768"/>
      <c r="AF768"/>
      <c r="AG768"/>
      <c r="AH768"/>
      <c r="AI768"/>
      <c r="AJ768"/>
      <c r="AK768"/>
      <c r="AL768"/>
      <c r="AM768"/>
      <c r="AN768"/>
      <c r="AO768"/>
      <c r="AP768"/>
    </row>
    <row r="769" spans="1:42" s="359" customFormat="1" ht="15" customHeight="1">
      <c r="A769"/>
      <c r="B769"/>
      <c r="C769"/>
      <c r="D769" s="207"/>
      <c r="E769" s="16"/>
      <c r="F769"/>
      <c r="H769"/>
      <c r="I769"/>
      <c r="J769"/>
      <c r="K769"/>
      <c r="L769"/>
      <c r="M769"/>
      <c r="N769"/>
      <c r="O769"/>
      <c r="P769"/>
      <c r="Q769" s="2791"/>
      <c r="R769" s="2791"/>
      <c r="S769" s="2791"/>
      <c r="T769"/>
      <c r="U769"/>
      <c r="V769"/>
      <c r="W769"/>
      <c r="X769"/>
      <c r="Y769"/>
      <c r="Z769"/>
      <c r="AA769"/>
      <c r="AB769"/>
      <c r="AC769"/>
      <c r="AD769"/>
      <c r="AE769"/>
      <c r="AF769"/>
      <c r="AG769"/>
      <c r="AH769"/>
      <c r="AI769"/>
      <c r="AJ769"/>
      <c r="AK769"/>
      <c r="AL769"/>
      <c r="AM769"/>
      <c r="AN769"/>
      <c r="AO769"/>
      <c r="AP769"/>
    </row>
    <row r="770" spans="1:42" ht="15" customHeight="1">
      <c r="D770" s="207"/>
      <c r="E770" s="2"/>
      <c r="F770" s="2"/>
    </row>
    <row r="771" spans="1:42" ht="15" customHeight="1">
      <c r="D771" s="207"/>
      <c r="F771" s="2"/>
    </row>
    <row r="772" spans="1:42" ht="15" customHeight="1">
      <c r="D772" s="207"/>
      <c r="F772" s="2"/>
    </row>
    <row r="773" spans="1:42" ht="15" customHeight="1">
      <c r="D773" s="207"/>
    </row>
    <row r="774" spans="1:42" ht="15" customHeight="1">
      <c r="D774" s="207"/>
    </row>
    <row r="775" spans="1:42" ht="15" customHeight="1">
      <c r="D775" s="57"/>
    </row>
    <row r="776" spans="1:42">
      <c r="D776" s="16"/>
    </row>
    <row r="777" spans="1:42">
      <c r="C777" s="206"/>
      <c r="D777" s="208"/>
      <c r="E777" s="6"/>
    </row>
    <row r="778" spans="1:42">
      <c r="D778" s="207"/>
    </row>
    <row r="779" spans="1:42">
      <c r="D779" s="207"/>
      <c r="F779" s="2"/>
    </row>
    <row r="780" spans="1:42">
      <c r="D780" s="207"/>
      <c r="F780" s="2"/>
    </row>
    <row r="781" spans="1:42">
      <c r="D781" s="156"/>
      <c r="F781" s="2"/>
    </row>
    <row r="782" spans="1:42">
      <c r="C782" s="206"/>
      <c r="F782" s="2"/>
    </row>
    <row r="783" spans="1:42">
      <c r="C783" s="206"/>
      <c r="D783" s="207"/>
      <c r="F783" s="2"/>
    </row>
    <row r="784" spans="1:42">
      <c r="D784" s="207"/>
      <c r="G784" s="99"/>
    </row>
    <row r="785" spans="2:42">
      <c r="D785" s="16"/>
      <c r="G785" s="99"/>
      <c r="H785" s="16"/>
    </row>
    <row r="786" spans="2:42">
      <c r="D786" s="207"/>
      <c r="G786" s="1132"/>
    </row>
    <row r="787" spans="2:42">
      <c r="D787" s="207"/>
      <c r="G787" s="1133"/>
    </row>
    <row r="788" spans="2:42">
      <c r="G788" s="99"/>
    </row>
    <row r="789" spans="2:42">
      <c r="D789" s="57"/>
      <c r="G789" s="1102"/>
      <c r="H789" s="16"/>
    </row>
    <row r="790" spans="2:42">
      <c r="G790" s="1102"/>
      <c r="H790" s="16"/>
    </row>
    <row r="791" spans="2:42">
      <c r="D791" s="156"/>
      <c r="J791" s="16"/>
    </row>
    <row r="792" spans="2:42">
      <c r="D792" s="156"/>
      <c r="J792" s="16"/>
    </row>
    <row r="794" spans="2:42">
      <c r="D794" s="16"/>
    </row>
    <row r="795" spans="2:42">
      <c r="D795" s="16"/>
    </row>
    <row r="796" spans="2:42">
      <c r="D796" s="16"/>
    </row>
    <row r="797" spans="2:42">
      <c r="D797" s="16"/>
    </row>
    <row r="800" spans="2:42" s="24" customFormat="1">
      <c r="B800"/>
      <c r="C800" s="206"/>
      <c r="E800" s="16"/>
      <c r="F800"/>
      <c r="G800" s="359"/>
      <c r="H800"/>
      <c r="I800"/>
      <c r="J800"/>
      <c r="K800"/>
      <c r="L800"/>
      <c r="M800"/>
      <c r="N800"/>
      <c r="O800"/>
      <c r="P800"/>
      <c r="Q800" s="2791"/>
      <c r="R800" s="2791"/>
      <c r="S800" s="2791"/>
      <c r="T800"/>
      <c r="U800"/>
      <c r="V800"/>
      <c r="W800"/>
      <c r="X800"/>
      <c r="Y800"/>
      <c r="Z800"/>
      <c r="AA800"/>
      <c r="AB800"/>
      <c r="AC800"/>
      <c r="AD800"/>
      <c r="AE800"/>
      <c r="AF800"/>
      <c r="AG800"/>
      <c r="AH800"/>
      <c r="AI800"/>
      <c r="AJ800"/>
      <c r="AK800"/>
      <c r="AL800"/>
      <c r="AM800"/>
      <c r="AN800"/>
      <c r="AO800"/>
      <c r="AP800"/>
    </row>
    <row r="801" spans="2:42" s="24" customFormat="1">
      <c r="B801"/>
      <c r="C801" s="206"/>
      <c r="E801" s="16"/>
      <c r="F801"/>
      <c r="G801" s="359"/>
      <c r="H801"/>
      <c r="I801"/>
      <c r="J801"/>
      <c r="K801"/>
      <c r="L801"/>
      <c r="M801"/>
      <c r="N801"/>
      <c r="O801"/>
      <c r="P801"/>
      <c r="Q801" s="2791"/>
      <c r="R801" s="2791"/>
      <c r="S801" s="2791"/>
      <c r="T801"/>
      <c r="U801"/>
      <c r="V801"/>
      <c r="W801"/>
      <c r="X801"/>
      <c r="Y801"/>
      <c r="Z801"/>
      <c r="AA801"/>
      <c r="AB801"/>
      <c r="AC801"/>
      <c r="AD801"/>
      <c r="AE801"/>
      <c r="AF801"/>
      <c r="AG801"/>
      <c r="AH801"/>
      <c r="AI801"/>
      <c r="AJ801"/>
      <c r="AK801"/>
      <c r="AL801"/>
      <c r="AM801"/>
      <c r="AN801"/>
      <c r="AO801"/>
      <c r="AP801"/>
    </row>
    <row r="802" spans="2:42" s="24" customFormat="1">
      <c r="B802"/>
      <c r="C802" s="206"/>
      <c r="E802" s="16"/>
      <c r="F802"/>
      <c r="G802" s="359"/>
      <c r="H802"/>
      <c r="I802"/>
      <c r="J802"/>
      <c r="K802"/>
      <c r="L802"/>
      <c r="M802"/>
      <c r="N802"/>
      <c r="O802"/>
      <c r="P802"/>
      <c r="Q802" s="2791"/>
      <c r="R802" s="2791"/>
      <c r="S802" s="2791"/>
      <c r="T802"/>
      <c r="U802"/>
      <c r="V802"/>
      <c r="W802"/>
      <c r="X802"/>
      <c r="Y802"/>
      <c r="Z802"/>
      <c r="AA802"/>
      <c r="AB802"/>
      <c r="AC802"/>
      <c r="AD802"/>
      <c r="AE802"/>
      <c r="AF802"/>
      <c r="AG802"/>
      <c r="AH802"/>
      <c r="AI802"/>
      <c r="AJ802"/>
      <c r="AK802"/>
      <c r="AL802"/>
      <c r="AM802"/>
      <c r="AN802"/>
      <c r="AO802"/>
      <c r="AP802"/>
    </row>
    <row r="803" spans="2:42" s="24" customFormat="1">
      <c r="B803"/>
      <c r="C803" s="206"/>
      <c r="E803" s="16"/>
      <c r="F803"/>
      <c r="G803" s="359"/>
      <c r="H803"/>
      <c r="I803"/>
      <c r="J803"/>
      <c r="K803"/>
      <c r="L803"/>
      <c r="M803"/>
      <c r="N803"/>
      <c r="O803"/>
      <c r="P803"/>
      <c r="Q803" s="2791"/>
      <c r="R803" s="2791"/>
      <c r="S803" s="2791"/>
      <c r="T803"/>
      <c r="U803"/>
      <c r="V803"/>
      <c r="W803"/>
      <c r="X803"/>
      <c r="Y803"/>
      <c r="Z803"/>
      <c r="AA803"/>
      <c r="AB803"/>
      <c r="AC803"/>
      <c r="AD803"/>
      <c r="AE803"/>
      <c r="AF803"/>
      <c r="AG803"/>
      <c r="AH803"/>
      <c r="AI803"/>
      <c r="AJ803"/>
      <c r="AK803"/>
      <c r="AL803"/>
      <c r="AM803"/>
      <c r="AN803"/>
      <c r="AO803"/>
      <c r="AP803"/>
    </row>
    <row r="804" spans="2:42" s="24" customFormat="1">
      <c r="B804"/>
      <c r="C804" s="206"/>
      <c r="E804" s="16"/>
      <c r="F804"/>
      <c r="G804" s="359"/>
      <c r="H804"/>
      <c r="I804"/>
      <c r="J804"/>
      <c r="K804"/>
      <c r="L804"/>
      <c r="M804"/>
      <c r="N804"/>
      <c r="O804"/>
      <c r="P804"/>
      <c r="Q804" s="2791"/>
      <c r="R804" s="2791"/>
      <c r="S804" s="2791"/>
      <c r="T804"/>
      <c r="U804"/>
      <c r="V804"/>
      <c r="W804"/>
      <c r="X804"/>
      <c r="Y804"/>
      <c r="Z804"/>
      <c r="AA804"/>
      <c r="AB804"/>
      <c r="AC804"/>
      <c r="AD804"/>
      <c r="AE804"/>
      <c r="AF804"/>
      <c r="AG804"/>
      <c r="AH804"/>
      <c r="AI804"/>
      <c r="AJ804"/>
      <c r="AK804"/>
      <c r="AL804"/>
      <c r="AM804"/>
      <c r="AN804"/>
      <c r="AO804"/>
      <c r="AP804"/>
    </row>
    <row r="805" spans="2:42" s="24" customFormat="1">
      <c r="B805"/>
      <c r="C805" s="206"/>
      <c r="E805" s="16"/>
      <c r="F805"/>
      <c r="G805" s="359"/>
      <c r="H805"/>
      <c r="I805"/>
      <c r="J805"/>
      <c r="K805"/>
      <c r="L805"/>
      <c r="M805"/>
      <c r="N805"/>
      <c r="O805"/>
      <c r="P805"/>
      <c r="Q805" s="2791"/>
      <c r="R805" s="2791"/>
      <c r="S805" s="2791"/>
      <c r="T805"/>
      <c r="U805"/>
      <c r="V805"/>
      <c r="W805"/>
      <c r="X805"/>
      <c r="Y805"/>
      <c r="Z805"/>
      <c r="AA805"/>
      <c r="AB805"/>
      <c r="AC805"/>
      <c r="AD805"/>
      <c r="AE805"/>
      <c r="AF805"/>
      <c r="AG805"/>
      <c r="AH805"/>
      <c r="AI805"/>
      <c r="AJ805"/>
      <c r="AK805"/>
      <c r="AL805"/>
      <c r="AM805"/>
      <c r="AN805"/>
      <c r="AO805"/>
      <c r="AP805"/>
    </row>
    <row r="806" spans="2:42" s="24" customFormat="1">
      <c r="B806"/>
      <c r="C806" s="206"/>
      <c r="E806" s="16"/>
      <c r="F806"/>
      <c r="G806" s="359"/>
      <c r="H806"/>
      <c r="I806"/>
      <c r="J806"/>
      <c r="K806"/>
      <c r="L806"/>
      <c r="M806"/>
      <c r="N806"/>
      <c r="O806"/>
      <c r="P806"/>
      <c r="Q806" s="2791"/>
      <c r="R806" s="2791"/>
      <c r="S806" s="2791"/>
      <c r="T806"/>
      <c r="U806"/>
      <c r="V806"/>
      <c r="W806"/>
      <c r="X806"/>
      <c r="Y806"/>
      <c r="Z806"/>
      <c r="AA806"/>
      <c r="AB806"/>
      <c r="AC806"/>
      <c r="AD806"/>
      <c r="AE806"/>
      <c r="AF806"/>
      <c r="AG806"/>
      <c r="AH806"/>
      <c r="AI806"/>
      <c r="AJ806"/>
      <c r="AK806"/>
      <c r="AL806"/>
      <c r="AM806"/>
      <c r="AN806"/>
      <c r="AO806"/>
      <c r="AP806"/>
    </row>
  </sheetData>
  <mergeCells count="59">
    <mergeCell ref="C95:C98"/>
    <mergeCell ref="D95:D98"/>
    <mergeCell ref="D99:D102"/>
    <mergeCell ref="D75:D78"/>
    <mergeCell ref="D79:D82"/>
    <mergeCell ref="D83:D86"/>
    <mergeCell ref="D47:D50"/>
    <mergeCell ref="C87:C90"/>
    <mergeCell ref="D87:D90"/>
    <mergeCell ref="C91:C94"/>
    <mergeCell ref="D91:D94"/>
    <mergeCell ref="D63:D66"/>
    <mergeCell ref="D67:D70"/>
    <mergeCell ref="D71:D74"/>
    <mergeCell ref="D51:D54"/>
    <mergeCell ref="D55:D58"/>
    <mergeCell ref="D59:D62"/>
    <mergeCell ref="AJ21:AJ22"/>
    <mergeCell ref="AK21:AK22"/>
    <mergeCell ref="D39:D42"/>
    <mergeCell ref="D43:D46"/>
    <mergeCell ref="D27:D30"/>
    <mergeCell ref="D31:D34"/>
    <mergeCell ref="D35:D38"/>
    <mergeCell ref="Q21:Q22"/>
    <mergeCell ref="R21:R22"/>
    <mergeCell ref="S21:S22"/>
    <mergeCell ref="C23:C26"/>
    <mergeCell ref="D23:D26"/>
    <mergeCell ref="V21:V22"/>
    <mergeCell ref="W21:W22"/>
    <mergeCell ref="X21:X22"/>
    <mergeCell ref="AH19:AK20"/>
    <mergeCell ref="C21:C22"/>
    <mergeCell ref="D21:D22"/>
    <mergeCell ref="E21:E22"/>
    <mergeCell ref="F21:G21"/>
    <mergeCell ref="H21:I21"/>
    <mergeCell ref="L21:M21"/>
    <mergeCell ref="N21:N22"/>
    <mergeCell ref="O21:O22"/>
    <mergeCell ref="P21:P22"/>
    <mergeCell ref="B17:K20"/>
    <mergeCell ref="L17:P18"/>
    <mergeCell ref="U17:AE18"/>
    <mergeCell ref="AB21:AB22"/>
    <mergeCell ref="AD21:AD22"/>
    <mergeCell ref="AE21:AE22"/>
    <mergeCell ref="AD19:AE20"/>
    <mergeCell ref="U21:U22"/>
    <mergeCell ref="L19:P20"/>
    <mergeCell ref="U19:U20"/>
    <mergeCell ref="V19:Z20"/>
    <mergeCell ref="AA19:AB20"/>
    <mergeCell ref="AC19:AC22"/>
    <mergeCell ref="Y21:Y22"/>
    <mergeCell ref="Z21:Z22"/>
    <mergeCell ref="AA21:AA22"/>
    <mergeCell ref="Q17:S20"/>
  </mergeCells>
  <hyperlinks>
    <hyperlink ref="H495" r:id="rId1" xr:uid="{00000000-0004-0000-2500-000000000000}"/>
    <hyperlink ref="E502" r:id="rId2" xr:uid="{00000000-0004-0000-2500-000001000000}"/>
    <hyperlink ref="E504" r:id="rId3" xr:uid="{00000000-0004-0000-2500-000002000000}"/>
    <hyperlink ref="H496" r:id="rId4" xr:uid="{00000000-0004-0000-2500-000003000000}"/>
    <hyperlink ref="E500" r:id="rId5" xr:uid="{00000000-0004-0000-2500-000004000000}"/>
    <hyperlink ref="D507" r:id="rId6" xr:uid="{00000000-0004-0000-2500-000005000000}"/>
    <hyperlink ref="K303" r:id="rId7" xr:uid="{00000000-0004-0000-2500-000006000000}"/>
    <hyperlink ref="I275" r:id="rId8" xr:uid="{00000000-0004-0000-2500-000007000000}"/>
    <hyperlink ref="K421" r:id="rId9" xr:uid="{00000000-0004-0000-2500-000008000000}"/>
    <hyperlink ref="I393" r:id="rId10" xr:uid="{00000000-0004-0000-2500-000009000000}"/>
  </hyperlinks>
  <pageMargins left="0.7" right="0.7" top="0.75" bottom="0.75" header="0.3" footer="0.3"/>
  <pageSetup paperSize="9" orientation="portrait" horizontalDpi="0" verticalDpi="0"/>
  <drawing r:id="rId11"/>
  <legacyDrawing r:id="rId1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B1:AC70"/>
  <sheetViews>
    <sheetView showGridLines="0" zoomScaleNormal="100" workbookViewId="0">
      <selection activeCell="H36" sqref="H36"/>
    </sheetView>
  </sheetViews>
  <sheetFormatPr baseColWidth="10" defaultColWidth="11" defaultRowHeight="16" outlineLevelRow="1"/>
  <cols>
    <col min="1" max="1" width="4.6640625" customWidth="1"/>
    <col min="2" max="2" width="17.5" customWidth="1"/>
    <col min="3" max="3" width="29" customWidth="1"/>
    <col min="4" max="4" width="16.83203125" customWidth="1"/>
    <col min="5" max="5" width="13.33203125" customWidth="1"/>
    <col min="6" max="7" width="14.33203125" customWidth="1"/>
    <col min="8" max="8" width="18.1640625" customWidth="1"/>
    <col min="9" max="11" width="18.1640625" style="122" customWidth="1"/>
    <col min="12" max="12" width="16.6640625" customWidth="1"/>
    <col min="13" max="13" width="14.33203125" customWidth="1"/>
    <col min="14" max="19" width="11.83203125" customWidth="1"/>
    <col min="20" max="20" width="12.1640625" customWidth="1"/>
    <col min="21" max="24" width="13.5" customWidth="1"/>
  </cols>
  <sheetData>
    <row r="1" spans="2:28">
      <c r="B1" s="8" t="s">
        <v>1035</v>
      </c>
    </row>
    <row r="3" spans="2:28">
      <c r="B3" s="8" t="s">
        <v>844</v>
      </c>
      <c r="G3" s="692"/>
      <c r="H3" s="692"/>
      <c r="I3" s="1273"/>
      <c r="J3" s="1273"/>
      <c r="K3" s="1273"/>
      <c r="L3" s="692"/>
      <c r="M3" s="692"/>
    </row>
    <row r="4" spans="2:28" ht="17" thickBot="1">
      <c r="B4" t="s">
        <v>839</v>
      </c>
      <c r="C4" t="s">
        <v>845</v>
      </c>
      <c r="D4" s="1"/>
      <c r="E4" s="1"/>
      <c r="F4" s="1"/>
      <c r="G4" s="1"/>
      <c r="H4" s="1"/>
      <c r="I4" s="276"/>
      <c r="J4" s="276"/>
      <c r="K4" s="276"/>
    </row>
    <row r="5" spans="2:28">
      <c r="C5" s="804" t="s">
        <v>838</v>
      </c>
      <c r="D5" s="805" t="s">
        <v>860</v>
      </c>
      <c r="E5" s="805"/>
      <c r="F5" s="805"/>
      <c r="G5" s="805"/>
      <c r="H5" s="805"/>
    </row>
    <row r="6" spans="2:28">
      <c r="C6" s="807" t="s">
        <v>827</v>
      </c>
      <c r="D6" s="2791" t="s">
        <v>2175</v>
      </c>
      <c r="H6" s="79"/>
    </row>
    <row r="7" spans="2:28">
      <c r="C7" s="807" t="s">
        <v>827</v>
      </c>
      <c r="D7" s="2791" t="s">
        <v>2185</v>
      </c>
      <c r="H7" s="79"/>
    </row>
    <row r="8" spans="2:28">
      <c r="C8" s="807"/>
      <c r="H8" s="79"/>
    </row>
    <row r="9" spans="2:28">
      <c r="C9" s="807" t="s">
        <v>827</v>
      </c>
      <c r="D9" s="2791" t="s">
        <v>2371</v>
      </c>
      <c r="H9" s="79"/>
    </row>
    <row r="10" spans="2:28">
      <c r="C10" s="807"/>
      <c r="D10" s="2791"/>
      <c r="H10" s="79"/>
    </row>
    <row r="11" spans="2:28" ht="17" thickBot="1">
      <c r="C11" s="808"/>
      <c r="D11" s="574"/>
      <c r="E11" s="574"/>
      <c r="F11" s="574"/>
      <c r="G11" s="574"/>
      <c r="H11" s="574"/>
      <c r="AB11" s="587">
        <v>0</v>
      </c>
    </row>
    <row r="12" spans="2:28">
      <c r="C12" s="360" t="s">
        <v>851</v>
      </c>
      <c r="AB12" s="587"/>
    </row>
    <row r="13" spans="2:28">
      <c r="AB13" s="587"/>
    </row>
    <row r="14" spans="2:28">
      <c r="B14" t="s">
        <v>942</v>
      </c>
      <c r="C14" s="359" t="s">
        <v>848</v>
      </c>
      <c r="AB14" s="587"/>
    </row>
    <row r="16" spans="2:28">
      <c r="B16" s="8" t="s">
        <v>730</v>
      </c>
    </row>
    <row r="17" spans="2:13" ht="17">
      <c r="B17" s="3" t="s">
        <v>847</v>
      </c>
      <c r="G17" s="562"/>
      <c r="H17" s="562"/>
      <c r="I17" s="1274"/>
      <c r="J17" s="1274"/>
      <c r="K17" s="1274"/>
      <c r="L17" s="562"/>
      <c r="M17" s="562"/>
    </row>
    <row r="18" spans="2:13" ht="17">
      <c r="C18" t="s">
        <v>1423</v>
      </c>
      <c r="G18" s="562"/>
      <c r="H18" s="562"/>
      <c r="I18" s="1274"/>
      <c r="J18" s="1274"/>
      <c r="K18" s="1274"/>
      <c r="L18" s="562"/>
      <c r="M18" s="562"/>
    </row>
    <row r="19" spans="2:13">
      <c r="C19" t="s">
        <v>1424</v>
      </c>
      <c r="G19" s="692"/>
      <c r="H19" s="692"/>
      <c r="I19" s="1273"/>
      <c r="J19" s="1273"/>
      <c r="K19" s="1273"/>
      <c r="L19" s="692"/>
      <c r="M19" s="692"/>
    </row>
    <row r="20" spans="2:13">
      <c r="C20" t="s">
        <v>1425</v>
      </c>
      <c r="G20" s="692"/>
      <c r="H20" s="692"/>
      <c r="I20" s="1273"/>
      <c r="J20" s="1273"/>
      <c r="K20" s="1273"/>
      <c r="L20" s="692"/>
      <c r="M20" s="692"/>
    </row>
    <row r="21" spans="2:13" ht="17">
      <c r="C21" t="s">
        <v>843</v>
      </c>
      <c r="G21" s="562"/>
      <c r="H21" s="562"/>
      <c r="I21" s="1274"/>
      <c r="J21" s="1274"/>
      <c r="K21" s="1274"/>
      <c r="L21" s="562"/>
      <c r="M21" s="562"/>
    </row>
    <row r="22" spans="2:13" ht="17">
      <c r="C22" t="s">
        <v>867</v>
      </c>
      <c r="D22" s="31"/>
      <c r="G22" s="562"/>
      <c r="H22" s="562"/>
      <c r="I22" s="1274"/>
      <c r="J22" s="1274"/>
      <c r="K22" s="1274"/>
      <c r="L22" s="562"/>
      <c r="M22" s="562"/>
    </row>
    <row r="23" spans="2:13" ht="17">
      <c r="C23" t="s">
        <v>805</v>
      </c>
      <c r="D23" s="31"/>
      <c r="G23" s="562"/>
      <c r="H23" s="562"/>
      <c r="I23" s="1274"/>
      <c r="J23" s="1274"/>
      <c r="K23" s="1274"/>
      <c r="L23" s="562"/>
      <c r="M23" s="562"/>
    </row>
    <row r="24" spans="2:13" ht="17">
      <c r="D24" s="31"/>
      <c r="G24" s="562"/>
      <c r="H24" s="562"/>
      <c r="I24" s="1274"/>
      <c r="J24" s="1274"/>
      <c r="K24" s="1274"/>
      <c r="L24" s="562"/>
      <c r="M24" s="562"/>
    </row>
    <row r="25" spans="2:13" ht="17">
      <c r="D25" s="31"/>
      <c r="G25" s="562"/>
      <c r="H25" s="562"/>
      <c r="I25" s="1274"/>
      <c r="J25" s="1274"/>
      <c r="K25" s="1274"/>
      <c r="L25" s="562"/>
      <c r="M25" s="562"/>
    </row>
    <row r="26" spans="2:13" ht="17">
      <c r="B26" s="3" t="s">
        <v>846</v>
      </c>
      <c r="G26" s="562"/>
      <c r="H26" s="562"/>
      <c r="I26" s="1274"/>
      <c r="J26" s="1274"/>
      <c r="K26" s="1274"/>
      <c r="L26" s="562"/>
      <c r="M26" s="562"/>
    </row>
    <row r="27" spans="2:13" ht="17">
      <c r="G27" s="562"/>
      <c r="H27" s="562"/>
      <c r="I27" s="1274"/>
      <c r="J27" s="1274"/>
      <c r="K27" s="1274"/>
      <c r="L27" s="562"/>
      <c r="M27" s="562"/>
    </row>
    <row r="28" spans="2:13" ht="17">
      <c r="C28" s="693" t="s">
        <v>2625</v>
      </c>
      <c r="D28" s="31"/>
      <c r="G28" s="562"/>
      <c r="H28" s="562"/>
      <c r="I28" s="1274"/>
      <c r="J28" s="1274"/>
      <c r="K28" s="1274"/>
      <c r="L28" s="562"/>
      <c r="M28" s="562"/>
    </row>
    <row r="29" spans="2:13">
      <c r="C29" s="693" t="s">
        <v>2626</v>
      </c>
      <c r="G29" s="692"/>
      <c r="H29" s="692"/>
      <c r="I29" s="1273"/>
      <c r="J29" s="1273"/>
      <c r="K29" s="1273"/>
      <c r="L29" s="692"/>
      <c r="M29" s="692"/>
    </row>
    <row r="30" spans="2:13" ht="17">
      <c r="G30" s="562"/>
      <c r="H30" s="562"/>
      <c r="I30" s="1274"/>
      <c r="J30" s="1274"/>
      <c r="K30" s="1274"/>
      <c r="L30" s="562"/>
      <c r="M30" s="562"/>
    </row>
    <row r="31" spans="2:13">
      <c r="G31" s="692"/>
      <c r="H31" s="692"/>
      <c r="I31" s="1273"/>
      <c r="J31" s="1273"/>
      <c r="K31" s="1273"/>
      <c r="L31" s="692"/>
      <c r="M31" s="692"/>
    </row>
    <row r="32" spans="2:13">
      <c r="C32" t="s">
        <v>836</v>
      </c>
      <c r="G32" s="692"/>
      <c r="H32" s="692"/>
      <c r="I32" s="1273"/>
      <c r="J32" s="1273"/>
      <c r="K32" s="1273"/>
      <c r="L32" s="692"/>
      <c r="M32" s="692"/>
    </row>
    <row r="33" spans="2:29">
      <c r="D33" t="s">
        <v>2370</v>
      </c>
      <c r="G33" s="692"/>
      <c r="H33" s="692"/>
      <c r="I33" s="1273"/>
      <c r="J33" s="1273"/>
      <c r="K33" s="1273"/>
      <c r="L33" s="692"/>
      <c r="M33" s="692"/>
    </row>
    <row r="34" spans="2:29">
      <c r="G34" s="692"/>
      <c r="H34" s="692"/>
      <c r="I34" s="1273"/>
      <c r="J34" s="1273"/>
      <c r="K34" s="1273"/>
      <c r="L34" s="692"/>
      <c r="M34" s="692"/>
    </row>
    <row r="35" spans="2:29">
      <c r="G35" s="692"/>
      <c r="H35" s="692"/>
      <c r="I35" s="1273"/>
      <c r="J35" s="1273"/>
      <c r="K35" s="1273"/>
      <c r="L35" s="692"/>
      <c r="M35" s="692"/>
    </row>
    <row r="36" spans="2:29">
      <c r="G36" s="692"/>
      <c r="H36" s="692"/>
      <c r="I36" s="1273"/>
      <c r="J36" s="1273"/>
      <c r="K36" s="1273"/>
      <c r="L36" s="692"/>
      <c r="M36" s="692"/>
    </row>
    <row r="37" spans="2:29">
      <c r="B37" s="1"/>
      <c r="C37" s="360"/>
      <c r="AB37" s="587"/>
    </row>
    <row r="38" spans="2:29">
      <c r="B38" s="8" t="s">
        <v>1036</v>
      </c>
      <c r="C38" s="100"/>
      <c r="F38" s="3881" t="s">
        <v>1432</v>
      </c>
      <c r="G38" s="3881"/>
      <c r="H38" s="3881"/>
      <c r="I38" s="4069" t="s">
        <v>1429</v>
      </c>
      <c r="J38" s="4069"/>
      <c r="K38" s="4069"/>
      <c r="M38" s="1" t="s">
        <v>1430</v>
      </c>
      <c r="N38" s="1"/>
      <c r="O38" s="1"/>
      <c r="P38" s="1"/>
      <c r="Q38" s="1"/>
      <c r="R38" s="1"/>
      <c r="AB38" s="587"/>
    </row>
    <row r="39" spans="2:29">
      <c r="B39" t="s">
        <v>841</v>
      </c>
      <c r="T39" t="s">
        <v>1053</v>
      </c>
      <c r="AB39" s="587"/>
    </row>
    <row r="40" spans="2:29">
      <c r="C40" t="s">
        <v>829</v>
      </c>
      <c r="M40" s="259">
        <f>'Overall Assumptions'!$C$179</f>
        <v>208.4</v>
      </c>
      <c r="P40" s="259"/>
      <c r="AB40" s="587"/>
    </row>
    <row r="41" spans="2:29">
      <c r="C41" s="360" t="s">
        <v>1052</v>
      </c>
      <c r="D41" s="1"/>
      <c r="E41" s="1"/>
      <c r="M41" s="3882"/>
      <c r="N41" s="3882"/>
      <c r="O41" s="3882"/>
      <c r="P41" s="79"/>
      <c r="Q41" s="79"/>
      <c r="R41" s="79"/>
      <c r="AB41" s="587"/>
    </row>
    <row r="42" spans="2:29">
      <c r="C42" s="4" t="s">
        <v>730</v>
      </c>
      <c r="D42" s="593" t="s">
        <v>832</v>
      </c>
      <c r="F42" s="3741" t="s">
        <v>1724</v>
      </c>
      <c r="G42" s="3742"/>
      <c r="H42" s="3743"/>
      <c r="I42" s="3935" t="s">
        <v>1725</v>
      </c>
      <c r="J42" s="3936"/>
      <c r="K42" s="3937"/>
      <c r="L42" s="2099"/>
      <c r="M42" s="3739" t="s">
        <v>799</v>
      </c>
      <c r="N42" s="3744"/>
      <c r="O42" s="3744"/>
      <c r="P42" s="3744" t="s">
        <v>800</v>
      </c>
      <c r="Q42" s="3744"/>
      <c r="R42" s="3740"/>
      <c r="T42">
        <v>0</v>
      </c>
      <c r="U42">
        <v>1</v>
      </c>
      <c r="V42">
        <v>2</v>
      </c>
      <c r="W42">
        <v>3</v>
      </c>
      <c r="AC42" s="587"/>
    </row>
    <row r="43" spans="2:29" ht="16" customHeight="1">
      <c r="C43" s="480" t="s">
        <v>819</v>
      </c>
      <c r="D43" s="3828" t="s">
        <v>801</v>
      </c>
      <c r="F43" s="3883"/>
      <c r="G43" s="3884"/>
      <c r="H43" s="3885"/>
      <c r="I43" s="1277"/>
      <c r="J43" s="1276"/>
      <c r="K43" s="1278"/>
      <c r="L43" s="2100"/>
      <c r="M43" s="3886"/>
      <c r="N43" s="3887"/>
      <c r="O43" s="3887"/>
      <c r="P43" s="79"/>
      <c r="Q43" s="79"/>
      <c r="R43" s="246"/>
      <c r="T43" s="402" t="s">
        <v>821</v>
      </c>
      <c r="U43" s="255"/>
      <c r="V43" s="255"/>
      <c r="W43" s="161"/>
      <c r="AC43" s="587"/>
    </row>
    <row r="44" spans="2:29" ht="16" customHeight="1">
      <c r="C44" s="591"/>
      <c r="D44" s="3829"/>
      <c r="F44" s="3889"/>
      <c r="G44" s="3890"/>
      <c r="H44" s="3891"/>
      <c r="I44" s="4070"/>
      <c r="J44" s="4071"/>
      <c r="K44" s="4072"/>
      <c r="L44" s="1793"/>
      <c r="M44" s="3892"/>
      <c r="N44" s="3893"/>
      <c r="O44" s="3893"/>
      <c r="P44" s="3893"/>
      <c r="Q44" s="3893"/>
      <c r="R44" s="3894"/>
      <c r="T44" s="480" t="s">
        <v>3</v>
      </c>
      <c r="U44" s="161" t="s">
        <v>132</v>
      </c>
      <c r="V44" s="161" t="s">
        <v>4</v>
      </c>
      <c r="W44" s="161" t="s">
        <v>21</v>
      </c>
      <c r="AC44" s="587"/>
    </row>
    <row r="45" spans="2:29" ht="16" customHeight="1">
      <c r="C45" s="591"/>
      <c r="D45" s="3829"/>
      <c r="F45" s="3895" t="s">
        <v>796</v>
      </c>
      <c r="G45" s="3896"/>
      <c r="H45" s="3897"/>
      <c r="I45" s="3896" t="s">
        <v>796</v>
      </c>
      <c r="J45" s="3896"/>
      <c r="K45" s="3897"/>
      <c r="L45" s="1794"/>
      <c r="M45" s="3886" t="s">
        <v>796</v>
      </c>
      <c r="N45" s="3887"/>
      <c r="O45" s="3888"/>
      <c r="P45" s="3887" t="s">
        <v>796</v>
      </c>
      <c r="Q45" s="3887"/>
      <c r="R45" s="3888"/>
      <c r="T45" s="1791"/>
      <c r="U45" s="1794"/>
      <c r="V45" s="1794"/>
      <c r="W45" s="246"/>
      <c r="AC45" s="587"/>
    </row>
    <row r="46" spans="2:29">
      <c r="B46" s="79"/>
      <c r="C46" s="481"/>
      <c r="D46" s="3830"/>
      <c r="F46" s="404" t="s">
        <v>802</v>
      </c>
      <c r="G46" s="79" t="s">
        <v>803</v>
      </c>
      <c r="H46" s="246" t="s">
        <v>733</v>
      </c>
      <c r="I46" s="79" t="s">
        <v>802</v>
      </c>
      <c r="J46" s="79" t="s">
        <v>803</v>
      </c>
      <c r="K46" s="246" t="s">
        <v>733</v>
      </c>
      <c r="L46" s="246"/>
      <c r="M46" s="404" t="s">
        <v>802</v>
      </c>
      <c r="N46" s="79" t="s">
        <v>803</v>
      </c>
      <c r="O46" s="246" t="s">
        <v>733</v>
      </c>
      <c r="P46" s="79" t="s">
        <v>802</v>
      </c>
      <c r="Q46" s="79" t="s">
        <v>803</v>
      </c>
      <c r="R46" s="246" t="s">
        <v>733</v>
      </c>
      <c r="T46" s="481"/>
      <c r="U46" s="162"/>
      <c r="V46" s="162"/>
      <c r="W46" s="162"/>
      <c r="AC46" s="587"/>
    </row>
    <row r="47" spans="2:29">
      <c r="B47" s="480" t="s">
        <v>862</v>
      </c>
      <c r="C47" s="246" t="s">
        <v>57</v>
      </c>
      <c r="D47" s="606"/>
      <c r="F47" s="1181">
        <f>'Invasive Problematic Birds'!$AB$23</f>
        <v>85.55624999999992</v>
      </c>
      <c r="G47" s="1182">
        <f>'Invasive Problematic Birds'!$AB$23</f>
        <v>85.55624999999992</v>
      </c>
      <c r="H47" s="1183">
        <f>'Invasive Problematic Birds'!$AB$23</f>
        <v>85.55624999999992</v>
      </c>
      <c r="I47" s="1182">
        <f>'Invasive Problematic Birds'!$AB$23</f>
        <v>85.55624999999992</v>
      </c>
      <c r="J47" s="1182">
        <f>'Invasive Problematic Birds'!$AB$23</f>
        <v>85.55624999999992</v>
      </c>
      <c r="K47" s="1183">
        <f>'Invasive Problematic Birds'!$AB$23</f>
        <v>85.55624999999992</v>
      </c>
      <c r="L47" s="1259"/>
      <c r="M47" s="2094"/>
      <c r="N47" s="2095"/>
      <c r="O47" s="2096"/>
      <c r="P47" s="2095"/>
      <c r="Q47" s="2095"/>
      <c r="R47" s="2096"/>
      <c r="T47" s="1208">
        <f ca="1">OFFSET('Invasive Problematic Birds'!$AC$23,T$42+$X47,0)</f>
        <v>1</v>
      </c>
      <c r="U47" s="1208" t="str">
        <f ca="1">OFFSET('Invasive Problematic Birds'!$AC$23,U$42+$X47,0)</f>
        <v/>
      </c>
      <c r="V47" s="1208" t="str">
        <f ca="1">OFFSET('Invasive Problematic Birds'!$AC$23,V$42+$X47,0)</f>
        <v/>
      </c>
      <c r="W47" s="1208" t="str">
        <f ca="1">OFFSET('Invasive Problematic Birds'!$AC$23,W$42+$X47,0)</f>
        <v/>
      </c>
      <c r="X47" s="587">
        <v>0</v>
      </c>
      <c r="Y47" s="578">
        <f t="shared" ref="Y47:Y54" ca="1" si="0">SUM(T47:W47)</f>
        <v>1</v>
      </c>
      <c r="AC47" s="587"/>
    </row>
    <row r="48" spans="2:29" ht="16" customHeight="1">
      <c r="B48" s="591" t="s">
        <v>863</v>
      </c>
      <c r="C48" s="389" t="s">
        <v>1001</v>
      </c>
      <c r="D48" s="606"/>
      <c r="F48" s="841">
        <f>'Invasive Problematic Birds'!$AB$27</f>
        <v>56.921695067264523</v>
      </c>
      <c r="G48" s="337">
        <f>'Invasive Problematic Birds'!$AB$31</f>
        <v>64.360260089686051</v>
      </c>
      <c r="H48" s="842">
        <f>'Invasive Problematic Birds'!$AB$35</f>
        <v>85.243390134529079</v>
      </c>
      <c r="I48" s="337">
        <f>'Invasive Problematic Birds'!$AB$27</f>
        <v>56.921695067264523</v>
      </c>
      <c r="J48" s="337">
        <f>'Invasive Problematic Birds'!$AB$31</f>
        <v>64.360260089686051</v>
      </c>
      <c r="K48" s="842">
        <f>'Invasive Problematic Birds'!$AB$35</f>
        <v>85.243390134529079</v>
      </c>
      <c r="L48" s="1259"/>
      <c r="M48" s="2882">
        <f>'Invasive Problematic Birds'!$S$28</f>
        <v>0.99999999999999911</v>
      </c>
      <c r="N48" s="2333">
        <f>'Invasive Problematic Birds'!$S$32</f>
        <v>0.99999999999999911</v>
      </c>
      <c r="O48" s="3104">
        <f>'Invasive Problematic Birds'!$S$36</f>
        <v>0.99999999999999911</v>
      </c>
      <c r="P48" s="2333">
        <f>'Invasive Problematic Birds'!$S$28</f>
        <v>0.99999999999999911</v>
      </c>
      <c r="Q48" s="2333">
        <f>'Invasive Problematic Birds'!$S$32</f>
        <v>0.99999999999999911</v>
      </c>
      <c r="R48" s="3104">
        <f>'Invasive Problematic Birds'!$S$36</f>
        <v>0.99999999999999911</v>
      </c>
      <c r="T48" s="751">
        <f ca="1">OFFSET('Invasive Problematic Birds'!$AC$23,T$42+$X48,0)</f>
        <v>0.45956785255615878</v>
      </c>
      <c r="U48" s="751">
        <f ca="1">OFFSET('Invasive Problematic Birds'!$AC$23,U$42+$X48,0)</f>
        <v>0.2238920307324877</v>
      </c>
      <c r="V48" s="751">
        <f ca="1">OFFSET('Invasive Problematic Birds'!$AC$23,V$42+$X48,0)</f>
        <v>0.31654011671135351</v>
      </c>
      <c r="W48" s="751">
        <f ca="1">OFFSET('Invasive Problematic Birds'!$AC$23,W$42+$X48,0)</f>
        <v>0</v>
      </c>
      <c r="X48" s="587">
        <v>4</v>
      </c>
      <c r="Y48" s="578">
        <f t="shared" ca="1" si="0"/>
        <v>1</v>
      </c>
      <c r="AC48" s="587"/>
    </row>
    <row r="49" spans="2:29" ht="16" customHeight="1">
      <c r="B49" s="591" t="s">
        <v>863</v>
      </c>
      <c r="C49" s="1375" t="s">
        <v>1552</v>
      </c>
      <c r="D49" s="606"/>
      <c r="F49" s="841">
        <f>'Invasive Problematic Birds'!$AB$39</f>
        <v>54.884687654946518</v>
      </c>
      <c r="G49" s="337">
        <f>'Invasive Problematic Birds'!$AB$43</f>
        <v>56.366701307355967</v>
      </c>
      <c r="H49" s="842">
        <f>'Invasive Problematic Birds'!$AB$47</f>
        <v>59.089252326233741</v>
      </c>
      <c r="I49" s="2091"/>
      <c r="J49" s="2091"/>
      <c r="K49" s="2092"/>
      <c r="L49" s="1259"/>
      <c r="M49" s="2882">
        <f>'Invasive Problematic Birds'!$S$40</f>
        <v>0.12061752544510956</v>
      </c>
      <c r="N49" s="2333">
        <f>'Invasive Problematic Birds'!$S$44</f>
        <v>0.12061752544510956</v>
      </c>
      <c r="O49" s="3104">
        <f>'Invasive Problematic Birds'!$S$48</f>
        <v>0.12061752544510956</v>
      </c>
      <c r="P49" s="3147"/>
      <c r="Q49" s="3147"/>
      <c r="R49" s="3144"/>
      <c r="T49" s="751">
        <f ca="1">OFFSET('Invasive Problematic Birds'!$AC$23,T$42+$X49,0)</f>
        <v>0.53147332622942223</v>
      </c>
      <c r="U49" s="751">
        <f ca="1">OFFSET('Invasive Problematic Birds'!$AC$23,U$42+$X49,0)</f>
        <v>0.17261526834801744</v>
      </c>
      <c r="V49" s="751">
        <f ca="1">OFFSET('Invasive Problematic Birds'!$AC$23,V$42+$X49,0)</f>
        <v>0.29591140542256028</v>
      </c>
      <c r="W49" s="751">
        <f ca="1">OFFSET('Invasive Problematic Birds'!$AC$23,W$42+$X49,0)</f>
        <v>0</v>
      </c>
      <c r="X49" s="587">
        <v>16</v>
      </c>
      <c r="Y49" s="578">
        <f t="shared" ca="1" si="0"/>
        <v>1</v>
      </c>
      <c r="AC49" s="587"/>
    </row>
    <row r="50" spans="2:29" ht="16" customHeight="1">
      <c r="B50" s="591" t="s">
        <v>863</v>
      </c>
      <c r="C50" s="1375" t="s">
        <v>1553</v>
      </c>
      <c r="D50" s="606"/>
      <c r="F50" s="841">
        <f>'Invasive Problematic Birds'!$AB$51</f>
        <v>277.23522203547708</v>
      </c>
      <c r="G50" s="337">
        <f>'Invasive Problematic Birds'!$AB$55</f>
        <v>306.84933937752891</v>
      </c>
      <c r="H50" s="842">
        <f>'Invasive Problematic Birds'!$AB$59</f>
        <v>371.84209777569151</v>
      </c>
      <c r="I50" s="2091"/>
      <c r="J50" s="2091"/>
      <c r="K50" s="2092"/>
      <c r="L50" s="1259"/>
      <c r="M50" s="2882">
        <f>'Invasive Problematic Birds'!$S$52</f>
        <v>0.99999999999999911</v>
      </c>
      <c r="N50" s="2333">
        <f>'Invasive Problematic Birds'!$S$56</f>
        <v>0.99999999999999911</v>
      </c>
      <c r="O50" s="3104">
        <f>'Invasive Problematic Birds'!$S$60</f>
        <v>0.99999999999999911</v>
      </c>
      <c r="P50" s="3147"/>
      <c r="Q50" s="3147"/>
      <c r="R50" s="3144"/>
      <c r="T50" s="751">
        <f ca="1">OFFSET('Invasive Problematic Birds'!$AC$23,T$42+$X50,0)</f>
        <v>0.54234698138669324</v>
      </c>
      <c r="U50" s="751">
        <f ca="1">OFFSET('Invasive Problematic Birds'!$AC$23,U$42+$X50,0)</f>
        <v>0.17614688284354141</v>
      </c>
      <c r="V50" s="751">
        <f ca="1">OFFSET('Invasive Problematic Birds'!$AC$23,V$42+$X50,0)</f>
        <v>0.28150613576976541</v>
      </c>
      <c r="W50" s="751">
        <f ca="1">OFFSET('Invasive Problematic Birds'!$AC$23,W$42+$X50,0)</f>
        <v>0</v>
      </c>
      <c r="X50" s="587">
        <v>28</v>
      </c>
      <c r="Y50" s="578">
        <f t="shared" ca="1" si="0"/>
        <v>1</v>
      </c>
      <c r="AC50" s="587"/>
    </row>
    <row r="51" spans="2:29">
      <c r="B51" s="591" t="s">
        <v>863</v>
      </c>
      <c r="C51" s="452" t="s">
        <v>1427</v>
      </c>
      <c r="D51" s="606"/>
      <c r="F51" s="2090"/>
      <c r="G51" s="2091"/>
      <c r="H51" s="2092"/>
      <c r="I51" s="337">
        <f>'Invasive Problematic Birds'!$AB$63</f>
        <v>71.061550632647837</v>
      </c>
      <c r="J51" s="337">
        <f>'Invasive Problematic Birds'!$AB$67</f>
        <v>73.665723163953416</v>
      </c>
      <c r="K51" s="842">
        <f>'Invasive Problematic Birds'!$AB$71</f>
        <v>78.87406822656456</v>
      </c>
      <c r="L51" s="1259"/>
      <c r="M51" s="3142"/>
      <c r="N51" s="3147"/>
      <c r="O51" s="3144"/>
      <c r="P51" s="2333">
        <f>'Invasive Problematic Birds'!$S$64</f>
        <v>7.0751683008296956E-2</v>
      </c>
      <c r="Q51" s="2333">
        <f>'Invasive Problematic Birds'!$S$68</f>
        <v>0.14150336601659391</v>
      </c>
      <c r="R51" s="3104">
        <f>'Invasive Problematic Birds'!$S$72</f>
        <v>0.14150336601659391</v>
      </c>
      <c r="T51" s="751">
        <f ca="1">OFFSET('Invasive Problematic Birds'!$AC$23,T$42+$X51,0)</f>
        <v>0.16085345534795048</v>
      </c>
      <c r="U51" s="751">
        <f ca="1">OFFSET('Invasive Problematic Birds'!$AC$23,U$42+$X51,0)</f>
        <v>7.8364503887463063E-2</v>
      </c>
      <c r="V51" s="751">
        <f ca="1">OFFSET('Invasive Problematic Birds'!$AC$23,V$42+$X51,0)</f>
        <v>0.11361639990866552</v>
      </c>
      <c r="W51" s="751">
        <f ca="1">OFFSET('Invasive Problematic Birds'!$AC$23,W$42+$X51,0)</f>
        <v>0.64716564085592099</v>
      </c>
      <c r="X51" s="587">
        <f>X50+12</f>
        <v>40</v>
      </c>
      <c r="Y51" s="578">
        <f t="shared" ca="1" si="0"/>
        <v>1</v>
      </c>
      <c r="AC51" s="587"/>
    </row>
    <row r="52" spans="2:29">
      <c r="B52" s="591" t="s">
        <v>863</v>
      </c>
      <c r="C52" s="452" t="s">
        <v>1428</v>
      </c>
      <c r="D52" s="606"/>
      <c r="F52" s="2090"/>
      <c r="G52" s="2091"/>
      <c r="H52" s="2092"/>
      <c r="I52" s="337">
        <f>'Invasive Problematic Birds'!$AB$75</f>
        <v>182.11036799848779</v>
      </c>
      <c r="J52" s="384">
        <f>'Invasive Problematic Birds'!$AB$79</f>
        <v>217.43771960593619</v>
      </c>
      <c r="K52" s="842">
        <f>'Invasive Problematic Birds'!$AB$83</f>
        <v>288.09242282083284</v>
      </c>
      <c r="L52" s="1259"/>
      <c r="M52" s="3142"/>
      <c r="N52" s="3147"/>
      <c r="O52" s="3144"/>
      <c r="P52" s="2333">
        <f>'Invasive Problematic Birds'!$S$76</f>
        <v>0.99999999999999911</v>
      </c>
      <c r="Q52" s="2795">
        <f>'Invasive Problematic Birds'!$S$80</f>
        <v>0.99999999999999911</v>
      </c>
      <c r="R52" s="3104">
        <f>'Invasive Problematic Birds'!$S$84</f>
        <v>0.99999999999999911</v>
      </c>
      <c r="T52" s="751">
        <f ca="1">OFFSET('Invasive Problematic Birds'!$AC$23,T$42+$X52,0)</f>
        <v>0.45956785255615884</v>
      </c>
      <c r="U52" s="751">
        <f ca="1">OFFSET('Invasive Problematic Birds'!$AC$23,U$42+$X52,0)</f>
        <v>0.22389203073248765</v>
      </c>
      <c r="V52" s="751">
        <f ca="1">OFFSET('Invasive Problematic Birds'!$AC$23,V$42+$X52,0)</f>
        <v>0.31654011671135351</v>
      </c>
      <c r="W52" s="751">
        <f ca="1">OFFSET('Invasive Problematic Birds'!$AC$23,W$42+$X52,0)</f>
        <v>0</v>
      </c>
      <c r="X52" s="587">
        <f>X51+12</f>
        <v>52</v>
      </c>
      <c r="Y52" s="578">
        <f t="shared" ca="1" si="0"/>
        <v>1</v>
      </c>
      <c r="AC52" s="587"/>
    </row>
    <row r="53" spans="2:29">
      <c r="B53" s="591" t="s">
        <v>863</v>
      </c>
      <c r="C53" s="389" t="s">
        <v>1044</v>
      </c>
      <c r="D53" s="606"/>
      <c r="F53" s="841">
        <f>'Invasive Problematic Birds'!$AB$87</f>
        <v>56.921695067264523</v>
      </c>
      <c r="G53" s="337">
        <f>'Invasive Problematic Birds'!$AB$91</f>
        <v>64.360260089686051</v>
      </c>
      <c r="H53" s="1259">
        <f>'Invasive Problematic Birds'!$AB$95</f>
        <v>85.243390134529079</v>
      </c>
      <c r="I53" s="337">
        <f>'Invasive Problematic Birds'!$AB$87</f>
        <v>56.921695067264523</v>
      </c>
      <c r="J53" s="337">
        <f>'Invasive Problematic Birds'!$AB$91</f>
        <v>64.360260089686051</v>
      </c>
      <c r="K53" s="1259">
        <f>'Invasive Problematic Birds'!$AB$95</f>
        <v>85.243390134529079</v>
      </c>
      <c r="L53" s="1259"/>
      <c r="M53" s="2882">
        <f>'Invasive Problematic Birds'!$S$88</f>
        <v>0.99999999999999911</v>
      </c>
      <c r="N53" s="2333">
        <f>'Invasive Problematic Birds'!$S$92</f>
        <v>0.99999999999999911</v>
      </c>
      <c r="O53" s="3148">
        <f>'Invasive Problematic Birds'!$S$96</f>
        <v>0.99999999999999911</v>
      </c>
      <c r="P53" s="2333">
        <f>'Invasive Problematic Birds'!$S$88</f>
        <v>0.99999999999999911</v>
      </c>
      <c r="Q53" s="2333">
        <f>'Invasive Problematic Birds'!$S$92</f>
        <v>0.99999999999999911</v>
      </c>
      <c r="R53" s="3148">
        <f>'Invasive Problematic Birds'!$S$96</f>
        <v>0.99999999999999911</v>
      </c>
      <c r="T53" s="751">
        <f ca="1">OFFSET('Invasive Problematic Birds'!$AC$23,T$42+$X53,0)</f>
        <v>0.45956785255615878</v>
      </c>
      <c r="U53" s="751">
        <f ca="1">OFFSET('Invasive Problematic Birds'!$AC$23,U$42+$X53,0)</f>
        <v>0.2238920307324877</v>
      </c>
      <c r="V53" s="751">
        <f ca="1">OFFSET('Invasive Problematic Birds'!$AC$23,V$42+$X53,0)</f>
        <v>0.31654011671135351</v>
      </c>
      <c r="W53" s="751" t="str">
        <f ca="1">OFFSET('Invasive Problematic Birds'!$AC$23,W$42+$X53,0)</f>
        <v/>
      </c>
      <c r="X53" s="587">
        <f>X52+12</f>
        <v>64</v>
      </c>
      <c r="Y53" s="578">
        <f t="shared" ca="1" si="0"/>
        <v>1</v>
      </c>
    </row>
    <row r="54" spans="2:29">
      <c r="B54" s="481" t="s">
        <v>862</v>
      </c>
      <c r="C54" s="162" t="s">
        <v>736</v>
      </c>
      <c r="D54" s="607"/>
      <c r="F54" s="841">
        <f>'Invasive Problematic Birds'!$AB$99</f>
        <v>85.55624999999992</v>
      </c>
      <c r="G54" s="337">
        <f>'Invasive Problematic Birds'!$AB$99</f>
        <v>85.55624999999992</v>
      </c>
      <c r="H54" s="842">
        <f>'Invasive Problematic Birds'!$AB$99</f>
        <v>85.55624999999992</v>
      </c>
      <c r="I54" s="337">
        <f>'Invasive Problematic Birds'!$AB$99</f>
        <v>85.55624999999992</v>
      </c>
      <c r="J54" s="337">
        <f>'Invasive Problematic Birds'!$AB$99</f>
        <v>85.55624999999992</v>
      </c>
      <c r="K54" s="842">
        <f>'Invasive Problematic Birds'!$AB$99</f>
        <v>85.55624999999992</v>
      </c>
      <c r="L54" s="1259"/>
      <c r="M54" s="3142"/>
      <c r="N54" s="3147"/>
      <c r="O54" s="3144"/>
      <c r="P54" s="3147"/>
      <c r="Q54" s="3147"/>
      <c r="R54" s="3144"/>
      <c r="T54" s="752">
        <f ca="1">OFFSET('Invasive Problematic Birds'!$AC$23,T$42+$X54,0)</f>
        <v>1</v>
      </c>
      <c r="U54" s="752" t="str">
        <f ca="1">OFFSET('Invasive Problematic Birds'!$AC$23,U$42+$X54,0)</f>
        <v/>
      </c>
      <c r="V54" s="752" t="str">
        <f ca="1">OFFSET('Invasive Problematic Birds'!$AC$23,V$42+$X54,0)</f>
        <v/>
      </c>
      <c r="W54" s="752" t="str">
        <f ca="1">OFFSET('Invasive Problematic Birds'!$AC$23,W$42+$X54,0)</f>
        <v/>
      </c>
      <c r="X54" s="587">
        <f>X53+12</f>
        <v>76</v>
      </c>
      <c r="Y54" s="578">
        <f t="shared" ca="1" si="0"/>
        <v>1</v>
      </c>
    </row>
    <row r="55" spans="2:29">
      <c r="C55" s="771" t="s">
        <v>833</v>
      </c>
      <c r="D55" s="778">
        <f>SUM(D47:D54)</f>
        <v>0</v>
      </c>
      <c r="E55" s="2089" t="s">
        <v>826</v>
      </c>
      <c r="F55" s="848">
        <f t="shared" ref="F55:K55" si="1">SUM(F47:F54)</f>
        <v>617.07579982495236</v>
      </c>
      <c r="G55" s="773">
        <f t="shared" si="1"/>
        <v>663.04906086425672</v>
      </c>
      <c r="H55" s="849">
        <f t="shared" si="1"/>
        <v>772.53063037098332</v>
      </c>
      <c r="I55" s="773">
        <f t="shared" si="1"/>
        <v>538.12780876566444</v>
      </c>
      <c r="J55" s="773">
        <f t="shared" si="1"/>
        <v>590.93646294926157</v>
      </c>
      <c r="K55" s="849">
        <f t="shared" si="1"/>
        <v>708.56577131645531</v>
      </c>
      <c r="L55" s="1271" t="s">
        <v>2226</v>
      </c>
      <c r="M55" s="3003">
        <f t="shared" ref="M55:R55" si="2">SUM(M47:M54)</f>
        <v>3.1206175254451072</v>
      </c>
      <c r="N55" s="3135">
        <f t="shared" si="2"/>
        <v>3.1206175254451072</v>
      </c>
      <c r="O55" s="3008">
        <f t="shared" si="2"/>
        <v>3.1206175254451072</v>
      </c>
      <c r="P55" s="3135">
        <f t="shared" si="2"/>
        <v>3.0707516830082944</v>
      </c>
      <c r="Q55" s="3135">
        <f t="shared" si="2"/>
        <v>3.1415033660165914</v>
      </c>
      <c r="R55" s="3008">
        <f t="shared" si="2"/>
        <v>3.1415033660165914</v>
      </c>
      <c r="T55" s="609"/>
      <c r="U55" s="609"/>
      <c r="V55" s="609"/>
      <c r="W55" s="1"/>
      <c r="X55" s="1"/>
    </row>
    <row r="56" spans="2:29">
      <c r="B56" s="811"/>
      <c r="E56" s="16"/>
      <c r="G56" s="1"/>
      <c r="W56" s="609"/>
      <c r="X56" s="609"/>
      <c r="Y56" s="609"/>
    </row>
    <row r="57" spans="2:29">
      <c r="B57" s="811"/>
      <c r="C57" s="16"/>
      <c r="D57" s="16"/>
      <c r="O57" s="543"/>
      <c r="P57" s="543"/>
      <c r="Q57" s="543"/>
      <c r="R57" s="543"/>
      <c r="T57" s="609"/>
    </row>
    <row r="58" spans="2:29">
      <c r="B58" s="811"/>
      <c r="C58" s="28" t="s">
        <v>822</v>
      </c>
      <c r="D58" s="28"/>
      <c r="E58" s="3"/>
      <c r="F58" s="3"/>
      <c r="G58" s="3"/>
      <c r="H58" s="3"/>
      <c r="I58" s="1275"/>
      <c r="J58" s="1275"/>
      <c r="K58" s="1275"/>
      <c r="L58" s="3"/>
      <c r="O58" s="543"/>
      <c r="P58" s="543"/>
      <c r="Q58" s="543"/>
      <c r="R58" s="543"/>
      <c r="T58" s="609"/>
    </row>
    <row r="59" spans="2:29" ht="15" customHeight="1">
      <c r="B59" s="811"/>
      <c r="C59" s="480" t="s">
        <v>57</v>
      </c>
      <c r="D59" s="749"/>
      <c r="E59" s="2101"/>
      <c r="F59" s="1181">
        <f>'Invasive Problematic Birds'!$Z$23</f>
        <v>34.931249999999963</v>
      </c>
      <c r="G59" s="1182">
        <f>'Invasive Problematic Birds'!$Z$23</f>
        <v>34.931249999999963</v>
      </c>
      <c r="H59" s="1183">
        <f>'Invasive Problematic Birds'!$Z$23</f>
        <v>34.931249999999963</v>
      </c>
      <c r="I59" s="1182">
        <f>'Invasive Problematic Birds'!$Z$23</f>
        <v>34.931249999999963</v>
      </c>
      <c r="J59" s="1182">
        <f>'Invasive Problematic Birds'!$Z$23</f>
        <v>34.931249999999963</v>
      </c>
      <c r="K59" s="1183">
        <f>'Invasive Problematic Birds'!$Z$23</f>
        <v>34.931249999999963</v>
      </c>
      <c r="L59" s="768"/>
      <c r="M59" s="748"/>
      <c r="N59" s="748"/>
      <c r="O59" s="748"/>
      <c r="P59" s="748"/>
      <c r="Q59" s="748"/>
      <c r="R59" s="748"/>
      <c r="T59" s="609"/>
    </row>
    <row r="60" spans="2:29">
      <c r="B60" s="811"/>
      <c r="C60" s="1080" t="s">
        <v>1001</v>
      </c>
      <c r="D60" s="606"/>
      <c r="E60" s="1209"/>
      <c r="F60" s="841">
        <f>'Invasive Problematic Birds'!$Z$27</f>
        <v>21.337838565022402</v>
      </c>
      <c r="G60" s="337">
        <f>'Invasive Problematic Birds'!$Z$31</f>
        <v>24.381784753363213</v>
      </c>
      <c r="H60" s="842">
        <f>'Invasive Problematic Birds'!$Z$35</f>
        <v>32.275677130044819</v>
      </c>
      <c r="I60" s="337">
        <f>'Invasive Problematic Birds'!$Z$27</f>
        <v>21.337838565022402</v>
      </c>
      <c r="J60" s="337">
        <f>'Invasive Problematic Birds'!$Z$31</f>
        <v>24.381784753363213</v>
      </c>
      <c r="K60" s="842">
        <f>'Invasive Problematic Birds'!$Z$35</f>
        <v>32.275677130044819</v>
      </c>
      <c r="L60" s="779"/>
      <c r="M60" s="79"/>
      <c r="N60" s="79"/>
      <c r="O60" s="79"/>
      <c r="P60" s="79"/>
      <c r="Q60" s="79"/>
      <c r="R60" s="79"/>
      <c r="T60" s="609"/>
    </row>
    <row r="61" spans="2:29" ht="16" customHeight="1">
      <c r="B61" s="811"/>
      <c r="C61" s="2102" t="s">
        <v>1426</v>
      </c>
      <c r="D61" s="606"/>
      <c r="E61" s="1209"/>
      <c r="F61" s="841">
        <f>'Invasive Problematic Birds'!$Z$39</f>
        <v>21.211116003887199</v>
      </c>
      <c r="G61" s="337">
        <f>'Invasive Problematic Birds'!$Z$43</f>
        <v>21.778455769767305</v>
      </c>
      <c r="H61" s="842">
        <f>'Invasive Problematic Birds'!$Z$47</f>
        <v>22.84052355120955</v>
      </c>
      <c r="I61" s="2091"/>
      <c r="J61" s="2091"/>
      <c r="K61" s="2092"/>
      <c r="L61" s="779"/>
      <c r="M61" s="79"/>
      <c r="N61" s="79"/>
      <c r="O61" s="79"/>
      <c r="P61" s="79"/>
      <c r="Q61" s="79"/>
      <c r="R61" s="79"/>
      <c r="T61" s="609"/>
    </row>
    <row r="62" spans="2:29" ht="16" customHeight="1">
      <c r="B62" s="811"/>
      <c r="C62" s="1375" t="s">
        <v>1553</v>
      </c>
      <c r="D62" s="606"/>
      <c r="F62" s="841">
        <f>'Invasive Problematic Birds'!$Z$51</f>
        <v>107.62872235574766</v>
      </c>
      <c r="G62" s="337">
        <f>'Invasive Problematic Birds'!$Z$55</f>
        <v>119.43887326395232</v>
      </c>
      <c r="H62" s="842">
        <f>'Invasive Problematic Birds'!$Z$59</f>
        <v>144.79256333004369</v>
      </c>
      <c r="I62" s="2091"/>
      <c r="J62" s="2091"/>
      <c r="K62" s="2092"/>
      <c r="L62" s="779"/>
      <c r="M62" s="79"/>
      <c r="N62" s="79"/>
      <c r="O62" s="79"/>
      <c r="P62" s="79"/>
      <c r="Q62" s="79"/>
      <c r="R62" s="79"/>
      <c r="T62" s="609"/>
    </row>
    <row r="63" spans="2:29">
      <c r="B63" s="811"/>
      <c r="C63" s="1287" t="s">
        <v>1427</v>
      </c>
      <c r="D63" s="606"/>
      <c r="E63" s="1209"/>
      <c r="F63" s="2090"/>
      <c r="G63" s="2091"/>
      <c r="H63" s="2092"/>
      <c r="I63" s="337">
        <f>'Invasive Problematic Birds'!$Z$63</f>
        <v>19.996793102712466</v>
      </c>
      <c r="J63" s="337">
        <f>'Invasive Problematic Birds'!$Z$67</f>
        <v>20.970229234444446</v>
      </c>
      <c r="K63" s="842">
        <f>'Invasive Problematic Birds'!$Z$71</f>
        <v>22.917101497908398</v>
      </c>
      <c r="L63" s="779"/>
      <c r="T63" s="609"/>
    </row>
    <row r="64" spans="2:29" outlineLevel="1">
      <c r="B64" s="811"/>
      <c r="C64" s="1287" t="s">
        <v>1428</v>
      </c>
      <c r="D64" s="606"/>
      <c r="E64" s="1209"/>
      <c r="F64" s="2090"/>
      <c r="G64" s="2091"/>
      <c r="H64" s="2092"/>
      <c r="I64" s="337">
        <f>'Invasive Problematic Birds'!$Z$75</f>
        <v>68.266442676674416</v>
      </c>
      <c r="J64" s="384">
        <f>'Invasive Problematic Birds'!$Z$79</f>
        <v>81.471758407368142</v>
      </c>
      <c r="K64" s="842">
        <f>'Invasive Problematic Birds'!$Z$83</f>
        <v>107.88238986875558</v>
      </c>
      <c r="L64" s="779"/>
      <c r="T64" s="609"/>
    </row>
    <row r="65" spans="2:28" outlineLevel="1">
      <c r="B65" s="811"/>
      <c r="C65" s="1080" t="s">
        <v>1044</v>
      </c>
      <c r="D65" s="606"/>
      <c r="E65" s="1209"/>
      <c r="F65" s="841">
        <f>'Invasive Problematic Birds'!$Z$87</f>
        <v>21.337838565022402</v>
      </c>
      <c r="G65" s="337">
        <f>'Invasive Problematic Birds'!$Z$91</f>
        <v>24.381784753363213</v>
      </c>
      <c r="H65" s="1259">
        <f>'Invasive Problematic Birds'!$Z$95</f>
        <v>32.275677130044819</v>
      </c>
      <c r="I65" s="337">
        <f>'Invasive Problematic Birds'!$Z$87</f>
        <v>21.337838565022402</v>
      </c>
      <c r="J65" s="337">
        <f>'Invasive Problematic Birds'!$Z$91</f>
        <v>24.381784753363213</v>
      </c>
      <c r="K65" s="1259">
        <f>'Invasive Problematic Birds'!$Z$95</f>
        <v>32.275677130044819</v>
      </c>
      <c r="L65" s="779"/>
      <c r="T65" s="609"/>
    </row>
    <row r="66" spans="2:28" outlineLevel="1">
      <c r="B66" s="811"/>
      <c r="C66" s="591" t="s">
        <v>736</v>
      </c>
      <c r="D66" s="606"/>
      <c r="E66" s="1209"/>
      <c r="F66" s="841">
        <f>'Invasive Problematic Birds'!$Z$99</f>
        <v>34.931249999999963</v>
      </c>
      <c r="G66" s="337">
        <f>'Invasive Problematic Birds'!$Z$99</f>
        <v>34.931249999999963</v>
      </c>
      <c r="H66" s="842">
        <f>'Invasive Problematic Birds'!$Z$99</f>
        <v>34.931249999999963</v>
      </c>
      <c r="I66" s="337">
        <f>'Invasive Problematic Birds'!$Z$99</f>
        <v>34.931249999999963</v>
      </c>
      <c r="J66" s="337">
        <f>'Invasive Problematic Birds'!$Z$99</f>
        <v>34.931249999999963</v>
      </c>
      <c r="K66" s="842">
        <f>'Invasive Problematic Birds'!$Z$99</f>
        <v>34.931249999999963</v>
      </c>
      <c r="L66" s="779"/>
      <c r="T66" s="609"/>
    </row>
    <row r="67" spans="2:28">
      <c r="B67" s="811"/>
      <c r="C67" s="2103" t="s">
        <v>766</v>
      </c>
      <c r="D67" s="2103"/>
      <c r="E67" s="2104"/>
      <c r="F67" s="765">
        <f t="shared" ref="F67:K67" si="3">SUM(F59:F66)</f>
        <v>241.37801548967957</v>
      </c>
      <c r="G67" s="765">
        <f t="shared" si="3"/>
        <v>259.843398540446</v>
      </c>
      <c r="H67" s="766">
        <f t="shared" si="3"/>
        <v>302.04694114134281</v>
      </c>
      <c r="I67" s="765">
        <f t="shared" si="3"/>
        <v>200.80141290943158</v>
      </c>
      <c r="J67" s="765">
        <f t="shared" si="3"/>
        <v>221.06805714853897</v>
      </c>
      <c r="K67" s="766">
        <f t="shared" si="3"/>
        <v>265.21334562675355</v>
      </c>
      <c r="L67" s="779"/>
      <c r="O67" s="543"/>
      <c r="P67" s="543"/>
      <c r="Q67" s="543"/>
      <c r="R67" s="543"/>
      <c r="T67" s="609"/>
    </row>
    <row r="70" spans="2:28">
      <c r="AB70" s="587"/>
    </row>
  </sheetData>
  <mergeCells count="18">
    <mergeCell ref="P42:R42"/>
    <mergeCell ref="D43:D46"/>
    <mergeCell ref="F43:H43"/>
    <mergeCell ref="M43:O43"/>
    <mergeCell ref="F44:H44"/>
    <mergeCell ref="I44:K44"/>
    <mergeCell ref="M44:O44"/>
    <mergeCell ref="P44:R44"/>
    <mergeCell ref="F45:H45"/>
    <mergeCell ref="I45:K45"/>
    <mergeCell ref="M45:O45"/>
    <mergeCell ref="P45:R45"/>
    <mergeCell ref="F38:H38"/>
    <mergeCell ref="M41:O41"/>
    <mergeCell ref="F42:H42"/>
    <mergeCell ref="I42:K42"/>
    <mergeCell ref="M42:O42"/>
    <mergeCell ref="I38:K38"/>
  </mergeCells>
  <pageMargins left="0.7" right="0.7" top="0.75" bottom="0.75" header="0.3" footer="0.3"/>
  <pageSetup paperSize="9" orientation="portrait" horizontalDpi="0" verticalDpi="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P412"/>
  <sheetViews>
    <sheetView showGridLines="0" zoomScaleNormal="100" workbookViewId="0">
      <selection activeCell="H36" sqref="H36"/>
    </sheetView>
  </sheetViews>
  <sheetFormatPr baseColWidth="10" defaultColWidth="11" defaultRowHeight="16"/>
  <cols>
    <col min="1" max="1" width="2.6640625" customWidth="1"/>
    <col min="2" max="2" width="4.83203125" customWidth="1"/>
    <col min="3" max="3" width="28.5" customWidth="1"/>
    <col min="4" max="4" width="37.5" style="24" customWidth="1"/>
    <col min="5" max="5" width="12.5" style="16" customWidth="1"/>
    <col min="6" max="6" width="14.33203125" customWidth="1"/>
    <col min="7" max="7" width="17.1640625" style="359" customWidth="1"/>
    <col min="8" max="8" width="15.33203125" customWidth="1"/>
    <col min="9" max="9" width="31.6640625" customWidth="1"/>
    <col min="10" max="10" width="18.6640625" customWidth="1"/>
    <col min="11" max="11" width="6.5" customWidth="1"/>
    <col min="12" max="12" width="12.1640625" customWidth="1"/>
    <col min="13" max="13" width="10.6640625" customWidth="1"/>
    <col min="14" max="14" width="15" customWidth="1"/>
    <col min="15" max="15" width="13.6640625" customWidth="1"/>
    <col min="16" max="16" width="15.1640625" customWidth="1"/>
    <col min="17" max="19" width="15.1640625" style="2791" customWidth="1"/>
    <col min="20" max="20" width="2.6640625" customWidth="1"/>
    <col min="21" max="21" width="22.6640625" customWidth="1"/>
    <col min="22" max="24" width="11.6640625" customWidth="1"/>
    <col min="25" max="26" width="18.83203125" customWidth="1"/>
    <col min="27" max="27" width="19.33203125" customWidth="1"/>
    <col min="28" max="29" width="16.6640625" customWidth="1"/>
    <col min="30" max="30" width="21" customWidth="1"/>
    <col min="31" max="31" width="23.5" customWidth="1"/>
    <col min="32" max="32" width="37.5" customWidth="1"/>
    <col min="34" max="34" width="14.33203125" customWidth="1"/>
    <col min="35" max="35" width="12.6640625" bestFit="1" customWidth="1"/>
    <col min="36" max="37" width="12.83203125" customWidth="1"/>
    <col min="42" max="42" width="12.5" bestFit="1" customWidth="1"/>
  </cols>
  <sheetData>
    <row r="1" spans="2:35">
      <c r="B1" s="3" t="s">
        <v>19</v>
      </c>
      <c r="C1" s="24"/>
      <c r="D1" s="16" t="s">
        <v>1921</v>
      </c>
      <c r="E1"/>
      <c r="F1" s="359"/>
      <c r="G1"/>
      <c r="H1" s="359"/>
    </row>
    <row r="2" spans="2:35">
      <c r="C2" s="24" t="s">
        <v>10</v>
      </c>
      <c r="D2" s="407"/>
      <c r="E2"/>
      <c r="F2" s="359"/>
      <c r="G2"/>
      <c r="H2" s="359"/>
    </row>
    <row r="3" spans="2:35">
      <c r="C3" s="24" t="s">
        <v>0</v>
      </c>
      <c r="D3" s="16"/>
      <c r="E3"/>
      <c r="F3" s="359"/>
      <c r="G3"/>
      <c r="H3" s="359"/>
    </row>
    <row r="4" spans="2:35">
      <c r="B4" s="3"/>
      <c r="C4" s="24" t="s">
        <v>1</v>
      </c>
      <c r="D4" s="239" t="s">
        <v>1922</v>
      </c>
      <c r="E4"/>
      <c r="F4" s="359"/>
      <c r="G4"/>
      <c r="H4" s="359"/>
    </row>
    <row r="5" spans="2:35">
      <c r="B5" s="3" t="s">
        <v>20</v>
      </c>
      <c r="C5" s="24"/>
      <c r="E5"/>
      <c r="F5" s="359"/>
      <c r="H5" s="1"/>
      <c r="I5" s="359"/>
    </row>
    <row r="6" spans="2:35">
      <c r="C6" s="24" t="s">
        <v>2</v>
      </c>
      <c r="D6" s="239" t="s">
        <v>1923</v>
      </c>
      <c r="E6"/>
      <c r="F6" s="359"/>
      <c r="H6" s="6"/>
      <c r="I6" s="359"/>
      <c r="T6" s="15"/>
    </row>
    <row r="7" spans="2:35">
      <c r="C7" s="24" t="s">
        <v>22</v>
      </c>
      <c r="D7" s="16" t="s">
        <v>1924</v>
      </c>
      <c r="E7"/>
      <c r="F7" s="359"/>
      <c r="H7" s="6"/>
      <c r="I7" s="359"/>
    </row>
    <row r="8" spans="2:35">
      <c r="C8" s="24" t="s">
        <v>7</v>
      </c>
      <c r="D8" s="627" t="s">
        <v>1925</v>
      </c>
      <c r="E8"/>
      <c r="F8" s="359"/>
      <c r="H8" s="6"/>
      <c r="I8" s="359"/>
      <c r="W8" s="15"/>
    </row>
    <row r="9" spans="2:35">
      <c r="C9" s="24" t="s">
        <v>8</v>
      </c>
      <c r="D9" s="238" t="s">
        <v>583</v>
      </c>
      <c r="E9"/>
      <c r="F9" s="359"/>
      <c r="H9" s="6"/>
      <c r="I9" s="359"/>
      <c r="U9" s="5"/>
    </row>
    <row r="10" spans="2:35" ht="19">
      <c r="C10" s="24"/>
      <c r="D10" s="16"/>
      <c r="F10" s="359"/>
      <c r="I10" s="359"/>
      <c r="AC10" s="2577"/>
      <c r="AF10" s="2578"/>
    </row>
    <row r="11" spans="2:35" ht="19">
      <c r="B11" s="904" t="s">
        <v>140</v>
      </c>
      <c r="C11" s="113"/>
      <c r="D11" s="16"/>
      <c r="F11" s="359"/>
      <c r="I11" s="359"/>
      <c r="AA11" s="2953" t="s">
        <v>2305</v>
      </c>
      <c r="AB11" s="2953"/>
      <c r="AC11" s="2577"/>
      <c r="AF11" s="2578"/>
    </row>
    <row r="12" spans="2:35" ht="19">
      <c r="C12" s="31" t="s">
        <v>960</v>
      </c>
      <c r="D12" s="16"/>
      <c r="F12" s="359"/>
      <c r="I12" s="359"/>
      <c r="AA12" s="204">
        <f>SUMIF(T23:T104,"L",AA23:AA104)-AA13-AA15</f>
        <v>24.129192077741578</v>
      </c>
      <c r="AB12" s="2953" t="s">
        <v>2303</v>
      </c>
      <c r="AC12" s="2577"/>
      <c r="AF12" s="2578"/>
    </row>
    <row r="13" spans="2:35" ht="19">
      <c r="C13" s="955" t="s">
        <v>961</v>
      </c>
      <c r="D13" s="16"/>
      <c r="F13" s="359"/>
      <c r="I13" s="359"/>
      <c r="AA13" s="454">
        <f>AA39</f>
        <v>18068.443441595889</v>
      </c>
      <c r="AB13" s="2953" t="s">
        <v>2304</v>
      </c>
      <c r="AC13" s="2577"/>
      <c r="AF13" s="2578"/>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16</v>
      </c>
      <c r="U15" t="s">
        <v>954</v>
      </c>
      <c r="V15" t="s">
        <v>906</v>
      </c>
      <c r="AA15" s="454">
        <f>SUM(AA31,AA35,AA43,AA47,AA79,AA83)</f>
        <v>15.621506258025505</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2579"/>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2576"/>
      <c r="AG21" s="2576"/>
      <c r="AH21" s="909" t="s">
        <v>66</v>
      </c>
      <c r="AI21" s="895"/>
      <c r="AJ21" s="3748" t="s">
        <v>190</v>
      </c>
      <c r="AK21" s="3748" t="s">
        <v>181</v>
      </c>
    </row>
    <row r="22" spans="1:37" s="893" customFormat="1" ht="38" customHeight="1">
      <c r="B22" s="2580"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2576"/>
      <c r="AG22" s="893" t="s">
        <v>732</v>
      </c>
      <c r="AH22" s="2581" t="s">
        <v>17</v>
      </c>
      <c r="AI22" s="898" t="s">
        <v>18</v>
      </c>
      <c r="AJ22" s="3749"/>
      <c r="AK22" s="3749"/>
    </row>
    <row r="23" spans="1:37" ht="19" customHeight="1">
      <c r="B23" s="260">
        <v>1.1000000000000001</v>
      </c>
      <c r="C23" s="3844" t="s">
        <v>201</v>
      </c>
      <c r="D23" s="3847" t="s">
        <v>131</v>
      </c>
      <c r="E23" s="12" t="s">
        <v>3</v>
      </c>
      <c r="F23" s="1172"/>
      <c r="G23" s="1172">
        <f>$E$77</f>
        <v>15</v>
      </c>
      <c r="H23" s="188">
        <f>F77</f>
        <v>5062.5</v>
      </c>
      <c r="I23" s="921" t="s">
        <v>407</v>
      </c>
      <c r="J23" s="377" t="str">
        <f>IF(K23=1,"Annual","Done every "&amp;K23&amp;" years")</f>
        <v>Done every 5 years</v>
      </c>
      <c r="K23" s="11">
        <f>$D$64</f>
        <v>5</v>
      </c>
      <c r="L23" s="1043">
        <f>$L$16/K23</f>
        <v>16</v>
      </c>
      <c r="M23" s="171">
        <f>$L$16/L23</f>
        <v>5</v>
      </c>
      <c r="N23" s="240">
        <f>$H23*(1-(1+$L$15)^-(L23*M23))/((1+$L$15)^M23-1)*(1+((1+$L$15)^M23-1))</f>
        <v>27195.980032959946</v>
      </c>
      <c r="O23" s="191">
        <f t="shared" ref="O23:O42" si="0">N23/(1+$L$15)*($L$15)/(1-(1+$L$15)^-$L$16)</f>
        <v>1093.4372712100794</v>
      </c>
      <c r="P23" s="195">
        <f>SUM(O23:O26)</f>
        <v>1093.4372712100794</v>
      </c>
      <c r="Q23" s="3016"/>
      <c r="R23" s="3016"/>
      <c r="S23" s="3016"/>
      <c r="T23" s="1031" t="s">
        <v>808</v>
      </c>
      <c r="U23" s="583">
        <f>O23/$U$16</f>
        <v>10.934372712100794</v>
      </c>
      <c r="V23" s="583">
        <f>IF($T23="L",SUM($U23:U23)*V$16,"")</f>
        <v>3.280311813630238</v>
      </c>
      <c r="W23" s="1474"/>
      <c r="X23" s="583">
        <f>IF($U23="","",SUM($U23:W23)*X$16)</f>
        <v>4.2644053577193093</v>
      </c>
      <c r="Y23" s="240">
        <f t="shared" ref="Y23:Y26" si="1">IF($U23="","",SUM(V23:X23))</f>
        <v>7.5447171713495473</v>
      </c>
      <c r="Z23" s="240">
        <f>SUM(V23:X26)</f>
        <v>7.5447171713495473</v>
      </c>
      <c r="AA23" s="191">
        <f t="shared" ref="AA23:AA26" si="2">IF($U23="","",SUM(U23,Y23))</f>
        <v>18.479089883450342</v>
      </c>
      <c r="AB23" s="195">
        <f>SUM(AA23:AA26)</f>
        <v>18.479089883450342</v>
      </c>
      <c r="AC23" s="889">
        <f t="shared" ref="AC23:AC26" ca="1" si="3">IF(AA23="","",AA23/OFFSET($AB$23,AF23,0))</f>
        <v>1</v>
      </c>
      <c r="AD23" s="941"/>
      <c r="AE23" s="1063"/>
      <c r="AF23" s="587">
        <v>0</v>
      </c>
      <c r="AG23" s="816">
        <f ca="1">SUM(AC23:AC26)-1</f>
        <v>0</v>
      </c>
      <c r="AH23" s="13">
        <f>$AH$16/K23</f>
        <v>1</v>
      </c>
      <c r="AI23" s="13">
        <f>$AH$16/AH23</f>
        <v>5</v>
      </c>
      <c r="AJ23" s="14">
        <f>$H23*(1-(1+$L$15)^-(AH23*AI23))/((1+$L$15)^AI23-1)*(1+((1+$L$15)^AI23-1))</f>
        <v>5062.5</v>
      </c>
      <c r="AK23" s="191">
        <f>SUM(AJ23:AJ26)</f>
        <v>5062.5</v>
      </c>
    </row>
    <row r="24" spans="1:37" ht="19" customHeight="1">
      <c r="B24" s="261"/>
      <c r="C24" s="3845"/>
      <c r="D24" s="3848"/>
      <c r="E24" s="12" t="s">
        <v>308</v>
      </c>
      <c r="F24" s="1172"/>
      <c r="G24" s="1172"/>
      <c r="H24" s="188"/>
      <c r="I24" s="921"/>
      <c r="J24" s="377"/>
      <c r="K24" s="11"/>
      <c r="L24" s="1044"/>
      <c r="M24" s="944"/>
      <c r="N24" s="241"/>
      <c r="O24" s="342">
        <f t="shared" si="0"/>
        <v>0</v>
      </c>
      <c r="P24" s="193"/>
      <c r="Q24" s="3017">
        <v>0</v>
      </c>
      <c r="R24" s="3017">
        <v>0</v>
      </c>
      <c r="S24" s="3017">
        <v>0</v>
      </c>
      <c r="T24" s="1032" t="s">
        <v>809</v>
      </c>
      <c r="U24" s="585"/>
      <c r="V24" s="585" t="str">
        <f>IF($T24="L",SUM($U24:U24)*V$16,"")</f>
        <v/>
      </c>
      <c r="W24" s="1475"/>
      <c r="X24" s="585" t="str">
        <f>IF($U24="","",SUM($U24:W24)*X$16)</f>
        <v/>
      </c>
      <c r="Y24" s="242" t="str">
        <f t="shared" si="1"/>
        <v/>
      </c>
      <c r="Z24" s="242"/>
      <c r="AA24" s="342" t="str">
        <f t="shared" si="2"/>
        <v/>
      </c>
      <c r="AB24" s="193"/>
      <c r="AC24" s="890" t="str">
        <f t="shared" ca="1" si="3"/>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f t="shared" si="0"/>
        <v>0</v>
      </c>
      <c r="P25" s="193"/>
      <c r="Q25" s="3017"/>
      <c r="R25" s="3017"/>
      <c r="S25" s="3017"/>
      <c r="T25" s="1032" t="s">
        <v>810</v>
      </c>
      <c r="U25" s="585"/>
      <c r="V25" s="585" t="str">
        <f>IF($T25="L",SUM($U25:U25)*V$16,"")</f>
        <v/>
      </c>
      <c r="W25" s="1475"/>
      <c r="X25" s="585" t="str">
        <f>IF($U25="","",SUM($U25:W25)*X$16)</f>
        <v/>
      </c>
      <c r="Y25" s="242" t="str">
        <f t="shared" si="1"/>
        <v/>
      </c>
      <c r="Z25" s="242"/>
      <c r="AA25" s="342" t="str">
        <f t="shared" si="2"/>
        <v/>
      </c>
      <c r="AB25" s="193"/>
      <c r="AC25" s="890" t="str">
        <f t="shared" ca="1" si="3"/>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f t="shared" si="0"/>
        <v>0</v>
      </c>
      <c r="P26" s="196"/>
      <c r="Q26" s="3018"/>
      <c r="R26" s="3018"/>
      <c r="S26" s="3018"/>
      <c r="T26" s="1033" t="s">
        <v>811</v>
      </c>
      <c r="U26" s="891"/>
      <c r="V26" s="891" t="str">
        <f>IF($T26="L",SUM($U26:U26)*V$16,"")</f>
        <v/>
      </c>
      <c r="W26" s="1478"/>
      <c r="X26" s="891" t="str">
        <f>IF($U26="","",SUM($U26:W26)*X$16)</f>
        <v/>
      </c>
      <c r="Y26" s="244" t="str">
        <f t="shared" si="1"/>
        <v/>
      </c>
      <c r="Z26" s="244"/>
      <c r="AA26" s="343" t="str">
        <f t="shared" si="2"/>
        <v/>
      </c>
      <c r="AB26" s="196"/>
      <c r="AC26" s="892" t="str">
        <f t="shared" ca="1" si="3"/>
        <v/>
      </c>
      <c r="AD26" s="942"/>
      <c r="AE26" s="1065"/>
      <c r="AF26" s="587">
        <f>AF25</f>
        <v>0</v>
      </c>
      <c r="AG26" s="587"/>
      <c r="AH26" s="13"/>
      <c r="AI26" s="13"/>
      <c r="AJ26" s="189"/>
      <c r="AK26" s="342"/>
    </row>
    <row r="27" spans="1:37" ht="18" customHeight="1">
      <c r="A27" s="390"/>
      <c r="B27" s="710" t="e">
        <f>#REF!+0.11</f>
        <v>#REF!</v>
      </c>
      <c r="C27" s="2574" t="s">
        <v>2014</v>
      </c>
      <c r="D27" s="3850" t="s">
        <v>1282</v>
      </c>
      <c r="E27" s="373" t="s">
        <v>3</v>
      </c>
      <c r="F27" s="1176"/>
      <c r="G27" s="1176">
        <f t="shared" ref="G27:G29" si="4">E282</f>
        <v>6.2541106128550075</v>
      </c>
      <c r="H27" s="370">
        <f>H282</f>
        <v>1407.1748878923768</v>
      </c>
      <c r="I27" s="613" t="s">
        <v>475</v>
      </c>
      <c r="J27" s="375" t="str">
        <f>IF(K27=1,"Annual","Done every "&amp;K27&amp;" years")</f>
        <v>Done every 5 years</v>
      </c>
      <c r="K27" s="371">
        <f>L282</f>
        <v>5</v>
      </c>
      <c r="L27" s="386">
        <f t="shared" ref="L27:M29" si="5">$L$16/K27</f>
        <v>16</v>
      </c>
      <c r="M27" s="371">
        <f t="shared" si="5"/>
        <v>5</v>
      </c>
      <c r="N27" s="370">
        <f>$H27*(1-(1+$L$15)^-(L27*M27))/((1+$L$15)^M27-1)*(1+((1+$L$15)^M27-1))</f>
        <v>7559.4074378278965</v>
      </c>
      <c r="O27" s="640">
        <f t="shared" si="0"/>
        <v>303.93233966071892</v>
      </c>
      <c r="P27" s="980">
        <f>SUM(O27:O30)</f>
        <v>768.5672089470163</v>
      </c>
      <c r="Q27" s="3020"/>
      <c r="R27" s="3020"/>
      <c r="S27" s="3020"/>
      <c r="T27" s="1034" t="s">
        <v>808</v>
      </c>
      <c r="U27" s="642">
        <f t="shared" ref="U27:U33" si="6">O27/$U$16</f>
        <v>3.0393233966071893</v>
      </c>
      <c r="V27" s="644">
        <f>IF($T27="L",SUM($U27:U27)*V$16,"")</f>
        <v>0.9117970189821567</v>
      </c>
      <c r="W27" s="644">
        <f>IF($U27="","",IF(OR($T27="L",$T27="T",$T27="C"),SUM($U27:V27)*W$16,""))</f>
        <v>0.39511204155893465</v>
      </c>
      <c r="X27" s="644">
        <f>IF($U27="","",SUM($U27:W27)*X$16)</f>
        <v>1.3038697371444841</v>
      </c>
      <c r="Y27" s="388">
        <f>IF($U27="","",SUM(V27:X27))</f>
        <v>2.6107787976855752</v>
      </c>
      <c r="Z27" s="392">
        <f>SUM(V27:X30)</f>
        <v>4.6087087356166547</v>
      </c>
      <c r="AA27" s="734">
        <f>IF($U27="","",SUM(U27,Y27))</f>
        <v>5.6501021942927645</v>
      </c>
      <c r="AB27" s="392">
        <f>SUM(AA27:AA30)</f>
        <v>12.294380825086819</v>
      </c>
      <c r="AC27" s="888">
        <f ca="1">IF(AA27="","",AA27/OFFSET($AB$23,AF27,0))</f>
        <v>0.45956785255615873</v>
      </c>
      <c r="AD27" s="641"/>
      <c r="AE27" s="1066"/>
      <c r="AF27" s="587">
        <v>4</v>
      </c>
      <c r="AG27" s="816">
        <f ca="1">SUM(AC27:AC30)-1</f>
        <v>0</v>
      </c>
      <c r="AH27" s="387">
        <f>$AH$16/K27</f>
        <v>1</v>
      </c>
      <c r="AI27" s="387">
        <f>$AH$16/AH27</f>
        <v>5</v>
      </c>
      <c r="AJ27" s="370">
        <f>$H27*(1-(1+$L$15)^-(AH27*AI27))/((1+$L$15)^AI27-1)*(1+((1+$L$15)^AI27-1))</f>
        <v>1407.1748878923768</v>
      </c>
      <c r="AK27" s="980">
        <f>SUM(AJ27:AJ30)</f>
        <v>3558.3856502242152</v>
      </c>
    </row>
    <row r="28" spans="1:37" ht="19" customHeight="1">
      <c r="A28" s="390"/>
      <c r="B28" s="710"/>
      <c r="C28" s="2575" t="s">
        <v>749</v>
      </c>
      <c r="D28" s="3851"/>
      <c r="E28" s="373" t="s">
        <v>308</v>
      </c>
      <c r="F28" s="1176">
        <f>$D$268</f>
        <v>1</v>
      </c>
      <c r="G28" s="1176">
        <f t="shared" si="4"/>
        <v>3.1270553064275037</v>
      </c>
      <c r="H28" s="882">
        <f>H283</f>
        <v>891.21076233183862</v>
      </c>
      <c r="I28" s="613" t="s">
        <v>797</v>
      </c>
      <c r="J28" s="375" t="str">
        <f>IF(K28=1,"Annual","Done every "&amp;K28&amp;" years")</f>
        <v>Done every 5 years</v>
      </c>
      <c r="K28" s="371">
        <f>L283</f>
        <v>5</v>
      </c>
      <c r="L28" s="386">
        <f t="shared" si="5"/>
        <v>16</v>
      </c>
      <c r="M28" s="371">
        <f t="shared" si="5"/>
        <v>5</v>
      </c>
      <c r="N28" s="370">
        <f>$H28*(1-(1+$L$15)^-(L28*M28))/((1+$L$15)^M28-1)*(1+((1+$L$15)^M28-1))</f>
        <v>4787.6247106243354</v>
      </c>
      <c r="O28" s="640">
        <f t="shared" si="0"/>
        <v>192.49048178512206</v>
      </c>
      <c r="P28" s="981"/>
      <c r="Q28" s="2955">
        <f>1*(1-(1+$L$15)^-(L28*M28))/((1+$L$15)^M28-1)*(1+((1+$L$15)^M28-1))</f>
        <v>5.3720454386093719</v>
      </c>
      <c r="R28" s="2955">
        <f>Q28/(1+$L$15)*($L$15)/(1-(1+$L$15)^-$L$16)</f>
        <v>0.2159876091279169</v>
      </c>
      <c r="S28" s="2955">
        <f>F28*R28</f>
        <v>0.2159876091279169</v>
      </c>
      <c r="T28" s="1034" t="s">
        <v>809</v>
      </c>
      <c r="U28" s="639">
        <f t="shared" si="6"/>
        <v>1.9249048178512205</v>
      </c>
      <c r="V28" s="644" t="str">
        <f>IF($T28="L",SUM($U28:U28)*V$16,"")</f>
        <v/>
      </c>
      <c r="W28" s="644">
        <f>IF($U28="","",IF(OR($T28="L",$T28="T",$T28="C"),SUM($U28:V28)*W$16,""))</f>
        <v>0.19249048178512207</v>
      </c>
      <c r="X28" s="644">
        <f>IF($U28="","",SUM($U28:W28)*X$16)</f>
        <v>0.63521858989090274</v>
      </c>
      <c r="Y28" s="394">
        <f>IF($U28="","",SUM(V28:X28))</f>
        <v>0.82770907167602481</v>
      </c>
      <c r="Z28" s="392"/>
      <c r="AA28" s="734">
        <f>IF($U28="","",SUM(U28,Y28))</f>
        <v>2.7526138895272454</v>
      </c>
      <c r="AB28" s="392"/>
      <c r="AC28" s="729">
        <f ca="1">IF(AA28="","",AA28/OFFSET($AB$23,AF28,0))</f>
        <v>0.2238920307324877</v>
      </c>
      <c r="AD28" s="641"/>
      <c r="AE28" s="1066"/>
      <c r="AF28" s="587">
        <f>AF27</f>
        <v>4</v>
      </c>
      <c r="AG28" s="587"/>
      <c r="AH28" s="387">
        <f>$AH$16/K28</f>
        <v>1</v>
      </c>
      <c r="AI28" s="387">
        <f>$AH$16/AH28</f>
        <v>5</v>
      </c>
      <c r="AJ28" s="370">
        <f>$H28*(1-(1+$L$15)^-(AH28*AI28))/((1+$L$15)^AI28-1)*(1+((1+$L$15)^AI28-1))</f>
        <v>891.21076233183874</v>
      </c>
      <c r="AK28" s="981"/>
    </row>
    <row r="29" spans="1:37" ht="19" customHeight="1">
      <c r="A29" s="390"/>
      <c r="B29" s="710"/>
      <c r="C29" s="2575"/>
      <c r="D29" s="3851"/>
      <c r="E29" s="373" t="s">
        <v>4</v>
      </c>
      <c r="F29" s="1176"/>
      <c r="G29" s="1176">
        <f t="shared" si="4"/>
        <v>6</v>
      </c>
      <c r="H29" s="882">
        <f>H284</f>
        <v>1260</v>
      </c>
      <c r="I29" s="613" t="s">
        <v>70</v>
      </c>
      <c r="J29" s="375" t="str">
        <f>IF(K29=1,"Annual","Done every "&amp;K29&amp;" years")</f>
        <v>Done every 5 years</v>
      </c>
      <c r="K29" s="371">
        <f>L284</f>
        <v>5</v>
      </c>
      <c r="L29" s="386">
        <f t="shared" si="5"/>
        <v>16</v>
      </c>
      <c r="M29" s="371">
        <f t="shared" si="5"/>
        <v>5</v>
      </c>
      <c r="N29" s="370">
        <f>$H29*(1-(1+$L$15)^-(L29*M29))/((1+$L$15)^M29-1)*(1+((1+$L$15)^M29-1))</f>
        <v>6768.7772526478093</v>
      </c>
      <c r="O29" s="640">
        <f t="shared" si="0"/>
        <v>272.14438750117534</v>
      </c>
      <c r="P29" s="982"/>
      <c r="Q29" s="2955"/>
      <c r="R29" s="2955"/>
      <c r="S29" s="2955"/>
      <c r="T29" s="1034" t="s">
        <v>810</v>
      </c>
      <c r="U29" s="639">
        <f t="shared" si="6"/>
        <v>2.7214438750117536</v>
      </c>
      <c r="V29" s="644" t="str">
        <f>IF($T29="L",SUM($U29:U29)*V$16,"")</f>
        <v/>
      </c>
      <c r="W29" s="644">
        <f>IF($U29="","",IF(OR($T29="L",$T29="T",$T29="C"),SUM($U29:V29)*W$16,""))</f>
        <v>0.27214438750117537</v>
      </c>
      <c r="X29" s="644">
        <f>IF($U29="","",SUM($U29:W29)*X$16)</f>
        <v>0.89807647875387875</v>
      </c>
      <c r="Y29" s="394">
        <f>IF($U29="","",SUM(V29:X29))</f>
        <v>1.1702208662550542</v>
      </c>
      <c r="Z29" s="393"/>
      <c r="AA29" s="735">
        <f>IF($U29="","",SUM(U29,Y29))</f>
        <v>3.8916647412668075</v>
      </c>
      <c r="AB29" s="393"/>
      <c r="AC29" s="729">
        <f ca="1">IF(AA29="","",AA29/OFFSET($AB$23,AF29,0))</f>
        <v>0.31654011671135346</v>
      </c>
      <c r="AD29" s="643"/>
      <c r="AE29" s="1066"/>
      <c r="AF29" s="587">
        <f>AF28</f>
        <v>4</v>
      </c>
      <c r="AG29" s="587"/>
      <c r="AH29" s="387">
        <f>$AH$16/K29</f>
        <v>1</v>
      </c>
      <c r="AI29" s="387">
        <f>$AH$16/AH29</f>
        <v>5</v>
      </c>
      <c r="AJ29" s="370">
        <f>$H29*(1-(1+$L$15)^-(AH29*AI29))/((1+$L$15)^AI29-1)*(1+((1+$L$15)^AI29-1))</f>
        <v>1259.9999999999998</v>
      </c>
      <c r="AK29" s="982"/>
    </row>
    <row r="30" spans="1:37" ht="19" customHeight="1">
      <c r="A30" s="390"/>
      <c r="B30" s="710"/>
      <c r="C30" s="2575"/>
      <c r="D30" s="3851"/>
      <c r="E30" s="373" t="s">
        <v>21</v>
      </c>
      <c r="F30" s="1176"/>
      <c r="G30" s="1176"/>
      <c r="H30" s="370"/>
      <c r="I30" s="1086"/>
      <c r="J30" s="375"/>
      <c r="K30" s="371"/>
      <c r="L30" s="386"/>
      <c r="M30" s="371"/>
      <c r="N30" s="370"/>
      <c r="O30" s="640">
        <f t="shared" si="0"/>
        <v>0</v>
      </c>
      <c r="P30" s="982"/>
      <c r="Q30" s="2955"/>
      <c r="R30" s="2955"/>
      <c r="S30" s="2955"/>
      <c r="T30" s="1034" t="s">
        <v>811</v>
      </c>
      <c r="U30" s="639">
        <f t="shared" si="6"/>
        <v>0</v>
      </c>
      <c r="V30" s="644" t="str">
        <f>IF($T30="L",SUM($U30:U30)*V$16,"")</f>
        <v/>
      </c>
      <c r="W30" s="644" t="str">
        <f>IF($U30="","",IF(OR($T30="L",$T30="T",$T30="C"),SUM($U30:V30)*W$16,""))</f>
        <v/>
      </c>
      <c r="X30" s="644">
        <f>IF($U30="","",SUM($U30:W30)*X$16)</f>
        <v>0</v>
      </c>
      <c r="Y30" s="394"/>
      <c r="Z30" s="393"/>
      <c r="AA30" s="735"/>
      <c r="AB30" s="393"/>
      <c r="AC30" s="729"/>
      <c r="AD30" s="643"/>
      <c r="AE30" s="1066"/>
      <c r="AF30" s="587">
        <f>AF29</f>
        <v>4</v>
      </c>
      <c r="AG30" s="587"/>
      <c r="AH30" s="387"/>
      <c r="AI30" s="387"/>
      <c r="AJ30" s="370"/>
      <c r="AK30" s="982"/>
    </row>
    <row r="31" spans="1:37" ht="18" customHeight="1">
      <c r="A31" s="676"/>
      <c r="B31" s="711">
        <f>B23+0.12</f>
        <v>1.2200000000000002</v>
      </c>
      <c r="C31" s="2569" t="str">
        <f>C27</f>
        <v>Ground surveys
(L + T)</v>
      </c>
      <c r="D31" s="3852" t="str">
        <f>D27</f>
        <v>This involves surveying a representative area (30% of management area) for general observations.</v>
      </c>
      <c r="E31" s="685" t="s">
        <v>3</v>
      </c>
      <c r="F31" s="1177"/>
      <c r="G31" s="1177">
        <f>F282</f>
        <v>7.449925261584454</v>
      </c>
      <c r="H31" s="665">
        <f>I282</f>
        <v>1676.2331838565024</v>
      </c>
      <c r="I31" s="818" t="str">
        <f>I27</f>
        <v xml:space="preserve">Labour to get tracking done, cameras, sandpads and collars. </v>
      </c>
      <c r="J31" s="666" t="str">
        <f>IF(K31=1,"Annual","Done every "&amp;K31&amp;" years")</f>
        <v>Done every 5 years</v>
      </c>
      <c r="K31" s="667">
        <f>L282</f>
        <v>5</v>
      </c>
      <c r="L31" s="671">
        <f t="shared" ref="L31:M33" si="7">$L$16/K31</f>
        <v>16</v>
      </c>
      <c r="M31" s="880">
        <f t="shared" si="7"/>
        <v>5</v>
      </c>
      <c r="N31" s="883">
        <f>$H31*(1-(1+$L$15)^-(L31*M31))/((1+$L$15)^M31-1)*(1+((1+$L$15)^M31-1))</f>
        <v>9004.8008293819894</v>
      </c>
      <c r="O31" s="673">
        <f t="shared" si="0"/>
        <v>362.04559772204192</v>
      </c>
      <c r="P31" s="983">
        <f>SUM(O31:O34)</f>
        <v>863.4855304471771</v>
      </c>
      <c r="Q31" s="3021"/>
      <c r="R31" s="3021"/>
      <c r="S31" s="3021"/>
      <c r="T31" s="1035" t="s">
        <v>808</v>
      </c>
      <c r="U31" s="675">
        <f t="shared" si="6"/>
        <v>3.620455977220419</v>
      </c>
      <c r="V31" s="675">
        <f>IF($T31="L",SUM($U31:U31)*V$16,"")</f>
        <v>1.0861367931661257</v>
      </c>
      <c r="W31" s="675">
        <f>IF($U31="","",IF(OR($T31="L",$T31="T",$T31="C"),SUM($U31:V31)*W$16,""))</f>
        <v>0.47065927703865446</v>
      </c>
      <c r="X31" s="675">
        <f>IF($U31="","",SUM($U31:W31)*X$16)</f>
        <v>1.5531756142275597</v>
      </c>
      <c r="Y31" s="670">
        <f>IF($U31="","",SUM(V31:X31))</f>
        <v>3.10997168443234</v>
      </c>
      <c r="Z31" s="716">
        <f>SUM(V31:X34)</f>
        <v>5.2661633951504214</v>
      </c>
      <c r="AA31" s="736">
        <f>IF($U31="","",SUM(U31,Y31))</f>
        <v>6.730427661652759</v>
      </c>
      <c r="AB31" s="716">
        <f>SUM(AA31:AA34)</f>
        <v>13.901018699622192</v>
      </c>
      <c r="AC31" s="730">
        <f ca="1">IF(AA31="","",AA31/OFFSET($AB$23,AF31,0))</f>
        <v>0.48416794532012836</v>
      </c>
      <c r="AD31" s="674"/>
      <c r="AE31" s="1067"/>
      <c r="AF31" s="587">
        <f>AF27+4</f>
        <v>8</v>
      </c>
      <c r="AG31" s="816">
        <f ca="1">SUM(AC31:AC34)-1</f>
        <v>0</v>
      </c>
      <c r="AH31" s="669">
        <f>$AH$16/K31</f>
        <v>1</v>
      </c>
      <c r="AI31" s="669">
        <f>$AH$16/AH31</f>
        <v>5</v>
      </c>
      <c r="AJ31" s="665">
        <f>$H31*(1-(1+$L$15)^-(AH31*AI31))/((1+$L$15)^AI31-1)*(1+((1+$L$15)^AI31-1))</f>
        <v>1676.2331838565024</v>
      </c>
      <c r="AK31" s="983">
        <f>SUM(AJ31:AJ34)</f>
        <v>3997.8475336322872</v>
      </c>
    </row>
    <row r="32" spans="1:37" ht="18" customHeight="1">
      <c r="A32" s="676"/>
      <c r="B32" s="712"/>
      <c r="C32" s="2570" t="s">
        <v>779</v>
      </c>
      <c r="D32" s="3853"/>
      <c r="E32" s="685" t="s">
        <v>308</v>
      </c>
      <c r="F32" s="1177">
        <f>$E$268</f>
        <v>1</v>
      </c>
      <c r="G32" s="1177">
        <f t="shared" ref="G32:G33" si="8">F283</f>
        <v>3.724962630792227</v>
      </c>
      <c r="H32" s="665">
        <f>I283</f>
        <v>1061.6143497757848</v>
      </c>
      <c r="I32" s="818" t="str">
        <f>I28</f>
        <v>Transport at site</v>
      </c>
      <c r="J32" s="666" t="str">
        <f>IF(K32=1,"Annual","Done every "&amp;K32&amp;" years")</f>
        <v>Done every 5 years</v>
      </c>
      <c r="K32" s="667">
        <f>L283</f>
        <v>5</v>
      </c>
      <c r="L32" s="668">
        <f t="shared" si="7"/>
        <v>16</v>
      </c>
      <c r="M32" s="667">
        <f t="shared" si="7"/>
        <v>5</v>
      </c>
      <c r="N32" s="665">
        <f>$H32*(1-(1+$L$15)^-(L32*M32))/((1+$L$15)^M32-1)*(1+((1+$L$15)^M32-1))</f>
        <v>5703.0405252752598</v>
      </c>
      <c r="O32" s="680">
        <f t="shared" si="0"/>
        <v>229.29554522395992</v>
      </c>
      <c r="P32" s="984"/>
      <c r="Q32" s="3022">
        <f>1*(1-(1+$L$15)^-(L32*M32))/((1+$L$15)^M32-1)*(1+((1+$L$15)^M32-1))</f>
        <v>5.3720454386093719</v>
      </c>
      <c r="R32" s="3022">
        <f>Q32/(1+$L$15)*($L$15)/(1-(1+$L$15)^-$L$16)</f>
        <v>0.2159876091279169</v>
      </c>
      <c r="S32" s="3022">
        <f>F32*R32</f>
        <v>0.2159876091279169</v>
      </c>
      <c r="T32" s="1036" t="s">
        <v>809</v>
      </c>
      <c r="U32" s="675">
        <f t="shared" si="6"/>
        <v>2.2929554522395992</v>
      </c>
      <c r="V32" s="682" t="str">
        <f>IF($T32="L",SUM($U32:U32)*V$16,"")</f>
        <v/>
      </c>
      <c r="W32" s="682">
        <f>IF($U32="","",IF(OR($T32="L",$T32="T",$T32="C"),SUM($U32:V32)*W$16,""))</f>
        <v>0.22929554522395992</v>
      </c>
      <c r="X32" s="682">
        <f>IF($U32="","",SUM($U32:W32)*X$16)</f>
        <v>0.75667529923906762</v>
      </c>
      <c r="Y32" s="679">
        <f>IF($U32="","",SUM(V32:X32))</f>
        <v>0.98597084446302752</v>
      </c>
      <c r="Z32" s="720"/>
      <c r="AA32" s="737">
        <f>IF($U32="","",SUM(U32,Y32))</f>
        <v>3.2789262967026267</v>
      </c>
      <c r="AB32" s="720"/>
      <c r="AC32" s="730">
        <f ca="1">IF(AA32="","",AA32/OFFSET($AB$23,AF32,0))</f>
        <v>0.23587669130980615</v>
      </c>
      <c r="AD32" s="681"/>
      <c r="AE32" s="1067"/>
      <c r="AF32" s="587">
        <f>AF31</f>
        <v>8</v>
      </c>
      <c r="AG32" s="587"/>
      <c r="AH32" s="669">
        <f>$AH$16/K32</f>
        <v>1</v>
      </c>
      <c r="AI32" s="669">
        <f>$AH$16/AH32</f>
        <v>5</v>
      </c>
      <c r="AJ32" s="665">
        <f>$H32*(1-(1+$L$15)^-(AH32*AI32))/((1+$L$15)^AI32-1)*(1+((1+$L$15)^AI32-1))</f>
        <v>1061.6143497757848</v>
      </c>
      <c r="AK32" s="984"/>
    </row>
    <row r="33" spans="1:37" ht="18" customHeight="1">
      <c r="A33" s="676"/>
      <c r="B33" s="712"/>
      <c r="C33" s="2570"/>
      <c r="D33" s="3853"/>
      <c r="E33" s="685" t="s">
        <v>4</v>
      </c>
      <c r="F33" s="1177"/>
      <c r="G33" s="1177">
        <f t="shared" si="8"/>
        <v>6</v>
      </c>
      <c r="H33" s="665">
        <f>I284</f>
        <v>1260</v>
      </c>
      <c r="I33" s="818" t="str">
        <f>I29</f>
        <v>Accomodation</v>
      </c>
      <c r="J33" s="666" t="str">
        <f>IF(K33=1,"Annual","Done every "&amp;K33&amp;" years")</f>
        <v>Done every 5 years</v>
      </c>
      <c r="K33" s="667">
        <f>L284</f>
        <v>5</v>
      </c>
      <c r="L33" s="668">
        <f t="shared" si="7"/>
        <v>16</v>
      </c>
      <c r="M33" s="667">
        <f t="shared" si="7"/>
        <v>5</v>
      </c>
      <c r="N33" s="665">
        <f>$H33*(1-(1+$L$15)^-(L33*M33))/((1+$L$15)^M33-1)*(1+((1+$L$15)^M33-1))</f>
        <v>6768.7772526478093</v>
      </c>
      <c r="O33" s="680">
        <f t="shared" si="0"/>
        <v>272.14438750117534</v>
      </c>
      <c r="P33" s="985"/>
      <c r="Q33" s="3022"/>
      <c r="R33" s="3022"/>
      <c r="S33" s="3022"/>
      <c r="T33" s="1036" t="s">
        <v>810</v>
      </c>
      <c r="U33" s="675">
        <f t="shared" si="6"/>
        <v>2.7214438750117536</v>
      </c>
      <c r="V33" s="684" t="str">
        <f>IF($T33="L",SUM($U33:U33)*V$16,"")</f>
        <v/>
      </c>
      <c r="W33" s="684">
        <f>IF($U33="","",IF(OR($T33="L",$T33="T",$T33="C"),SUM($U33:V33)*W$16,""))</f>
        <v>0.27214438750117537</v>
      </c>
      <c r="X33" s="684">
        <f>IF($U33="","",SUM($U33:W33)*X$16)</f>
        <v>0.89807647875387875</v>
      </c>
      <c r="Y33" s="1024">
        <f>IF($U33="","",SUM(V33:X33))</f>
        <v>1.1702208662550542</v>
      </c>
      <c r="Z33" s="721"/>
      <c r="AA33" s="738">
        <f>IF($U33="","",SUM(U33,Y33))</f>
        <v>3.8916647412668075</v>
      </c>
      <c r="AB33" s="721"/>
      <c r="AC33" s="730">
        <f ca="1">IF(AA33="","",AA33/OFFSET($AB$23,AF33,0))</f>
        <v>0.2799553633700656</v>
      </c>
      <c r="AD33" s="683"/>
      <c r="AE33" s="1067"/>
      <c r="AF33" s="587">
        <f>AF32</f>
        <v>8</v>
      </c>
      <c r="AG33" s="587"/>
      <c r="AH33" s="669">
        <f>$AH$16/K33</f>
        <v>1</v>
      </c>
      <c r="AI33" s="669">
        <f>$AH$16/AH33</f>
        <v>5</v>
      </c>
      <c r="AJ33" s="665">
        <f>$H33*(1-(1+$L$15)^-(AH33*AI33))/((1+$L$15)^AI33-1)*(1+((1+$L$15)^AI33-1))</f>
        <v>1259.9999999999998</v>
      </c>
      <c r="AK33" s="985"/>
    </row>
    <row r="34" spans="1:37" ht="18" customHeight="1">
      <c r="A34" s="676"/>
      <c r="B34" s="712"/>
      <c r="C34" s="2570"/>
      <c r="D34" s="3854"/>
      <c r="E34" s="1082" t="s">
        <v>21</v>
      </c>
      <c r="F34" s="1177"/>
      <c r="G34" s="1177"/>
      <c r="H34" s="665"/>
      <c r="I34" s="818"/>
      <c r="J34" s="666"/>
      <c r="K34" s="667"/>
      <c r="L34" s="668"/>
      <c r="M34" s="667"/>
      <c r="N34" s="665"/>
      <c r="O34" s="680">
        <f t="shared" si="0"/>
        <v>0</v>
      </c>
      <c r="P34" s="985"/>
      <c r="Q34" s="3022"/>
      <c r="R34" s="3022"/>
      <c r="S34" s="3022"/>
      <c r="T34" s="1036" t="s">
        <v>811</v>
      </c>
      <c r="U34" s="675"/>
      <c r="V34" s="684" t="str">
        <f>IF($T34="L",SUM($U34:U34)*V$16,"")</f>
        <v/>
      </c>
      <c r="W34" s="684" t="str">
        <f>IF($U34="","",IF(OR($T34="L",$T34="T",$T34="C"),SUM($U34:V34)*W$16,""))</f>
        <v/>
      </c>
      <c r="X34" s="684" t="str">
        <f>IF($U34="","",SUM($U34:W34)*X$16)</f>
        <v/>
      </c>
      <c r="Y34" s="1024"/>
      <c r="Z34" s="721"/>
      <c r="AA34" s="738"/>
      <c r="AB34" s="721"/>
      <c r="AC34" s="730"/>
      <c r="AD34" s="683"/>
      <c r="AE34" s="1067"/>
      <c r="AF34" s="587">
        <f>AF33</f>
        <v>8</v>
      </c>
      <c r="AG34" s="587"/>
      <c r="AH34" s="669"/>
      <c r="AI34" s="669"/>
      <c r="AJ34" s="665"/>
      <c r="AK34" s="985"/>
    </row>
    <row r="35" spans="1:37" ht="18" customHeight="1">
      <c r="A35" s="656"/>
      <c r="B35" s="713">
        <f>$B$23+0.13</f>
        <v>1.23</v>
      </c>
      <c r="C35" s="2571" t="str">
        <f>C27</f>
        <v>Ground surveys
(L + T)</v>
      </c>
      <c r="D35" s="3852" t="str">
        <f>D31</f>
        <v>This involves surveying a representative area (30% of management area) for general observations.</v>
      </c>
      <c r="E35" s="686" t="s">
        <v>3</v>
      </c>
      <c r="F35" s="1178"/>
      <c r="G35" s="1178">
        <f>G282</f>
        <v>9.8415545590433489</v>
      </c>
      <c r="H35" s="645">
        <f>J282</f>
        <v>2214.3497757847535</v>
      </c>
      <c r="I35" s="820" t="s">
        <v>475</v>
      </c>
      <c r="J35" s="646" t="str">
        <f>IF(K35=1,"Annual","Done every "&amp;K35&amp;" years")</f>
        <v>Done every 5 years</v>
      </c>
      <c r="K35" s="647">
        <f>L282</f>
        <v>5</v>
      </c>
      <c r="L35" s="651">
        <f t="shared" ref="L35:M37" si="9">$L$16/K35</f>
        <v>16</v>
      </c>
      <c r="M35" s="881">
        <f t="shared" si="9"/>
        <v>5</v>
      </c>
      <c r="N35" s="884">
        <f>$H35*(1-(1+$L$15)^-(L35*M35))/((1+$L$15)^M35-1)*(1+((1+$L$15)^M35-1))</f>
        <v>11895.587612490172</v>
      </c>
      <c r="O35" s="653">
        <f t="shared" si="0"/>
        <v>478.27211384468785</v>
      </c>
      <c r="P35" s="931">
        <f>SUM(O35:O38)</f>
        <v>1144.0369692812239</v>
      </c>
      <c r="Q35" s="3023"/>
      <c r="R35" s="3023"/>
      <c r="S35" s="3023"/>
      <c r="T35" s="1037" t="s">
        <v>808</v>
      </c>
      <c r="U35" s="655">
        <f>O35/$U$16</f>
        <v>4.7827211384468784</v>
      </c>
      <c r="V35" s="655">
        <f>IF($T35="L",SUM($U35:U35)*V$16,"")</f>
        <v>1.4348163415340636</v>
      </c>
      <c r="W35" s="655">
        <f>IF($U35="","",IF(OR($T35="L",$T35="T",$T35="C"),SUM($U35:V35)*W$16,""))</f>
        <v>0.62175374799809424</v>
      </c>
      <c r="X35" s="655">
        <f>IF($U35="","",SUM($U35:W35)*X$16)</f>
        <v>2.0517873683937111</v>
      </c>
      <c r="Y35" s="650">
        <f>IF($U35="","",SUM(V35:X35))</f>
        <v>4.1083574579258695</v>
      </c>
      <c r="Z35" s="717">
        <f>SUM(V35:X38)</f>
        <v>6.971146336302974</v>
      </c>
      <c r="AA35" s="739">
        <f>IF($U35="","",SUM(U35,Y35))</f>
        <v>8.891078596372747</v>
      </c>
      <c r="AB35" s="717">
        <f>SUM(AA35:AA38)</f>
        <v>18.411516029115212</v>
      </c>
      <c r="AC35" s="731">
        <f ca="1">IF(AA35="","",AA35/OFFSET($AB$23,AF35,0))</f>
        <v>0.48290855474979694</v>
      </c>
      <c r="AD35" s="654"/>
      <c r="AE35" s="1068"/>
      <c r="AF35" s="587">
        <f>AF31+4</f>
        <v>12</v>
      </c>
      <c r="AG35" s="816">
        <f ca="1">SUM(AC35:AC38)-1</f>
        <v>0</v>
      </c>
      <c r="AH35" s="649">
        <f>$AH$16/K35</f>
        <v>1</v>
      </c>
      <c r="AI35" s="649">
        <f>$AH$16/AH35</f>
        <v>5</v>
      </c>
      <c r="AJ35" s="645">
        <f>$H35*(1-(1+$L$15)^-(AH35*AI35))/((1+$L$15)^AI35-1)*(1+((1+$L$15)^AI35-1))</f>
        <v>2214.3497757847535</v>
      </c>
      <c r="AK35" s="931">
        <f>SUM(AJ35:AJ38)</f>
        <v>5296.7713004484303</v>
      </c>
    </row>
    <row r="36" spans="1:37" ht="19" customHeight="1">
      <c r="A36" s="656"/>
      <c r="B36" s="714"/>
      <c r="C36" s="2572" t="s">
        <v>789</v>
      </c>
      <c r="D36" s="3853"/>
      <c r="E36" s="686" t="s">
        <v>308</v>
      </c>
      <c r="F36" s="1178">
        <f>$F$268</f>
        <v>1</v>
      </c>
      <c r="G36" s="1178">
        <f t="shared" ref="G36:G37" si="10">G283</f>
        <v>4.9207772795216744</v>
      </c>
      <c r="H36" s="645">
        <f>J283</f>
        <v>1402.4215246636772</v>
      </c>
      <c r="I36" s="820" t="s">
        <v>797</v>
      </c>
      <c r="J36" s="646" t="str">
        <f>IF(K36=1,"Annual","Done every "&amp;K36&amp;" years")</f>
        <v>Done every 5 years</v>
      </c>
      <c r="K36" s="1691">
        <f>L283</f>
        <v>5</v>
      </c>
      <c r="L36" s="648">
        <f t="shared" si="9"/>
        <v>16</v>
      </c>
      <c r="M36" s="647">
        <f t="shared" si="9"/>
        <v>5</v>
      </c>
      <c r="N36" s="645">
        <f>$H36*(1-(1+$L$15)^-(L36*M36))/((1+$L$15)^M36-1)*(1+((1+$L$15)^M36-1))</f>
        <v>7533.8721545771077</v>
      </c>
      <c r="O36" s="660">
        <f t="shared" si="0"/>
        <v>302.90567210163562</v>
      </c>
      <c r="P36" s="932"/>
      <c r="Q36" s="3024">
        <f>1*(1-(1+$L$15)^-(L36*M36))/((1+$L$15)^M36-1)*(1+((1+$L$15)^M36-1))</f>
        <v>5.3720454386093719</v>
      </c>
      <c r="R36" s="3024">
        <f>Q36/(1+$L$15)*($L$15)/(1-(1+$L$15)^-$L$16)</f>
        <v>0.2159876091279169</v>
      </c>
      <c r="S36" s="3024">
        <f>F36*R36</f>
        <v>0.2159876091279169</v>
      </c>
      <c r="T36" s="1038" t="s">
        <v>809</v>
      </c>
      <c r="U36" s="655">
        <f>O36/$U$16</f>
        <v>3.0290567210163561</v>
      </c>
      <c r="V36" s="662" t="str">
        <f>IF($T36="L",SUM($U36:U36)*V$16,"")</f>
        <v/>
      </c>
      <c r="W36" s="662">
        <f>IF($U36="","",IF(OR($T36="L",$T36="T",$T36="C"),SUM($U36:V36)*W$16,""))</f>
        <v>0.30290567210163566</v>
      </c>
      <c r="X36" s="662">
        <f>IF($U36="","",SUM($U36:W36)*X$16)</f>
        <v>0.9995887179353975</v>
      </c>
      <c r="Y36" s="659">
        <f>IF($U36="","",SUM(V36:X36))</f>
        <v>1.3024943900370332</v>
      </c>
      <c r="Z36" s="722"/>
      <c r="AA36" s="740">
        <f>IF($U36="","",SUM(U36,Y36))</f>
        <v>4.3315511110533897</v>
      </c>
      <c r="AB36" s="722"/>
      <c r="AC36" s="731">
        <f ca="1">IF(AA36="","",AA36/OFFSET($AB$23,AF36,0))</f>
        <v>0.23526314205759338</v>
      </c>
      <c r="AD36" s="661"/>
      <c r="AE36" s="1068"/>
      <c r="AF36" s="587">
        <f>AF35</f>
        <v>12</v>
      </c>
      <c r="AG36" s="587"/>
      <c r="AH36" s="649">
        <f>$AH$16/K36</f>
        <v>1</v>
      </c>
      <c r="AI36" s="649">
        <f>$AH$16/AH36</f>
        <v>5</v>
      </c>
      <c r="AJ36" s="645">
        <f>$H36*(1-(1+$L$15)^-(AH36*AI36))/((1+$L$15)^AI36-1)*(1+((1+$L$15)^AI36-1))</f>
        <v>1402.4215246636772</v>
      </c>
      <c r="AK36" s="932"/>
    </row>
    <row r="37" spans="1:37" ht="19" customHeight="1">
      <c r="A37" s="656"/>
      <c r="B37" s="714"/>
      <c r="C37" s="2572"/>
      <c r="D37" s="3853"/>
      <c r="E37" s="686" t="s">
        <v>4</v>
      </c>
      <c r="F37" s="1178"/>
      <c r="G37" s="1178">
        <f t="shared" si="10"/>
        <v>8</v>
      </c>
      <c r="H37" s="645">
        <f>J284</f>
        <v>1680</v>
      </c>
      <c r="I37" s="820" t="s">
        <v>70</v>
      </c>
      <c r="J37" s="646" t="str">
        <f>IF(K37=1,"Annual","Done every "&amp;K37&amp;" years")</f>
        <v>Done every 5 years</v>
      </c>
      <c r="K37" s="1691">
        <f>L284</f>
        <v>5</v>
      </c>
      <c r="L37" s="648">
        <f t="shared" si="9"/>
        <v>16</v>
      </c>
      <c r="M37" s="647">
        <f t="shared" si="9"/>
        <v>5</v>
      </c>
      <c r="N37" s="645">
        <f>$H37*(1-(1+$L$15)^-(L37*M37))/((1+$L$15)^M37-1)*(1+((1+$L$15)^M37-1))</f>
        <v>9025.0363368637463</v>
      </c>
      <c r="O37" s="660">
        <f t="shared" si="0"/>
        <v>362.85918333490048</v>
      </c>
      <c r="P37" s="933"/>
      <c r="Q37" s="3024"/>
      <c r="R37" s="3024"/>
      <c r="S37" s="3024"/>
      <c r="T37" s="1038" t="s">
        <v>810</v>
      </c>
      <c r="U37" s="655">
        <f>O37/$U$16</f>
        <v>3.6285918333490046</v>
      </c>
      <c r="V37" s="664" t="str">
        <f>IF($T37="L",SUM($U37:U37)*V$16,"")</f>
        <v/>
      </c>
      <c r="W37" s="664">
        <f>IF($U37="","",IF(OR($T37="L",$T37="T",$T37="C"),SUM($U37:V37)*W$16,""))</f>
        <v>0.36285918333490047</v>
      </c>
      <c r="X37" s="664">
        <f>IF($U37="","",SUM($U37:W37)*X$16)</f>
        <v>1.1974353050051714</v>
      </c>
      <c r="Y37" s="1025">
        <f>IF($U37="","",SUM(V37:X37))</f>
        <v>1.5602944883400718</v>
      </c>
      <c r="Z37" s="723"/>
      <c r="AA37" s="741">
        <f>IF($U37="","",SUM(U37,Y37))</f>
        <v>5.1888863216890764</v>
      </c>
      <c r="AB37" s="723"/>
      <c r="AC37" s="731">
        <f ca="1">IF(AA37="","",AA37/OFFSET($AB$23,AF37,0))</f>
        <v>0.28182830319260976</v>
      </c>
      <c r="AD37" s="663"/>
      <c r="AE37" s="1068"/>
      <c r="AF37" s="587">
        <f>AF36</f>
        <v>12</v>
      </c>
      <c r="AG37" s="587"/>
      <c r="AH37" s="649">
        <f>$AH$16/K37</f>
        <v>1</v>
      </c>
      <c r="AI37" s="649">
        <f>$AH$16/AH37</f>
        <v>5</v>
      </c>
      <c r="AJ37" s="645">
        <f>$H37*(1-(1+$L$15)^-(AH37*AI37))/((1+$L$15)^AI37-1)*(1+((1+$L$15)^AI37-1))</f>
        <v>1680</v>
      </c>
      <c r="AK37" s="933"/>
    </row>
    <row r="38" spans="1:37" ht="19" customHeight="1">
      <c r="A38" s="656"/>
      <c r="B38" s="714"/>
      <c r="C38" s="2573"/>
      <c r="D38" s="3854"/>
      <c r="E38" s="686" t="s">
        <v>21</v>
      </c>
      <c r="F38" s="1178"/>
      <c r="G38" s="1178"/>
      <c r="H38" s="645"/>
      <c r="I38" s="1087"/>
      <c r="J38" s="646"/>
      <c r="K38" s="1691"/>
      <c r="L38" s="648"/>
      <c r="M38" s="647"/>
      <c r="N38" s="645"/>
      <c r="O38" s="660">
        <f t="shared" si="0"/>
        <v>0</v>
      </c>
      <c r="P38" s="934"/>
      <c r="Q38" s="3025"/>
      <c r="R38" s="3025"/>
      <c r="S38" s="3025"/>
      <c r="T38" s="1038"/>
      <c r="U38" s="655"/>
      <c r="V38" s="664" t="str">
        <f>IF($T38="L",SUM($U38:U38)*V$16,"")</f>
        <v/>
      </c>
      <c r="W38" s="664" t="str">
        <f>IF($U38="","",IF(OR($T38="L",$T38="T",$T38="C"),SUM($U38:V38)*W$16,""))</f>
        <v/>
      </c>
      <c r="X38" s="664" t="str">
        <f>IF($U38="","",SUM($U38:W38)*X$16)</f>
        <v/>
      </c>
      <c r="Y38" s="1025"/>
      <c r="Z38" s="723"/>
      <c r="AA38" s="741"/>
      <c r="AB38" s="723"/>
      <c r="AC38" s="731"/>
      <c r="AD38" s="663"/>
      <c r="AE38" s="1068"/>
      <c r="AF38" s="587">
        <f>AF37</f>
        <v>12</v>
      </c>
      <c r="AG38" s="587"/>
      <c r="AH38" s="649"/>
      <c r="AI38" s="649"/>
      <c r="AJ38" s="645"/>
      <c r="AK38" s="933"/>
    </row>
    <row r="39" spans="1:37" s="172" customFormat="1" ht="19" customHeight="1">
      <c r="B39" s="2495">
        <f>B23+0.2</f>
        <v>1.3</v>
      </c>
      <c r="C39" s="3869" t="s">
        <v>316</v>
      </c>
      <c r="D39" s="4037" t="s">
        <v>1926</v>
      </c>
      <c r="E39" s="2496" t="s">
        <v>3</v>
      </c>
      <c r="F39" s="2497"/>
      <c r="G39" s="2497">
        <f>$E$322</f>
        <v>120</v>
      </c>
      <c r="H39" s="2498">
        <f>F322</f>
        <v>49500</v>
      </c>
      <c r="I39" s="2498" t="str">
        <f>G322</f>
        <v>Cost for Mapping team</v>
      </c>
      <c r="J39" s="2499" t="str">
        <f t="shared" ref="J39" si="11">IF(K39=1,"Annual","Done every "&amp;K39&amp;" years")</f>
        <v>Done every 5 years</v>
      </c>
      <c r="K39" s="2500">
        <f>H322</f>
        <v>5</v>
      </c>
      <c r="L39" s="2501">
        <f t="shared" ref="L39:M39" si="12">$L$16/K39</f>
        <v>16</v>
      </c>
      <c r="M39" s="2502">
        <f t="shared" si="12"/>
        <v>5</v>
      </c>
      <c r="N39" s="2498">
        <f t="shared" ref="N39" si="13">$H39*(1-(1+$L$15)^-(L39*M39))/((1+$L$15)^M39-1)*(1+((1+$L$15)^M39-1))</f>
        <v>265916.24921116396</v>
      </c>
      <c r="O39" s="2503">
        <f t="shared" si="0"/>
        <v>10691.386651831888</v>
      </c>
      <c r="P39" s="2504">
        <f>SUM(O39:O42)</f>
        <v>10691.386651831888</v>
      </c>
      <c r="Q39" s="3026"/>
      <c r="R39" s="3026"/>
      <c r="S39" s="3026"/>
      <c r="T39" s="2505" t="s">
        <v>808</v>
      </c>
      <c r="U39" s="2529">
        <f>O39</f>
        <v>10691.386651831888</v>
      </c>
      <c r="V39" s="2506">
        <f>IF($T39="L",SUM($U39:U39)*V$16,"")</f>
        <v>3207.4159955495666</v>
      </c>
      <c r="W39" s="1474"/>
      <c r="X39" s="2506">
        <f>IF($U39="","",SUM($U39:W39)*X$16)</f>
        <v>4169.640794214436</v>
      </c>
      <c r="Y39" s="2507">
        <f t="shared" ref="Y39" si="14">IF($U39="","",SUM(V39:X39))</f>
        <v>7377.056789764003</v>
      </c>
      <c r="Z39" s="2504">
        <f>SUM(V39:X42)</f>
        <v>7377.056789764003</v>
      </c>
      <c r="AA39" s="2508">
        <f t="shared" ref="AA39:AA42" si="15">IF($U39="","",SUM(U39,Y39))</f>
        <v>18068.443441595889</v>
      </c>
      <c r="AB39" s="2530">
        <f>SUM(AA39:AA42)</f>
        <v>18068.443441595889</v>
      </c>
      <c r="AC39" s="2509">
        <f t="shared" ref="AC39:AC42" ca="1" si="16">IF(AA39="","",AA39/OFFSET($AB$23,AF39,0))</f>
        <v>1</v>
      </c>
      <c r="AD39" s="2510"/>
      <c r="AE39" s="2511"/>
      <c r="AF39" s="2512">
        <f>AF35+4</f>
        <v>16</v>
      </c>
      <c r="AG39" s="2513">
        <f ca="1">SUM(AC39:AC42)-1</f>
        <v>0</v>
      </c>
      <c r="AH39" s="2514">
        <f t="shared" ref="AH39" si="17">$AH$16/K39</f>
        <v>1</v>
      </c>
      <c r="AI39" s="2514">
        <f t="shared" ref="AI39" si="18">$AH$16/AH39</f>
        <v>5</v>
      </c>
      <c r="AJ39" s="2498">
        <f t="shared" ref="AJ39" si="19">$H39*(1-(1+$L$15)^-(AH39*AI39))/((1+$L$15)^AI39-1)*(1+((1+$L$15)^AI39-1))</f>
        <v>49499.999999999993</v>
      </c>
      <c r="AK39" s="2515">
        <f>SUM(AJ39:AJ42)</f>
        <v>49499.999999999993</v>
      </c>
    </row>
    <row r="40" spans="1:37" s="172" customFormat="1" ht="19" customHeight="1">
      <c r="B40" s="2516"/>
      <c r="C40" s="3870"/>
      <c r="D40" s="4038"/>
      <c r="E40" s="2496" t="s">
        <v>308</v>
      </c>
      <c r="F40" s="2497"/>
      <c r="G40" s="2497"/>
      <c r="H40" s="2498"/>
      <c r="I40" s="2517"/>
      <c r="J40" s="2499"/>
      <c r="K40" s="2500"/>
      <c r="L40" s="2501"/>
      <c r="M40" s="2502"/>
      <c r="N40" s="2498"/>
      <c r="O40" s="2503">
        <f t="shared" si="0"/>
        <v>0</v>
      </c>
      <c r="P40" s="2518"/>
      <c r="Q40" s="3027">
        <v>0</v>
      </c>
      <c r="R40" s="3027">
        <v>0</v>
      </c>
      <c r="S40" s="3027">
        <v>0</v>
      </c>
      <c r="T40" s="2519" t="s">
        <v>809</v>
      </c>
      <c r="U40" s="2506"/>
      <c r="V40" s="2520" t="str">
        <f>IF($T40="L",SUM($U40:U40)*V$16,"")</f>
        <v/>
      </c>
      <c r="W40" s="1475"/>
      <c r="X40" s="2520"/>
      <c r="Y40" s="2521"/>
      <c r="Z40" s="2518"/>
      <c r="AA40" s="2522" t="str">
        <f t="shared" si="15"/>
        <v/>
      </c>
      <c r="AB40" s="2518"/>
      <c r="AC40" s="2509" t="str">
        <f t="shared" ca="1" si="16"/>
        <v/>
      </c>
      <c r="AD40" s="2523"/>
      <c r="AE40" s="2511"/>
      <c r="AF40" s="2512">
        <f>AF39</f>
        <v>16</v>
      </c>
      <c r="AG40" s="2512"/>
      <c r="AH40" s="2514"/>
      <c r="AI40" s="2514"/>
      <c r="AJ40" s="2498"/>
      <c r="AK40" s="2524"/>
    </row>
    <row r="41" spans="1:37" s="172" customFormat="1" ht="16" customHeight="1">
      <c r="B41" s="2516"/>
      <c r="C41" s="3870"/>
      <c r="D41" s="4038"/>
      <c r="E41" s="2496" t="s">
        <v>4</v>
      </c>
      <c r="F41" s="2497"/>
      <c r="G41" s="2497"/>
      <c r="H41" s="2498"/>
      <c r="I41" s="2517"/>
      <c r="J41" s="2499"/>
      <c r="K41" s="2500"/>
      <c r="L41" s="2501"/>
      <c r="M41" s="2502"/>
      <c r="N41" s="2498"/>
      <c r="O41" s="2503">
        <f t="shared" si="0"/>
        <v>0</v>
      </c>
      <c r="P41" s="2518"/>
      <c r="Q41" s="3027"/>
      <c r="R41" s="3027"/>
      <c r="S41" s="3027"/>
      <c r="T41" s="2519" t="s">
        <v>810</v>
      </c>
      <c r="U41" s="2506"/>
      <c r="V41" s="2520" t="str">
        <f>IF($T41="L",SUM($U41:U41)*V$16,"")</f>
        <v/>
      </c>
      <c r="W41" s="1475"/>
      <c r="X41" s="2520"/>
      <c r="Y41" s="2521"/>
      <c r="Z41" s="2518"/>
      <c r="AA41" s="2522" t="str">
        <f t="shared" si="15"/>
        <v/>
      </c>
      <c r="AB41" s="2518"/>
      <c r="AC41" s="2509" t="str">
        <f t="shared" ca="1" si="16"/>
        <v/>
      </c>
      <c r="AD41" s="2510"/>
      <c r="AE41" s="2511"/>
      <c r="AF41" s="2512">
        <f>AF40</f>
        <v>16</v>
      </c>
      <c r="AG41" s="2512"/>
      <c r="AH41" s="2514"/>
      <c r="AI41" s="2514"/>
      <c r="AJ41" s="2498"/>
      <c r="AK41" s="2524"/>
    </row>
    <row r="42" spans="1:37" s="172" customFormat="1" ht="19" customHeight="1">
      <c r="B42" s="2516"/>
      <c r="C42" s="3871"/>
      <c r="D42" s="4039"/>
      <c r="E42" s="2496" t="s">
        <v>21</v>
      </c>
      <c r="F42" s="2497"/>
      <c r="G42" s="2497"/>
      <c r="H42" s="2498"/>
      <c r="I42" s="2517"/>
      <c r="J42" s="2499"/>
      <c r="K42" s="2500"/>
      <c r="L42" s="2501"/>
      <c r="M42" s="2502"/>
      <c r="N42" s="2498"/>
      <c r="O42" s="2503">
        <f t="shared" si="0"/>
        <v>0</v>
      </c>
      <c r="P42" s="2518"/>
      <c r="Q42" s="3027"/>
      <c r="R42" s="3027"/>
      <c r="S42" s="3027"/>
      <c r="T42" s="2525" t="s">
        <v>811</v>
      </c>
      <c r="U42" s="2506"/>
      <c r="V42" s="2520" t="str">
        <f>IF($T42="L",SUM($U42:U42)*V$16,"")</f>
        <v/>
      </c>
      <c r="W42" s="1478"/>
      <c r="X42" s="2520"/>
      <c r="Y42" s="2521"/>
      <c r="Z42" s="2518"/>
      <c r="AA42" s="2522" t="str">
        <f t="shared" si="15"/>
        <v/>
      </c>
      <c r="AB42" s="2518"/>
      <c r="AC42" s="2509" t="str">
        <f t="shared" ca="1" si="16"/>
        <v/>
      </c>
      <c r="AD42" s="2510"/>
      <c r="AE42" s="2511"/>
      <c r="AF42" s="2512">
        <f>AF41</f>
        <v>16</v>
      </c>
      <c r="AG42" s="2512"/>
      <c r="AH42" s="2514"/>
      <c r="AI42" s="2514"/>
      <c r="AJ42" s="2498"/>
      <c r="AK42" s="2524"/>
    </row>
    <row r="43" spans="1:37">
      <c r="C43" s="24"/>
      <c r="D43" s="238"/>
      <c r="E43"/>
      <c r="F43" s="359"/>
      <c r="H43" s="6"/>
      <c r="I43" s="359"/>
      <c r="Q43" s="2795"/>
      <c r="R43" s="2795"/>
      <c r="S43" s="2795"/>
      <c r="U43" s="5"/>
    </row>
    <row r="44" spans="1:37">
      <c r="C44" s="24"/>
      <c r="D44" s="238"/>
      <c r="E44"/>
      <c r="F44" s="359"/>
      <c r="H44" s="6"/>
      <c r="I44" s="359"/>
      <c r="Q44" s="2795"/>
      <c r="R44" s="2795"/>
      <c r="S44" s="2795"/>
      <c r="U44" s="5"/>
    </row>
    <row r="45" spans="1:37">
      <c r="C45" s="24"/>
      <c r="D45" s="238"/>
      <c r="E45"/>
      <c r="F45" s="359"/>
      <c r="H45" s="6"/>
      <c r="I45" s="359"/>
      <c r="Q45" s="2795"/>
      <c r="R45" s="2795"/>
      <c r="S45" s="2795"/>
      <c r="U45" s="5"/>
    </row>
    <row r="46" spans="1:37">
      <c r="C46" s="24"/>
      <c r="D46" s="238"/>
      <c r="E46"/>
      <c r="F46" s="359"/>
      <c r="H46" s="6"/>
      <c r="I46" s="359"/>
      <c r="Q46" s="2795"/>
      <c r="R46" s="2795"/>
      <c r="S46" s="2795"/>
      <c r="U46" s="5"/>
    </row>
    <row r="47" spans="1:37">
      <c r="C47" s="24"/>
      <c r="D47" s="238"/>
      <c r="E47"/>
      <c r="F47" s="359"/>
      <c r="H47" s="6"/>
      <c r="I47" s="359"/>
      <c r="Q47" s="2795"/>
      <c r="R47" s="2795"/>
      <c r="S47" s="2795"/>
      <c r="U47" s="5"/>
    </row>
    <row r="48" spans="1:37">
      <c r="C48" s="24"/>
      <c r="D48" s="238" t="s">
        <v>299</v>
      </c>
      <c r="E48"/>
      <c r="F48" s="359"/>
      <c r="H48" s="6"/>
      <c r="I48" s="359"/>
      <c r="Q48" s="2795"/>
      <c r="R48" s="2795"/>
      <c r="S48" s="2795"/>
      <c r="U48" s="5"/>
    </row>
    <row r="49" spans="3:21">
      <c r="C49" s="24"/>
      <c r="D49" s="238"/>
      <c r="E49"/>
      <c r="F49" s="359"/>
      <c r="H49" s="6"/>
      <c r="I49" s="359"/>
      <c r="Q49" s="2795"/>
      <c r="R49" s="2795"/>
      <c r="S49" s="2795"/>
      <c r="U49" s="5"/>
    </row>
    <row r="50" spans="3:21">
      <c r="C50" s="24"/>
      <c r="D50" s="238"/>
      <c r="E50"/>
      <c r="F50" s="359"/>
      <c r="H50" s="6"/>
      <c r="I50" s="359"/>
      <c r="Q50" s="2795"/>
      <c r="R50" s="2795"/>
      <c r="S50" s="2795"/>
      <c r="U50" s="5"/>
    </row>
    <row r="51" spans="3:21">
      <c r="C51" s="24"/>
      <c r="D51" s="238"/>
      <c r="E51"/>
      <c r="F51" s="359"/>
      <c r="H51" s="6"/>
      <c r="I51" s="359"/>
      <c r="Q51" s="2795"/>
      <c r="R51" s="2795"/>
      <c r="S51" s="2795"/>
      <c r="U51" s="5"/>
    </row>
    <row r="52" spans="3:21">
      <c r="C52" s="24"/>
      <c r="D52" s="238"/>
      <c r="E52"/>
      <c r="F52" s="359"/>
      <c r="H52" s="6"/>
      <c r="I52" s="359"/>
      <c r="Q52" s="2795"/>
      <c r="R52" s="2795"/>
      <c r="S52" s="2795"/>
      <c r="U52" s="5"/>
    </row>
    <row r="53" spans="3:21">
      <c r="C53" s="24"/>
      <c r="D53" s="238"/>
      <c r="E53"/>
      <c r="F53" s="359"/>
      <c r="H53" s="6"/>
      <c r="I53" s="359"/>
      <c r="Q53" s="2795"/>
      <c r="R53" s="2795"/>
      <c r="S53" s="2795"/>
      <c r="U53" s="5"/>
    </row>
    <row r="54" spans="3:21">
      <c r="C54" s="24"/>
      <c r="D54" s="238"/>
      <c r="E54"/>
      <c r="F54" s="359"/>
      <c r="H54" s="6"/>
      <c r="I54" s="359"/>
      <c r="Q54" s="2795"/>
      <c r="R54" s="2795"/>
      <c r="S54" s="2795"/>
      <c r="U54" s="5"/>
    </row>
    <row r="55" spans="3:21">
      <c r="C55" s="24"/>
      <c r="D55" s="238"/>
      <c r="E55"/>
      <c r="F55" s="359"/>
      <c r="H55" s="6"/>
      <c r="I55" s="359"/>
      <c r="Q55" s="2795"/>
      <c r="R55" s="2795"/>
      <c r="S55" s="2795"/>
      <c r="U55" s="5"/>
    </row>
    <row r="56" spans="3:21" s="7" customFormat="1">
      <c r="E56" s="36"/>
      <c r="G56" s="1089"/>
      <c r="Q56" s="2140"/>
      <c r="R56" s="2795"/>
      <c r="S56" s="2795"/>
    </row>
    <row r="57" spans="3:21" s="9" customFormat="1">
      <c r="C57" s="120" t="s">
        <v>57</v>
      </c>
      <c r="D57" s="34" t="s">
        <v>1054</v>
      </c>
      <c r="E57" s="34"/>
      <c r="G57" s="572"/>
      <c r="Q57" s="2795"/>
      <c r="R57" s="2795"/>
      <c r="S57" s="2795"/>
    </row>
    <row r="58" spans="3:21" s="9" customFormat="1">
      <c r="D58" s="592" t="s">
        <v>237</v>
      </c>
      <c r="E58" s="970"/>
      <c r="G58" s="572"/>
      <c r="Q58" s="2795"/>
      <c r="R58" s="2795"/>
      <c r="S58" s="2795"/>
    </row>
    <row r="59" spans="3:21" s="9" customFormat="1">
      <c r="D59" s="332" t="s">
        <v>91</v>
      </c>
      <c r="E59" s="43"/>
      <c r="F59" s="24"/>
      <c r="G59" s="359"/>
      <c r="Q59" s="2795"/>
      <c r="R59" s="2795"/>
      <c r="S59" s="2795"/>
    </row>
    <row r="60" spans="3:21" s="9" customFormat="1">
      <c r="D60" s="135">
        <f>'Overall Assumptions'!$C$6</f>
        <v>100</v>
      </c>
      <c r="E60" s="246" t="s">
        <v>967</v>
      </c>
      <c r="F60"/>
      <c r="G60" s="359"/>
      <c r="Q60" s="2795"/>
      <c r="R60" s="2795"/>
      <c r="S60" s="2795"/>
    </row>
    <row r="61" spans="3:21" s="9" customFormat="1">
      <c r="D61" s="332">
        <f>'Overall Assumptions'!$C$115</f>
        <v>3</v>
      </c>
      <c r="E61" s="131" t="str">
        <f>'Overall Assumptions'!$D$115</f>
        <v>weeks</v>
      </c>
      <c r="F61"/>
      <c r="G61" s="359"/>
      <c r="Q61" s="2795"/>
      <c r="R61" s="2795"/>
      <c r="S61" s="2795"/>
    </row>
    <row r="62" spans="3:21" s="9" customFormat="1">
      <c r="C62" s="105"/>
      <c r="D62" s="332">
        <f>'Overall Assumptions'!$C$116</f>
        <v>15</v>
      </c>
      <c r="E62" s="131" t="str">
        <f>'Overall Assumptions'!$D$116</f>
        <v>days</v>
      </c>
      <c r="F62"/>
      <c r="G62" s="359"/>
      <c r="Q62" s="2795"/>
      <c r="R62" s="2795"/>
      <c r="S62" s="2795"/>
    </row>
    <row r="63" spans="3:21" s="9" customFormat="1">
      <c r="C63" s="105"/>
      <c r="D63" s="332"/>
      <c r="E63" s="43"/>
      <c r="F63"/>
      <c r="G63" s="359"/>
    </row>
    <row r="64" spans="3:21" s="9" customFormat="1">
      <c r="C64" s="105"/>
      <c r="D64" s="268">
        <v>5</v>
      </c>
      <c r="E64" s="43" t="s">
        <v>245</v>
      </c>
      <c r="F64"/>
      <c r="G64" s="359"/>
    </row>
    <row r="65" spans="3:8" s="9" customFormat="1">
      <c r="C65" s="105"/>
      <c r="D65" s="332"/>
      <c r="E65" s="43"/>
      <c r="F65"/>
      <c r="G65" s="359"/>
    </row>
    <row r="66" spans="3:8" s="9" customFormat="1">
      <c r="C66" s="105"/>
      <c r="D66" s="332"/>
      <c r="E66" s="43"/>
      <c r="F66"/>
      <c r="G66" s="359"/>
    </row>
    <row r="67" spans="3:8" s="9" customFormat="1">
      <c r="C67" s="105"/>
      <c r="D67" s="332" t="str">
        <f>'Overall Assumptions'!$D$76</f>
        <v>Daily rate (AUD) for labour assuming 7.5 hours/day</v>
      </c>
      <c r="E67" s="246"/>
      <c r="F67"/>
      <c r="G67" s="359"/>
    </row>
    <row r="68" spans="3:8" s="9" customFormat="1">
      <c r="D68" s="614">
        <f>'Overall Assumptions'!$C$68</f>
        <v>225</v>
      </c>
      <c r="E68" s="246" t="str">
        <f>'Overall Assumptions'!$B$67</f>
        <v>Labour 1- APS Low (Entry lvl)</v>
      </c>
      <c r="F68"/>
      <c r="G68" s="359"/>
    </row>
    <row r="69" spans="3:8" s="9" customFormat="1">
      <c r="D69" s="399">
        <f>'Overall Assumptions'!$C$72</f>
        <v>337.5</v>
      </c>
      <c r="E69" s="530" t="str">
        <f>'Overall Assumptions'!$B$71</f>
        <v>Labour 2 - APS High (Experienced)</v>
      </c>
      <c r="F69"/>
      <c r="G69" s="359"/>
    </row>
    <row r="70" spans="3:8" s="9" customFormat="1">
      <c r="D70" s="112">
        <f>'Overall Assumptions'!$C$76</f>
        <v>487.5</v>
      </c>
      <c r="E70" s="45" t="str">
        <f>'Overall Assumptions'!$B$75</f>
        <v>Labour 3 - EL (Management)</v>
      </c>
      <c r="F70"/>
      <c r="G70" s="359"/>
    </row>
    <row r="71" spans="3:8" s="9" customFormat="1">
      <c r="D71" s="33"/>
      <c r="E71" s="16"/>
      <c r="F71"/>
      <c r="G71" s="359"/>
    </row>
    <row r="72" spans="3:8" s="9" customFormat="1">
      <c r="D72" s="531"/>
      <c r="E72" s="33"/>
      <c r="F72"/>
      <c r="G72" s="359"/>
    </row>
    <row r="73" spans="3:8" s="9" customFormat="1">
      <c r="D73" s="912"/>
      <c r="E73" s="16"/>
      <c r="F73"/>
      <c r="G73" s="359"/>
    </row>
    <row r="74" spans="3:8" s="9" customFormat="1">
      <c r="D74" s="33"/>
      <c r="E74" s="16"/>
      <c r="F74"/>
      <c r="G74" s="359"/>
    </row>
    <row r="75" spans="3:8" s="9" customFormat="1">
      <c r="D75" s="33"/>
      <c r="E75" s="16"/>
      <c r="F75"/>
      <c r="G75" s="359"/>
    </row>
    <row r="76" spans="3:8" s="9" customFormat="1">
      <c r="D76" s="175"/>
      <c r="E76" s="164" t="s">
        <v>155</v>
      </c>
      <c r="F76" s="255" t="s">
        <v>166</v>
      </c>
      <c r="G76" s="1090" t="s">
        <v>69</v>
      </c>
      <c r="H76" s="108"/>
    </row>
    <row r="77" spans="3:8" s="9" customFormat="1">
      <c r="D77" s="405" t="s">
        <v>3</v>
      </c>
      <c r="E77" s="509">
        <f>D62</f>
        <v>15</v>
      </c>
      <c r="F77" s="321">
        <f>D62*D69</f>
        <v>5062.5</v>
      </c>
      <c r="G77" s="1091" t="s">
        <v>162</v>
      </c>
      <c r="H77" s="323"/>
    </row>
    <row r="78" spans="3:8" s="9" customFormat="1">
      <c r="D78" s="105"/>
      <c r="E78" s="34"/>
      <c r="G78" s="572"/>
    </row>
    <row r="79" spans="3:8" s="7" customFormat="1">
      <c r="D79" s="977"/>
      <c r="E79" s="35"/>
      <c r="G79" s="1089"/>
    </row>
    <row r="80" spans="3:8" s="9" customFormat="1">
      <c r="C80" s="120" t="s">
        <v>984</v>
      </c>
      <c r="D80" s="34" t="s">
        <v>163</v>
      </c>
      <c r="E80" s="34"/>
      <c r="G80" s="572"/>
    </row>
    <row r="81" spans="3:9" s="9" customFormat="1">
      <c r="D81" s="9" t="s">
        <v>168</v>
      </c>
      <c r="E81" s="34"/>
      <c r="G81" s="572"/>
    </row>
    <row r="82" spans="3:9" s="9" customFormat="1">
      <c r="D82" s="106" t="s">
        <v>269</v>
      </c>
      <c r="G82" s="572"/>
    </row>
    <row r="83" spans="3:9" s="9" customFormat="1">
      <c r="D83" s="107" t="s">
        <v>91</v>
      </c>
      <c r="E83" s="108"/>
      <c r="G83" s="572"/>
    </row>
    <row r="84" spans="3:9" s="9" customFormat="1">
      <c r="D84" s="199">
        <f>'Overall Assumptions'!$C$6</f>
        <v>100</v>
      </c>
      <c r="E84" s="161" t="s">
        <v>451</v>
      </c>
      <c r="G84" s="572"/>
    </row>
    <row r="85" spans="3:9" s="9" customFormat="1">
      <c r="D85" s="348">
        <f>'Overall Assumptions'!$C$121</f>
        <v>1</v>
      </c>
      <c r="E85" s="269" t="s">
        <v>134</v>
      </c>
      <c r="G85" s="572"/>
    </row>
    <row r="86" spans="3:9" s="9" customFormat="1">
      <c r="D86" s="972">
        <f>D84*D85</f>
        <v>100</v>
      </c>
      <c r="E86" s="109" t="s">
        <v>971</v>
      </c>
      <c r="G86" s="572"/>
    </row>
    <row r="87" spans="3:9" s="9" customFormat="1">
      <c r="D87" s="413">
        <v>5</v>
      </c>
      <c r="E87" s="270" t="s">
        <v>246</v>
      </c>
      <c r="G87" s="572"/>
    </row>
    <row r="88" spans="3:9" s="9" customFormat="1">
      <c r="D88" s="116"/>
      <c r="E88" s="116"/>
      <c r="G88" s="572"/>
    </row>
    <row r="89" spans="3:9" s="9" customFormat="1">
      <c r="E89" s="106"/>
      <c r="F89" s="119"/>
      <c r="G89" s="1092"/>
    </row>
    <row r="90" spans="3:9">
      <c r="C90" t="s">
        <v>266</v>
      </c>
      <c r="D90" s="16"/>
    </row>
    <row r="91" spans="3:9">
      <c r="C91" t="s">
        <v>267</v>
      </c>
    </row>
    <row r="92" spans="3:9" ht="28">
      <c r="D92" s="345" t="s">
        <v>101</v>
      </c>
      <c r="E92" s="147"/>
      <c r="F92" s="122"/>
      <c r="G92" s="1093"/>
      <c r="H92" s="119"/>
      <c r="I92" s="119"/>
    </row>
    <row r="93" spans="3:9">
      <c r="D93" s="346">
        <v>1</v>
      </c>
      <c r="E93" s="147" t="s">
        <v>263</v>
      </c>
      <c r="F93" s="122"/>
      <c r="G93" s="1093"/>
      <c r="H93" s="119"/>
      <c r="I93" s="119"/>
    </row>
    <row r="94" spans="3:9" ht="35">
      <c r="D94" s="17"/>
    </row>
    <row r="95" spans="3:9">
      <c r="D95" s="25"/>
    </row>
    <row r="96" spans="3:9">
      <c r="D96" s="85" t="s">
        <v>91</v>
      </c>
      <c r="E96" s="164"/>
      <c r="F96" s="161"/>
    </row>
    <row r="97" spans="1:42" s="359" customFormat="1">
      <c r="A97"/>
      <c r="B97"/>
      <c r="C97"/>
      <c r="D97" s="84">
        <f>'Overall Assumptions'!$C$68</f>
        <v>225</v>
      </c>
      <c r="E97" s="284" t="s">
        <v>102</v>
      </c>
      <c r="F97" s="967"/>
      <c r="H97"/>
      <c r="I97"/>
      <c r="J97"/>
      <c r="K97"/>
      <c r="L97"/>
      <c r="M97"/>
      <c r="N97"/>
      <c r="O97"/>
      <c r="P97"/>
      <c r="Q97" s="2791"/>
      <c r="R97" s="2791"/>
      <c r="S97" s="2791"/>
      <c r="T97"/>
      <c r="U97"/>
      <c r="V97"/>
      <c r="W97"/>
      <c r="X97"/>
      <c r="Y97"/>
      <c r="Z97"/>
      <c r="AA97"/>
      <c r="AB97"/>
      <c r="AC97"/>
      <c r="AD97"/>
      <c r="AE97"/>
      <c r="AF97"/>
      <c r="AG97"/>
      <c r="AH97"/>
      <c r="AI97"/>
      <c r="AJ97"/>
      <c r="AK97"/>
      <c r="AL97"/>
      <c r="AM97"/>
      <c r="AN97"/>
      <c r="AO97"/>
      <c r="AP97"/>
    </row>
    <row r="98" spans="1:42" s="359" customFormat="1">
      <c r="A98"/>
      <c r="B98"/>
      <c r="C98"/>
      <c r="D98" s="84">
        <f>'Overall Assumptions'!$C$81</f>
        <v>210</v>
      </c>
      <c r="E98" s="76" t="s">
        <v>87</v>
      </c>
      <c r="F98" s="246"/>
      <c r="H98"/>
      <c r="I98"/>
      <c r="J98"/>
      <c r="K98"/>
      <c r="L98"/>
      <c r="M98"/>
      <c r="N98"/>
      <c r="O98"/>
      <c r="P98"/>
      <c r="Q98" s="2791"/>
      <c r="R98" s="2791"/>
      <c r="S98" s="2791"/>
      <c r="T98"/>
      <c r="U98"/>
      <c r="V98"/>
      <c r="W98"/>
      <c r="X98"/>
      <c r="Y98"/>
      <c r="Z98"/>
      <c r="AA98"/>
      <c r="AB98"/>
      <c r="AC98"/>
      <c r="AD98"/>
      <c r="AE98"/>
      <c r="AF98"/>
      <c r="AG98"/>
      <c r="AH98"/>
      <c r="AI98"/>
      <c r="AJ98"/>
      <c r="AK98"/>
      <c r="AL98"/>
      <c r="AM98"/>
      <c r="AN98"/>
      <c r="AO98"/>
      <c r="AP98"/>
    </row>
    <row r="99" spans="1:42" s="359" customFormat="1">
      <c r="A99"/>
      <c r="B99"/>
      <c r="C99"/>
      <c r="D99" s="84">
        <f>'Overall Assumptions'!$C$131</f>
        <v>1</v>
      </c>
      <c r="E99" s="963" t="s">
        <v>84</v>
      </c>
      <c r="F99" s="246"/>
      <c r="H99"/>
      <c r="I99"/>
      <c r="J99"/>
      <c r="K99"/>
      <c r="L99"/>
      <c r="M99"/>
      <c r="N99"/>
      <c r="O99"/>
      <c r="P99"/>
      <c r="Q99" s="2791"/>
      <c r="R99" s="2791"/>
      <c r="S99" s="2791"/>
      <c r="T99"/>
      <c r="U99"/>
      <c r="V99"/>
      <c r="W99"/>
      <c r="X99"/>
      <c r="Y99"/>
      <c r="Z99"/>
      <c r="AA99"/>
      <c r="AB99"/>
      <c r="AC99"/>
      <c r="AD99"/>
      <c r="AE99"/>
      <c r="AF99"/>
      <c r="AG99"/>
      <c r="AH99"/>
      <c r="AI99"/>
      <c r="AJ99"/>
      <c r="AK99"/>
      <c r="AL99"/>
      <c r="AM99"/>
      <c r="AN99"/>
      <c r="AO99"/>
      <c r="AP99"/>
    </row>
    <row r="100" spans="1:42" s="359" customFormat="1">
      <c r="A100"/>
      <c r="B100"/>
      <c r="C100"/>
      <c r="D100" s="84">
        <f>'Overall Assumptions'!$C$6</f>
        <v>100</v>
      </c>
      <c r="E100" s="963" t="str">
        <f>'Overall Assumptions'!$D$6</f>
        <v>Standardised action area - Planar spatial polygon area of action area (km2)</v>
      </c>
      <c r="F100" s="246"/>
      <c r="H100"/>
      <c r="I100"/>
      <c r="J100"/>
      <c r="K100"/>
      <c r="L100"/>
      <c r="M100"/>
      <c r="N100"/>
      <c r="O100"/>
      <c r="P100"/>
      <c r="Q100" s="2791"/>
      <c r="R100" s="2791"/>
      <c r="S100" s="2791"/>
      <c r="T100"/>
      <c r="U100"/>
      <c r="V100"/>
      <c r="W100"/>
      <c r="X100"/>
      <c r="Y100"/>
      <c r="Z100"/>
      <c r="AA100"/>
      <c r="AB100"/>
      <c r="AC100"/>
      <c r="AD100"/>
      <c r="AE100"/>
      <c r="AF100"/>
      <c r="AG100"/>
      <c r="AH100"/>
      <c r="AI100"/>
      <c r="AJ100"/>
      <c r="AK100"/>
      <c r="AL100"/>
      <c r="AM100"/>
      <c r="AN100"/>
      <c r="AO100"/>
      <c r="AP100"/>
    </row>
    <row r="101" spans="1:42" s="359" customFormat="1">
      <c r="A101"/>
      <c r="B101"/>
      <c r="C101"/>
      <c r="D101" s="411">
        <f>D100*D85</f>
        <v>100</v>
      </c>
      <c r="E101" s="964" t="s">
        <v>270</v>
      </c>
      <c r="F101" s="246"/>
      <c r="H101"/>
      <c r="I101"/>
      <c r="J101"/>
      <c r="K101"/>
      <c r="L101"/>
      <c r="M101"/>
      <c r="N101"/>
      <c r="O101"/>
      <c r="P101"/>
      <c r="Q101" s="2791"/>
      <c r="R101" s="2791"/>
      <c r="S101" s="2791"/>
      <c r="T101"/>
      <c r="U101"/>
      <c r="V101"/>
      <c r="W101"/>
      <c r="X101"/>
      <c r="Y101"/>
      <c r="Z101"/>
      <c r="AA101"/>
      <c r="AB101"/>
      <c r="AC101"/>
      <c r="AD101"/>
      <c r="AE101"/>
      <c r="AF101"/>
      <c r="AG101"/>
      <c r="AH101"/>
      <c r="AI101"/>
      <c r="AJ101"/>
      <c r="AK101"/>
      <c r="AL101"/>
      <c r="AM101"/>
      <c r="AN101"/>
      <c r="AO101"/>
      <c r="AP101"/>
    </row>
    <row r="102" spans="1:42" s="359" customFormat="1">
      <c r="A102"/>
      <c r="B102"/>
      <c r="C102"/>
      <c r="D102" s="412">
        <f>'Overall Assumptions'!$C$133</f>
        <v>0.5</v>
      </c>
      <c r="E102" s="965" t="s">
        <v>105</v>
      </c>
      <c r="F102" s="246"/>
      <c r="H102"/>
      <c r="I102"/>
      <c r="J102"/>
      <c r="K102"/>
      <c r="L102"/>
      <c r="M102"/>
      <c r="N102"/>
      <c r="O102"/>
      <c r="P102"/>
      <c r="Q102" s="2791"/>
      <c r="R102" s="2791"/>
      <c r="S102" s="2791"/>
      <c r="T102"/>
      <c r="U102"/>
      <c r="V102"/>
      <c r="W102"/>
      <c r="X102"/>
      <c r="Y102"/>
      <c r="Z102"/>
      <c r="AA102"/>
      <c r="AB102"/>
      <c r="AC102"/>
      <c r="AD102"/>
      <c r="AE102"/>
      <c r="AF102"/>
      <c r="AG102"/>
      <c r="AH102"/>
      <c r="AI102"/>
      <c r="AJ102"/>
      <c r="AK102"/>
      <c r="AL102"/>
      <c r="AM102"/>
      <c r="AN102"/>
      <c r="AO102"/>
      <c r="AP102"/>
    </row>
    <row r="103" spans="1:42" s="359" customFormat="1">
      <c r="A103"/>
      <c r="B103"/>
      <c r="C103"/>
      <c r="D103" s="84">
        <f>'Overall Assumptions'!C11</f>
        <v>0</v>
      </c>
      <c r="E103" s="283" t="str">
        <f>'Overall Assumptions'!D11</f>
        <v>Distance from mgmt area to closest air base (km) [These steps calculated with GIS layer]</v>
      </c>
      <c r="F103" s="246"/>
      <c r="H103"/>
      <c r="I103"/>
      <c r="J103"/>
      <c r="K103"/>
      <c r="L103"/>
      <c r="M103"/>
      <c r="N103"/>
      <c r="O103"/>
      <c r="P103"/>
      <c r="Q103" s="2791"/>
      <c r="R103" s="2791"/>
      <c r="S103" s="2791"/>
      <c r="T103"/>
      <c r="U103"/>
      <c r="V103"/>
      <c r="W103"/>
      <c r="X103"/>
      <c r="Y103"/>
      <c r="Z103"/>
      <c r="AA103"/>
      <c r="AB103"/>
      <c r="AC103"/>
      <c r="AD103"/>
      <c r="AE103"/>
      <c r="AF103"/>
      <c r="AG103"/>
      <c r="AH103"/>
      <c r="AI103"/>
      <c r="AJ103"/>
      <c r="AK103"/>
      <c r="AL103"/>
      <c r="AM103"/>
      <c r="AN103"/>
      <c r="AO103"/>
      <c r="AP103"/>
    </row>
    <row r="104" spans="1:42" s="359" customFormat="1">
      <c r="A104"/>
      <c r="B104"/>
      <c r="C104"/>
      <c r="D104" s="84">
        <f>'Overall Assumptions'!$C$97</f>
        <v>250</v>
      </c>
      <c r="E104" s="963" t="s">
        <v>103</v>
      </c>
      <c r="F104" s="246"/>
      <c r="H104"/>
      <c r="I104"/>
      <c r="J104"/>
      <c r="K104"/>
      <c r="L104"/>
      <c r="M104"/>
      <c r="N104"/>
      <c r="O104"/>
      <c r="P104"/>
      <c r="Q104" s="2791"/>
      <c r="R104" s="2791"/>
      <c r="S104" s="2791"/>
      <c r="T104"/>
      <c r="U104"/>
      <c r="V104"/>
      <c r="W104"/>
      <c r="X104"/>
      <c r="Y104"/>
      <c r="Z104"/>
      <c r="AA104"/>
      <c r="AB104"/>
      <c r="AC104"/>
      <c r="AD104"/>
      <c r="AE104"/>
      <c r="AF104"/>
      <c r="AG104"/>
      <c r="AH104"/>
      <c r="AI104"/>
      <c r="AJ104"/>
      <c r="AK104"/>
      <c r="AL104"/>
      <c r="AM104"/>
      <c r="AN104"/>
      <c r="AO104"/>
      <c r="AP104"/>
    </row>
    <row r="105" spans="1:42" s="359" customFormat="1">
      <c r="A105"/>
      <c r="B105"/>
      <c r="C105"/>
      <c r="D105" s="54">
        <f>'Overall Assumptions'!$C$98</f>
        <v>130</v>
      </c>
      <c r="E105" s="966" t="s">
        <v>104</v>
      </c>
      <c r="F105" s="246"/>
      <c r="H105"/>
      <c r="I105"/>
      <c r="J105"/>
      <c r="K105"/>
      <c r="L105"/>
      <c r="M105"/>
      <c r="N105"/>
      <c r="O105"/>
      <c r="P105"/>
      <c r="Q105" s="2791"/>
      <c r="R105" s="2791"/>
      <c r="S105" s="2791"/>
      <c r="T105"/>
      <c r="U105"/>
      <c r="V105"/>
      <c r="W105"/>
      <c r="X105"/>
      <c r="Y105"/>
      <c r="Z105"/>
      <c r="AA105"/>
      <c r="AB105"/>
      <c r="AC105"/>
      <c r="AD105"/>
      <c r="AE105"/>
      <c r="AF105"/>
      <c r="AG105"/>
      <c r="AH105"/>
      <c r="AI105"/>
      <c r="AJ105"/>
      <c r="AK105"/>
      <c r="AL105"/>
      <c r="AM105"/>
      <c r="AN105"/>
      <c r="AO105"/>
      <c r="AP105"/>
    </row>
    <row r="106" spans="1:42" s="359" customFormat="1">
      <c r="A106"/>
      <c r="B106"/>
      <c r="C106"/>
      <c r="D106" s="54">
        <f>'Overall Assumptions'!$C$99</f>
        <v>400</v>
      </c>
      <c r="E106" s="76" t="s">
        <v>47</v>
      </c>
      <c r="F106" s="246"/>
      <c r="H106"/>
      <c r="I106"/>
      <c r="J106"/>
      <c r="K106"/>
      <c r="L106"/>
      <c r="M106"/>
      <c r="N106"/>
      <c r="O106"/>
      <c r="P106"/>
      <c r="Q106" s="2791"/>
      <c r="R106" s="2791"/>
      <c r="S106" s="2791"/>
      <c r="T106"/>
      <c r="U106"/>
      <c r="V106"/>
      <c r="W106"/>
      <c r="X106"/>
      <c r="Y106"/>
      <c r="Z106"/>
      <c r="AA106"/>
      <c r="AB106"/>
      <c r="AC106"/>
      <c r="AD106"/>
      <c r="AE106"/>
      <c r="AF106"/>
      <c r="AG106"/>
      <c r="AH106"/>
      <c r="AI106"/>
      <c r="AJ106"/>
      <c r="AK106"/>
      <c r="AL106"/>
      <c r="AM106"/>
      <c r="AN106"/>
      <c r="AO106"/>
      <c r="AP106"/>
    </row>
    <row r="107" spans="1:42" s="359" customFormat="1">
      <c r="A107"/>
      <c r="B107"/>
      <c r="C107"/>
      <c r="D107" s="968">
        <f>'Overall Assumptions'!$C$100</f>
        <v>50</v>
      </c>
      <c r="E107" s="969" t="s">
        <v>107</v>
      </c>
      <c r="F107" s="162"/>
      <c r="H107"/>
      <c r="I107"/>
      <c r="J107"/>
      <c r="K107"/>
      <c r="L107"/>
      <c r="M107"/>
      <c r="N107"/>
      <c r="O107"/>
      <c r="P107"/>
      <c r="Q107" s="2791"/>
      <c r="R107" s="2791"/>
      <c r="S107" s="2791"/>
      <c r="T107"/>
      <c r="U107"/>
      <c r="V107"/>
      <c r="W107"/>
      <c r="X107"/>
      <c r="Y107"/>
      <c r="Z107"/>
      <c r="AA107"/>
      <c r="AB107"/>
      <c r="AC107"/>
      <c r="AD107"/>
      <c r="AE107"/>
      <c r="AF107"/>
      <c r="AG107"/>
      <c r="AH107"/>
      <c r="AI107"/>
      <c r="AJ107"/>
      <c r="AK107"/>
      <c r="AL107"/>
      <c r="AM107"/>
      <c r="AN107"/>
      <c r="AO107"/>
      <c r="AP107"/>
    </row>
    <row r="108" spans="1:42" s="359" customFormat="1" ht="18">
      <c r="A108"/>
      <c r="B108"/>
      <c r="C108"/>
      <c r="D108" s="18" t="s">
        <v>108</v>
      </c>
      <c r="E108" s="16"/>
      <c r="F108"/>
      <c r="H108"/>
      <c r="I108"/>
      <c r="J108"/>
      <c r="K108"/>
      <c r="L108"/>
      <c r="M108"/>
      <c r="N108"/>
      <c r="O108"/>
      <c r="P108"/>
      <c r="Q108" s="2791"/>
      <c r="R108" s="2791"/>
      <c r="S108" s="2791"/>
      <c r="T108"/>
      <c r="U108"/>
      <c r="V108"/>
      <c r="W108"/>
      <c r="X108"/>
      <c r="Y108"/>
      <c r="Z108"/>
      <c r="AA108"/>
      <c r="AB108"/>
      <c r="AC108"/>
      <c r="AD108"/>
      <c r="AE108"/>
      <c r="AF108"/>
      <c r="AG108"/>
      <c r="AH108"/>
      <c r="AI108"/>
      <c r="AJ108"/>
      <c r="AK108"/>
      <c r="AL108"/>
      <c r="AM108"/>
      <c r="AN108"/>
      <c r="AO108"/>
      <c r="AP108"/>
    </row>
    <row r="109" spans="1:42" s="359" customFormat="1">
      <c r="A109"/>
      <c r="B109"/>
      <c r="C109"/>
      <c r="D109" s="25">
        <f>2*D103/D104/7.5</f>
        <v>0</v>
      </c>
      <c r="E109" s="16" t="s">
        <v>112</v>
      </c>
      <c r="F109"/>
      <c r="H109"/>
      <c r="I109"/>
      <c r="J109"/>
      <c r="K109"/>
      <c r="L109"/>
      <c r="M109"/>
      <c r="N109"/>
      <c r="O109"/>
      <c r="P109"/>
      <c r="Q109" s="2791"/>
      <c r="R109" s="2791"/>
      <c r="S109" s="2791"/>
      <c r="T109"/>
      <c r="U109"/>
      <c r="V109"/>
      <c r="W109"/>
      <c r="X109"/>
      <c r="Y109"/>
      <c r="Z109"/>
      <c r="AA109"/>
      <c r="AB109"/>
      <c r="AC109"/>
      <c r="AD109"/>
      <c r="AE109"/>
      <c r="AF109"/>
      <c r="AG109"/>
      <c r="AH109"/>
      <c r="AI109"/>
      <c r="AJ109"/>
      <c r="AK109"/>
      <c r="AL109"/>
      <c r="AM109"/>
      <c r="AN109"/>
      <c r="AO109"/>
      <c r="AP109"/>
    </row>
    <row r="110" spans="1:42" s="359" customFormat="1">
      <c r="A110"/>
      <c r="B110"/>
      <c r="C110"/>
      <c r="D110" s="23" t="s">
        <v>109</v>
      </c>
      <c r="E110" s="16"/>
      <c r="F110"/>
      <c r="H110"/>
      <c r="I110"/>
      <c r="J110"/>
      <c r="K110"/>
      <c r="L110"/>
      <c r="M110"/>
      <c r="N110"/>
      <c r="O110"/>
      <c r="P110"/>
      <c r="Q110" s="2791"/>
      <c r="R110" s="2791"/>
      <c r="S110" s="2791"/>
      <c r="T110"/>
      <c r="U110"/>
      <c r="V110"/>
      <c r="W110"/>
      <c r="X110"/>
      <c r="Y110"/>
      <c r="Z110"/>
      <c r="AA110"/>
      <c r="AB110"/>
      <c r="AC110"/>
      <c r="AD110"/>
      <c r="AE110"/>
      <c r="AF110"/>
      <c r="AG110"/>
      <c r="AH110"/>
      <c r="AI110"/>
      <c r="AJ110"/>
      <c r="AK110"/>
      <c r="AL110"/>
      <c r="AM110"/>
      <c r="AN110"/>
      <c r="AO110"/>
      <c r="AP110"/>
    </row>
    <row r="111" spans="1:42" s="359" customFormat="1">
      <c r="A111"/>
      <c r="B111"/>
      <c r="C111"/>
      <c r="D111" s="77">
        <f>D101/D102/D105/7.5</f>
        <v>0.20512820512820515</v>
      </c>
      <c r="E111" s="16" t="s">
        <v>113</v>
      </c>
      <c r="F111"/>
      <c r="H111"/>
      <c r="I111"/>
      <c r="J111"/>
      <c r="K111"/>
      <c r="L111"/>
      <c r="M111"/>
      <c r="N111"/>
      <c r="O111"/>
      <c r="P111"/>
      <c r="Q111" s="2791"/>
      <c r="R111" s="2791"/>
      <c r="S111" s="2791"/>
      <c r="T111"/>
      <c r="U111"/>
      <c r="V111"/>
      <c r="W111"/>
      <c r="X111"/>
      <c r="Y111"/>
      <c r="Z111"/>
      <c r="AA111"/>
      <c r="AB111"/>
      <c r="AC111"/>
      <c r="AD111"/>
      <c r="AE111"/>
      <c r="AF111"/>
      <c r="AG111"/>
      <c r="AH111"/>
      <c r="AI111"/>
      <c r="AJ111"/>
      <c r="AK111"/>
      <c r="AL111"/>
      <c r="AM111"/>
      <c r="AN111"/>
      <c r="AO111"/>
      <c r="AP111"/>
    </row>
    <row r="112" spans="1:42" s="359" customFormat="1">
      <c r="A112"/>
      <c r="B112"/>
      <c r="C112"/>
      <c r="D112" s="23" t="s">
        <v>110</v>
      </c>
      <c r="E112" s="16"/>
      <c r="F112"/>
      <c r="H112"/>
      <c r="I112"/>
      <c r="J112"/>
      <c r="K112"/>
      <c r="L112"/>
      <c r="M112"/>
      <c r="N112"/>
      <c r="O112"/>
      <c r="P112"/>
      <c r="Q112" s="2791"/>
      <c r="R112" s="2791"/>
      <c r="S112" s="2791"/>
      <c r="T112"/>
      <c r="U112"/>
      <c r="V112"/>
      <c r="W112"/>
      <c r="X112"/>
      <c r="Y112"/>
      <c r="Z112"/>
      <c r="AA112"/>
      <c r="AB112"/>
      <c r="AC112"/>
      <c r="AD112"/>
      <c r="AE112"/>
      <c r="AF112"/>
      <c r="AG112"/>
      <c r="AH112"/>
      <c r="AI112"/>
      <c r="AJ112"/>
      <c r="AK112"/>
      <c r="AL112"/>
      <c r="AM112"/>
      <c r="AN112"/>
      <c r="AO112"/>
      <c r="AP112"/>
    </row>
    <row r="113" spans="3:8">
      <c r="D113" s="46">
        <f>FLOOR(D101/D102/D106,1)</f>
        <v>0</v>
      </c>
      <c r="E113" s="16" t="s">
        <v>111</v>
      </c>
      <c r="F113" s="70"/>
      <c r="G113" s="99"/>
      <c r="H113" s="16"/>
    </row>
    <row r="114" spans="3:8">
      <c r="D114" s="25" t="str">
        <f>IF(F113&gt;D106,"YES","NO")</f>
        <v>NO</v>
      </c>
      <c r="E114" s="16" t="s">
        <v>48</v>
      </c>
    </row>
    <row r="115" spans="3:8">
      <c r="D115" s="46">
        <f>2*D107/D104*D113/7.5</f>
        <v>0</v>
      </c>
      <c r="E115" s="16" t="s">
        <v>114</v>
      </c>
    </row>
    <row r="117" spans="3:8">
      <c r="D117" s="25">
        <f>SUM(D109,D111,D115)</f>
        <v>0.20512820512820515</v>
      </c>
      <c r="E117" s="16" t="s">
        <v>115</v>
      </c>
    </row>
    <row r="118" spans="3:8">
      <c r="D118" s="77">
        <f>D99*D117</f>
        <v>0.20512820512820515</v>
      </c>
      <c r="E118" s="16" t="s">
        <v>88</v>
      </c>
    </row>
    <row r="120" spans="3:8">
      <c r="D120" s="62">
        <f>D97*D99*D109</f>
        <v>0</v>
      </c>
      <c r="E120" s="16" t="s">
        <v>36</v>
      </c>
    </row>
    <row r="121" spans="3:8">
      <c r="D121" s="62">
        <f>D97*D99*D111</f>
        <v>46.15384615384616</v>
      </c>
      <c r="E121" s="16" t="s">
        <v>39</v>
      </c>
    </row>
    <row r="122" spans="3:8">
      <c r="D122" s="62">
        <f>D97*D99*D115</f>
        <v>0</v>
      </c>
      <c r="E122" s="16" t="s">
        <v>118</v>
      </c>
    </row>
    <row r="124" spans="3:8">
      <c r="D124" s="72">
        <f>SUM(D120:D122)</f>
        <v>46.15384615384616</v>
      </c>
      <c r="E124" s="47" t="s">
        <v>486</v>
      </c>
    </row>
    <row r="125" spans="3:8">
      <c r="D125" s="104"/>
      <c r="E125" s="66"/>
    </row>
    <row r="126" spans="3:8">
      <c r="C126" t="s">
        <v>55</v>
      </c>
      <c r="D126" s="6" t="s">
        <v>119</v>
      </c>
    </row>
    <row r="127" spans="3:8">
      <c r="D127" s="25"/>
    </row>
    <row r="128" spans="3:8">
      <c r="D128" s="25"/>
    </row>
    <row r="129" spans="1:42" s="359" customFormat="1">
      <c r="A129"/>
      <c r="B129"/>
      <c r="C129"/>
      <c r="D129" s="25"/>
      <c r="E129" s="16"/>
      <c r="F129"/>
      <c r="H129"/>
      <c r="I129"/>
      <c r="J129"/>
      <c r="K129"/>
      <c r="L129"/>
      <c r="M129"/>
      <c r="N129"/>
      <c r="O129"/>
      <c r="P129"/>
      <c r="Q129" s="2791"/>
      <c r="R129" s="2791"/>
      <c r="S129" s="2791"/>
      <c r="T129"/>
      <c r="U129"/>
      <c r="V129"/>
      <c r="W129"/>
      <c r="X129"/>
      <c r="Y129"/>
      <c r="Z129"/>
      <c r="AA129"/>
      <c r="AB129"/>
      <c r="AC129"/>
      <c r="AD129"/>
      <c r="AE129"/>
      <c r="AF129"/>
      <c r="AG129"/>
      <c r="AH129"/>
      <c r="AI129"/>
      <c r="AJ129"/>
      <c r="AK129"/>
      <c r="AL129"/>
      <c r="AM129"/>
      <c r="AN129"/>
      <c r="AO129"/>
      <c r="AP129"/>
    </row>
    <row r="131" spans="1:42" s="359" customFormat="1">
      <c r="A131"/>
      <c r="B131"/>
      <c r="C131"/>
      <c r="D131" s="85" t="s">
        <v>91</v>
      </c>
      <c r="E131" s="41"/>
      <c r="F131"/>
      <c r="H131"/>
      <c r="I131"/>
      <c r="J131"/>
      <c r="K131"/>
      <c r="L131"/>
      <c r="M131"/>
      <c r="N131"/>
      <c r="O131"/>
      <c r="P131"/>
      <c r="Q131" s="2791"/>
      <c r="R131" s="2791"/>
      <c r="S131" s="2791"/>
      <c r="T131"/>
      <c r="U131"/>
      <c r="V131"/>
      <c r="W131"/>
      <c r="X131"/>
      <c r="Y131"/>
      <c r="Z131"/>
      <c r="AA131"/>
      <c r="AB131"/>
      <c r="AC131"/>
      <c r="AD131"/>
      <c r="AE131"/>
      <c r="AF131"/>
      <c r="AG131"/>
      <c r="AH131"/>
      <c r="AI131"/>
      <c r="AJ131"/>
      <c r="AK131"/>
      <c r="AL131"/>
      <c r="AM131"/>
      <c r="AN131"/>
      <c r="AO131"/>
      <c r="AP131"/>
    </row>
    <row r="132" spans="1:42" s="359" customFormat="1">
      <c r="A132"/>
      <c r="B132"/>
      <c r="C132"/>
      <c r="D132" s="86">
        <f>'Overall Assumptions'!$C$96</f>
        <v>850</v>
      </c>
      <c r="E132" s="80" t="s">
        <v>120</v>
      </c>
      <c r="F132"/>
      <c r="H132"/>
      <c r="I132"/>
      <c r="J132"/>
      <c r="K132"/>
      <c r="L132"/>
      <c r="M132"/>
      <c r="N132"/>
      <c r="O132"/>
      <c r="P132"/>
      <c r="Q132" s="2791"/>
      <c r="R132" s="2791"/>
      <c r="S132" s="2791"/>
      <c r="T132"/>
      <c r="U132"/>
      <c r="V132"/>
      <c r="W132"/>
      <c r="X132"/>
      <c r="Y132"/>
      <c r="Z132"/>
      <c r="AA132"/>
      <c r="AB132"/>
      <c r="AC132"/>
      <c r="AD132"/>
      <c r="AE132"/>
      <c r="AF132"/>
      <c r="AG132"/>
      <c r="AH132"/>
      <c r="AI132"/>
      <c r="AJ132"/>
      <c r="AK132"/>
      <c r="AL132"/>
      <c r="AM132"/>
      <c r="AN132"/>
      <c r="AO132"/>
      <c r="AP132"/>
    </row>
    <row r="133" spans="1:42" s="359" customFormat="1">
      <c r="A133"/>
      <c r="B133"/>
      <c r="C133"/>
      <c r="D133" s="56"/>
      <c r="E133" s="45"/>
      <c r="F133"/>
      <c r="H133"/>
      <c r="I133"/>
      <c r="J133"/>
      <c r="K133"/>
      <c r="L133"/>
      <c r="M133"/>
      <c r="N133"/>
      <c r="O133"/>
      <c r="P133"/>
      <c r="Q133" s="2791"/>
      <c r="R133" s="2791"/>
      <c r="S133" s="2791"/>
      <c r="T133"/>
      <c r="U133"/>
      <c r="V133"/>
      <c r="W133"/>
      <c r="X133"/>
      <c r="Y133"/>
      <c r="Z133"/>
      <c r="AA133"/>
      <c r="AB133"/>
      <c r="AC133"/>
      <c r="AD133"/>
      <c r="AE133"/>
      <c r="AF133"/>
      <c r="AG133"/>
      <c r="AH133"/>
      <c r="AI133"/>
      <c r="AJ133"/>
      <c r="AK133"/>
      <c r="AL133"/>
      <c r="AM133"/>
      <c r="AN133"/>
      <c r="AO133"/>
      <c r="AP133"/>
    </row>
    <row r="134" spans="1:42" s="359" customFormat="1">
      <c r="A134"/>
      <c r="B134"/>
      <c r="C134"/>
      <c r="D134" s="23" t="s">
        <v>121</v>
      </c>
      <c r="E134" s="87"/>
      <c r="F134" s="21"/>
      <c r="H134"/>
      <c r="I134"/>
      <c r="J134"/>
      <c r="K134"/>
      <c r="L134"/>
      <c r="M134"/>
      <c r="N134"/>
      <c r="O134"/>
      <c r="P134"/>
      <c r="Q134" s="2791"/>
      <c r="R134" s="2791"/>
      <c r="S134" s="2791"/>
      <c r="T134"/>
      <c r="U134"/>
      <c r="V134"/>
      <c r="W134"/>
      <c r="X134"/>
      <c r="Y134"/>
      <c r="Z134"/>
      <c r="AA134"/>
      <c r="AB134"/>
      <c r="AC134"/>
      <c r="AD134"/>
      <c r="AE134"/>
      <c r="AF134"/>
      <c r="AG134"/>
      <c r="AH134"/>
      <c r="AI134"/>
      <c r="AJ134"/>
      <c r="AK134"/>
      <c r="AL134"/>
      <c r="AM134"/>
      <c r="AN134"/>
      <c r="AO134"/>
      <c r="AP134"/>
    </row>
    <row r="135" spans="1:42" s="359" customFormat="1">
      <c r="A135"/>
      <c r="B135"/>
      <c r="C135"/>
      <c r="D135" s="23" t="s">
        <v>123</v>
      </c>
      <c r="E135" s="87"/>
      <c r="F135" s="21"/>
      <c r="H135"/>
      <c r="I135"/>
      <c r="J135"/>
      <c r="K135"/>
      <c r="L135"/>
      <c r="M135"/>
      <c r="N135"/>
      <c r="O135"/>
      <c r="P135"/>
      <c r="Q135" s="2791"/>
      <c r="R135" s="2791"/>
      <c r="S135" s="2791"/>
      <c r="T135"/>
      <c r="U135"/>
      <c r="V135"/>
      <c r="W135"/>
      <c r="X135"/>
      <c r="Y135"/>
      <c r="Z135"/>
      <c r="AA135"/>
      <c r="AB135"/>
      <c r="AC135"/>
      <c r="AD135"/>
      <c r="AE135"/>
      <c r="AF135"/>
      <c r="AG135"/>
      <c r="AH135"/>
      <c r="AI135"/>
      <c r="AJ135"/>
      <c r="AK135"/>
      <c r="AL135"/>
      <c r="AM135"/>
      <c r="AN135"/>
      <c r="AO135"/>
      <c r="AP135"/>
    </row>
    <row r="136" spans="1:42" s="359" customFormat="1">
      <c r="A136"/>
      <c r="B136"/>
      <c r="C136"/>
      <c r="D136" s="22">
        <f>2*D103/D104</f>
        <v>0</v>
      </c>
      <c r="E136" s="21" t="s">
        <v>968</v>
      </c>
      <c r="F136" s="21"/>
      <c r="H136"/>
      <c r="I136"/>
      <c r="J136"/>
      <c r="K136"/>
      <c r="L136"/>
      <c r="M136"/>
      <c r="N136"/>
      <c r="O136"/>
      <c r="P136"/>
      <c r="Q136" s="2791"/>
      <c r="R136" s="2791"/>
      <c r="S136" s="2791"/>
      <c r="T136"/>
      <c r="U136"/>
      <c r="V136"/>
      <c r="W136"/>
      <c r="X136"/>
      <c r="Y136"/>
      <c r="Z136"/>
      <c r="AA136"/>
      <c r="AB136"/>
      <c r="AC136"/>
      <c r="AD136"/>
      <c r="AE136"/>
      <c r="AF136"/>
      <c r="AG136"/>
      <c r="AH136"/>
      <c r="AI136"/>
      <c r="AJ136"/>
      <c r="AK136"/>
      <c r="AL136"/>
      <c r="AM136"/>
      <c r="AN136"/>
      <c r="AO136"/>
      <c r="AP136"/>
    </row>
    <row r="137" spans="1:42" s="359" customFormat="1">
      <c r="A137"/>
      <c r="B137"/>
      <c r="C137"/>
      <c r="D137" s="23" t="s">
        <v>122</v>
      </c>
      <c r="E137" s="21"/>
      <c r="F137" s="21"/>
      <c r="H137"/>
      <c r="I137"/>
      <c r="J137"/>
      <c r="K137"/>
      <c r="L137"/>
      <c r="M137"/>
      <c r="N137"/>
      <c r="O137"/>
      <c r="P137"/>
      <c r="Q137" s="2791"/>
      <c r="R137" s="2791"/>
      <c r="S137" s="2791"/>
      <c r="T137"/>
      <c r="U137"/>
      <c r="V137"/>
      <c r="W137"/>
      <c r="X137"/>
      <c r="Y137"/>
      <c r="Z137"/>
      <c r="AA137"/>
      <c r="AB137"/>
      <c r="AC137"/>
      <c r="AD137"/>
      <c r="AE137"/>
      <c r="AF137"/>
      <c r="AG137"/>
      <c r="AH137"/>
      <c r="AI137"/>
      <c r="AJ137"/>
      <c r="AK137"/>
      <c r="AL137"/>
      <c r="AM137"/>
      <c r="AN137"/>
      <c r="AO137"/>
      <c r="AP137"/>
    </row>
    <row r="138" spans="1:42" s="359" customFormat="1">
      <c r="A138"/>
      <c r="B138"/>
      <c r="C138"/>
      <c r="D138" s="23" t="s">
        <v>124</v>
      </c>
      <c r="E138" s="21"/>
      <c r="F138" s="21"/>
      <c r="H138"/>
      <c r="I138"/>
      <c r="J138"/>
      <c r="K138"/>
      <c r="L138"/>
      <c r="M138"/>
      <c r="N138"/>
      <c r="O138"/>
      <c r="P138"/>
      <c r="Q138" s="2791"/>
      <c r="R138" s="2791"/>
      <c r="S138" s="2791"/>
      <c r="T138"/>
      <c r="U138"/>
      <c r="V138"/>
      <c r="W138"/>
      <c r="X138"/>
      <c r="Y138"/>
      <c r="Z138"/>
      <c r="AA138"/>
      <c r="AB138"/>
      <c r="AC138"/>
      <c r="AD138"/>
      <c r="AE138"/>
      <c r="AF138"/>
      <c r="AG138"/>
      <c r="AH138"/>
      <c r="AI138"/>
      <c r="AJ138"/>
      <c r="AK138"/>
      <c r="AL138"/>
      <c r="AM138"/>
      <c r="AN138"/>
      <c r="AO138"/>
      <c r="AP138"/>
    </row>
    <row r="139" spans="1:42" s="359" customFormat="1">
      <c r="A139"/>
      <c r="B139"/>
      <c r="C139"/>
      <c r="D139" s="22">
        <f>D111</f>
        <v>0.20512820512820515</v>
      </c>
      <c r="E139" s="21" t="s">
        <v>969</v>
      </c>
      <c r="F139" s="21"/>
      <c r="H139"/>
      <c r="I139"/>
      <c r="J139"/>
      <c r="K139"/>
      <c r="L139"/>
      <c r="M139"/>
      <c r="N139"/>
      <c r="O139"/>
      <c r="P139"/>
      <c r="Q139" s="2791"/>
      <c r="R139" s="2791"/>
      <c r="S139" s="2791"/>
      <c r="T139"/>
      <c r="U139"/>
      <c r="V139"/>
      <c r="W139"/>
      <c r="X139"/>
      <c r="Y139"/>
      <c r="Z139"/>
      <c r="AA139"/>
      <c r="AB139"/>
      <c r="AC139"/>
      <c r="AD139"/>
      <c r="AE139"/>
      <c r="AF139"/>
      <c r="AG139"/>
      <c r="AH139"/>
      <c r="AI139"/>
      <c r="AJ139"/>
      <c r="AK139"/>
      <c r="AL139"/>
      <c r="AM139"/>
      <c r="AN139"/>
      <c r="AO139"/>
      <c r="AP139"/>
    </row>
    <row r="140" spans="1:42" s="359" customFormat="1">
      <c r="A140"/>
      <c r="B140"/>
      <c r="C140"/>
      <c r="D140" s="23" t="s">
        <v>125</v>
      </c>
      <c r="E140" s="21"/>
      <c r="F140" s="21"/>
      <c r="H140"/>
      <c r="I140"/>
      <c r="J140"/>
      <c r="K140"/>
      <c r="L140"/>
      <c r="M140"/>
      <c r="N140"/>
      <c r="O140"/>
      <c r="P140"/>
      <c r="Q140" s="2791"/>
      <c r="R140" s="2791"/>
      <c r="S140" s="2791"/>
      <c r="T140"/>
      <c r="U140"/>
      <c r="V140"/>
      <c r="W140"/>
      <c r="X140"/>
      <c r="Y140"/>
      <c r="Z140"/>
      <c r="AA140"/>
      <c r="AB140"/>
      <c r="AC140"/>
      <c r="AD140"/>
      <c r="AE140"/>
      <c r="AF140"/>
      <c r="AG140"/>
      <c r="AH140"/>
      <c r="AI140"/>
      <c r="AJ140"/>
      <c r="AK140"/>
      <c r="AL140"/>
      <c r="AM140"/>
      <c r="AN140"/>
      <c r="AO140"/>
      <c r="AP140"/>
    </row>
    <row r="141" spans="1:42" s="359" customFormat="1">
      <c r="A141"/>
      <c r="B141"/>
      <c r="C141"/>
      <c r="D141" s="23" t="s">
        <v>126</v>
      </c>
      <c r="E141" s="21"/>
      <c r="F141" s="21"/>
      <c r="H141"/>
      <c r="I141"/>
      <c r="J141"/>
      <c r="K141"/>
      <c r="L141"/>
      <c r="M141"/>
      <c r="N141"/>
      <c r="O141"/>
      <c r="P141"/>
      <c r="Q141" s="2791"/>
      <c r="R141" s="2791"/>
      <c r="S141" s="2791"/>
      <c r="T141"/>
      <c r="U141"/>
      <c r="V141"/>
      <c r="W141"/>
      <c r="X141"/>
      <c r="Y141"/>
      <c r="Z141"/>
      <c r="AA141"/>
      <c r="AB141"/>
      <c r="AC141"/>
      <c r="AD141"/>
      <c r="AE141"/>
      <c r="AF141"/>
      <c r="AG141"/>
      <c r="AH141"/>
      <c r="AI141"/>
      <c r="AJ141"/>
      <c r="AK141"/>
      <c r="AL141"/>
      <c r="AM141"/>
      <c r="AN141"/>
      <c r="AO141"/>
      <c r="AP141"/>
    </row>
    <row r="142" spans="1:42" s="359" customFormat="1">
      <c r="A142"/>
      <c r="B142"/>
      <c r="C142"/>
      <c r="D142" s="22">
        <f t="shared" ref="D142:E144" si="20">D113</f>
        <v>0</v>
      </c>
      <c r="E142" s="971" t="str">
        <f t="shared" si="20"/>
        <v>Number of times required to do refuelling</v>
      </c>
      <c r="F142" s="21"/>
      <c r="H142"/>
      <c r="I142"/>
      <c r="J142"/>
      <c r="K142"/>
      <c r="L142"/>
      <c r="M142"/>
      <c r="N142"/>
      <c r="O142"/>
      <c r="P142"/>
      <c r="Q142" s="2791"/>
      <c r="R142" s="2791"/>
      <c r="S142" s="2791"/>
      <c r="T142"/>
      <c r="U142"/>
      <c r="V142"/>
      <c r="W142"/>
      <c r="X142"/>
      <c r="Y142"/>
      <c r="Z142"/>
      <c r="AA142"/>
      <c r="AB142"/>
      <c r="AC142"/>
      <c r="AD142"/>
      <c r="AE142"/>
      <c r="AF142"/>
      <c r="AG142"/>
      <c r="AH142"/>
      <c r="AI142"/>
      <c r="AJ142"/>
      <c r="AK142"/>
      <c r="AL142"/>
      <c r="AM142"/>
      <c r="AN142"/>
      <c r="AO142"/>
      <c r="AP142"/>
    </row>
    <row r="143" spans="1:42" s="359" customFormat="1">
      <c r="A143"/>
      <c r="B143"/>
      <c r="C143"/>
      <c r="D143" s="22" t="str">
        <f t="shared" si="20"/>
        <v>NO</v>
      </c>
      <c r="E143" s="971" t="str">
        <f t="shared" si="20"/>
        <v>Need to refuel?</v>
      </c>
      <c r="F143" s="21"/>
      <c r="H143"/>
      <c r="I143"/>
      <c r="J143"/>
      <c r="K143"/>
      <c r="L143"/>
      <c r="M143"/>
      <c r="N143"/>
      <c r="O143"/>
      <c r="P143"/>
      <c r="Q143" s="2791"/>
      <c r="R143" s="2791"/>
      <c r="S143" s="2791"/>
      <c r="T143"/>
      <c r="U143"/>
      <c r="V143"/>
      <c r="W143"/>
      <c r="X143"/>
      <c r="Y143"/>
      <c r="Z143"/>
      <c r="AA143"/>
      <c r="AB143"/>
      <c r="AC143"/>
      <c r="AD143"/>
      <c r="AE143"/>
      <c r="AF143"/>
      <c r="AG143"/>
      <c r="AH143"/>
      <c r="AI143"/>
      <c r="AJ143"/>
      <c r="AK143"/>
      <c r="AL143"/>
      <c r="AM143"/>
      <c r="AN143"/>
      <c r="AO143"/>
      <c r="AP143"/>
    </row>
    <row r="144" spans="1:42" s="359" customFormat="1">
      <c r="A144"/>
      <c r="B144"/>
      <c r="C144"/>
      <c r="D144" s="22">
        <f t="shared" si="20"/>
        <v>0</v>
      </c>
      <c r="E144" s="971" t="str">
        <f t="shared" si="20"/>
        <v>Days required to do refuelling</v>
      </c>
      <c r="F144" s="21"/>
      <c r="H144"/>
      <c r="I144"/>
      <c r="J144"/>
      <c r="K144"/>
      <c r="L144"/>
      <c r="M144"/>
      <c r="N144"/>
      <c r="O144"/>
      <c r="P144"/>
      <c r="Q144" s="2791"/>
      <c r="R144" s="2791"/>
      <c r="S144" s="2791"/>
      <c r="T144"/>
      <c r="U144"/>
      <c r="V144"/>
      <c r="W144"/>
      <c r="X144"/>
      <c r="Y144"/>
      <c r="Z144"/>
      <c r="AA144"/>
      <c r="AB144"/>
      <c r="AC144"/>
      <c r="AD144"/>
      <c r="AE144"/>
      <c r="AF144"/>
      <c r="AG144"/>
      <c r="AH144"/>
      <c r="AI144"/>
      <c r="AJ144"/>
      <c r="AK144"/>
      <c r="AL144"/>
      <c r="AM144"/>
      <c r="AN144"/>
      <c r="AO144"/>
      <c r="AP144"/>
    </row>
    <row r="145" spans="3:10">
      <c r="F145" s="21"/>
      <c r="J145" s="21"/>
    </row>
    <row r="146" spans="3:10">
      <c r="D146" s="20">
        <f>SUM(D136,D139,D144)</f>
        <v>0.20512820512820515</v>
      </c>
      <c r="E146" s="21" t="s">
        <v>177</v>
      </c>
      <c r="F146" s="21"/>
    </row>
    <row r="147" spans="3:10">
      <c r="D147" s="20">
        <f>D146*7.5</f>
        <v>1.5384615384615385</v>
      </c>
      <c r="E147" s="16" t="s">
        <v>970</v>
      </c>
      <c r="F147" s="21"/>
    </row>
    <row r="148" spans="3:10">
      <c r="C148" s="90"/>
      <c r="D148" s="89">
        <f>D132*D136*7.5</f>
        <v>0</v>
      </c>
      <c r="E148" s="21" t="s">
        <v>36</v>
      </c>
      <c r="F148" s="21"/>
    </row>
    <row r="149" spans="3:10">
      <c r="D149" s="73">
        <f>D139*D132*7.5</f>
        <v>1307.6923076923076</v>
      </c>
      <c r="E149" s="16" t="s">
        <v>56</v>
      </c>
    </row>
    <row r="150" spans="3:10">
      <c r="D150" s="73">
        <f>D144*D132*7.5</f>
        <v>0</v>
      </c>
      <c r="E150" s="21" t="s">
        <v>127</v>
      </c>
    </row>
    <row r="151" spans="3:10">
      <c r="D151" s="74">
        <f>SUM(D148:D150)</f>
        <v>1307.6923076923076</v>
      </c>
      <c r="E151" s="47" t="s">
        <v>487</v>
      </c>
    </row>
    <row r="152" spans="3:10">
      <c r="D152" s="91"/>
      <c r="E152" s="66"/>
    </row>
    <row r="153" spans="3:10">
      <c r="D153" s="46">
        <f>D146</f>
        <v>0.20512820512820515</v>
      </c>
      <c r="E153" s="359" t="s">
        <v>795</v>
      </c>
      <c r="F153" s="46"/>
    </row>
    <row r="154" spans="3:10">
      <c r="D154" s="75">
        <f>ROUNDUP((D146/21),0)</f>
        <v>1</v>
      </c>
      <c r="E154" s="99" t="s">
        <v>739</v>
      </c>
      <c r="F154" s="75"/>
    </row>
    <row r="155" spans="3:10">
      <c r="D155" s="104"/>
      <c r="E155" s="66"/>
    </row>
    <row r="156" spans="3:10">
      <c r="C156" t="s">
        <v>70</v>
      </c>
      <c r="D156" s="23" t="s">
        <v>161</v>
      </c>
    </row>
    <row r="160" spans="3:10">
      <c r="D160" s="46">
        <f>SUM(D109,D111,D115)</f>
        <v>0.20512820512820515</v>
      </c>
      <c r="E160" s="16" t="s">
        <v>115</v>
      </c>
    </row>
    <row r="161" spans="3:10">
      <c r="D161" s="23" t="str">
        <f>IF(D117&gt;1,"YES","NO")</f>
        <v>NO</v>
      </c>
      <c r="E161" s="16" t="s">
        <v>72</v>
      </c>
    </row>
    <row r="162" spans="3:10">
      <c r="D162" s="23">
        <f>FLOOR(D117,1)</f>
        <v>0</v>
      </c>
      <c r="E162" s="16" t="s">
        <v>116</v>
      </c>
    </row>
    <row r="163" spans="3:10">
      <c r="D163" s="104"/>
      <c r="E163" s="66"/>
    </row>
    <row r="164" spans="3:10">
      <c r="D164" s="64">
        <f>D98*D99*D162</f>
        <v>0</v>
      </c>
      <c r="E164" s="39" t="s">
        <v>117</v>
      </c>
      <c r="F164" s="255"/>
      <c r="G164" s="1090"/>
      <c r="H164" s="255"/>
      <c r="I164" s="161"/>
    </row>
    <row r="165" spans="3:10">
      <c r="D165" s="400"/>
      <c r="E165" s="164"/>
      <c r="F165" s="255"/>
      <c r="G165" s="1090"/>
      <c r="H165" s="255"/>
      <c r="I165" s="161"/>
    </row>
    <row r="166" spans="3:10">
      <c r="D166" s="143" t="s">
        <v>172</v>
      </c>
      <c r="E166" s="144" t="s">
        <v>155</v>
      </c>
      <c r="F166" s="144" t="s">
        <v>173</v>
      </c>
      <c r="G166" s="1094" t="s">
        <v>174</v>
      </c>
      <c r="H166" s="144" t="s">
        <v>166</v>
      </c>
      <c r="I166" s="145" t="s">
        <v>69</v>
      </c>
    </row>
    <row r="167" spans="3:10">
      <c r="D167" s="135" t="s">
        <v>3</v>
      </c>
      <c r="E167" s="136">
        <f>D118</f>
        <v>0.20512820512820515</v>
      </c>
      <c r="F167" s="141">
        <f>D101</f>
        <v>100</v>
      </c>
      <c r="G167" s="1093"/>
      <c r="H167" s="119">
        <f>D124</f>
        <v>46.15384615384616</v>
      </c>
      <c r="I167" s="358" t="str">
        <f>E124</f>
        <v>Cost for labour</v>
      </c>
      <c r="J167" s="558">
        <f>$D$87</f>
        <v>5</v>
      </c>
    </row>
    <row r="168" spans="3:10">
      <c r="D168" s="135" t="s">
        <v>132</v>
      </c>
      <c r="E168" s="136">
        <f>D147</f>
        <v>1.5384615384615385</v>
      </c>
      <c r="F168" s="141">
        <f>D103*2</f>
        <v>0</v>
      </c>
      <c r="G168" s="1095"/>
      <c r="H168" s="119">
        <f>D151</f>
        <v>1307.6923076923076</v>
      </c>
      <c r="I168" s="358" t="str">
        <f>E151</f>
        <v xml:space="preserve">Cost for transport </v>
      </c>
      <c r="J168" s="558">
        <f>$D$87</f>
        <v>5</v>
      </c>
    </row>
    <row r="169" spans="3:10">
      <c r="D169" s="135" t="s">
        <v>169</v>
      </c>
      <c r="E169" s="136">
        <f>D162</f>
        <v>0</v>
      </c>
      <c r="F169" s="141"/>
      <c r="G169" s="1095"/>
      <c r="H169" s="119">
        <f>D164</f>
        <v>0</v>
      </c>
      <c r="I169" s="358" t="str">
        <f>E164</f>
        <v>cost for accommodation and meals</v>
      </c>
      <c r="J169" s="558">
        <f>$D$87</f>
        <v>5</v>
      </c>
    </row>
    <row r="170" spans="3:10">
      <c r="D170" s="135"/>
      <c r="E170" s="136"/>
      <c r="F170" s="141"/>
      <c r="G170" s="1093"/>
      <c r="H170" s="119"/>
      <c r="I170" s="358"/>
    </row>
    <row r="171" spans="3:10">
      <c r="D171" s="135"/>
      <c r="E171" s="136"/>
      <c r="F171" s="141"/>
      <c r="G171" s="1093"/>
      <c r="H171" s="119"/>
      <c r="I171" s="358"/>
    </row>
    <row r="172" spans="3:10">
      <c r="D172" s="137"/>
      <c r="E172" s="138"/>
      <c r="F172" s="142"/>
      <c r="G172" s="1096"/>
      <c r="H172" s="139">
        <f>SUM(H167:H171)</f>
        <v>1353.8461538461538</v>
      </c>
      <c r="I172" s="140" t="s">
        <v>165</v>
      </c>
    </row>
    <row r="173" spans="3:10">
      <c r="D173" s="122"/>
      <c r="E173" s="147"/>
      <c r="F173" s="122"/>
      <c r="G173" s="1093"/>
      <c r="H173" s="119"/>
      <c r="I173" s="119"/>
    </row>
    <row r="175" spans="3:10" s="7" customFormat="1">
      <c r="D175" s="35"/>
      <c r="E175" s="36"/>
      <c r="G175" s="1089"/>
    </row>
    <row r="176" spans="3:10">
      <c r="C176" s="8" t="s">
        <v>1001</v>
      </c>
      <c r="D176" s="16" t="s">
        <v>163</v>
      </c>
    </row>
    <row r="177" spans="4:5">
      <c r="D177" t="s">
        <v>168</v>
      </c>
    </row>
    <row r="178" spans="4:5">
      <c r="D178" t="s">
        <v>401</v>
      </c>
      <c r="E178"/>
    </row>
    <row r="179" spans="4:5">
      <c r="D179"/>
      <c r="E179"/>
    </row>
    <row r="180" spans="4:5">
      <c r="D180" s="455" t="s">
        <v>986</v>
      </c>
      <c r="E180"/>
    </row>
    <row r="181" spans="4:5" ht="17">
      <c r="D181" s="456" t="s">
        <v>874</v>
      </c>
      <c r="E181"/>
    </row>
    <row r="182" spans="4:5">
      <c r="D182" s="455"/>
      <c r="E182"/>
    </row>
    <row r="183" spans="4:5">
      <c r="D183"/>
      <c r="E183"/>
    </row>
    <row r="184" spans="4:5">
      <c r="D184" s="592" t="s">
        <v>179</v>
      </c>
      <c r="E184" s="274"/>
    </row>
    <row r="185" spans="4:5">
      <c r="D185" s="974">
        <f>'Overall Assumptions'!$C$6</f>
        <v>100</v>
      </c>
      <c r="E185" s="246" t="s">
        <v>451</v>
      </c>
    </row>
    <row r="186" spans="4:5">
      <c r="D186" s="408">
        <f>'Overall Assumptions'!$C$120</f>
        <v>0.3</v>
      </c>
      <c r="E186" s="483" t="str">
        <f>'Overall Assumptions'!$D$120</f>
        <v>Percentage of field that needs to be surveyed (ground)</v>
      </c>
    </row>
    <row r="187" spans="4:5">
      <c r="D187" s="332">
        <f>D185*D186</f>
        <v>30</v>
      </c>
      <c r="E187" s="483" t="s">
        <v>450</v>
      </c>
    </row>
    <row r="188" spans="4:5">
      <c r="D188" s="447">
        <v>5</v>
      </c>
      <c r="E188" s="483" t="s">
        <v>246</v>
      </c>
    </row>
    <row r="189" spans="4:5">
      <c r="D189" s="482">
        <f>'Overall Assumptions'!$C$132</f>
        <v>0.5</v>
      </c>
      <c r="E189" s="43" t="s">
        <v>79</v>
      </c>
    </row>
    <row r="190" spans="4:5">
      <c r="D190" s="54">
        <f>D187/D189</f>
        <v>60</v>
      </c>
      <c r="E190" s="483" t="s">
        <v>972</v>
      </c>
    </row>
    <row r="191" spans="4:5">
      <c r="D191" s="42">
        <f>'Overall Assumptions'!$C$53</f>
        <v>4.46</v>
      </c>
      <c r="E191" s="631" t="s">
        <v>780</v>
      </c>
    </row>
    <row r="192" spans="4:5">
      <c r="D192" s="42">
        <f>'Overall Assumptions'!$C$54</f>
        <v>3.3449999999999998</v>
      </c>
      <c r="E192" s="631" t="s">
        <v>781</v>
      </c>
    </row>
    <row r="193" spans="3:12">
      <c r="D193" s="125">
        <f>'Overall Assumptions'!$C$55</f>
        <v>2.23</v>
      </c>
      <c r="E193" s="635" t="s">
        <v>782</v>
      </c>
    </row>
    <row r="195" spans="3:12">
      <c r="D195" s="25"/>
    </row>
    <row r="196" spans="3:12">
      <c r="D196" s="151" t="s">
        <v>179</v>
      </c>
      <c r="E196" s="164"/>
      <c r="F196" s="255"/>
      <c r="G196" s="1090"/>
      <c r="H196" s="161"/>
    </row>
    <row r="197" spans="3:12">
      <c r="D197" s="444">
        <f>10/60</f>
        <v>0.16666666666666666</v>
      </c>
      <c r="E197" s="443" t="s">
        <v>447</v>
      </c>
      <c r="F197" s="465"/>
      <c r="G197" s="1097"/>
      <c r="H197" s="466"/>
    </row>
    <row r="198" spans="3:12">
      <c r="D198" s="332">
        <f>D187/D189</f>
        <v>60</v>
      </c>
      <c r="E198" s="16" t="s">
        <v>253</v>
      </c>
      <c r="H198" s="246"/>
    </row>
    <row r="199" spans="3:12">
      <c r="D199" s="154">
        <f>D197*D198</f>
        <v>10</v>
      </c>
      <c r="E199" s="333" t="s">
        <v>985</v>
      </c>
      <c r="F199" s="439"/>
      <c r="G199" s="1098"/>
      <c r="H199" s="162"/>
    </row>
    <row r="200" spans="3:12">
      <c r="D200" s="152"/>
      <c r="H200" s="246"/>
    </row>
    <row r="201" spans="3:12">
      <c r="D201"/>
      <c r="E201"/>
    </row>
    <row r="202" spans="3:12">
      <c r="D202"/>
      <c r="E202"/>
    </row>
    <row r="203" spans="3:12">
      <c r="D203"/>
      <c r="K203" s="2568"/>
      <c r="L203" s="2568"/>
    </row>
    <row r="204" spans="3:12">
      <c r="D204" s="825"/>
      <c r="E204" s="825"/>
    </row>
    <row r="205" spans="3:12">
      <c r="D205"/>
      <c r="E205"/>
      <c r="F205" s="432"/>
      <c r="G205" s="1099"/>
    </row>
    <row r="206" spans="3:12" ht="19">
      <c r="C206" t="s">
        <v>50</v>
      </c>
      <c r="D206" s="37" t="s">
        <v>81</v>
      </c>
      <c r="E206" s="24"/>
      <c r="F206" s="1"/>
      <c r="G206" s="1100"/>
      <c r="H206" s="3"/>
      <c r="I206" s="3"/>
      <c r="J206" s="3"/>
    </row>
    <row r="207" spans="3:12">
      <c r="F207" s="1"/>
      <c r="G207" s="1100"/>
      <c r="H207" s="3"/>
      <c r="I207" s="3"/>
      <c r="J207" s="3"/>
    </row>
    <row r="208" spans="3:12">
      <c r="D208" s="160" t="s">
        <v>408</v>
      </c>
    </row>
    <row r="210" spans="4:10">
      <c r="D210" s="50"/>
    </row>
    <row r="211" spans="4:10">
      <c r="D211" s="51" t="s">
        <v>82</v>
      </c>
      <c r="E211" s="273"/>
      <c r="F211" s="274"/>
    </row>
    <row r="212" spans="4:10" ht="19">
      <c r="D212" s="54">
        <f>'Overall Assumptions'!$C$68</f>
        <v>225</v>
      </c>
      <c r="E212" s="1215" t="s">
        <v>99</v>
      </c>
      <c r="F212" s="246"/>
    </row>
    <row r="213" spans="4:10">
      <c r="D213" s="54">
        <f>'Overall Assumptions'!$C$130</f>
        <v>2</v>
      </c>
      <c r="E213" s="76" t="s">
        <v>84</v>
      </c>
      <c r="F213" s="246"/>
    </row>
    <row r="214" spans="4:10">
      <c r="D214" s="152"/>
      <c r="E214" s="76"/>
      <c r="F214" s="246"/>
    </row>
    <row r="215" spans="4:10">
      <c r="D215" s="42">
        <f>'Overall Assumptions'!$C$53</f>
        <v>4.46</v>
      </c>
      <c r="E215" s="629" t="s">
        <v>780</v>
      </c>
      <c r="F215" s="246"/>
    </row>
    <row r="216" spans="4:10">
      <c r="D216" s="42">
        <f>'Overall Assumptions'!$C$54</f>
        <v>3.3449999999999998</v>
      </c>
      <c r="E216" s="629" t="s">
        <v>781</v>
      </c>
      <c r="F216" s="246"/>
    </row>
    <row r="217" spans="4:10">
      <c r="D217" s="42">
        <f>'Overall Assumptions'!$C$55</f>
        <v>2.23</v>
      </c>
      <c r="E217" s="629" t="s">
        <v>782</v>
      </c>
      <c r="F217" s="246"/>
    </row>
    <row r="218" spans="4:10">
      <c r="D218" s="616"/>
      <c r="E218" s="833"/>
      <c r="F218" s="246"/>
    </row>
    <row r="219" spans="4:10">
      <c r="D219" s="467">
        <f>D190</f>
        <v>60</v>
      </c>
      <c r="E219" s="1216" t="str">
        <f>E190</f>
        <v>Effective distance to be walked along</v>
      </c>
      <c r="F219" s="246"/>
    </row>
    <row r="220" spans="4:10">
      <c r="D220" s="467"/>
      <c r="E220" s="76"/>
      <c r="F220" s="246"/>
    </row>
    <row r="221" spans="4:10">
      <c r="D221" s="468">
        <f>D199/7.5</f>
        <v>1.3333333333333333</v>
      </c>
      <c r="E221" s="76" t="s">
        <v>464</v>
      </c>
      <c r="F221" s="246"/>
    </row>
    <row r="222" spans="4:10">
      <c r="D222" s="54">
        <f>'Overall Assumptions'!$C$10</f>
        <v>0</v>
      </c>
      <c r="E222" s="76" t="s">
        <v>85</v>
      </c>
      <c r="F222" s="246"/>
    </row>
    <row r="223" spans="4:10">
      <c r="D223" s="54">
        <f>'Overall Assumptions'!$C$90</f>
        <v>80</v>
      </c>
      <c r="E223" s="76" t="s">
        <v>86</v>
      </c>
      <c r="F223" s="246"/>
    </row>
    <row r="224" spans="4:10">
      <c r="D224" s="56">
        <f>'Overall Assumptions'!$C$81</f>
        <v>210</v>
      </c>
      <c r="E224" s="333" t="s">
        <v>87</v>
      </c>
      <c r="F224" s="162"/>
      <c r="J224" s="578"/>
    </row>
    <row r="225" spans="3:11">
      <c r="D225" s="57"/>
    </row>
    <row r="226" spans="3:11">
      <c r="C226" s="21"/>
      <c r="J226" s="90"/>
    </row>
    <row r="227" spans="3:11">
      <c r="C227" s="21"/>
      <c r="D227" s="59" t="s">
        <v>735</v>
      </c>
      <c r="E227" s="2" t="s">
        <v>218</v>
      </c>
      <c r="F227" s="2" t="s">
        <v>733</v>
      </c>
      <c r="G227" s="359" t="s">
        <v>796</v>
      </c>
    </row>
    <row r="228" spans="3:11">
      <c r="C228" s="21"/>
      <c r="D228" s="46">
        <f>D215</f>
        <v>4.46</v>
      </c>
      <c r="E228" s="46">
        <f>D216</f>
        <v>3.3449999999999998</v>
      </c>
      <c r="F228" s="1219">
        <f>D217</f>
        <v>2.23</v>
      </c>
      <c r="G228" s="359" t="s">
        <v>254</v>
      </c>
      <c r="J228" s="90"/>
    </row>
    <row r="229" spans="3:11">
      <c r="C229" s="21"/>
      <c r="D229" s="77">
        <f>2*D222/D223/7.5</f>
        <v>0</v>
      </c>
      <c r="E229" s="77">
        <f>D229</f>
        <v>0</v>
      </c>
      <c r="F229" s="77">
        <f>E229</f>
        <v>0</v>
      </c>
      <c r="G229" s="59" t="s">
        <v>95</v>
      </c>
      <c r="J229" s="90"/>
    </row>
    <row r="230" spans="3:11">
      <c r="C230" s="21"/>
      <c r="D230" s="77"/>
      <c r="G230" s="16" t="s">
        <v>778</v>
      </c>
      <c r="J230" s="90"/>
    </row>
    <row r="231" spans="3:11">
      <c r="C231" s="21"/>
      <c r="J231" s="90"/>
    </row>
    <row r="232" spans="3:11" ht="18" customHeight="1">
      <c r="C232" s="21"/>
      <c r="D232" s="77">
        <f>$D219/D228/7.5</f>
        <v>1.7937219730941705</v>
      </c>
      <c r="E232" s="77">
        <f>$D219/E228/7.5</f>
        <v>2.391629297458894</v>
      </c>
      <c r="F232" s="77">
        <f>$D219/F228/7.5</f>
        <v>3.5874439461883409</v>
      </c>
      <c r="G232" s="693" t="s">
        <v>96</v>
      </c>
    </row>
    <row r="233" spans="3:11" ht="18" customHeight="1">
      <c r="C233" s="21"/>
      <c r="D233" s="77">
        <f>$D221</f>
        <v>1.3333333333333333</v>
      </c>
      <c r="E233" s="77">
        <f>$D221</f>
        <v>1.3333333333333333</v>
      </c>
      <c r="F233" s="77">
        <f>$D221</f>
        <v>1.3333333333333333</v>
      </c>
      <c r="G233" s="693" t="s">
        <v>786</v>
      </c>
    </row>
    <row r="234" spans="3:11" ht="18" customHeight="1">
      <c r="C234" s="21"/>
      <c r="D234" s="77">
        <f>SUM(D232:D233)</f>
        <v>3.1270553064275037</v>
      </c>
      <c r="E234" s="77">
        <f>SUM(E232:E233)</f>
        <v>3.724962630792227</v>
      </c>
      <c r="F234" s="77">
        <f>SUM(F232:F233)</f>
        <v>4.9207772795216744</v>
      </c>
      <c r="G234" s="693" t="s">
        <v>171</v>
      </c>
    </row>
    <row r="235" spans="3:11" ht="18" customHeight="1">
      <c r="C235" s="21"/>
      <c r="D235" s="16"/>
      <c r="E235"/>
    </row>
    <row r="236" spans="3:11" ht="18" customHeight="1">
      <c r="C236" s="21"/>
      <c r="D236" s="77">
        <f>D234*$D213</f>
        <v>6.2541106128550075</v>
      </c>
      <c r="E236" s="77">
        <f>E234*$D213</f>
        <v>7.449925261584454</v>
      </c>
      <c r="F236" s="77">
        <f>F234*$D213</f>
        <v>9.8415545590433489</v>
      </c>
      <c r="G236" s="99" t="s">
        <v>787</v>
      </c>
    </row>
    <row r="237" spans="3:11">
      <c r="C237" s="21"/>
      <c r="D237" s="16"/>
      <c r="E237"/>
      <c r="G237" s="99"/>
    </row>
    <row r="238" spans="3:11">
      <c r="C238" s="21"/>
      <c r="D238" s="63">
        <f>$D212*$D213*D232</f>
        <v>807.17488789237666</v>
      </c>
      <c r="E238" s="63">
        <f>$D212*$D213*E232</f>
        <v>1076.2331838565024</v>
      </c>
      <c r="F238" s="63">
        <f>$D212*$D213*F232</f>
        <v>1614.3497757847533</v>
      </c>
      <c r="G238" s="99" t="s">
        <v>37</v>
      </c>
      <c r="J238" s="90"/>
    </row>
    <row r="239" spans="3:11">
      <c r="C239" s="21"/>
      <c r="D239" s="63">
        <f>$D212*$D213*D233</f>
        <v>600</v>
      </c>
      <c r="E239" s="63">
        <f>$D212*$D213*E233</f>
        <v>600</v>
      </c>
      <c r="F239" s="63">
        <f>$D212*$D213*F233</f>
        <v>600</v>
      </c>
      <c r="G239" s="99" t="s">
        <v>412</v>
      </c>
      <c r="J239" s="259"/>
      <c r="K239" s="16"/>
    </row>
    <row r="240" spans="3:11">
      <c r="C240" s="21"/>
      <c r="D240" s="64">
        <f>SUM(D238:D239)</f>
        <v>1407.1748878923768</v>
      </c>
      <c r="E240" s="905">
        <f>SUM(E238:E239)</f>
        <v>1676.2331838565024</v>
      </c>
      <c r="F240" s="905">
        <f>SUM(F238:F239)</f>
        <v>2214.3497757847535</v>
      </c>
      <c r="G240" s="1101" t="s">
        <v>486</v>
      </c>
      <c r="J240" s="259"/>
      <c r="K240" s="16"/>
    </row>
    <row r="241" spans="3:11">
      <c r="F241" s="16"/>
      <c r="G241" s="99"/>
    </row>
    <row r="242" spans="3:11">
      <c r="D242" s="46"/>
      <c r="E242" s="46"/>
      <c r="F242" s="46"/>
      <c r="J242" s="65"/>
      <c r="K242" s="24"/>
    </row>
    <row r="243" spans="3:11">
      <c r="D243" s="75"/>
      <c r="E243" s="75"/>
      <c r="F243" s="75"/>
      <c r="G243" s="99"/>
      <c r="J243" s="65"/>
      <c r="K243" s="24"/>
    </row>
    <row r="244" spans="3:11">
      <c r="D244" s="75"/>
      <c r="E244" s="75"/>
      <c r="F244" s="75"/>
      <c r="G244" s="99"/>
      <c r="J244" s="65"/>
      <c r="K244" s="24"/>
    </row>
    <row r="245" spans="3:11" ht="19">
      <c r="C245" t="s">
        <v>64</v>
      </c>
      <c r="D245" s="37" t="s">
        <v>89</v>
      </c>
    </row>
    <row r="246" spans="3:11">
      <c r="C246" t="s">
        <v>54</v>
      </c>
    </row>
    <row r="248" spans="3:11">
      <c r="D248" s="16"/>
    </row>
    <row r="249" spans="3:11">
      <c r="D249" s="67" t="s">
        <v>91</v>
      </c>
      <c r="E249" s="41"/>
    </row>
    <row r="250" spans="3:11">
      <c r="D250" s="52">
        <f>'Overall Assumptions'!$C$93</f>
        <v>285</v>
      </c>
      <c r="E250" s="41" t="s">
        <v>93</v>
      </c>
    </row>
    <row r="251" spans="3:11">
      <c r="D251" s="54">
        <f>'Overall Assumptions'!$C$10</f>
        <v>0</v>
      </c>
      <c r="E251" s="43" t="s">
        <v>85</v>
      </c>
    </row>
    <row r="252" spans="3:11">
      <c r="D252" s="54"/>
      <c r="E252" s="43"/>
    </row>
    <row r="253" spans="3:11">
      <c r="D253" s="616"/>
      <c r="E253" s="43"/>
    </row>
    <row r="254" spans="3:11">
      <c r="D254" s="56"/>
      <c r="E254" s="45"/>
      <c r="J254" s="578"/>
    </row>
    <row r="255" spans="3:11">
      <c r="D255" s="75"/>
    </row>
    <row r="256" spans="3:11">
      <c r="D256" s="46">
        <f>D229</f>
        <v>0</v>
      </c>
      <c r="E256" s="46">
        <f>D256</f>
        <v>0</v>
      </c>
      <c r="F256" s="46">
        <f>E256</f>
        <v>0</v>
      </c>
      <c r="G256" s="693"/>
      <c r="J256" s="532"/>
      <c r="K256" s="59"/>
    </row>
    <row r="257" spans="3:11">
      <c r="D257" s="46">
        <f t="shared" ref="D257:F258" si="21">D232</f>
        <v>1.7937219730941705</v>
      </c>
      <c r="E257" s="46">
        <f t="shared" si="21"/>
        <v>2.391629297458894</v>
      </c>
      <c r="F257" s="46">
        <f t="shared" si="21"/>
        <v>3.5874439461883409</v>
      </c>
      <c r="G257" s="693" t="s">
        <v>98</v>
      </c>
      <c r="K257" s="59"/>
    </row>
    <row r="258" spans="3:11">
      <c r="D258" s="46">
        <f t="shared" si="21"/>
        <v>1.3333333333333333</v>
      </c>
      <c r="E258" s="46">
        <f t="shared" si="21"/>
        <v>1.3333333333333333</v>
      </c>
      <c r="F258" s="46">
        <f t="shared" si="21"/>
        <v>1.3333333333333333</v>
      </c>
      <c r="G258" s="693" t="str">
        <f>G233</f>
        <v>3rd term is the days required to do all activities (for one person)</v>
      </c>
      <c r="K258" s="59"/>
    </row>
    <row r="259" spans="3:11">
      <c r="D259" s="46"/>
      <c r="E259" s="46"/>
      <c r="F259" s="46"/>
      <c r="G259" s="693"/>
      <c r="K259" s="59"/>
    </row>
    <row r="260" spans="3:11">
      <c r="D260" s="46">
        <f>SUM(D256:D258)</f>
        <v>3.1270553064275037</v>
      </c>
      <c r="E260" s="46">
        <f>SUM(E256:E258)</f>
        <v>3.724962630792227</v>
      </c>
      <c r="F260" s="46">
        <f>SUM(F256:F258)</f>
        <v>4.9207772795216744</v>
      </c>
      <c r="G260" s="693" t="s">
        <v>135</v>
      </c>
      <c r="J260" s="90"/>
    </row>
    <row r="261" spans="3:11">
      <c r="D261" s="46"/>
      <c r="E261" s="59"/>
      <c r="J261" s="90"/>
    </row>
    <row r="262" spans="3:11">
      <c r="D262" s="63"/>
      <c r="E262" s="63"/>
      <c r="F262" s="63"/>
      <c r="G262" s="99"/>
      <c r="J262" s="259"/>
      <c r="K262" s="16"/>
    </row>
    <row r="263" spans="3:11">
      <c r="D263" s="63">
        <f>$D250*D257</f>
        <v>511.21076233183857</v>
      </c>
      <c r="E263" s="63">
        <f>$D250*E257</f>
        <v>681.61434977578483</v>
      </c>
      <c r="F263" s="63">
        <f>$D250*F257</f>
        <v>1022.4215246636771</v>
      </c>
      <c r="G263" s="99" t="s">
        <v>52</v>
      </c>
      <c r="J263" s="259"/>
      <c r="K263" s="16"/>
    </row>
    <row r="264" spans="3:11">
      <c r="D264" s="63">
        <f>$D250*D258</f>
        <v>380</v>
      </c>
      <c r="E264" s="63">
        <f>$D250*E258</f>
        <v>380</v>
      </c>
      <c r="F264" s="63">
        <f>$D250*F258</f>
        <v>380</v>
      </c>
      <c r="G264" s="99" t="s">
        <v>52</v>
      </c>
      <c r="J264" s="259"/>
      <c r="K264" s="16"/>
    </row>
    <row r="265" spans="3:11">
      <c r="D265" s="68">
        <f>SUM(D262:D264)</f>
        <v>891.21076233183862</v>
      </c>
      <c r="E265" s="906">
        <f>SUM(E262:E264)</f>
        <v>1061.6143497757848</v>
      </c>
      <c r="F265" s="906">
        <f>SUM(F262:F264)</f>
        <v>1402.4215246636772</v>
      </c>
      <c r="G265" s="1101" t="s">
        <v>53</v>
      </c>
      <c r="J265" s="65"/>
      <c r="K265" s="24"/>
    </row>
    <row r="266" spans="3:11">
      <c r="D266" s="432"/>
      <c r="J266" s="65"/>
      <c r="K266" s="24"/>
    </row>
    <row r="267" spans="3:11">
      <c r="D267" s="46">
        <f>D260</f>
        <v>3.1270553064275037</v>
      </c>
      <c r="E267" s="46">
        <f>E260</f>
        <v>3.724962630792227</v>
      </c>
      <c r="F267" s="46">
        <f>F260</f>
        <v>4.9207772795216744</v>
      </c>
      <c r="G267" s="359" t="s">
        <v>795</v>
      </c>
      <c r="J267" s="65"/>
      <c r="K267" s="24"/>
    </row>
    <row r="268" spans="3:11">
      <c r="D268" s="75">
        <f>ROUNDUP((D260/21),0)</f>
        <v>1</v>
      </c>
      <c r="E268" s="75">
        <f>ROUNDUP((E260/21),0)</f>
        <v>1</v>
      </c>
      <c r="F268" s="75">
        <f>ROUNDUP((F260/21),0)</f>
        <v>1</v>
      </c>
      <c r="G268" s="99" t="s">
        <v>739</v>
      </c>
      <c r="J268" s="65"/>
      <c r="K268" s="24"/>
    </row>
    <row r="269" spans="3:11">
      <c r="D269" s="432"/>
      <c r="J269" s="65"/>
      <c r="K269" s="24"/>
    </row>
    <row r="270" spans="3:11">
      <c r="D270" s="65"/>
      <c r="E270" s="24"/>
      <c r="J270" s="65"/>
      <c r="K270" s="24"/>
    </row>
    <row r="271" spans="3:11">
      <c r="C271" t="s">
        <v>70</v>
      </c>
      <c r="D271" s="58"/>
      <c r="E271" s="59" t="s">
        <v>156</v>
      </c>
      <c r="J271" s="65"/>
      <c r="K271" s="24"/>
    </row>
    <row r="272" spans="3:11">
      <c r="D272" s="160" t="s">
        <v>238</v>
      </c>
      <c r="E272" s="59"/>
      <c r="J272" s="65"/>
      <c r="K272" s="24"/>
    </row>
    <row r="273" spans="4:12">
      <c r="D273" s="58"/>
      <c r="E273" s="59"/>
      <c r="J273" s="65"/>
      <c r="K273" s="24"/>
    </row>
    <row r="274" spans="4:12">
      <c r="D274" s="25">
        <f>D234</f>
        <v>3.1270553064275037</v>
      </c>
      <c r="E274" s="25">
        <f>E234</f>
        <v>3.724962630792227</v>
      </c>
      <c r="F274" s="25">
        <f>F234</f>
        <v>4.9207772795216744</v>
      </c>
      <c r="G274" s="99" t="s">
        <v>157</v>
      </c>
      <c r="J274" s="65"/>
      <c r="K274" s="24"/>
    </row>
    <row r="275" spans="4:12">
      <c r="D275" s="61">
        <f>FLOOR(D274,1)</f>
        <v>3</v>
      </c>
      <c r="E275" s="61">
        <f>FLOOR(E274,1)</f>
        <v>3</v>
      </c>
      <c r="F275" s="61">
        <f>FLOOR(F274,1)</f>
        <v>4</v>
      </c>
      <c r="G275" s="99" t="s">
        <v>73</v>
      </c>
      <c r="J275" s="65"/>
      <c r="K275" s="24"/>
    </row>
    <row r="276" spans="4:12">
      <c r="D276" s="65"/>
      <c r="G276" s="1102"/>
      <c r="J276" s="65"/>
      <c r="K276" s="24"/>
    </row>
    <row r="277" spans="4:12">
      <c r="D277" s="65">
        <f>D275*$D213</f>
        <v>6</v>
      </c>
      <c r="E277" s="65">
        <f>E275*$D213</f>
        <v>6</v>
      </c>
      <c r="F277" s="65">
        <f>F275*$D213</f>
        <v>8</v>
      </c>
      <c r="G277" s="1102" t="s">
        <v>88</v>
      </c>
      <c r="J277" s="65"/>
      <c r="K277" s="24"/>
    </row>
    <row r="278" spans="4:12">
      <c r="D278" s="102">
        <f>D277*$D224</f>
        <v>1260</v>
      </c>
      <c r="E278" s="907">
        <f>E277*$D224</f>
        <v>1260</v>
      </c>
      <c r="F278" s="907">
        <f>F277*$D224</f>
        <v>1680</v>
      </c>
      <c r="G278" s="1101" t="s">
        <v>74</v>
      </c>
      <c r="J278" s="259"/>
      <c r="K278" s="16"/>
    </row>
    <row r="279" spans="4:12">
      <c r="D279" s="275"/>
      <c r="E279" s="275"/>
      <c r="F279" s="275"/>
      <c r="G279" s="1084"/>
      <c r="J279" s="259"/>
      <c r="K279" s="16"/>
    </row>
    <row r="280" spans="4:12">
      <c r="D280" s="825"/>
      <c r="E280" s="1" t="s">
        <v>788</v>
      </c>
      <c r="F280" s="1" t="s">
        <v>779</v>
      </c>
      <c r="G280" s="1" t="s">
        <v>789</v>
      </c>
      <c r="H280" s="1" t="s">
        <v>788</v>
      </c>
      <c r="I280" s="1" t="s">
        <v>779</v>
      </c>
      <c r="J280" s="1" t="s">
        <v>789</v>
      </c>
    </row>
    <row r="281" spans="4:12">
      <c r="D281" s="617" t="s">
        <v>172</v>
      </c>
      <c r="E281" s="618" t="s">
        <v>155</v>
      </c>
      <c r="F281" s="618" t="s">
        <v>155</v>
      </c>
      <c r="G281" s="618" t="s">
        <v>155</v>
      </c>
      <c r="H281" s="618" t="s">
        <v>166</v>
      </c>
      <c r="I281" s="618" t="s">
        <v>166</v>
      </c>
      <c r="J281" s="618" t="s">
        <v>166</v>
      </c>
      <c r="K281" s="619" t="s">
        <v>69</v>
      </c>
    </row>
    <row r="282" spans="4:12">
      <c r="D282" s="404" t="s">
        <v>3</v>
      </c>
      <c r="E282" s="90">
        <f>D236</f>
        <v>6.2541106128550075</v>
      </c>
      <c r="F282" s="90">
        <f t="shared" ref="F282:G282" si="22">E236</f>
        <v>7.449925261584454</v>
      </c>
      <c r="G282" s="90">
        <f t="shared" si="22"/>
        <v>9.8415545590433489</v>
      </c>
      <c r="H282" s="432">
        <f>D240</f>
        <v>1407.1748878923768</v>
      </c>
      <c r="I282" s="432">
        <f>E240</f>
        <v>1676.2331838565024</v>
      </c>
      <c r="J282" s="432">
        <f>F240</f>
        <v>2214.3497757847535</v>
      </c>
      <c r="K282" s="830" t="str">
        <f>G240</f>
        <v>Cost for labour</v>
      </c>
      <c r="L282" s="558">
        <f>D188</f>
        <v>5</v>
      </c>
    </row>
    <row r="283" spans="4:12">
      <c r="D283" s="404" t="s">
        <v>490</v>
      </c>
      <c r="E283" s="90">
        <f>D260</f>
        <v>3.1270553064275037</v>
      </c>
      <c r="F283" s="90">
        <f t="shared" ref="F283:G283" si="23">E260</f>
        <v>3.724962630792227</v>
      </c>
      <c r="G283" s="90">
        <f t="shared" si="23"/>
        <v>4.9207772795216744</v>
      </c>
      <c r="H283" s="432">
        <f>D265</f>
        <v>891.21076233183862</v>
      </c>
      <c r="I283" s="432">
        <f>E265</f>
        <v>1061.6143497757848</v>
      </c>
      <c r="J283" s="432">
        <f>F265</f>
        <v>1402.4215246636772</v>
      </c>
      <c r="K283" s="830" t="str">
        <f>G265</f>
        <v>Cost for ute hire for the whole activity</v>
      </c>
      <c r="L283" s="558">
        <f>L282</f>
        <v>5</v>
      </c>
    </row>
    <row r="284" spans="4:12">
      <c r="D284" s="404" t="s">
        <v>169</v>
      </c>
      <c r="E284" s="90">
        <f>D277</f>
        <v>6</v>
      </c>
      <c r="F284" s="90">
        <f t="shared" ref="F284:G284" si="24">E277</f>
        <v>6</v>
      </c>
      <c r="G284" s="90">
        <f t="shared" si="24"/>
        <v>8</v>
      </c>
      <c r="H284" s="432">
        <f>D278</f>
        <v>1260</v>
      </c>
      <c r="I284" s="432">
        <f>E278</f>
        <v>1260</v>
      </c>
      <c r="J284" s="432">
        <f>F278</f>
        <v>1680</v>
      </c>
      <c r="K284" s="830" t="str">
        <f>G278</f>
        <v>Accomodation + Food Cost</v>
      </c>
      <c r="L284" s="558">
        <f>L283</f>
        <v>5</v>
      </c>
    </row>
    <row r="285" spans="4:12">
      <c r="D285" s="404"/>
      <c r="E285" s="90"/>
      <c r="F285" s="531"/>
      <c r="H285" s="432"/>
      <c r="I285" s="259"/>
      <c r="J285" s="259"/>
      <c r="K285" s="830"/>
      <c r="L285" s="558"/>
    </row>
    <row r="286" spans="4:12">
      <c r="D286" s="404"/>
      <c r="E286" s="90"/>
      <c r="F286" s="531"/>
      <c r="H286" s="432"/>
      <c r="I286" s="259"/>
      <c r="J286" s="259"/>
      <c r="K286" s="830"/>
    </row>
    <row r="287" spans="4:12">
      <c r="D287" s="405"/>
      <c r="E287" s="439"/>
      <c r="F287" s="439"/>
      <c r="G287" s="1098"/>
      <c r="H287" s="622">
        <f>SUM(H282:H286)</f>
        <v>3558.3856502242152</v>
      </c>
      <c r="I287" s="622">
        <f>SUM(I282:I286)</f>
        <v>3997.8475336322872</v>
      </c>
      <c r="J287" s="622">
        <f>SUM(J282:J286)</f>
        <v>5296.7713004484303</v>
      </c>
      <c r="K287" s="623" t="s">
        <v>165</v>
      </c>
    </row>
    <row r="288" spans="4:12">
      <c r="D288"/>
      <c r="E288"/>
      <c r="F288" s="432"/>
      <c r="G288" s="1099"/>
    </row>
    <row r="289" spans="1:42">
      <c r="D289" s="25"/>
    </row>
    <row r="290" spans="1:42" s="7" customFormat="1">
      <c r="D290" s="134"/>
      <c r="E290" s="134"/>
      <c r="G290" s="1089"/>
    </row>
    <row r="291" spans="1:42" s="212" customFormat="1" ht="18" customHeight="1">
      <c r="A291" s="219"/>
      <c r="B291" s="219"/>
      <c r="C291" s="219"/>
      <c r="D291" s="223"/>
      <c r="E291" s="220"/>
      <c r="F291" s="219"/>
      <c r="G291" s="219"/>
      <c r="H291" s="219"/>
      <c r="I291" s="219"/>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c r="AL291" s="219"/>
      <c r="AM291" s="219"/>
      <c r="AN291" s="219"/>
      <c r="AO291" s="219"/>
      <c r="AP291" s="219"/>
    </row>
    <row r="292" spans="1:42" s="7" customFormat="1">
      <c r="E292" s="36"/>
      <c r="G292" s="1089"/>
    </row>
    <row r="293" spans="1:42" s="9" customFormat="1">
      <c r="C293" s="120" t="s">
        <v>167</v>
      </c>
      <c r="D293" s="256" t="s">
        <v>1927</v>
      </c>
      <c r="E293" s="34"/>
      <c r="G293" s="572"/>
    </row>
    <row r="294" spans="1:42" s="9" customFormat="1">
      <c r="E294" s="34"/>
      <c r="G294" s="572"/>
    </row>
    <row r="295" spans="1:42" s="9" customFormat="1">
      <c r="C295" s="120"/>
      <c r="D295" s="34" t="s">
        <v>1054</v>
      </c>
      <c r="E295" s="34"/>
      <c r="G295" s="572"/>
    </row>
    <row r="296" spans="1:42" s="9" customFormat="1">
      <c r="D296" s="1598" t="s">
        <v>1285</v>
      </c>
      <c r="E296" s="970"/>
      <c r="G296" s="572"/>
    </row>
    <row r="297" spans="1:42" s="9" customFormat="1">
      <c r="D297" s="332" t="s">
        <v>91</v>
      </c>
      <c r="E297" s="43"/>
      <c r="F297" s="24"/>
      <c r="G297" s="359"/>
      <c r="I297" s="10"/>
      <c r="J297" s="10"/>
      <c r="K297" s="122"/>
    </row>
    <row r="298" spans="1:42" s="9" customFormat="1">
      <c r="D298" s="135"/>
      <c r="E298" s="246"/>
      <c r="F298"/>
      <c r="G298" s="359"/>
      <c r="I298" s="280"/>
      <c r="J298" s="2595"/>
      <c r="K298" s="122"/>
    </row>
    <row r="299" spans="1:42" s="9" customFormat="1">
      <c r="D299" s="398">
        <v>12</v>
      </c>
      <c r="E299" s="131" t="str">
        <f>'Overall Assumptions'!$D$115</f>
        <v>weeks</v>
      </c>
      <c r="F299"/>
      <c r="G299" s="359"/>
      <c r="I299" s="280"/>
      <c r="J299" s="2595"/>
      <c r="K299" s="122"/>
    </row>
    <row r="300" spans="1:42" s="9" customFormat="1">
      <c r="C300" s="105"/>
      <c r="D300" s="332">
        <f>D299*5</f>
        <v>60</v>
      </c>
      <c r="E300" s="131" t="str">
        <f>'Overall Assumptions'!$D$116</f>
        <v>days</v>
      </c>
      <c r="F300"/>
      <c r="G300" s="359"/>
      <c r="I300" s="147"/>
      <c r="J300" s="2595"/>
      <c r="K300" s="122"/>
    </row>
    <row r="301" spans="1:42" s="9" customFormat="1">
      <c r="C301" s="105"/>
      <c r="D301" s="332"/>
      <c r="E301" s="43"/>
      <c r="F301"/>
      <c r="G301" s="359"/>
      <c r="I301" s="280"/>
      <c r="J301" s="2595"/>
      <c r="K301" s="122"/>
    </row>
    <row r="302" spans="1:42" s="9" customFormat="1">
      <c r="C302" s="105"/>
      <c r="D302" s="398">
        <v>5</v>
      </c>
      <c r="E302" s="43" t="s">
        <v>263</v>
      </c>
      <c r="F302"/>
      <c r="G302" s="359"/>
      <c r="I302" s="280"/>
      <c r="J302" s="2595"/>
      <c r="K302" s="122"/>
    </row>
    <row r="303" spans="1:42" s="9" customFormat="1">
      <c r="C303" s="105"/>
      <c r="G303" s="359"/>
      <c r="I303" s="280"/>
      <c r="J303" s="2595"/>
      <c r="K303" s="122"/>
    </row>
    <row r="304" spans="1:42" s="9" customFormat="1">
      <c r="C304" s="105"/>
      <c r="D304" s="2487">
        <v>1</v>
      </c>
      <c r="E304" s="9" t="s">
        <v>1931</v>
      </c>
      <c r="G304" s="359"/>
      <c r="I304" s="280"/>
      <c r="J304" s="2595"/>
      <c r="K304" s="122"/>
    </row>
    <row r="305" spans="3:11" s="9" customFormat="1">
      <c r="C305" s="105"/>
      <c r="G305" s="359"/>
      <c r="I305" s="280"/>
      <c r="J305" s="2595"/>
      <c r="K305" s="122"/>
    </row>
    <row r="306" spans="3:11" s="9" customFormat="1">
      <c r="C306" s="105"/>
      <c r="D306" s="398">
        <v>1</v>
      </c>
      <c r="E306" s="43" t="s">
        <v>1223</v>
      </c>
      <c r="F306"/>
      <c r="G306" s="359">
        <f>D306*D$300</f>
        <v>60</v>
      </c>
      <c r="H306" s="9">
        <f>SUM(G306:G307)</f>
        <v>120</v>
      </c>
      <c r="I306" s="280"/>
      <c r="J306" s="2595"/>
      <c r="K306" s="122"/>
    </row>
    <row r="307" spans="3:11" s="9" customFormat="1">
      <c r="D307" s="398">
        <v>1</v>
      </c>
      <c r="E307" s="43" t="s">
        <v>1928</v>
      </c>
      <c r="F307"/>
      <c r="G307" s="359">
        <f>D307*D$300</f>
        <v>60</v>
      </c>
      <c r="I307" s="280"/>
      <c r="J307" s="2595"/>
      <c r="K307" s="122"/>
    </row>
    <row r="308" spans="3:11" s="9" customFormat="1">
      <c r="D308" s="332"/>
      <c r="E308" s="43"/>
      <c r="F308"/>
      <c r="G308" s="359"/>
      <c r="I308" s="280"/>
      <c r="J308" s="2595"/>
      <c r="K308" s="122"/>
    </row>
    <row r="309" spans="3:11" s="9" customFormat="1">
      <c r="D309" s="332" t="str">
        <f>'Overall Assumptions'!$D$76</f>
        <v>Daily rate (AUD) for labour assuming 7.5 hours/day</v>
      </c>
      <c r="E309" s="246"/>
      <c r="F309"/>
      <c r="G309" s="359"/>
      <c r="I309" s="280"/>
      <c r="J309" s="2595"/>
      <c r="K309" s="122"/>
    </row>
    <row r="310" spans="3:11" s="9" customFormat="1">
      <c r="D310" s="614">
        <f>'Overall Assumptions'!$C$68</f>
        <v>225</v>
      </c>
      <c r="E310" s="246" t="str">
        <f>'Overall Assumptions'!$B$67</f>
        <v>Labour 1- APS Low (Entry lvl)</v>
      </c>
      <c r="F310"/>
      <c r="G310" s="359"/>
      <c r="I310" s="280"/>
      <c r="J310" s="2595"/>
      <c r="K310" s="122"/>
    </row>
    <row r="311" spans="3:11" s="9" customFormat="1">
      <c r="D311" s="1484">
        <f>'Overall Assumptions'!$C$72</f>
        <v>337.5</v>
      </c>
      <c r="E311" s="530" t="str">
        <f>'Overall Assumptions'!$B$71</f>
        <v>Labour 2 - APS High (Experienced)</v>
      </c>
      <c r="F311"/>
      <c r="G311" s="359"/>
      <c r="I311" s="280"/>
      <c r="J311" s="2595"/>
      <c r="K311" s="122"/>
    </row>
    <row r="312" spans="3:11" s="9" customFormat="1">
      <c r="D312" s="1485">
        <f>'Overall Assumptions'!$C$76</f>
        <v>487.5</v>
      </c>
      <c r="E312" s="45" t="str">
        <f>'Overall Assumptions'!$B$75</f>
        <v>Labour 3 - EL (Management)</v>
      </c>
      <c r="F312"/>
      <c r="G312" s="359"/>
      <c r="I312" s="280"/>
      <c r="J312" s="2595"/>
      <c r="K312" s="122"/>
    </row>
    <row r="313" spans="3:11" s="9" customFormat="1">
      <c r="D313" s="33"/>
      <c r="E313" s="16"/>
      <c r="F313"/>
      <c r="G313" s="359"/>
      <c r="I313" s="122"/>
      <c r="J313" s="122"/>
      <c r="K313" s="122"/>
    </row>
    <row r="314" spans="3:11" s="9" customFormat="1">
      <c r="D314" s="33"/>
      <c r="F314"/>
      <c r="G314" s="359"/>
    </row>
    <row r="315" spans="3:11" s="9" customFormat="1">
      <c r="D315" s="33">
        <f>D306*D311*D300</f>
        <v>20250</v>
      </c>
      <c r="E315" s="16" t="str">
        <f>E311</f>
        <v>Labour 2 - APS High (Experienced)</v>
      </c>
      <c r="F315"/>
      <c r="G315" s="359"/>
    </row>
    <row r="316" spans="3:11" s="9" customFormat="1">
      <c r="D316" s="33">
        <f>D307*D312*D300</f>
        <v>29250</v>
      </c>
      <c r="E316" s="16" t="str">
        <f>E312</f>
        <v>Labour 3 - EL (Management)</v>
      </c>
      <c r="F316"/>
      <c r="G316" s="359"/>
    </row>
    <row r="317" spans="3:11" s="9" customFormat="1">
      <c r="D317" s="33"/>
      <c r="E317" s="16"/>
      <c r="F317"/>
      <c r="G317" s="359"/>
    </row>
    <row r="318" spans="3:11" s="9" customFormat="1">
      <c r="D318" s="33"/>
      <c r="E318" s="16"/>
      <c r="F318"/>
      <c r="G318" s="359"/>
    </row>
    <row r="319" spans="3:11" s="9" customFormat="1">
      <c r="D319" s="2488">
        <f>SUM(D315:D316)</f>
        <v>49500</v>
      </c>
      <c r="E319" s="273" t="s">
        <v>1879</v>
      </c>
      <c r="F319" s="274"/>
      <c r="G319" s="359"/>
    </row>
    <row r="320" spans="3:11" s="9" customFormat="1">
      <c r="D320" s="33"/>
      <c r="E320" s="16"/>
      <c r="F320"/>
      <c r="G320" s="359"/>
    </row>
    <row r="321" spans="3:8" s="9" customFormat="1">
      <c r="D321" s="175"/>
      <c r="E321" s="164" t="s">
        <v>155</v>
      </c>
      <c r="F321" s="255" t="s">
        <v>166</v>
      </c>
      <c r="G321" s="1090" t="s">
        <v>69</v>
      </c>
      <c r="H321" s="108" t="s">
        <v>1881</v>
      </c>
    </row>
    <row r="322" spans="3:8" s="9" customFormat="1">
      <c r="D322" s="405" t="s">
        <v>3</v>
      </c>
      <c r="E322" s="509">
        <f>H306</f>
        <v>120</v>
      </c>
      <c r="F322" s="321">
        <f>D319</f>
        <v>49500</v>
      </c>
      <c r="G322" s="1091" t="s">
        <v>1929</v>
      </c>
      <c r="H322" s="323">
        <f>D302</f>
        <v>5</v>
      </c>
    </row>
    <row r="323" spans="3:8" s="9" customFormat="1">
      <c r="D323" s="105"/>
      <c r="E323" s="34"/>
      <c r="G323" s="572"/>
    </row>
    <row r="324" spans="3:8" s="351" customFormat="1">
      <c r="D324" s="352"/>
      <c r="E324" s="353"/>
      <c r="G324" s="1122"/>
    </row>
    <row r="325" spans="3:8" s="7" customFormat="1">
      <c r="D325" s="35"/>
      <c r="E325" s="36"/>
      <c r="G325" s="1089"/>
    </row>
    <row r="326" spans="3:8" s="9" customFormat="1">
      <c r="D326" s="105"/>
      <c r="E326" s="34"/>
      <c r="G326" s="572"/>
    </row>
    <row r="327" spans="3:8" s="9" customFormat="1">
      <c r="C327" s="120" t="s">
        <v>247</v>
      </c>
      <c r="D327" s="105"/>
      <c r="E327" s="34"/>
      <c r="G327" s="572"/>
    </row>
    <row r="328" spans="3:8" s="9" customFormat="1">
      <c r="D328" s="34" t="s">
        <v>258</v>
      </c>
      <c r="E328" s="34"/>
      <c r="G328" s="572"/>
    </row>
    <row r="329" spans="3:8" s="9" customFormat="1">
      <c r="D329" s="38" t="s">
        <v>91</v>
      </c>
      <c r="E329" s="39"/>
      <c r="F329" s="105"/>
      <c r="G329" s="572"/>
    </row>
    <row r="330" spans="3:8" s="9" customFormat="1">
      <c r="D330" s="402"/>
      <c r="E330" s="161"/>
      <c r="G330" s="572"/>
    </row>
    <row r="331" spans="3:8" s="9" customFormat="1">
      <c r="D331" s="332">
        <f>'Overall Assumptions'!$C$125</f>
        <v>3</v>
      </c>
      <c r="E331" s="131" t="str">
        <f>'Overall Assumptions'!$D$115</f>
        <v>weeks</v>
      </c>
      <c r="G331" s="572"/>
    </row>
    <row r="332" spans="3:8" s="9" customFormat="1">
      <c r="C332" s="105"/>
      <c r="D332" s="332">
        <f>D331*5</f>
        <v>15</v>
      </c>
      <c r="E332" s="43" t="str">
        <f>'Overall Assumptions'!$D$116</f>
        <v>days</v>
      </c>
      <c r="G332" s="572"/>
    </row>
    <row r="333" spans="3:8" s="9" customFormat="1">
      <c r="C333" s="105"/>
      <c r="D333" s="332"/>
      <c r="E333" s="43"/>
      <c r="G333" s="572"/>
    </row>
    <row r="334" spans="3:8" s="9" customFormat="1">
      <c r="C334" s="105"/>
      <c r="D334" s="268">
        <v>1</v>
      </c>
      <c r="E334" s="43" t="s">
        <v>259</v>
      </c>
      <c r="G334" s="572"/>
    </row>
    <row r="335" spans="3:8" s="9" customFormat="1">
      <c r="C335" s="105"/>
      <c r="D335" s="332"/>
      <c r="E335" s="43"/>
      <c r="G335" s="572"/>
    </row>
    <row r="336" spans="3:8" s="9" customFormat="1">
      <c r="C336" s="105"/>
      <c r="D336" s="332"/>
      <c r="E336" s="246"/>
      <c r="G336" s="572"/>
    </row>
    <row r="337" spans="3:10" s="9" customFormat="1">
      <c r="D337" s="614">
        <f>'Overall Assumptions'!$C$68</f>
        <v>225</v>
      </c>
      <c r="E337" s="246" t="str">
        <f>'Overall Assumptions'!$B$67</f>
        <v>Labour 1- APS Low (Entry lvl)</v>
      </c>
      <c r="G337" s="572"/>
    </row>
    <row r="338" spans="3:10" s="9" customFormat="1">
      <c r="D338" s="399">
        <f>'Overall Assumptions'!$C$72</f>
        <v>337.5</v>
      </c>
      <c r="E338" s="530" t="str">
        <f>'Overall Assumptions'!$B$71</f>
        <v>Labour 2 - APS High (Experienced)</v>
      </c>
      <c r="G338" s="572"/>
    </row>
    <row r="339" spans="3:10" s="9" customFormat="1">
      <c r="D339" s="112">
        <f>'Overall Assumptions'!$C$76</f>
        <v>487.5</v>
      </c>
      <c r="E339" s="45" t="str">
        <f>'Overall Assumptions'!$B$75</f>
        <v>Labour 3 - EL (Management)</v>
      </c>
      <c r="G339" s="572"/>
    </row>
    <row r="340" spans="3:10" s="9" customFormat="1">
      <c r="D340" s="33"/>
      <c r="E340" s="34"/>
      <c r="G340" s="572"/>
    </row>
    <row r="341" spans="3:10">
      <c r="C341" s="9"/>
      <c r="D341" s="247"/>
      <c r="E341" s="33"/>
      <c r="F341" s="9"/>
      <c r="G341" s="572"/>
      <c r="H341" s="9"/>
      <c r="I341" s="9"/>
      <c r="J341" s="9"/>
    </row>
    <row r="342" spans="3:10">
      <c r="C342" s="9"/>
      <c r="D342" s="33"/>
      <c r="E342" s="34"/>
      <c r="F342" s="9"/>
      <c r="G342" s="572"/>
      <c r="H342" s="9"/>
      <c r="I342" s="9"/>
      <c r="J342" s="9"/>
    </row>
    <row r="343" spans="3:10">
      <c r="C343" s="9"/>
      <c r="D343" s="33"/>
      <c r="E343" s="34"/>
      <c r="F343" s="9"/>
      <c r="G343" s="572"/>
      <c r="H343" s="9"/>
      <c r="I343" s="9"/>
      <c r="J343" s="9"/>
    </row>
    <row r="344" spans="3:10">
      <c r="C344" s="9"/>
      <c r="D344" s="33"/>
      <c r="E344" s="34"/>
      <c r="F344" s="9"/>
      <c r="G344" s="572"/>
      <c r="H344" s="9"/>
      <c r="I344" s="9"/>
      <c r="J344" s="9"/>
    </row>
    <row r="345" spans="3:10">
      <c r="C345" s="9"/>
      <c r="D345" s="175"/>
      <c r="E345" s="164" t="s">
        <v>155</v>
      </c>
      <c r="F345" s="255" t="s">
        <v>166</v>
      </c>
      <c r="G345" s="1090" t="s">
        <v>69</v>
      </c>
      <c r="H345" s="161"/>
      <c r="I345" s="9"/>
      <c r="J345" s="9"/>
    </row>
    <row r="346" spans="3:10">
      <c r="C346" s="9"/>
      <c r="D346" s="405" t="s">
        <v>3</v>
      </c>
      <c r="E346" s="615">
        <f>D332</f>
        <v>15</v>
      </c>
      <c r="F346" s="321">
        <f>D332*D338</f>
        <v>5062.5</v>
      </c>
      <c r="G346" s="1091" t="s">
        <v>182</v>
      </c>
      <c r="H346" s="162"/>
      <c r="I346" s="9"/>
      <c r="J346" s="9"/>
    </row>
    <row r="347" spans="3:10">
      <c r="H347" s="9"/>
    </row>
    <row r="350" spans="3:10" s="182" customFormat="1">
      <c r="D350" s="183"/>
      <c r="E350" s="184"/>
      <c r="G350" s="1131"/>
    </row>
    <row r="351" spans="3:10">
      <c r="C351" s="1"/>
    </row>
    <row r="352" spans="3:10">
      <c r="C352" s="199"/>
      <c r="D352" s="200"/>
    </row>
    <row r="353" spans="1:42">
      <c r="C353" s="201"/>
      <c r="D353" s="202"/>
    </row>
    <row r="355" spans="1:42">
      <c r="C355" s="198"/>
    </row>
    <row r="357" spans="1:42">
      <c r="C357" s="160"/>
    </row>
    <row r="360" spans="1:42" s="359" customFormat="1">
      <c r="A360"/>
      <c r="B360"/>
      <c r="C360"/>
      <c r="D360" s="1081"/>
      <c r="E360" s="16"/>
      <c r="F360"/>
      <c r="H360"/>
      <c r="I360"/>
      <c r="J360"/>
      <c r="K360"/>
      <c r="L360"/>
      <c r="M360"/>
      <c r="N360"/>
      <c r="O360"/>
      <c r="P360"/>
      <c r="Q360" s="2791"/>
      <c r="R360" s="2791"/>
      <c r="S360" s="2791"/>
      <c r="T360"/>
      <c r="U360"/>
      <c r="V360"/>
      <c r="W360"/>
      <c r="X360"/>
      <c r="Y360"/>
      <c r="Z360"/>
      <c r="AA360"/>
      <c r="AB360"/>
      <c r="AC360"/>
      <c r="AD360"/>
      <c r="AE360"/>
      <c r="AF360"/>
      <c r="AG360"/>
      <c r="AH360"/>
      <c r="AI360"/>
      <c r="AJ360"/>
      <c r="AK360"/>
      <c r="AL360"/>
      <c r="AM360"/>
      <c r="AN360"/>
      <c r="AO360"/>
      <c r="AP360"/>
    </row>
    <row r="361" spans="1:42" s="359" customFormat="1">
      <c r="A361"/>
      <c r="B361"/>
      <c r="C361"/>
      <c r="D361" s="58"/>
      <c r="E361" s="16"/>
      <c r="F361"/>
      <c r="H361"/>
      <c r="I361"/>
      <c r="J361"/>
      <c r="K361"/>
      <c r="L361"/>
      <c r="M361"/>
      <c r="N361"/>
      <c r="O361"/>
      <c r="P361"/>
      <c r="Q361" s="2791"/>
      <c r="R361" s="2791"/>
      <c r="S361" s="2791"/>
      <c r="T361"/>
      <c r="U361"/>
      <c r="V361"/>
      <c r="W361"/>
      <c r="X361"/>
      <c r="Y361"/>
      <c r="Z361"/>
      <c r="AA361"/>
      <c r="AB361"/>
      <c r="AC361"/>
      <c r="AD361"/>
      <c r="AE361"/>
      <c r="AF361"/>
      <c r="AG361"/>
      <c r="AH361"/>
      <c r="AI361"/>
      <c r="AJ361"/>
      <c r="AK361"/>
      <c r="AL361"/>
      <c r="AM361"/>
      <c r="AN361"/>
      <c r="AO361"/>
      <c r="AP361"/>
    </row>
    <row r="363" spans="1:42" s="359" customFormat="1">
      <c r="A363"/>
      <c r="B363"/>
      <c r="C363" s="90"/>
      <c r="D363"/>
      <c r="E363" s="16"/>
      <c r="F363"/>
      <c r="H363"/>
      <c r="I363"/>
      <c r="J363"/>
      <c r="K363"/>
      <c r="L363"/>
      <c r="M363"/>
      <c r="N363"/>
      <c r="O363"/>
      <c r="P363"/>
      <c r="Q363" s="2791"/>
      <c r="R363" s="2791"/>
      <c r="S363" s="2791"/>
      <c r="T363"/>
      <c r="U363"/>
      <c r="V363"/>
      <c r="W363"/>
      <c r="X363"/>
      <c r="Y363"/>
      <c r="Z363"/>
      <c r="AA363"/>
      <c r="AB363"/>
      <c r="AC363"/>
      <c r="AD363"/>
      <c r="AE363"/>
      <c r="AF363"/>
      <c r="AG363"/>
      <c r="AH363"/>
      <c r="AI363"/>
      <c r="AJ363"/>
      <c r="AK363"/>
      <c r="AL363"/>
      <c r="AM363"/>
      <c r="AN363"/>
      <c r="AO363"/>
      <c r="AP363"/>
    </row>
    <row r="364" spans="1:42" s="359" customFormat="1" ht="24" customHeight="1">
      <c r="A364"/>
      <c r="B364"/>
      <c r="C364" s="436"/>
      <c r="D364" s="24"/>
      <c r="E364" s="16"/>
      <c r="F364"/>
      <c r="H364"/>
      <c r="I364"/>
      <c r="J364"/>
      <c r="K364"/>
      <c r="L364"/>
      <c r="M364"/>
      <c r="N364"/>
      <c r="O364"/>
      <c r="P364"/>
      <c r="Q364" s="2791"/>
      <c r="R364" s="2791"/>
      <c r="S364" s="2791"/>
      <c r="T364"/>
      <c r="U364"/>
      <c r="V364"/>
      <c r="W364"/>
      <c r="X364"/>
      <c r="Y364"/>
      <c r="Z364"/>
      <c r="AA364"/>
      <c r="AB364"/>
      <c r="AC364"/>
      <c r="AD364"/>
      <c r="AE364"/>
      <c r="AF364"/>
      <c r="AG364"/>
      <c r="AH364"/>
      <c r="AI364"/>
      <c r="AJ364"/>
      <c r="AK364"/>
      <c r="AL364"/>
      <c r="AM364"/>
      <c r="AN364"/>
      <c r="AO364"/>
      <c r="AP364"/>
    </row>
    <row r="365" spans="1:42" s="359" customFormat="1">
      <c r="A365"/>
      <c r="B365"/>
      <c r="C365"/>
      <c r="D365" s="58"/>
      <c r="E365" s="16"/>
      <c r="F365"/>
      <c r="H365"/>
      <c r="I365"/>
      <c r="J365"/>
      <c r="K365"/>
      <c r="L365"/>
      <c r="M365"/>
      <c r="N365"/>
      <c r="O365"/>
      <c r="P365"/>
      <c r="Q365" s="2791"/>
      <c r="R365" s="2791"/>
      <c r="S365" s="2791"/>
      <c r="T365"/>
      <c r="U365"/>
      <c r="V365"/>
      <c r="W365"/>
      <c r="X365"/>
      <c r="Y365"/>
      <c r="Z365"/>
      <c r="AA365"/>
      <c r="AB365"/>
      <c r="AC365"/>
      <c r="AD365"/>
      <c r="AE365"/>
      <c r="AF365"/>
      <c r="AG365"/>
      <c r="AH365"/>
      <c r="AI365"/>
      <c r="AJ365"/>
      <c r="AK365"/>
      <c r="AL365"/>
      <c r="AM365"/>
      <c r="AN365"/>
      <c r="AO365"/>
      <c r="AP365"/>
    </row>
    <row r="366" spans="1:42" s="359" customFormat="1">
      <c r="A366"/>
      <c r="B366"/>
      <c r="C366"/>
      <c r="D366" s="58"/>
      <c r="E366" s="16"/>
      <c r="F366"/>
      <c r="H366"/>
      <c r="I366"/>
      <c r="J366"/>
      <c r="K366"/>
      <c r="L366"/>
      <c r="M366"/>
      <c r="N366"/>
      <c r="O366"/>
      <c r="P366"/>
      <c r="Q366" s="2791"/>
      <c r="R366" s="2791"/>
      <c r="S366" s="2791"/>
      <c r="T366"/>
      <c r="U366"/>
      <c r="V366"/>
      <c r="W366"/>
      <c r="X366"/>
      <c r="Y366"/>
      <c r="Z366"/>
      <c r="AA366"/>
      <c r="AB366"/>
      <c r="AC366"/>
      <c r="AD366"/>
      <c r="AE366"/>
      <c r="AF366"/>
      <c r="AG366"/>
      <c r="AH366"/>
      <c r="AI366"/>
      <c r="AJ366"/>
      <c r="AK366"/>
      <c r="AL366"/>
      <c r="AM366"/>
      <c r="AN366"/>
      <c r="AO366"/>
      <c r="AP366"/>
    </row>
    <row r="367" spans="1:42" s="359" customFormat="1">
      <c r="A367"/>
      <c r="B367"/>
      <c r="C367" s="204"/>
      <c r="D367" s="24"/>
      <c r="E367" s="16"/>
      <c r="F367"/>
      <c r="H367"/>
      <c r="I367"/>
      <c r="J367"/>
      <c r="K367"/>
      <c r="L367"/>
      <c r="M367"/>
      <c r="N367"/>
      <c r="O367"/>
      <c r="P367"/>
      <c r="Q367" s="2791"/>
      <c r="R367" s="2791"/>
      <c r="S367" s="2791"/>
      <c r="T367"/>
      <c r="U367"/>
      <c r="V367"/>
      <c r="W367"/>
      <c r="X367"/>
      <c r="Y367"/>
      <c r="Z367"/>
      <c r="AA367"/>
      <c r="AB367"/>
      <c r="AC367"/>
      <c r="AD367"/>
      <c r="AE367"/>
      <c r="AF367"/>
      <c r="AG367"/>
      <c r="AH367"/>
      <c r="AI367"/>
      <c r="AJ367"/>
      <c r="AK367"/>
      <c r="AL367"/>
      <c r="AM367"/>
      <c r="AN367"/>
      <c r="AO367"/>
      <c r="AP367"/>
    </row>
    <row r="369" spans="1:42" s="359" customFormat="1">
      <c r="A369"/>
      <c r="B369"/>
      <c r="C369" s="206"/>
      <c r="D369" s="24"/>
      <c r="E369" s="16"/>
      <c r="F369" s="2"/>
      <c r="H369"/>
      <c r="I369"/>
      <c r="J369"/>
      <c r="K369"/>
      <c r="L369"/>
      <c r="M369"/>
      <c r="N369"/>
      <c r="O369"/>
      <c r="P369"/>
      <c r="Q369" s="2791"/>
      <c r="R369" s="2791"/>
      <c r="S369" s="2791"/>
      <c r="T369"/>
      <c r="U369"/>
      <c r="V369"/>
      <c r="W369"/>
      <c r="X369"/>
      <c r="Y369"/>
      <c r="Z369"/>
      <c r="AA369"/>
      <c r="AB369"/>
      <c r="AC369"/>
      <c r="AD369"/>
      <c r="AE369"/>
      <c r="AF369"/>
      <c r="AG369"/>
      <c r="AH369"/>
      <c r="AI369"/>
      <c r="AJ369"/>
      <c r="AK369"/>
      <c r="AL369"/>
      <c r="AM369"/>
      <c r="AN369"/>
      <c r="AO369"/>
      <c r="AP369"/>
    </row>
    <row r="370" spans="1:42" s="359" customFormat="1" ht="15" customHeight="1">
      <c r="A370"/>
      <c r="B370"/>
      <c r="C370" s="2"/>
      <c r="D370" s="207"/>
      <c r="E370" s="16"/>
      <c r="F370" s="2"/>
      <c r="H370"/>
      <c r="I370"/>
      <c r="J370"/>
      <c r="K370"/>
      <c r="L370"/>
      <c r="M370"/>
      <c r="N370"/>
      <c r="O370"/>
      <c r="P370"/>
      <c r="Q370" s="2791"/>
      <c r="R370" s="2791"/>
      <c r="S370" s="2791"/>
      <c r="T370"/>
      <c r="U370"/>
      <c r="V370"/>
      <c r="W370"/>
      <c r="X370"/>
      <c r="Y370"/>
      <c r="Z370"/>
      <c r="AA370"/>
      <c r="AB370"/>
      <c r="AC370"/>
      <c r="AD370"/>
      <c r="AE370"/>
      <c r="AF370"/>
      <c r="AG370"/>
      <c r="AH370"/>
      <c r="AI370"/>
      <c r="AJ370"/>
      <c r="AK370"/>
      <c r="AL370"/>
      <c r="AM370"/>
      <c r="AN370"/>
      <c r="AO370"/>
      <c r="AP370"/>
    </row>
    <row r="371" spans="1:42" s="359" customFormat="1" ht="15" customHeight="1">
      <c r="A371"/>
      <c r="B371"/>
      <c r="C371" s="2"/>
      <c r="D371" s="207"/>
      <c r="E371" s="16"/>
      <c r="F371" s="2"/>
      <c r="H371"/>
      <c r="I371"/>
      <c r="J371"/>
      <c r="K371"/>
      <c r="L371"/>
      <c r="M371"/>
      <c r="N371"/>
      <c r="O371"/>
      <c r="P371"/>
      <c r="Q371" s="2791"/>
      <c r="R371" s="2791"/>
      <c r="S371" s="2791"/>
      <c r="T371"/>
      <c r="U371"/>
      <c r="V371"/>
      <c r="W371"/>
      <c r="X371"/>
      <c r="Y371"/>
      <c r="Z371"/>
      <c r="AA371"/>
      <c r="AB371"/>
      <c r="AC371"/>
      <c r="AD371"/>
      <c r="AE371"/>
      <c r="AF371"/>
      <c r="AG371"/>
      <c r="AH371"/>
      <c r="AI371"/>
      <c r="AJ371"/>
      <c r="AK371"/>
      <c r="AL371"/>
      <c r="AM371"/>
      <c r="AN371"/>
      <c r="AO371"/>
      <c r="AP371"/>
    </row>
    <row r="372" spans="1:42" s="359" customFormat="1" ht="15" customHeight="1">
      <c r="A372"/>
      <c r="B372"/>
      <c r="C372" s="2"/>
      <c r="D372" s="207"/>
      <c r="E372" s="16"/>
      <c r="F372" s="2"/>
      <c r="H372"/>
      <c r="I372"/>
      <c r="J372"/>
      <c r="K372"/>
      <c r="L372"/>
      <c r="M372"/>
      <c r="N372"/>
      <c r="O372"/>
      <c r="P372"/>
      <c r="Q372" s="2791"/>
      <c r="R372" s="2791"/>
      <c r="S372" s="2791"/>
      <c r="T372"/>
      <c r="U372"/>
      <c r="V372"/>
      <c r="W372"/>
      <c r="X372"/>
      <c r="Y372"/>
      <c r="Z372"/>
      <c r="AA372"/>
      <c r="AB372"/>
      <c r="AC372"/>
      <c r="AD372"/>
      <c r="AE372"/>
      <c r="AF372"/>
      <c r="AG372"/>
      <c r="AH372"/>
      <c r="AI372"/>
      <c r="AJ372"/>
      <c r="AK372"/>
      <c r="AL372"/>
      <c r="AM372"/>
      <c r="AN372"/>
      <c r="AO372"/>
      <c r="AP372"/>
    </row>
    <row r="373" spans="1:42" s="359" customFormat="1" ht="15" customHeight="1">
      <c r="A373"/>
      <c r="B373"/>
      <c r="C373" s="2"/>
      <c r="D373" s="207"/>
      <c r="E373" s="16"/>
      <c r="F373" s="2"/>
      <c r="H373"/>
      <c r="I373"/>
      <c r="J373"/>
      <c r="K373"/>
      <c r="L373"/>
      <c r="M373"/>
      <c r="N373"/>
      <c r="O373"/>
      <c r="P373"/>
      <c r="Q373" s="2791"/>
      <c r="R373" s="2791"/>
      <c r="S373" s="2791"/>
      <c r="T373"/>
      <c r="U373"/>
      <c r="V373"/>
      <c r="W373"/>
      <c r="X373"/>
      <c r="Y373"/>
      <c r="Z373"/>
      <c r="AA373"/>
      <c r="AB373"/>
      <c r="AC373"/>
      <c r="AD373"/>
      <c r="AE373"/>
      <c r="AF373"/>
      <c r="AG373"/>
      <c r="AH373"/>
      <c r="AI373"/>
      <c r="AJ373"/>
      <c r="AK373"/>
      <c r="AL373"/>
      <c r="AM373"/>
      <c r="AN373"/>
      <c r="AO373"/>
      <c r="AP373"/>
    </row>
    <row r="374" spans="1:42" s="359" customFormat="1" ht="15" customHeight="1">
      <c r="A374"/>
      <c r="B374"/>
      <c r="C374" s="206"/>
      <c r="D374" s="207"/>
      <c r="E374" s="16"/>
      <c r="F374" s="2"/>
      <c r="H374"/>
      <c r="I374"/>
      <c r="J374"/>
      <c r="K374"/>
      <c r="L374"/>
      <c r="M374"/>
      <c r="N374"/>
      <c r="O374"/>
      <c r="P374"/>
      <c r="Q374" s="2791"/>
      <c r="R374" s="2791"/>
      <c r="S374" s="2791"/>
      <c r="T374"/>
      <c r="U374"/>
      <c r="V374"/>
      <c r="W374"/>
      <c r="X374"/>
      <c r="Y374"/>
      <c r="Z374"/>
      <c r="AA374"/>
      <c r="AB374"/>
      <c r="AC374"/>
      <c r="AD374"/>
      <c r="AE374"/>
      <c r="AF374"/>
      <c r="AG374"/>
      <c r="AH374"/>
      <c r="AI374"/>
      <c r="AJ374"/>
      <c r="AK374"/>
      <c r="AL374"/>
      <c r="AM374"/>
      <c r="AN374"/>
      <c r="AO374"/>
      <c r="AP374"/>
    </row>
    <row r="375" spans="1:42" s="359" customFormat="1" ht="15" customHeight="1">
      <c r="A375"/>
      <c r="B375"/>
      <c r="C375"/>
      <c r="D375" s="207"/>
      <c r="E375" s="16"/>
      <c r="F375"/>
      <c r="H375"/>
      <c r="I375"/>
      <c r="J375"/>
      <c r="K375"/>
      <c r="L375"/>
      <c r="M375"/>
      <c r="N375"/>
      <c r="O375"/>
      <c r="P375"/>
      <c r="Q375" s="2791"/>
      <c r="R375" s="2791"/>
      <c r="S375" s="2791"/>
      <c r="T375"/>
      <c r="U375"/>
      <c r="V375"/>
      <c r="W375"/>
      <c r="X375"/>
      <c r="Y375"/>
      <c r="Z375"/>
      <c r="AA375"/>
      <c r="AB375"/>
      <c r="AC375"/>
      <c r="AD375"/>
      <c r="AE375"/>
      <c r="AF375"/>
      <c r="AG375"/>
      <c r="AH375"/>
      <c r="AI375"/>
      <c r="AJ375"/>
      <c r="AK375"/>
      <c r="AL375"/>
      <c r="AM375"/>
      <c r="AN375"/>
      <c r="AO375"/>
      <c r="AP375"/>
    </row>
    <row r="376" spans="1:42" ht="15" customHeight="1">
      <c r="D376" s="207"/>
      <c r="E376" s="2"/>
      <c r="F376" s="2"/>
    </row>
    <row r="377" spans="1:42" ht="15" customHeight="1">
      <c r="D377" s="207"/>
      <c r="F377" s="2"/>
    </row>
    <row r="378" spans="1:42" ht="15" customHeight="1">
      <c r="D378" s="207"/>
      <c r="F378" s="2"/>
    </row>
    <row r="379" spans="1:42" ht="15" customHeight="1">
      <c r="D379" s="207"/>
    </row>
    <row r="380" spans="1:42" ht="15" customHeight="1">
      <c r="D380" s="207"/>
    </row>
    <row r="381" spans="1:42" ht="15" customHeight="1">
      <c r="D381" s="57"/>
    </row>
    <row r="382" spans="1:42">
      <c r="D382" s="16"/>
    </row>
    <row r="383" spans="1:42">
      <c r="C383" s="206"/>
      <c r="D383" s="208"/>
      <c r="E383" s="6"/>
    </row>
    <row r="384" spans="1:42">
      <c r="D384" s="207"/>
    </row>
    <row r="385" spans="3:10">
      <c r="D385" s="207"/>
      <c r="F385" s="2"/>
    </row>
    <row r="386" spans="3:10">
      <c r="D386" s="207"/>
      <c r="F386" s="2"/>
    </row>
    <row r="387" spans="3:10">
      <c r="D387" s="156"/>
      <c r="F387" s="2"/>
    </row>
    <row r="388" spans="3:10">
      <c r="C388" s="206"/>
      <c r="F388" s="2"/>
    </row>
    <row r="389" spans="3:10">
      <c r="C389" s="206"/>
      <c r="D389" s="207"/>
      <c r="F389" s="2"/>
    </row>
    <row r="390" spans="3:10">
      <c r="D390" s="207"/>
      <c r="G390" s="99"/>
    </row>
    <row r="391" spans="3:10">
      <c r="D391" s="16"/>
      <c r="G391" s="99"/>
      <c r="H391" s="16"/>
    </row>
    <row r="392" spans="3:10">
      <c r="D392" s="207"/>
      <c r="G392" s="1132"/>
    </row>
    <row r="393" spans="3:10">
      <c r="D393" s="207"/>
      <c r="G393" s="1133"/>
    </row>
    <row r="394" spans="3:10">
      <c r="G394" s="99"/>
    </row>
    <row r="395" spans="3:10">
      <c r="D395" s="57"/>
      <c r="G395" s="1102"/>
      <c r="H395" s="16"/>
    </row>
    <row r="396" spans="3:10">
      <c r="G396" s="1102"/>
      <c r="H396" s="16"/>
    </row>
    <row r="397" spans="3:10">
      <c r="D397" s="156"/>
      <c r="J397" s="16"/>
    </row>
    <row r="398" spans="3:10">
      <c r="D398" s="156"/>
      <c r="J398" s="16"/>
    </row>
    <row r="400" spans="3:10">
      <c r="D400" s="16"/>
    </row>
    <row r="401" spans="2:42">
      <c r="D401" s="16"/>
    </row>
    <row r="402" spans="2:42">
      <c r="D402" s="16"/>
    </row>
    <row r="403" spans="2:42">
      <c r="D403" s="16"/>
    </row>
    <row r="406" spans="2:42" s="24" customFormat="1">
      <c r="B406"/>
      <c r="C406" s="206"/>
      <c r="E406" s="16"/>
      <c r="F406"/>
      <c r="G406" s="359"/>
      <c r="H406"/>
      <c r="I406"/>
      <c r="J406"/>
      <c r="K406"/>
      <c r="L406"/>
      <c r="M406"/>
      <c r="N406"/>
      <c r="O406"/>
      <c r="P406"/>
      <c r="Q406" s="2791"/>
      <c r="R406" s="2791"/>
      <c r="S406" s="2791"/>
      <c r="T406"/>
      <c r="U406"/>
      <c r="V406"/>
      <c r="W406"/>
      <c r="X406"/>
      <c r="Y406"/>
      <c r="Z406"/>
      <c r="AA406"/>
      <c r="AB406"/>
      <c r="AC406"/>
      <c r="AD406"/>
      <c r="AE406"/>
      <c r="AF406"/>
      <c r="AG406"/>
      <c r="AH406"/>
      <c r="AI406"/>
      <c r="AJ406"/>
      <c r="AK406"/>
      <c r="AL406"/>
      <c r="AM406"/>
      <c r="AN406"/>
      <c r="AO406"/>
      <c r="AP406"/>
    </row>
    <row r="407" spans="2:42" s="24" customFormat="1">
      <c r="B407"/>
      <c r="C407" s="206"/>
      <c r="E407" s="16"/>
      <c r="F407"/>
      <c r="G407" s="359"/>
      <c r="H407"/>
      <c r="I407"/>
      <c r="J407"/>
      <c r="K407"/>
      <c r="L407"/>
      <c r="M407"/>
      <c r="N407"/>
      <c r="O407"/>
      <c r="P407"/>
      <c r="Q407" s="2791"/>
      <c r="R407" s="2791"/>
      <c r="S407" s="2791"/>
      <c r="T407"/>
      <c r="U407"/>
      <c r="V407"/>
      <c r="W407"/>
      <c r="X407"/>
      <c r="Y407"/>
      <c r="Z407"/>
      <c r="AA407"/>
      <c r="AB407"/>
      <c r="AC407"/>
      <c r="AD407"/>
      <c r="AE407"/>
      <c r="AF407"/>
      <c r="AG407"/>
      <c r="AH407"/>
      <c r="AI407"/>
      <c r="AJ407"/>
      <c r="AK407"/>
      <c r="AL407"/>
      <c r="AM407"/>
      <c r="AN407"/>
      <c r="AO407"/>
      <c r="AP407"/>
    </row>
    <row r="408" spans="2:42" s="24" customFormat="1">
      <c r="B408"/>
      <c r="C408" s="206"/>
      <c r="E408" s="16"/>
      <c r="F408"/>
      <c r="G408" s="359"/>
      <c r="H408"/>
      <c r="I408"/>
      <c r="J408"/>
      <c r="K408"/>
      <c r="L408"/>
      <c r="M408"/>
      <c r="N408"/>
      <c r="O408"/>
      <c r="P408"/>
      <c r="Q408" s="2791"/>
      <c r="R408" s="2791"/>
      <c r="S408" s="2791"/>
      <c r="T408"/>
      <c r="U408"/>
      <c r="V408"/>
      <c r="W408"/>
      <c r="X408"/>
      <c r="Y408"/>
      <c r="Z408"/>
      <c r="AA408"/>
      <c r="AB408"/>
      <c r="AC408"/>
      <c r="AD408"/>
      <c r="AE408"/>
      <c r="AF408"/>
      <c r="AG408"/>
      <c r="AH408"/>
      <c r="AI408"/>
      <c r="AJ408"/>
      <c r="AK408"/>
      <c r="AL408"/>
      <c r="AM408"/>
      <c r="AN408"/>
      <c r="AO408"/>
      <c r="AP408"/>
    </row>
    <row r="409" spans="2:42" s="24" customFormat="1">
      <c r="B409"/>
      <c r="C409" s="206"/>
      <c r="E409" s="16"/>
      <c r="F409"/>
      <c r="G409" s="359"/>
      <c r="H409"/>
      <c r="I409"/>
      <c r="J409"/>
      <c r="K409"/>
      <c r="L409"/>
      <c r="M409"/>
      <c r="N409"/>
      <c r="O409"/>
      <c r="P409"/>
      <c r="Q409" s="2791"/>
      <c r="R409" s="2791"/>
      <c r="S409" s="2791"/>
      <c r="T409"/>
      <c r="U409"/>
      <c r="V409"/>
      <c r="W409"/>
      <c r="X409"/>
      <c r="Y409"/>
      <c r="Z409"/>
      <c r="AA409"/>
      <c r="AB409"/>
      <c r="AC409"/>
      <c r="AD409"/>
      <c r="AE409"/>
      <c r="AF409"/>
      <c r="AG409"/>
      <c r="AH409"/>
      <c r="AI409"/>
      <c r="AJ409"/>
      <c r="AK409"/>
      <c r="AL409"/>
      <c r="AM409"/>
      <c r="AN409"/>
      <c r="AO409"/>
      <c r="AP409"/>
    </row>
    <row r="410" spans="2:42" s="24" customFormat="1">
      <c r="B410"/>
      <c r="C410" s="206"/>
      <c r="E410" s="16"/>
      <c r="F410"/>
      <c r="G410" s="359"/>
      <c r="H410"/>
      <c r="I410"/>
      <c r="J410"/>
      <c r="K410"/>
      <c r="L410"/>
      <c r="M410"/>
      <c r="N410"/>
      <c r="O410"/>
      <c r="P410"/>
      <c r="Q410" s="2791"/>
      <c r="R410" s="2791"/>
      <c r="S410" s="2791"/>
      <c r="T410"/>
      <c r="U410"/>
      <c r="V410"/>
      <c r="W410"/>
      <c r="X410"/>
      <c r="Y410"/>
      <c r="Z410"/>
      <c r="AA410"/>
      <c r="AB410"/>
      <c r="AC410"/>
      <c r="AD410"/>
      <c r="AE410"/>
      <c r="AF410"/>
      <c r="AG410"/>
      <c r="AH410"/>
      <c r="AI410"/>
      <c r="AJ410"/>
      <c r="AK410"/>
      <c r="AL410"/>
      <c r="AM410"/>
      <c r="AN410"/>
      <c r="AO410"/>
      <c r="AP410"/>
    </row>
    <row r="411" spans="2:42" s="24" customFormat="1">
      <c r="B411"/>
      <c r="C411" s="206"/>
      <c r="E411" s="16"/>
      <c r="F411"/>
      <c r="G411" s="359"/>
      <c r="H411"/>
      <c r="I411"/>
      <c r="J411"/>
      <c r="K411"/>
      <c r="L411"/>
      <c r="M411"/>
      <c r="N411"/>
      <c r="O411"/>
      <c r="P411"/>
      <c r="Q411" s="2791"/>
      <c r="R411" s="2791"/>
      <c r="S411" s="2791"/>
      <c r="T411"/>
      <c r="U411"/>
      <c r="V411"/>
      <c r="W411"/>
      <c r="X411"/>
      <c r="Y411"/>
      <c r="Z411"/>
      <c r="AA411"/>
      <c r="AB411"/>
      <c r="AC411"/>
      <c r="AD411"/>
      <c r="AE411"/>
      <c r="AF411"/>
      <c r="AG411"/>
      <c r="AH411"/>
      <c r="AI411"/>
      <c r="AJ411"/>
      <c r="AK411"/>
      <c r="AL411"/>
      <c r="AM411"/>
      <c r="AN411"/>
      <c r="AO411"/>
      <c r="AP411"/>
    </row>
    <row r="412" spans="2:42" s="24" customFormat="1">
      <c r="B412"/>
      <c r="C412" s="206"/>
      <c r="E412" s="16"/>
      <c r="F412"/>
      <c r="G412" s="359"/>
      <c r="H412"/>
      <c r="I412"/>
      <c r="J412"/>
      <c r="K412"/>
      <c r="L412"/>
      <c r="M412"/>
      <c r="N412"/>
      <c r="O412"/>
      <c r="P412"/>
      <c r="Q412" s="2791"/>
      <c r="R412" s="2791"/>
      <c r="S412" s="2791"/>
      <c r="T412"/>
      <c r="U412"/>
      <c r="V412"/>
      <c r="W412"/>
      <c r="X412"/>
      <c r="Y412"/>
      <c r="Z412"/>
      <c r="AA412"/>
      <c r="AB412"/>
      <c r="AC412"/>
      <c r="AD412"/>
      <c r="AE412"/>
      <c r="AF412"/>
      <c r="AG412"/>
      <c r="AH412"/>
      <c r="AI412"/>
      <c r="AJ412"/>
      <c r="AK412"/>
      <c r="AL412"/>
      <c r="AM412"/>
      <c r="AN412"/>
      <c r="AO412"/>
      <c r="AP412"/>
    </row>
  </sheetData>
  <mergeCells count="42">
    <mergeCell ref="D35:D38"/>
    <mergeCell ref="C39:C42"/>
    <mergeCell ref="D39:D42"/>
    <mergeCell ref="AJ21:AJ22"/>
    <mergeCell ref="AK21:AK22"/>
    <mergeCell ref="D27:D30"/>
    <mergeCell ref="D31:D34"/>
    <mergeCell ref="C23:C26"/>
    <mergeCell ref="D23:D26"/>
    <mergeCell ref="V21:V22"/>
    <mergeCell ref="W21:W22"/>
    <mergeCell ref="X21:X22"/>
    <mergeCell ref="Q21:Q22"/>
    <mergeCell ref="R21:R22"/>
    <mergeCell ref="S21:S22"/>
    <mergeCell ref="AH19:AK20"/>
    <mergeCell ref="C21:C22"/>
    <mergeCell ref="D21:D22"/>
    <mergeCell ref="E21:E22"/>
    <mergeCell ref="F21:G21"/>
    <mergeCell ref="H21:I21"/>
    <mergeCell ref="L21:M21"/>
    <mergeCell ref="N21:N22"/>
    <mergeCell ref="O21:O22"/>
    <mergeCell ref="P21:P22"/>
    <mergeCell ref="B17:K20"/>
    <mergeCell ref="L17:P18"/>
    <mergeCell ref="U17:AE18"/>
    <mergeCell ref="AB21:AB22"/>
    <mergeCell ref="AD21:AD22"/>
    <mergeCell ref="AE21:AE22"/>
    <mergeCell ref="AD19:AE20"/>
    <mergeCell ref="U21:U22"/>
    <mergeCell ref="L19:P20"/>
    <mergeCell ref="U19:U20"/>
    <mergeCell ref="V19:Z20"/>
    <mergeCell ref="AA19:AB20"/>
    <mergeCell ref="AC19:AC22"/>
    <mergeCell ref="Y21:Y22"/>
    <mergeCell ref="Z21:Z22"/>
    <mergeCell ref="AA21:AA22"/>
    <mergeCell ref="Q17:S20"/>
  </mergeCells>
  <pageMargins left="0.7" right="0.7" top="0.75" bottom="0.75" header="0.3" footer="0.3"/>
  <pageSetup paperSize="9" orientation="portrait" horizontalDpi="0" verticalDpi="0"/>
  <drawing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B1:X72"/>
  <sheetViews>
    <sheetView showGridLines="0" zoomScaleNormal="100" workbookViewId="0">
      <selection activeCell="H36" sqref="H36"/>
    </sheetView>
  </sheetViews>
  <sheetFormatPr baseColWidth="10" defaultColWidth="11" defaultRowHeight="16"/>
  <cols>
    <col min="1" max="1" width="4.6640625" customWidth="1"/>
    <col min="2" max="2" width="17.5" customWidth="1"/>
    <col min="3" max="3" width="29" customWidth="1"/>
    <col min="4" max="4" width="16.83203125" customWidth="1"/>
    <col min="5" max="5" width="13.33203125" customWidth="1"/>
    <col min="6" max="7" width="14.33203125" customWidth="1"/>
    <col min="8" max="8" width="18.1640625" customWidth="1"/>
    <col min="9" max="9" width="16.6640625" customWidth="1"/>
    <col min="10" max="10" width="17.6640625" customWidth="1"/>
    <col min="11" max="11" width="10.5" customWidth="1"/>
    <col min="12" max="12" width="14.6640625" customWidth="1"/>
    <col min="13" max="13" width="10.5" customWidth="1"/>
    <col min="14" max="14" width="11.83203125" customWidth="1"/>
    <col min="15" max="18" width="13.5" customWidth="1"/>
  </cols>
  <sheetData>
    <row r="1" spans="2:22">
      <c r="B1" s="8" t="s">
        <v>1035</v>
      </c>
    </row>
    <row r="2" spans="2:22">
      <c r="K2" s="79"/>
      <c r="L2" s="79"/>
      <c r="M2" s="79"/>
      <c r="N2" s="79"/>
    </row>
    <row r="3" spans="2:22">
      <c r="B3" s="8" t="s">
        <v>844</v>
      </c>
      <c r="G3" s="692"/>
      <c r="H3" s="692"/>
      <c r="I3" s="692"/>
      <c r="J3" s="692"/>
      <c r="K3" s="2596"/>
      <c r="L3" s="79"/>
      <c r="M3" s="79"/>
      <c r="N3" s="79"/>
    </row>
    <row r="4" spans="2:22" ht="17" thickBot="1">
      <c r="B4" t="s">
        <v>839</v>
      </c>
      <c r="C4" t="s">
        <v>845</v>
      </c>
      <c r="D4" s="1"/>
      <c r="E4" s="1"/>
      <c r="F4" s="1"/>
      <c r="G4" s="1"/>
      <c r="H4" s="1"/>
      <c r="K4" s="2597"/>
      <c r="L4" s="2597"/>
      <c r="M4" s="79"/>
      <c r="N4" s="79"/>
    </row>
    <row r="5" spans="2:22">
      <c r="C5" s="804" t="s">
        <v>838</v>
      </c>
      <c r="D5" s="3186" t="s">
        <v>1937</v>
      </c>
      <c r="E5" s="805"/>
      <c r="F5" s="805"/>
      <c r="G5" s="805"/>
      <c r="H5" s="805"/>
      <c r="K5" s="2598"/>
      <c r="L5" s="2380"/>
      <c r="M5" s="79"/>
      <c r="N5" s="79"/>
    </row>
    <row r="6" spans="2:22">
      <c r="C6" s="807" t="s">
        <v>827</v>
      </c>
      <c r="D6" t="s">
        <v>2191</v>
      </c>
      <c r="H6" s="79"/>
      <c r="K6" s="2598"/>
      <c r="L6" s="2380"/>
      <c r="M6" s="79"/>
      <c r="N6" s="79"/>
    </row>
    <row r="7" spans="2:22">
      <c r="C7" s="807"/>
      <c r="H7" s="79"/>
      <c r="K7" s="2598"/>
      <c r="L7" s="2380"/>
      <c r="M7" s="79"/>
      <c r="N7" s="79"/>
    </row>
    <row r="8" spans="2:22">
      <c r="C8" s="807" t="s">
        <v>827</v>
      </c>
      <c r="D8" t="s">
        <v>2389</v>
      </c>
      <c r="H8" s="79"/>
      <c r="K8" s="2598"/>
      <c r="L8" s="2380"/>
      <c r="M8" s="79"/>
      <c r="N8" s="79"/>
    </row>
    <row r="9" spans="2:22">
      <c r="H9" s="79"/>
      <c r="K9" s="2598"/>
      <c r="L9" s="2380"/>
      <c r="M9" s="79"/>
      <c r="N9" s="79"/>
    </row>
    <row r="10" spans="2:22">
      <c r="H10" s="79"/>
      <c r="K10" s="2598"/>
      <c r="L10" s="2380"/>
      <c r="M10" s="79"/>
      <c r="N10" s="79"/>
    </row>
    <row r="11" spans="2:22" ht="17" thickBot="1">
      <c r="C11" s="808"/>
      <c r="D11" s="574"/>
      <c r="E11" s="574"/>
      <c r="F11" s="574"/>
      <c r="G11" s="574"/>
      <c r="H11" s="574"/>
      <c r="K11" s="2598"/>
      <c r="L11" s="2380"/>
      <c r="M11" s="79"/>
      <c r="N11" s="79"/>
      <c r="V11" s="587">
        <v>0</v>
      </c>
    </row>
    <row r="12" spans="2:22">
      <c r="C12" s="360" t="s">
        <v>851</v>
      </c>
      <c r="K12" s="2598"/>
      <c r="L12" s="2380"/>
      <c r="M12" s="79"/>
      <c r="N12" s="79"/>
      <c r="V12" s="587"/>
    </row>
    <row r="13" spans="2:22">
      <c r="K13" s="2598"/>
      <c r="L13" s="2380"/>
      <c r="M13" s="79"/>
      <c r="N13" s="79"/>
      <c r="V13" s="587"/>
    </row>
    <row r="14" spans="2:22">
      <c r="B14" t="s">
        <v>942</v>
      </c>
      <c r="C14" s="359" t="s">
        <v>848</v>
      </c>
      <c r="K14" s="2598"/>
      <c r="L14" s="2380"/>
      <c r="M14" s="79"/>
      <c r="N14" s="79"/>
      <c r="V14" s="587"/>
    </row>
    <row r="15" spans="2:22">
      <c r="K15" s="2598"/>
      <c r="L15" s="2380"/>
      <c r="M15" s="79"/>
      <c r="N15" s="79"/>
    </row>
    <row r="16" spans="2:22">
      <c r="B16" s="8" t="s">
        <v>730</v>
      </c>
      <c r="K16" s="2598"/>
      <c r="L16" s="2380"/>
      <c r="M16" s="79"/>
      <c r="N16" s="79"/>
    </row>
    <row r="17" spans="2:14" ht="17">
      <c r="B17" s="3" t="s">
        <v>847</v>
      </c>
      <c r="G17" s="562"/>
      <c r="H17" s="562"/>
      <c r="I17" s="562"/>
      <c r="J17" s="562"/>
      <c r="K17" s="2598"/>
      <c r="L17" s="2380"/>
      <c r="M17" s="79"/>
      <c r="N17" s="79"/>
    </row>
    <row r="18" spans="2:14" ht="17">
      <c r="C18" t="s">
        <v>1866</v>
      </c>
      <c r="G18" s="562"/>
      <c r="H18" s="562"/>
      <c r="I18" s="562"/>
      <c r="J18" s="562"/>
      <c r="K18" s="2598"/>
      <c r="L18" s="2380"/>
      <c r="M18" s="79"/>
      <c r="N18" s="79"/>
    </row>
    <row r="19" spans="2:14">
      <c r="G19" s="692"/>
      <c r="H19" s="692"/>
      <c r="I19" s="692"/>
      <c r="J19" s="692"/>
      <c r="K19" s="2598"/>
      <c r="L19" s="2380"/>
      <c r="M19" s="79"/>
      <c r="N19" s="79"/>
    </row>
    <row r="20" spans="2:14">
      <c r="C20" s="1"/>
      <c r="G20" s="692"/>
      <c r="H20" s="692"/>
      <c r="I20" s="692"/>
      <c r="J20" s="692"/>
      <c r="K20" s="79"/>
      <c r="L20" s="79"/>
      <c r="M20" s="79"/>
      <c r="N20" s="79"/>
    </row>
    <row r="21" spans="2:14" ht="17">
      <c r="C21" t="s">
        <v>843</v>
      </c>
      <c r="G21" s="562"/>
      <c r="H21" s="562"/>
      <c r="I21" s="562"/>
      <c r="J21" s="562"/>
      <c r="K21" s="79"/>
      <c r="L21" s="79"/>
      <c r="M21" s="79"/>
      <c r="N21" s="79"/>
    </row>
    <row r="22" spans="2:14" ht="17">
      <c r="C22" t="s">
        <v>867</v>
      </c>
      <c r="D22" s="31"/>
      <c r="G22" s="562"/>
      <c r="H22" s="562"/>
      <c r="I22" s="562"/>
      <c r="J22" s="562"/>
    </row>
    <row r="23" spans="2:14" ht="17">
      <c r="C23" t="s">
        <v>805</v>
      </c>
      <c r="D23" s="31"/>
      <c r="G23" s="562"/>
      <c r="H23" s="562"/>
      <c r="I23" s="562"/>
      <c r="J23" s="562"/>
    </row>
    <row r="24" spans="2:14" ht="17">
      <c r="D24" s="31"/>
      <c r="G24" s="562"/>
      <c r="H24" s="562"/>
      <c r="I24" s="562"/>
      <c r="J24" s="562"/>
    </row>
    <row r="25" spans="2:14" ht="17">
      <c r="D25" s="31"/>
      <c r="G25" s="562"/>
      <c r="H25" s="562"/>
      <c r="I25" s="562"/>
      <c r="J25" s="562"/>
    </row>
    <row r="26" spans="2:14" ht="17">
      <c r="B26" s="3" t="s">
        <v>846</v>
      </c>
      <c r="G26" s="562"/>
      <c r="H26" s="562"/>
      <c r="I26" s="562"/>
      <c r="J26" s="562"/>
    </row>
    <row r="27" spans="2:14" ht="17">
      <c r="G27" s="562"/>
      <c r="H27" s="562"/>
      <c r="I27" s="562"/>
      <c r="J27" s="562"/>
    </row>
    <row r="28" spans="2:14" ht="17">
      <c r="C28" s="693" t="s">
        <v>1868</v>
      </c>
      <c r="D28" s="31"/>
      <c r="G28" s="562"/>
      <c r="H28" s="562"/>
      <c r="I28" s="562"/>
      <c r="J28" s="562"/>
    </row>
    <row r="29" spans="2:14">
      <c r="C29" s="693"/>
      <c r="G29" s="692"/>
      <c r="H29" s="692"/>
      <c r="I29" s="692"/>
      <c r="J29" s="692"/>
    </row>
    <row r="30" spans="2:14" ht="17">
      <c r="G30" s="562"/>
      <c r="H30" s="562"/>
      <c r="I30" s="562"/>
      <c r="J30" s="562"/>
    </row>
    <row r="31" spans="2:14">
      <c r="G31" s="692"/>
      <c r="H31" s="692"/>
      <c r="I31" s="692"/>
      <c r="J31" s="692"/>
    </row>
    <row r="32" spans="2:14">
      <c r="C32" t="s">
        <v>836</v>
      </c>
      <c r="G32" s="692"/>
      <c r="H32" s="692"/>
      <c r="I32" s="692"/>
      <c r="J32" s="692"/>
    </row>
    <row r="33" spans="2:23">
      <c r="D33" t="s">
        <v>2370</v>
      </c>
      <c r="G33" s="692"/>
      <c r="H33" s="692"/>
      <c r="I33" s="692"/>
      <c r="J33" s="692"/>
    </row>
    <row r="34" spans="2:23">
      <c r="H34" s="692"/>
      <c r="I34" s="692"/>
      <c r="J34" s="692"/>
      <c r="K34" s="692"/>
      <c r="L34" s="692"/>
      <c r="M34" s="692"/>
    </row>
    <row r="35" spans="2:23">
      <c r="H35" s="692"/>
      <c r="I35" s="692"/>
      <c r="J35" s="692"/>
      <c r="K35" s="692"/>
      <c r="L35" s="692"/>
      <c r="M35" s="692"/>
    </row>
    <row r="36" spans="2:23">
      <c r="G36" s="692"/>
      <c r="H36" s="692"/>
      <c r="I36" s="692"/>
      <c r="J36" s="692"/>
    </row>
    <row r="37" spans="2:23">
      <c r="G37" s="692"/>
      <c r="H37" s="692"/>
      <c r="I37" s="692"/>
      <c r="J37" s="692"/>
    </row>
    <row r="38" spans="2:23">
      <c r="C38" s="1" t="s">
        <v>1936</v>
      </c>
      <c r="G38" s="692"/>
      <c r="H38" s="692"/>
      <c r="I38" s="692"/>
      <c r="J38" s="692"/>
    </row>
    <row r="39" spans="2:23">
      <c r="D39" s="1394" t="s">
        <v>2190</v>
      </c>
      <c r="G39" s="692"/>
      <c r="H39" s="692"/>
      <c r="I39" s="692"/>
      <c r="J39" s="692"/>
    </row>
    <row r="40" spans="2:23">
      <c r="C40" s="3309">
        <v>68</v>
      </c>
      <c r="D40" t="s">
        <v>2227</v>
      </c>
      <c r="G40" s="692"/>
      <c r="H40" s="692"/>
      <c r="I40" s="692"/>
      <c r="J40" s="692"/>
    </row>
    <row r="41" spans="2:23">
      <c r="G41" s="692"/>
      <c r="H41" s="692"/>
      <c r="I41" s="692"/>
      <c r="J41" s="692"/>
    </row>
    <row r="42" spans="2:23">
      <c r="G42" s="692"/>
      <c r="H42" s="692"/>
      <c r="I42" s="692"/>
      <c r="J42" s="692"/>
    </row>
    <row r="43" spans="2:23">
      <c r="G43" s="692"/>
      <c r="H43" s="692"/>
      <c r="I43" s="692"/>
      <c r="J43" s="692"/>
    </row>
    <row r="44" spans="2:23">
      <c r="G44" s="692"/>
      <c r="H44" s="692"/>
      <c r="I44" s="692"/>
      <c r="J44" s="692"/>
    </row>
    <row r="45" spans="2:23">
      <c r="G45" s="692"/>
      <c r="H45" s="692"/>
      <c r="I45" s="692"/>
      <c r="J45" s="692"/>
    </row>
    <row r="46" spans="2:23">
      <c r="G46" s="692"/>
      <c r="H46" s="692"/>
      <c r="I46" s="692"/>
      <c r="J46" s="692"/>
    </row>
    <row r="47" spans="2:23">
      <c r="B47" s="1"/>
      <c r="C47" s="360"/>
      <c r="V47" s="587"/>
    </row>
    <row r="48" spans="2:23">
      <c r="B48" s="8" t="s">
        <v>1036</v>
      </c>
      <c r="C48" s="100"/>
      <c r="F48" s="3881"/>
      <c r="G48" s="3881"/>
      <c r="H48" s="3881"/>
      <c r="J48" s="1"/>
      <c r="K48" s="1" t="s">
        <v>1430</v>
      </c>
      <c r="L48" s="1"/>
      <c r="M48" s="1"/>
      <c r="W48" s="587"/>
    </row>
    <row r="49" spans="2:24">
      <c r="B49" t="s">
        <v>841</v>
      </c>
      <c r="O49" t="s">
        <v>1053</v>
      </c>
      <c r="W49" s="587"/>
    </row>
    <row r="50" spans="2:24">
      <c r="C50" t="s">
        <v>829</v>
      </c>
      <c r="J50" s="259"/>
      <c r="K50" s="259">
        <f>'Overall Assumptions'!$C$179</f>
        <v>208.4</v>
      </c>
      <c r="W50" s="587"/>
    </row>
    <row r="51" spans="2:24">
      <c r="C51" s="360" t="s">
        <v>1052</v>
      </c>
      <c r="D51" s="1"/>
      <c r="E51" s="1"/>
      <c r="K51" s="3882"/>
      <c r="L51" s="3882"/>
      <c r="M51" s="3882"/>
      <c r="W51" s="587"/>
    </row>
    <row r="52" spans="2:24">
      <c r="C52" s="4" t="s">
        <v>730</v>
      </c>
      <c r="D52" s="593" t="s">
        <v>832</v>
      </c>
      <c r="F52" s="3741" t="s">
        <v>1869</v>
      </c>
      <c r="G52" s="3742"/>
      <c r="H52" s="3743"/>
      <c r="I52" s="2586"/>
      <c r="J52" s="1389"/>
      <c r="K52" s="3744" t="s">
        <v>1870</v>
      </c>
      <c r="L52" s="3744"/>
      <c r="M52" s="3740"/>
      <c r="O52">
        <v>0</v>
      </c>
      <c r="P52">
        <v>1</v>
      </c>
      <c r="Q52">
        <v>2</v>
      </c>
      <c r="R52">
        <v>3</v>
      </c>
      <c r="X52" s="587"/>
    </row>
    <row r="53" spans="2:24" ht="16" customHeight="1">
      <c r="C53" s="480" t="s">
        <v>819</v>
      </c>
      <c r="D53" s="3828" t="s">
        <v>801</v>
      </c>
      <c r="F53" s="3883"/>
      <c r="G53" s="3884"/>
      <c r="H53" s="3885"/>
      <c r="I53" s="2100"/>
      <c r="J53" s="591"/>
      <c r="K53" s="3887"/>
      <c r="L53" s="3887"/>
      <c r="M53" s="3888"/>
      <c r="O53" s="402" t="s">
        <v>821</v>
      </c>
      <c r="P53" s="255"/>
      <c r="Q53" s="255"/>
      <c r="R53" s="161"/>
      <c r="X53" s="587"/>
    </row>
    <row r="54" spans="2:24" ht="16" customHeight="1">
      <c r="C54" s="591"/>
      <c r="D54" s="3829"/>
      <c r="F54" s="3889"/>
      <c r="G54" s="3890"/>
      <c r="H54" s="3891"/>
      <c r="I54" s="2584"/>
      <c r="J54" s="591"/>
      <c r="K54" s="3887"/>
      <c r="L54" s="3887"/>
      <c r="M54" s="3888"/>
      <c r="O54" s="480" t="s">
        <v>3</v>
      </c>
      <c r="P54" s="161" t="s">
        <v>132</v>
      </c>
      <c r="Q54" s="161" t="s">
        <v>4</v>
      </c>
      <c r="R54" s="161" t="s">
        <v>21</v>
      </c>
      <c r="X54" s="587"/>
    </row>
    <row r="55" spans="2:24" ht="16" customHeight="1">
      <c r="C55" s="591"/>
      <c r="D55" s="3829"/>
      <c r="F55" s="3895" t="s">
        <v>796</v>
      </c>
      <c r="G55" s="3896"/>
      <c r="H55" s="3897"/>
      <c r="I55" s="2584"/>
      <c r="J55" s="2582"/>
      <c r="K55" s="3896" t="s">
        <v>796</v>
      </c>
      <c r="L55" s="3896"/>
      <c r="M55" s="3897"/>
      <c r="O55" s="2583"/>
      <c r="P55" s="2585"/>
      <c r="Q55" s="2585"/>
      <c r="R55" s="246"/>
      <c r="X55" s="587"/>
    </row>
    <row r="56" spans="2:24">
      <c r="B56" s="79"/>
      <c r="C56" s="481"/>
      <c r="D56" s="3830"/>
      <c r="F56" s="404" t="s">
        <v>802</v>
      </c>
      <c r="G56" s="79" t="s">
        <v>803</v>
      </c>
      <c r="H56" s="246" t="s">
        <v>733</v>
      </c>
      <c r="I56" s="79"/>
      <c r="J56" s="2532"/>
      <c r="K56" s="439" t="s">
        <v>802</v>
      </c>
      <c r="L56" s="439" t="s">
        <v>803</v>
      </c>
      <c r="M56" s="162" t="s">
        <v>733</v>
      </c>
      <c r="O56" s="481"/>
      <c r="P56" s="162"/>
      <c r="Q56" s="162"/>
      <c r="R56" s="162"/>
      <c r="X56" s="587"/>
    </row>
    <row r="57" spans="2:24">
      <c r="B57" s="480" t="s">
        <v>862</v>
      </c>
      <c r="C57" s="161" t="s">
        <v>57</v>
      </c>
      <c r="D57" s="749"/>
      <c r="F57" s="1181">
        <f>'Map and Protect'!$AB$23</f>
        <v>18.479089883450342</v>
      </c>
      <c r="G57" s="1182">
        <f>'Map and Protect'!$AB$23</f>
        <v>18.479089883450342</v>
      </c>
      <c r="H57" s="1183">
        <f>'Map and Protect'!$AB$23</f>
        <v>18.479089883450342</v>
      </c>
      <c r="I57" s="384"/>
      <c r="J57" s="3143"/>
      <c r="K57" s="3147"/>
      <c r="L57" s="3147"/>
      <c r="M57" s="3144"/>
      <c r="O57" s="1208">
        <f ca="1">OFFSET('Map and Protect'!$AC$23,O$52+$S57,0)</f>
        <v>1</v>
      </c>
      <c r="P57" s="1208" t="str">
        <f ca="1">OFFSET('Map and Protect'!$AC$23,P$52+$S57,0)</f>
        <v/>
      </c>
      <c r="Q57" s="1208" t="str">
        <f ca="1">OFFSET('Map and Protect'!$AC$23,Q$52+$S57,0)</f>
        <v/>
      </c>
      <c r="R57" s="1208" t="str">
        <f ca="1">OFFSET('Map and Protect'!$AC$23,R$52+$S57,0)</f>
        <v/>
      </c>
      <c r="S57" s="587">
        <v>0</v>
      </c>
      <c r="T57" s="578">
        <f t="shared" ref="T57:T59" ca="1" si="0">SUM(O57:R57)</f>
        <v>1</v>
      </c>
      <c r="X57" s="587"/>
    </row>
    <row r="58" spans="2:24" ht="16" customHeight="1">
      <c r="B58" s="591" t="s">
        <v>863</v>
      </c>
      <c r="C58" s="109" t="s">
        <v>2015</v>
      </c>
      <c r="D58" s="606"/>
      <c r="F58" s="841">
        <f>'Map and Protect'!$AB$27</f>
        <v>12.294380825086819</v>
      </c>
      <c r="G58" s="337">
        <f>'Map and Protect'!$AB$31</f>
        <v>13.901018699622192</v>
      </c>
      <c r="H58" s="842">
        <f>'Map and Protect'!$AB$35</f>
        <v>18.411516029115212</v>
      </c>
      <c r="I58" s="384"/>
      <c r="J58" s="3143"/>
      <c r="K58" s="2333">
        <f>'Map and Protect'!$S$28</f>
        <v>0.2159876091279169</v>
      </c>
      <c r="L58" s="2333">
        <f>'Map and Protect'!$S$32</f>
        <v>0.2159876091279169</v>
      </c>
      <c r="M58" s="3104">
        <f>'Map and Protect'!$S$36</f>
        <v>0.2159876091279169</v>
      </c>
      <c r="O58" s="751">
        <f ca="1">OFFSET('Map and Protect'!$AC$23,O$52+$S58,0)</f>
        <v>0.48416794532012836</v>
      </c>
      <c r="P58" s="751">
        <f ca="1">OFFSET('Map and Protect'!$AC$23,P$52+$S58,0)</f>
        <v>0.23587669130980615</v>
      </c>
      <c r="Q58" s="751">
        <f ca="1">OFFSET('Map and Protect'!$AC$23,Q$52+$S58,0)</f>
        <v>0.2799553633700656</v>
      </c>
      <c r="R58" s="751">
        <f ca="1">OFFSET('Map and Protect'!$AC$23,R$52+$S58,0)</f>
        <v>0</v>
      </c>
      <c r="S58" s="587">
        <v>8</v>
      </c>
      <c r="T58" s="578">
        <f t="shared" ca="1" si="0"/>
        <v>1</v>
      </c>
      <c r="X58" s="587"/>
    </row>
    <row r="59" spans="2:24" ht="16" customHeight="1">
      <c r="B59" s="481" t="s">
        <v>862</v>
      </c>
      <c r="C59" s="2567" t="s">
        <v>1930</v>
      </c>
      <c r="D59" s="2679">
        <f>'Map and Protect'!$AB$39</f>
        <v>18068.443441595889</v>
      </c>
      <c r="F59" s="843"/>
      <c r="G59" s="690"/>
      <c r="H59" s="844"/>
      <c r="I59" s="384"/>
      <c r="J59" s="3143"/>
      <c r="K59" s="3147"/>
      <c r="L59" s="3147"/>
      <c r="M59" s="3144"/>
      <c r="O59" s="751">
        <f ca="1">OFFSET('Map and Protect'!$AC$23,O$52+$S59,0)</f>
        <v>0</v>
      </c>
      <c r="P59" s="751">
        <f ca="1">OFFSET('Map and Protect'!$AC$23,P$52+$S59,0)</f>
        <v>0</v>
      </c>
      <c r="Q59" s="751">
        <f ca="1">OFFSET('Map and Protect'!$AC$23,Q$52+$S59,0)</f>
        <v>0</v>
      </c>
      <c r="R59" s="751">
        <f ca="1">OFFSET('Map and Protect'!$AC$23,R$52+$S59,0)</f>
        <v>0</v>
      </c>
      <c r="S59" s="587">
        <v>20</v>
      </c>
      <c r="T59" s="578">
        <f t="shared" ca="1" si="0"/>
        <v>0</v>
      </c>
      <c r="X59" s="587"/>
    </row>
    <row r="60" spans="2:24" ht="16" customHeight="1">
      <c r="B60" s="79"/>
      <c r="C60" s="109" t="s">
        <v>1935</v>
      </c>
      <c r="D60" s="2072">
        <f>C40</f>
        <v>68</v>
      </c>
      <c r="F60" s="843"/>
      <c r="G60" s="690"/>
      <c r="H60" s="844"/>
      <c r="I60" s="384"/>
      <c r="J60" s="3143"/>
      <c r="K60" s="3147"/>
      <c r="L60" s="3147"/>
      <c r="M60" s="3144"/>
      <c r="O60" s="608"/>
      <c r="P60" s="608"/>
      <c r="Q60" s="608"/>
      <c r="R60" s="608"/>
      <c r="S60" s="587"/>
      <c r="T60" s="578"/>
      <c r="X60" s="587"/>
    </row>
    <row r="61" spans="2:24">
      <c r="C61" s="771" t="s">
        <v>833</v>
      </c>
      <c r="D61" s="778">
        <f>SUM(D57:D59)*D60</f>
        <v>1228654.1540285205</v>
      </c>
      <c r="E61" s="2089" t="s">
        <v>826</v>
      </c>
      <c r="F61" s="1265">
        <f>SUM(F57:F59)</f>
        <v>30.773470708537161</v>
      </c>
      <c r="G61" s="1260">
        <f>SUM(G57:G59)</f>
        <v>32.380108583072534</v>
      </c>
      <c r="H61" s="1266">
        <f>SUM(H57:H59)</f>
        <v>36.890605912565555</v>
      </c>
      <c r="I61" s="2531" t="s">
        <v>2226</v>
      </c>
      <c r="J61" s="3007"/>
      <c r="K61" s="3135">
        <f>SUM(K57:K59)</f>
        <v>0.2159876091279169</v>
      </c>
      <c r="L61" s="3135">
        <f>SUM(L57:L59)</f>
        <v>0.2159876091279169</v>
      </c>
      <c r="M61" s="3008">
        <f>SUM(M57:M59)</f>
        <v>0.2159876091279169</v>
      </c>
      <c r="O61" s="609"/>
      <c r="P61" s="609"/>
      <c r="Q61" s="609"/>
      <c r="R61" s="1"/>
      <c r="S61" s="1"/>
    </row>
    <row r="62" spans="2:24">
      <c r="B62" s="811"/>
      <c r="E62" s="16"/>
      <c r="G62" s="1"/>
      <c r="J62" s="122"/>
      <c r="R62" s="609"/>
      <c r="S62" s="609"/>
      <c r="T62" s="609"/>
    </row>
    <row r="63" spans="2:24">
      <c r="B63" s="811"/>
      <c r="C63" s="16"/>
      <c r="D63" s="16"/>
      <c r="J63" s="122"/>
      <c r="M63" s="543"/>
      <c r="O63" s="609"/>
    </row>
    <row r="64" spans="2:24">
      <c r="B64" s="811"/>
      <c r="C64" s="28" t="s">
        <v>822</v>
      </c>
      <c r="D64" s="28"/>
      <c r="E64" s="3"/>
      <c r="F64" s="3"/>
      <c r="G64" s="3"/>
      <c r="H64" s="3"/>
      <c r="I64" s="3"/>
      <c r="J64" s="122"/>
      <c r="M64" s="543"/>
      <c r="O64" s="609"/>
    </row>
    <row r="65" spans="2:22" ht="15" customHeight="1">
      <c r="B65" s="811"/>
      <c r="C65" s="480" t="s">
        <v>57</v>
      </c>
      <c r="D65" s="749"/>
      <c r="F65" s="1181">
        <f>'Map and Protect'!$Z$23</f>
        <v>7.5447171713495473</v>
      </c>
      <c r="G65" s="1182">
        <f>'Map and Protect'!$Z$23</f>
        <v>7.5447171713495473</v>
      </c>
      <c r="H65" s="1183">
        <f>'Map and Protect'!$Z$23</f>
        <v>7.5447171713495473</v>
      </c>
      <c r="I65" s="768"/>
      <c r="J65" s="122"/>
      <c r="K65" s="748"/>
      <c r="L65" s="748"/>
      <c r="M65" s="748"/>
      <c r="O65" s="609"/>
    </row>
    <row r="66" spans="2:22" ht="16" customHeight="1">
      <c r="B66" s="811"/>
      <c r="C66" s="109" t="s">
        <v>2015</v>
      </c>
      <c r="D66" s="606"/>
      <c r="F66" s="841">
        <f>'Map and Protect'!$Z$27</f>
        <v>4.6087087356166547</v>
      </c>
      <c r="G66" s="337">
        <f>'Map and Protect'!$Z$31</f>
        <v>5.2661633951504214</v>
      </c>
      <c r="H66" s="842">
        <f>'Map and Protect'!$Z$35</f>
        <v>6.971146336302974</v>
      </c>
      <c r="I66" s="779"/>
      <c r="J66" s="79"/>
      <c r="K66" s="79"/>
      <c r="L66" s="79"/>
      <c r="M66" s="79"/>
      <c r="N66" s="609"/>
    </row>
    <row r="67" spans="2:22" ht="16" customHeight="1">
      <c r="B67" s="811"/>
      <c r="C67" s="2534" t="s">
        <v>1930</v>
      </c>
      <c r="D67" s="689">
        <f>'Map and Protect'!$Z$39</f>
        <v>7377.056789764003</v>
      </c>
      <c r="F67" s="843"/>
      <c r="G67" s="690"/>
      <c r="H67" s="844"/>
      <c r="I67" s="779"/>
      <c r="J67" s="79"/>
      <c r="K67" s="79"/>
      <c r="L67" s="79"/>
      <c r="M67" s="79"/>
      <c r="N67" s="609"/>
    </row>
    <row r="68" spans="2:22" ht="16" customHeight="1">
      <c r="B68" s="811"/>
      <c r="C68" s="987" t="s">
        <v>1935</v>
      </c>
      <c r="D68" s="2680">
        <f>D60</f>
        <v>68</v>
      </c>
      <c r="F68" s="690"/>
      <c r="G68" s="690"/>
      <c r="H68" s="844"/>
      <c r="I68" s="779"/>
      <c r="J68" s="79"/>
      <c r="K68" s="79"/>
      <c r="L68" s="79"/>
      <c r="M68" s="79"/>
      <c r="N68" s="609"/>
    </row>
    <row r="69" spans="2:22">
      <c r="B69" s="811"/>
      <c r="C69" s="2103" t="s">
        <v>766</v>
      </c>
      <c r="D69" s="778">
        <f>SUM(D65:D67)*D68</f>
        <v>501639.86170395219</v>
      </c>
      <c r="E69" s="2104"/>
      <c r="F69" s="765">
        <f>SUM(F65:F67)</f>
        <v>12.153425906966202</v>
      </c>
      <c r="G69" s="765">
        <f>SUM(G65:G67)</f>
        <v>12.810880566499968</v>
      </c>
      <c r="H69" s="766">
        <f>SUM(H65:H67)</f>
        <v>14.515863507652522</v>
      </c>
      <c r="I69" s="779"/>
      <c r="L69" s="543"/>
      <c r="M69" s="543"/>
      <c r="N69" s="609"/>
    </row>
    <row r="72" spans="2:22">
      <c r="V72" s="587"/>
    </row>
  </sheetData>
  <mergeCells count="11">
    <mergeCell ref="F48:H48"/>
    <mergeCell ref="K51:M51"/>
    <mergeCell ref="F52:H52"/>
    <mergeCell ref="K52:M52"/>
    <mergeCell ref="D53:D56"/>
    <mergeCell ref="F53:H53"/>
    <mergeCell ref="K53:M53"/>
    <mergeCell ref="F54:H54"/>
    <mergeCell ref="K54:M54"/>
    <mergeCell ref="F55:H55"/>
    <mergeCell ref="K55:M55"/>
  </mergeCells>
  <pageMargins left="0.7" right="0.7" top="0.75" bottom="0.75" header="0.3" footer="0.3"/>
  <pageSetup paperSize="9" orientation="portrait" horizontalDpi="0" verticalDpi="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P824"/>
  <sheetViews>
    <sheetView showGridLines="0" zoomScaleNormal="100" workbookViewId="0">
      <selection activeCell="H36" sqref="H36"/>
    </sheetView>
  </sheetViews>
  <sheetFormatPr baseColWidth="10" defaultColWidth="11" defaultRowHeight="16"/>
  <cols>
    <col min="1" max="1" width="2.6640625" customWidth="1"/>
    <col min="2" max="2" width="4.83203125" customWidth="1"/>
    <col min="3" max="3" width="26.1640625" customWidth="1"/>
    <col min="4" max="4" width="53.6640625" style="24" customWidth="1"/>
    <col min="5" max="5" width="12.5" style="16" customWidth="1"/>
    <col min="6" max="6" width="11.83203125" customWidth="1"/>
    <col min="7" max="7" width="16.1640625" style="359" customWidth="1"/>
    <col min="8" max="8" width="34.5" customWidth="1"/>
    <col min="9" max="9" width="11.83203125" customWidth="1"/>
    <col min="10" max="10" width="14.5" customWidth="1"/>
    <col min="11" max="11" width="9.83203125" customWidth="1"/>
    <col min="12" max="12" width="12.1640625" customWidth="1"/>
    <col min="13" max="13" width="2.1640625" customWidth="1"/>
    <col min="14" max="14" width="11.33203125" customWidth="1" collapsed="1"/>
    <col min="15" max="15" width="14.5" customWidth="1"/>
    <col min="16" max="16" width="11.33203125" customWidth="1"/>
    <col min="17" max="19" width="11.33203125" style="2791" customWidth="1"/>
    <col min="20" max="20" width="2.6640625" customWidth="1"/>
    <col min="21" max="21" width="11.1640625" customWidth="1"/>
    <col min="22" max="26" width="11.6640625" customWidth="1"/>
    <col min="27" max="27" width="19.33203125" customWidth="1" collapsed="1"/>
    <col min="28" max="28" width="16.6640625" customWidth="1"/>
    <col min="29" max="29" width="12.1640625" customWidth="1"/>
    <col min="30" max="30" width="21" customWidth="1"/>
    <col min="31" max="31" width="23.5" customWidth="1"/>
    <col min="32" max="32" width="37.5" customWidth="1"/>
    <col min="33" max="33" width="11" bestFit="1" customWidth="1"/>
    <col min="34" max="34" width="14.33203125" customWidth="1"/>
    <col min="35" max="35" width="12.83203125" bestFit="1" customWidth="1"/>
    <col min="36" max="36" width="12" bestFit="1" customWidth="1"/>
    <col min="37" max="37" width="11" bestFit="1" customWidth="1"/>
    <col min="42" max="42" width="12.5" bestFit="1" customWidth="1"/>
  </cols>
  <sheetData>
    <row r="1" spans="2:35">
      <c r="B1" s="3" t="s">
        <v>19</v>
      </c>
      <c r="C1" s="24"/>
      <c r="D1" s="16" t="s">
        <v>1886</v>
      </c>
      <c r="E1"/>
      <c r="F1" s="359"/>
      <c r="G1"/>
      <c r="H1" s="359"/>
    </row>
    <row r="2" spans="2:35" ht="16" customHeight="1">
      <c r="C2" s="24" t="s">
        <v>10</v>
      </c>
      <c r="D2" s="407" t="s">
        <v>1911</v>
      </c>
      <c r="E2"/>
      <c r="F2" s="359"/>
      <c r="G2"/>
      <c r="H2" s="359"/>
      <c r="AB2" s="2547"/>
      <c r="AE2" s="2548"/>
    </row>
    <row r="3" spans="2:35" ht="16" customHeight="1">
      <c r="C3" s="24" t="s">
        <v>0</v>
      </c>
      <c r="D3" s="16" t="s">
        <v>1898</v>
      </c>
      <c r="E3"/>
      <c r="F3" s="359"/>
      <c r="G3"/>
      <c r="H3" s="359"/>
      <c r="AB3" s="2547"/>
      <c r="AE3" s="2548"/>
    </row>
    <row r="4" spans="2:35" ht="16" customHeight="1">
      <c r="B4" s="3"/>
      <c r="C4" s="24" t="s">
        <v>1</v>
      </c>
      <c r="D4" s="16" t="s">
        <v>1912</v>
      </c>
      <c r="E4"/>
      <c r="F4" s="359"/>
      <c r="G4"/>
      <c r="H4" s="359"/>
      <c r="AB4" s="2547"/>
      <c r="AE4" s="2548"/>
    </row>
    <row r="5" spans="2:35" ht="16" customHeight="1">
      <c r="B5" s="3" t="s">
        <v>20</v>
      </c>
      <c r="C5" s="24"/>
      <c r="D5" s="16"/>
      <c r="E5"/>
      <c r="F5" s="359"/>
      <c r="H5" s="1"/>
      <c r="I5" s="359"/>
      <c r="AC5" s="2547"/>
      <c r="AF5" s="2548"/>
    </row>
    <row r="6" spans="2:35">
      <c r="C6" s="24" t="s">
        <v>2</v>
      </c>
      <c r="D6" s="16" t="s">
        <v>1899</v>
      </c>
      <c r="F6" s="359"/>
      <c r="I6" s="359"/>
      <c r="AC6" s="3831"/>
      <c r="AF6" s="3832"/>
    </row>
    <row r="7" spans="2:35">
      <c r="C7" s="24" t="s">
        <v>22</v>
      </c>
      <c r="D7" s="16" t="s">
        <v>1900</v>
      </c>
      <c r="F7" s="359"/>
      <c r="I7" s="359"/>
      <c r="AC7" s="3831"/>
      <c r="AF7" s="3832"/>
    </row>
    <row r="8" spans="2:35">
      <c r="C8" s="24" t="s">
        <v>7</v>
      </c>
      <c r="D8" s="16" t="s">
        <v>29</v>
      </c>
      <c r="F8" s="359"/>
      <c r="I8" s="359"/>
      <c r="O8" s="15"/>
      <c r="AC8" s="3831"/>
      <c r="AF8" s="3832"/>
    </row>
    <row r="9" spans="2:35">
      <c r="C9" s="24" t="s">
        <v>8</v>
      </c>
      <c r="D9" s="16" t="s">
        <v>583</v>
      </c>
      <c r="F9" s="359"/>
      <c r="I9" s="359"/>
      <c r="AC9" s="3831"/>
      <c r="AF9" s="3832"/>
    </row>
    <row r="10" spans="2:35" ht="19">
      <c r="C10" s="24"/>
      <c r="D10" s="16"/>
      <c r="F10" s="359"/>
      <c r="I10" s="359"/>
      <c r="AC10" s="2547"/>
      <c r="AF10" s="2548"/>
    </row>
    <row r="11" spans="2:35" ht="19">
      <c r="B11" s="904" t="s">
        <v>140</v>
      </c>
      <c r="C11" s="113"/>
      <c r="D11" s="16"/>
      <c r="F11" s="359"/>
      <c r="I11" s="359"/>
      <c r="AA11" s="2953" t="s">
        <v>2305</v>
      </c>
      <c r="AB11" s="2953"/>
      <c r="AC11" s="2547"/>
      <c r="AF11" s="2548"/>
    </row>
    <row r="12" spans="2:35" ht="19">
      <c r="C12" s="31" t="s">
        <v>960</v>
      </c>
      <c r="D12" s="16"/>
      <c r="F12" s="359"/>
      <c r="I12" s="359"/>
      <c r="AA12" s="204">
        <f>SUMIF(T23:T104,"L",AA23:AA104)-AA13-AA15</f>
        <v>748.49804026396168</v>
      </c>
      <c r="AB12" s="2953" t="s">
        <v>2303</v>
      </c>
      <c r="AC12" s="2547"/>
      <c r="AF12" s="2548"/>
    </row>
    <row r="13" spans="2:35" ht="19">
      <c r="C13" s="955" t="s">
        <v>961</v>
      </c>
      <c r="D13" s="16"/>
      <c r="F13" s="359"/>
      <c r="I13" s="359"/>
      <c r="AA13" s="454">
        <v>0</v>
      </c>
      <c r="AB13" s="2953" t="s">
        <v>2304</v>
      </c>
      <c r="AC13" s="2547"/>
      <c r="AF13" s="2548"/>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SUM(AA31,AA35,AA43,AA47,AA51,AA55,AA67,AA71,AA79,AA83)</f>
        <v>1750.3198849909199</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2399"/>
      <c r="AE17" s="2400"/>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2401"/>
      <c r="AE18" s="2402"/>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2549"/>
      <c r="C21" s="3767" t="s">
        <v>185</v>
      </c>
      <c r="D21" s="3769" t="s">
        <v>13</v>
      </c>
      <c r="E21" s="3769" t="s">
        <v>30</v>
      </c>
      <c r="F21" s="3773" t="s">
        <v>2335</v>
      </c>
      <c r="G21" s="377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2546"/>
      <c r="AG21" s="2546"/>
      <c r="AH21" s="909" t="s">
        <v>66</v>
      </c>
      <c r="AI21" s="895"/>
      <c r="AJ21" s="3748" t="s">
        <v>190</v>
      </c>
      <c r="AK21" s="3748" t="s">
        <v>181</v>
      </c>
    </row>
    <row r="22" spans="1:37" s="893" customFormat="1" ht="51" customHeight="1">
      <c r="B22" s="2550"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2546"/>
      <c r="AG22" s="893" t="s">
        <v>732</v>
      </c>
      <c r="AH22" s="2551" t="s">
        <v>17</v>
      </c>
      <c r="AI22" s="898" t="s">
        <v>18</v>
      </c>
      <c r="AJ22" s="3749"/>
      <c r="AK22" s="3749"/>
    </row>
    <row r="23" spans="1:37" ht="19" customHeight="1">
      <c r="B23" s="260">
        <v>1</v>
      </c>
      <c r="C23" s="3844" t="s">
        <v>201</v>
      </c>
      <c r="D23" s="3847" t="s">
        <v>131</v>
      </c>
      <c r="E23" s="12" t="s">
        <v>3</v>
      </c>
      <c r="F23" s="1172"/>
      <c r="G23" s="1172">
        <f>$E$125</f>
        <v>15</v>
      </c>
      <c r="H23" s="188">
        <f>F125</f>
        <v>5062.5</v>
      </c>
      <c r="I23" s="921" t="s">
        <v>407</v>
      </c>
      <c r="J23" s="377" t="str">
        <f>IF(K23=1,"Annual","Done every "&amp;K23&amp;" years")</f>
        <v>Annual</v>
      </c>
      <c r="K23" s="11">
        <f>$D$112</f>
        <v>1</v>
      </c>
      <c r="L23" s="1043">
        <f>$L$16/K23</f>
        <v>80</v>
      </c>
      <c r="M23" s="171">
        <f>$L$16/L23</f>
        <v>1</v>
      </c>
      <c r="N23" s="240">
        <f>$H23*(1-(1+$L$15)^-(L23*M23))/((1+$L$15)^M23-1)*(1+((1+$L$15)^M23-1))</f>
        <v>125914.53807358607</v>
      </c>
      <c r="O23" s="191">
        <f>N23/(1+$L$15)*($L$15)/(1-(1+$L$15)^-$L$16)</f>
        <v>5062.4999999999955</v>
      </c>
      <c r="P23" s="195">
        <f>SUM(O23:O26)</f>
        <v>5062.4999999999955</v>
      </c>
      <c r="Q23" s="3016"/>
      <c r="R23" s="3016"/>
      <c r="S23" s="3016"/>
      <c r="T23" s="1031" t="s">
        <v>808</v>
      </c>
      <c r="U23" s="583">
        <f>O23/$U$16</f>
        <v>50.624999999999957</v>
      </c>
      <c r="V23" s="583">
        <f>IF($T23="L",SUM($U23:U23)*V$16,"")</f>
        <v>15.187499999999986</v>
      </c>
      <c r="W23" s="1474"/>
      <c r="X23" s="583">
        <f>IF($U23="","",SUM($U23:W23)*X$16)</f>
        <v>19.743749999999981</v>
      </c>
      <c r="Y23" s="240">
        <f t="shared" ref="Y23:Y29" si="0">IF($U23="","",SUM(V23:X23))</f>
        <v>34.931249999999963</v>
      </c>
      <c r="Z23" s="240">
        <f>SUM(V23:X26)</f>
        <v>34.931249999999963</v>
      </c>
      <c r="AA23" s="191">
        <f t="shared" ref="AA23:AA29" si="1">IF($U23="","",SUM(U23,Y23))</f>
        <v>85.55624999999992</v>
      </c>
      <c r="AB23" s="195">
        <f>SUM(AA23:AA26)</f>
        <v>85.55624999999992</v>
      </c>
      <c r="AC23" s="889">
        <f t="shared" ref="AC23:AC29" ca="1" si="2">IF(AA23="","",AA23/OFFSET($AB$23,AF23,0))</f>
        <v>1</v>
      </c>
      <c r="AD23" s="941"/>
      <c r="AE23" s="1063"/>
      <c r="AF23" s="587">
        <v>0</v>
      </c>
      <c r="AG23" s="816">
        <f ca="1">SUM(AC23:AC26)-1</f>
        <v>0</v>
      </c>
      <c r="AH23" s="13">
        <f>$AH$16/K23</f>
        <v>5</v>
      </c>
      <c r="AI23" s="13">
        <f>$AH$16/AH23</f>
        <v>1</v>
      </c>
      <c r="AJ23" s="14">
        <f>$H23*(1-(1+$L$15)^-(AH23*AI23))/((1+$L$15)^AI23-1)*(1+((1+$L$15)^AI23-1))</f>
        <v>23438.844572800335</v>
      </c>
      <c r="AK23" s="191">
        <f>SUM(AJ23:AJ26)</f>
        <v>23438.844572800335</v>
      </c>
    </row>
    <row r="24" spans="1:37" ht="19" customHeight="1">
      <c r="B24" s="261"/>
      <c r="C24" s="3845"/>
      <c r="D24" s="3848"/>
      <c r="E24" s="12" t="s">
        <v>308</v>
      </c>
      <c r="F24" s="1172"/>
      <c r="G24" s="1172"/>
      <c r="H24" s="188"/>
      <c r="I24" s="921"/>
      <c r="J24" s="377"/>
      <c r="K24" s="11"/>
      <c r="L24" s="1044"/>
      <c r="M24" s="944"/>
      <c r="N24" s="241"/>
      <c r="O24" s="342"/>
      <c r="P24" s="193"/>
      <c r="Q24" s="3017">
        <v>0</v>
      </c>
      <c r="R24" s="3017">
        <v>0</v>
      </c>
      <c r="S24" s="3017">
        <v>0</v>
      </c>
      <c r="T24" s="1032" t="s">
        <v>809</v>
      </c>
      <c r="U24" s="585"/>
      <c r="V24" s="585" t="str">
        <f>IF($T24="L",SUM($U24:U24)*V$16,"")</f>
        <v/>
      </c>
      <c r="W24" s="1475"/>
      <c r="X24" s="585" t="str">
        <f>IF($U24="","",SUM($U24:W24)*X$16)</f>
        <v/>
      </c>
      <c r="Y24" s="242" t="str">
        <f t="shared" si="0"/>
        <v/>
      </c>
      <c r="Z24" s="242"/>
      <c r="AA24" s="342" t="str">
        <f t="shared" si="1"/>
        <v/>
      </c>
      <c r="AB24" s="193"/>
      <c r="AC24" s="890" t="str">
        <f t="shared" ca="1" si="2"/>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c r="P25" s="193"/>
      <c r="Q25" s="3017"/>
      <c r="R25" s="3017"/>
      <c r="S25" s="3017"/>
      <c r="T25" s="1032" t="s">
        <v>810</v>
      </c>
      <c r="U25" s="585"/>
      <c r="V25" s="585" t="str">
        <f>IF($T25="L",SUM($U25:U25)*V$16,"")</f>
        <v/>
      </c>
      <c r="W25" s="1475"/>
      <c r="X25" s="585" t="str">
        <f>IF($U25="","",SUM($U25:W25)*X$16)</f>
        <v/>
      </c>
      <c r="Y25" s="242" t="str">
        <f t="shared" si="0"/>
        <v/>
      </c>
      <c r="Z25" s="242"/>
      <c r="AA25" s="342" t="str">
        <f t="shared" si="1"/>
        <v/>
      </c>
      <c r="AB25" s="193"/>
      <c r="AC25" s="890" t="str">
        <f t="shared" ca="1" si="2"/>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c r="P26" s="196"/>
      <c r="Q26" s="3018"/>
      <c r="R26" s="3018"/>
      <c r="S26" s="3018"/>
      <c r="T26" s="1033" t="s">
        <v>811</v>
      </c>
      <c r="U26" s="891"/>
      <c r="V26" s="891" t="str">
        <f>IF($T26="L",SUM($U26:U26)*V$16,"")</f>
        <v/>
      </c>
      <c r="W26" s="1478"/>
      <c r="X26" s="891" t="str">
        <f>IF($U26="","",SUM($U26:W26)*X$16)</f>
        <v/>
      </c>
      <c r="Y26" s="244" t="str">
        <f t="shared" si="0"/>
        <v/>
      </c>
      <c r="Z26" s="244"/>
      <c r="AA26" s="343" t="str">
        <f t="shared" si="1"/>
        <v/>
      </c>
      <c r="AB26" s="196"/>
      <c r="AC26" s="892" t="str">
        <f t="shared" ca="1" si="2"/>
        <v/>
      </c>
      <c r="AD26" s="942"/>
      <c r="AE26" s="1065"/>
      <c r="AF26" s="587">
        <f>AF25</f>
        <v>0</v>
      </c>
      <c r="AG26" s="587"/>
      <c r="AH26" s="13"/>
      <c r="AI26" s="13"/>
      <c r="AJ26" s="189"/>
      <c r="AK26" s="342"/>
    </row>
    <row r="27" spans="1:37" ht="18" customHeight="1">
      <c r="A27" s="390"/>
      <c r="B27" s="710">
        <v>2.1</v>
      </c>
      <c r="C27" s="2541" t="s">
        <v>1005</v>
      </c>
      <c r="D27" s="3850" t="s">
        <v>1913</v>
      </c>
      <c r="E27" s="373" t="s">
        <v>3</v>
      </c>
      <c r="F27" s="1176"/>
      <c r="G27" s="1176">
        <f t="shared" ref="G27:G29" si="3">E234</f>
        <v>6.2541106128550075</v>
      </c>
      <c r="H27" s="370">
        <f>H234</f>
        <v>1407.1748878923768</v>
      </c>
      <c r="I27" s="613" t="s">
        <v>475</v>
      </c>
      <c r="J27" s="375" t="str">
        <f>IF(K27=1,"Annual","Done every "&amp;K27&amp;" years")</f>
        <v>Annual</v>
      </c>
      <c r="K27" s="371">
        <f>L234</f>
        <v>1</v>
      </c>
      <c r="L27" s="386">
        <f t="shared" ref="L27:M29" si="4">$L$16/K27</f>
        <v>80</v>
      </c>
      <c r="M27" s="371">
        <f t="shared" si="4"/>
        <v>1</v>
      </c>
      <c r="N27" s="370">
        <f>$H27*(1-(1+$L$15)^-(L27*M27))/((1+$L$15)^M27-1)*(1+((1+$L$15)^M27-1))</f>
        <v>34999.264394611135</v>
      </c>
      <c r="O27" s="640">
        <f>N27/(1+$L$15)*($L$15)/(1-(1+$L$15)^-$L$16)</f>
        <v>1407.1748878923752</v>
      </c>
      <c r="P27" s="980">
        <f>SUM(O27:O30)</f>
        <v>3558.3856502242124</v>
      </c>
      <c r="Q27" s="3020"/>
      <c r="R27" s="3020"/>
      <c r="S27" s="3020"/>
      <c r="T27" s="1034" t="s">
        <v>808</v>
      </c>
      <c r="U27" s="642">
        <f t="shared" ref="U27:U33" si="5">O27/$U$16</f>
        <v>14.071748878923751</v>
      </c>
      <c r="V27" s="644">
        <f>IF($T27="L",SUM($U27:U27)*V$16,"")</f>
        <v>4.2215246636771253</v>
      </c>
      <c r="W27" s="644">
        <f>IF($U27="","",IF(OR($T27="L",$T27="T",$T27="C"),SUM($U27:V27)*W$16,""))</f>
        <v>1.8293273542600876</v>
      </c>
      <c r="X27" s="644">
        <f>IF($U27="","",SUM($U27:W27)*X$16)</f>
        <v>6.0367802690582888</v>
      </c>
      <c r="Y27" s="388">
        <f t="shared" si="0"/>
        <v>12.087632286995502</v>
      </c>
      <c r="Z27" s="392">
        <f>SUM(V27:X30)</f>
        <v>21.337838565022402</v>
      </c>
      <c r="AA27" s="734">
        <f t="shared" si="1"/>
        <v>26.159381165919253</v>
      </c>
      <c r="AB27" s="392">
        <f>SUM(AA27:AA30)</f>
        <v>56.921695067264523</v>
      </c>
      <c r="AC27" s="888">
        <f t="shared" ca="1" si="2"/>
        <v>0.45956785255615878</v>
      </c>
      <c r="AD27" s="641"/>
      <c r="AE27" s="1066"/>
      <c r="AF27" s="587">
        <v>4</v>
      </c>
      <c r="AG27" s="816">
        <f ca="1">SUM(AC27:AC30)-1</f>
        <v>0</v>
      </c>
      <c r="AH27" s="387">
        <f>$AH$16/K27</f>
        <v>5</v>
      </c>
      <c r="AI27" s="387">
        <f>$AH$16/AH27</f>
        <v>1</v>
      </c>
      <c r="AJ27" s="370">
        <f>$H27*(1-(1+$L$15)^-(AH27*AI27))/((1+$L$15)^AI27-1)*(1+((1+$L$15)^AI27-1))</f>
        <v>6515.0722931470918</v>
      </c>
      <c r="AK27" s="980">
        <f>SUM(AJ27:AJ30)</f>
        <v>16474.95272803722</v>
      </c>
    </row>
    <row r="28" spans="1:37" ht="19" customHeight="1">
      <c r="A28" s="390"/>
      <c r="B28" s="710"/>
      <c r="C28" s="2542" t="s">
        <v>749</v>
      </c>
      <c r="D28" s="3851"/>
      <c r="E28" s="373" t="s">
        <v>308</v>
      </c>
      <c r="F28" s="1176">
        <f>$D$221</f>
        <v>1</v>
      </c>
      <c r="G28" s="1176">
        <f t="shared" si="3"/>
        <v>3.1270553064275037</v>
      </c>
      <c r="H28" s="882">
        <f>H235</f>
        <v>891.21076233183862</v>
      </c>
      <c r="I28" s="613" t="s">
        <v>797</v>
      </c>
      <c r="J28" s="375" t="str">
        <f>IF(K28=1,"Annual","Done every "&amp;K28&amp;" years")</f>
        <v>Annual</v>
      </c>
      <c r="K28" s="371">
        <f>L235</f>
        <v>1</v>
      </c>
      <c r="L28" s="386">
        <f t="shared" si="4"/>
        <v>80</v>
      </c>
      <c r="M28" s="371">
        <f t="shared" si="4"/>
        <v>1</v>
      </c>
      <c r="N28" s="370">
        <f>$H28*(1-(1+$L$15)^-(L28*M28))/((1+$L$15)^M28-1)*(1+((1+$L$15)^M28-1))</f>
        <v>22166.200783253724</v>
      </c>
      <c r="O28" s="640">
        <f>N28/(1+$L$15)*($L$15)/(1-(1+$L$15)^-$L$16)</f>
        <v>891.21076233183794</v>
      </c>
      <c r="P28" s="981"/>
      <c r="Q28" s="2955">
        <f>1*(1-(1+$L$15)^-(L28*M28))/((1+$L$15)^M28-1)*(1+((1+$L$15)^M28-1))</f>
        <v>24.872007520708362</v>
      </c>
      <c r="R28" s="2955">
        <f>Q28/(1+$L$15)*($L$15)/(1-(1+$L$15)^-$L$16)</f>
        <v>0.99999999999999911</v>
      </c>
      <c r="S28" s="2955">
        <f>F28*R28</f>
        <v>0.99999999999999911</v>
      </c>
      <c r="T28" s="1034" t="s">
        <v>809</v>
      </c>
      <c r="U28" s="639">
        <f t="shared" si="5"/>
        <v>8.9121076233183789</v>
      </c>
      <c r="V28" s="644" t="str">
        <f>IF($T28="L",SUM($U28:U28)*V$16,"")</f>
        <v/>
      </c>
      <c r="W28" s="644">
        <f>IF($U28="","",IF(OR($T28="L",$T28="T",$T28="C"),SUM($U28:V28)*W$16,""))</f>
        <v>0.89121076233183794</v>
      </c>
      <c r="X28" s="644">
        <f>IF($U28="","",SUM($U28:W28)*X$16)</f>
        <v>2.9409955156950649</v>
      </c>
      <c r="Y28" s="394">
        <f t="shared" si="0"/>
        <v>3.8322062780269031</v>
      </c>
      <c r="Z28" s="392"/>
      <c r="AA28" s="734">
        <f t="shared" si="1"/>
        <v>12.744313901345283</v>
      </c>
      <c r="AB28" s="392"/>
      <c r="AC28" s="729">
        <f t="shared" ca="1" si="2"/>
        <v>0.2238920307324877</v>
      </c>
      <c r="AD28" s="641"/>
      <c r="AE28" s="1066"/>
      <c r="AF28" s="587">
        <f>AF27</f>
        <v>4</v>
      </c>
      <c r="AG28" s="587"/>
      <c r="AH28" s="387">
        <f>$AH$16/K28</f>
        <v>5</v>
      </c>
      <c r="AI28" s="387">
        <f>$AH$16/AH28</f>
        <v>1</v>
      </c>
      <c r="AJ28" s="370">
        <f>$H28*(1-(1+$L$15)^-(AH28*AI28))/((1+$L$15)^AI28-1)*(1+((1+$L$15)^AI28-1))</f>
        <v>4126.212452326492</v>
      </c>
      <c r="AK28" s="981"/>
    </row>
    <row r="29" spans="1:37" ht="19" customHeight="1">
      <c r="A29" s="390"/>
      <c r="B29" s="710"/>
      <c r="C29" s="2542"/>
      <c r="D29" s="3851"/>
      <c r="E29" s="373" t="s">
        <v>4</v>
      </c>
      <c r="F29" s="1176"/>
      <c r="G29" s="1176">
        <f t="shared" si="3"/>
        <v>6</v>
      </c>
      <c r="H29" s="882">
        <f>H236</f>
        <v>1260</v>
      </c>
      <c r="I29" s="613" t="s">
        <v>70</v>
      </c>
      <c r="J29" s="375" t="str">
        <f>IF(K29=1,"Annual","Done every "&amp;K29&amp;" years")</f>
        <v>Annual</v>
      </c>
      <c r="K29" s="371">
        <f>L236</f>
        <v>1</v>
      </c>
      <c r="L29" s="386">
        <f t="shared" si="4"/>
        <v>80</v>
      </c>
      <c r="M29" s="371">
        <f t="shared" si="4"/>
        <v>1</v>
      </c>
      <c r="N29" s="370">
        <f>$H29*(1-(1+$L$15)^-(L29*M29))/((1+$L$15)^M29-1)*(1+((1+$L$15)^M29-1))</f>
        <v>31338.729476092536</v>
      </c>
      <c r="O29" s="640">
        <f>N29/(1+$L$15)*($L$15)/(1-(1+$L$15)^-$L$16)</f>
        <v>1259.9999999999991</v>
      </c>
      <c r="P29" s="982"/>
      <c r="Q29" s="2955"/>
      <c r="R29" s="2955"/>
      <c r="S29" s="2955"/>
      <c r="T29" s="1034" t="s">
        <v>810</v>
      </c>
      <c r="U29" s="639">
        <f t="shared" si="5"/>
        <v>12.599999999999991</v>
      </c>
      <c r="V29" s="644" t="str">
        <f>IF($T29="L",SUM($U29:U29)*V$16,"")</f>
        <v/>
      </c>
      <c r="W29" s="644">
        <f>IF($U29="","",IF(OR($T29="L",$T29="T",$T29="C"),SUM($U29:V29)*W$16,""))</f>
        <v>1.2599999999999991</v>
      </c>
      <c r="X29" s="644">
        <f>IF($U29="","",SUM($U29:W29)*X$16)</f>
        <v>4.1579999999999968</v>
      </c>
      <c r="Y29" s="394">
        <f t="shared" si="0"/>
        <v>5.4179999999999957</v>
      </c>
      <c r="Z29" s="393"/>
      <c r="AA29" s="735">
        <f t="shared" si="1"/>
        <v>18.017999999999986</v>
      </c>
      <c r="AB29" s="393"/>
      <c r="AC29" s="729">
        <f t="shared" ca="1" si="2"/>
        <v>0.31654011671135351</v>
      </c>
      <c r="AD29" s="643"/>
      <c r="AE29" s="1066"/>
      <c r="AF29" s="587">
        <f>AF28</f>
        <v>4</v>
      </c>
      <c r="AG29" s="587"/>
      <c r="AH29" s="387">
        <f>$AH$16/K29</f>
        <v>5</v>
      </c>
      <c r="AI29" s="387">
        <f>$AH$16/AH29</f>
        <v>1</v>
      </c>
      <c r="AJ29" s="370">
        <f>$H29*(1-(1+$L$15)^-(AH29*AI29))/((1+$L$15)^AI29-1)*(1+((1+$L$15)^AI29-1))</f>
        <v>5833.6679825636384</v>
      </c>
      <c r="AK29" s="982"/>
    </row>
    <row r="30" spans="1:37" ht="19" customHeight="1">
      <c r="A30" s="390"/>
      <c r="B30" s="710"/>
      <c r="C30" s="2542"/>
      <c r="D30" s="3851"/>
      <c r="E30" s="373" t="s">
        <v>21</v>
      </c>
      <c r="F30" s="1176"/>
      <c r="G30" s="1176"/>
      <c r="H30" s="370"/>
      <c r="I30" s="1086"/>
      <c r="J30" s="375"/>
      <c r="K30" s="371"/>
      <c r="L30" s="386"/>
      <c r="M30" s="371"/>
      <c r="N30" s="370"/>
      <c r="O30" s="640"/>
      <c r="P30" s="982"/>
      <c r="Q30" s="2955"/>
      <c r="R30" s="2955"/>
      <c r="S30" s="2955"/>
      <c r="T30" s="1034" t="s">
        <v>811</v>
      </c>
      <c r="U30" s="639">
        <f t="shared" si="5"/>
        <v>0</v>
      </c>
      <c r="V30" s="644" t="str">
        <f>IF($T30="L",SUM($U30:U30)*V$16,"")</f>
        <v/>
      </c>
      <c r="W30" s="644" t="str">
        <f>IF($U30="","",IF(OR($T30="L",$T30="T",$T30="C"),SUM($U30:V30)*W$16,""))</f>
        <v/>
      </c>
      <c r="X30" s="644">
        <f>IF($U30="","",SUM($U30:W30)*X$16)</f>
        <v>0</v>
      </c>
      <c r="Y30" s="394"/>
      <c r="Z30" s="393"/>
      <c r="AA30" s="735"/>
      <c r="AB30" s="393"/>
      <c r="AC30" s="729"/>
      <c r="AD30" s="643"/>
      <c r="AE30" s="1066"/>
      <c r="AF30" s="587">
        <f>AF29</f>
        <v>4</v>
      </c>
      <c r="AG30" s="587"/>
      <c r="AH30" s="387"/>
      <c r="AI30" s="387"/>
      <c r="AJ30" s="370"/>
      <c r="AK30" s="982"/>
    </row>
    <row r="31" spans="1:37" ht="18" customHeight="1">
      <c r="A31" s="676"/>
      <c r="B31" s="711">
        <f>B27+0.1</f>
        <v>2.2000000000000002</v>
      </c>
      <c r="C31" s="2536" t="s">
        <v>202</v>
      </c>
      <c r="D31" s="3852" t="str">
        <f>D27</f>
        <v>This involves surveying a representative area (30% of management area) for general observations</v>
      </c>
      <c r="E31" s="685" t="s">
        <v>3</v>
      </c>
      <c r="F31" s="1177"/>
      <c r="G31" s="1177">
        <f>F234</f>
        <v>7.449925261584454</v>
      </c>
      <c r="H31" s="665">
        <f>I234</f>
        <v>1676.2331838565024</v>
      </c>
      <c r="I31" s="818" t="str">
        <f>I27</f>
        <v xml:space="preserve">Labour to get tracking done, cameras, sandpads and collars. </v>
      </c>
      <c r="J31" s="666" t="str">
        <f>IF(K31=1,"Annual","Done every "&amp;K31&amp;" years")</f>
        <v>Annual</v>
      </c>
      <c r="K31" s="667">
        <f>L234</f>
        <v>1</v>
      </c>
      <c r="L31" s="671">
        <f t="shared" ref="L31:M33" si="6">$L$16/K31</f>
        <v>80</v>
      </c>
      <c r="M31" s="880">
        <f t="shared" si="6"/>
        <v>1</v>
      </c>
      <c r="N31" s="883">
        <f>$H31*(1-(1+$L$15)^-(L31*M31))/((1+$L$15)^M31-1)*(1+((1+$L$15)^M31-1))</f>
        <v>41691.284355339849</v>
      </c>
      <c r="O31" s="673">
        <f>N31/(1+$L$15)*($L$15)/(1-(1+$L$15)^-$L$16)</f>
        <v>1676.233183856501</v>
      </c>
      <c r="P31" s="983">
        <f>SUM(O31:O34)</f>
        <v>3997.847533632284</v>
      </c>
      <c r="Q31" s="3021"/>
      <c r="R31" s="3021"/>
      <c r="S31" s="3021"/>
      <c r="T31" s="1035" t="s">
        <v>808</v>
      </c>
      <c r="U31" s="675">
        <f t="shared" si="5"/>
        <v>16.762331838565011</v>
      </c>
      <c r="V31" s="675">
        <f>IF($T31="L",SUM($U31:U31)*V$16,"")</f>
        <v>5.0286995515695034</v>
      </c>
      <c r="W31" s="675">
        <f>IF($U31="","",IF(OR($T31="L",$T31="T",$T31="C"),SUM($U31:V31)*W$16,""))</f>
        <v>2.1791031390134514</v>
      </c>
      <c r="X31" s="675">
        <f>IF($U31="","",SUM($U31:W31)*X$16)</f>
        <v>7.1910403587443898</v>
      </c>
      <c r="Y31" s="670">
        <f>IF($U31="","",SUM(V31:X31))</f>
        <v>14.398843049327345</v>
      </c>
      <c r="Z31" s="716">
        <f>SUM(V31:X34)</f>
        <v>24.381784753363213</v>
      </c>
      <c r="AA31" s="736">
        <f>IF($U31="","",SUM(U31,Y31))</f>
        <v>31.161174887892358</v>
      </c>
      <c r="AB31" s="716">
        <f>SUM(AA31:AA34)</f>
        <v>64.360260089686051</v>
      </c>
      <c r="AC31" s="730">
        <f ca="1">IF(AA31="","",AA31/OFFSET($AB$23,AF31,0))</f>
        <v>0.48416794532012841</v>
      </c>
      <c r="AD31" s="674"/>
      <c r="AE31" s="1067"/>
      <c r="AF31" s="587">
        <f>AF27+4</f>
        <v>8</v>
      </c>
      <c r="AG31" s="816">
        <f ca="1">SUM(AC31:AC34)-1</f>
        <v>0</v>
      </c>
      <c r="AH31" s="669">
        <f>$AH$16/K31</f>
        <v>5</v>
      </c>
      <c r="AI31" s="669">
        <f>$AH$16/AH31</f>
        <v>1</v>
      </c>
      <c r="AJ31" s="665">
        <f>$H31*(1-(1+$L$15)^-(AH31*AI31))/((1+$L$15)^AI31-1)*(1+((1+$L$15)^AI31-1))</f>
        <v>7760.7840126780848</v>
      </c>
      <c r="AK31" s="983">
        <f>SUM(AJ31:AJ34)</f>
        <v>18509.615203271176</v>
      </c>
    </row>
    <row r="32" spans="1:37" ht="18" customHeight="1">
      <c r="A32" s="676"/>
      <c r="B32" s="712"/>
      <c r="C32" s="2537" t="s">
        <v>779</v>
      </c>
      <c r="D32" s="3853"/>
      <c r="E32" s="685" t="s">
        <v>308</v>
      </c>
      <c r="F32" s="1177">
        <f>$E$221</f>
        <v>1</v>
      </c>
      <c r="G32" s="1177">
        <f t="shared" ref="G32:G33" si="7">F235</f>
        <v>3.724962630792227</v>
      </c>
      <c r="H32" s="665">
        <f>I235</f>
        <v>1061.6143497757848</v>
      </c>
      <c r="I32" s="818" t="str">
        <f>I28</f>
        <v>Transport at site</v>
      </c>
      <c r="J32" s="666" t="str">
        <f>IF(K32=1,"Annual","Done every "&amp;K32&amp;" years")</f>
        <v>Annual</v>
      </c>
      <c r="K32" s="667">
        <f>L235</f>
        <v>1</v>
      </c>
      <c r="L32" s="668">
        <f t="shared" si="6"/>
        <v>80</v>
      </c>
      <c r="M32" s="667">
        <f t="shared" si="6"/>
        <v>1</v>
      </c>
      <c r="N32" s="665">
        <f>$H32*(1-(1+$L$15)^-(L32*M32))/((1+$L$15)^M32-1)*(1+((1+$L$15)^M32-1))</f>
        <v>26404.480091715235</v>
      </c>
      <c r="O32" s="680">
        <f>N32/(1+$L$15)*($L$15)/(1-(1+$L$15)^-$L$16)</f>
        <v>1061.6143497757839</v>
      </c>
      <c r="P32" s="984"/>
      <c r="Q32" s="3022">
        <f>1*(1-(1+$L$15)^-(L32*M32))/((1+$L$15)^M32-1)*(1+((1+$L$15)^M32-1))</f>
        <v>24.872007520708362</v>
      </c>
      <c r="R32" s="3022">
        <f>Q32/(1+$L$15)*($L$15)/(1-(1+$L$15)^-$L$16)</f>
        <v>0.99999999999999911</v>
      </c>
      <c r="S32" s="3022">
        <f>F32*R32</f>
        <v>0.99999999999999911</v>
      </c>
      <c r="T32" s="1036" t="s">
        <v>809</v>
      </c>
      <c r="U32" s="675">
        <f t="shared" si="5"/>
        <v>10.616143497757839</v>
      </c>
      <c r="V32" s="682" t="str">
        <f>IF($T32="L",SUM($U32:U32)*V$16,"")</f>
        <v/>
      </c>
      <c r="W32" s="682">
        <f>IF($U32="","",IF(OR($T32="L",$T32="T",$T32="C"),SUM($U32:V32)*W$16,""))</f>
        <v>1.0616143497757839</v>
      </c>
      <c r="X32" s="682">
        <f>IF($U32="","",SUM($U32:W32)*X$16)</f>
        <v>3.5033273542600871</v>
      </c>
      <c r="Y32" s="679">
        <f>IF($U32="","",SUM(V32:X32))</f>
        <v>4.5649417040358706</v>
      </c>
      <c r="Z32" s="720"/>
      <c r="AA32" s="737">
        <f>IF($U32="","",SUM(U32,Y32))</f>
        <v>15.18108520179371</v>
      </c>
      <c r="AB32" s="720"/>
      <c r="AC32" s="730">
        <f ca="1">IF(AA32="","",AA32/OFFSET($AB$23,AF32,0))</f>
        <v>0.2358766913098061</v>
      </c>
      <c r="AD32" s="681"/>
      <c r="AE32" s="1067"/>
      <c r="AF32" s="587">
        <f>AF31</f>
        <v>8</v>
      </c>
      <c r="AG32" s="587"/>
      <c r="AH32" s="669">
        <f>$AH$16/K32</f>
        <v>5</v>
      </c>
      <c r="AI32" s="669">
        <f>$AH$16/AH32</f>
        <v>1</v>
      </c>
      <c r="AJ32" s="665">
        <f>$H32*(1-(1+$L$15)^-(AH32*AI32))/((1+$L$15)^AI32-1)*(1+((1+$L$15)^AI32-1))</f>
        <v>4915.163208029453</v>
      </c>
      <c r="AK32" s="984"/>
    </row>
    <row r="33" spans="1:37" ht="18" customHeight="1">
      <c r="A33" s="676"/>
      <c r="B33" s="712"/>
      <c r="C33" s="2537"/>
      <c r="D33" s="3853"/>
      <c r="E33" s="685" t="s">
        <v>4</v>
      </c>
      <c r="F33" s="1177"/>
      <c r="G33" s="1177">
        <f t="shared" si="7"/>
        <v>6</v>
      </c>
      <c r="H33" s="665">
        <f>I236</f>
        <v>1260</v>
      </c>
      <c r="I33" s="818" t="str">
        <f>I29</f>
        <v>Accomodation</v>
      </c>
      <c r="J33" s="666" t="str">
        <f>IF(K33=1,"Annual","Done every "&amp;K33&amp;" years")</f>
        <v>Annual</v>
      </c>
      <c r="K33" s="667">
        <f>L236</f>
        <v>1</v>
      </c>
      <c r="L33" s="668">
        <f t="shared" si="6"/>
        <v>80</v>
      </c>
      <c r="M33" s="667">
        <f t="shared" si="6"/>
        <v>1</v>
      </c>
      <c r="N33" s="665">
        <f>$H33*(1-(1+$L$15)^-(L33*M33))/((1+$L$15)^M33-1)*(1+((1+$L$15)^M33-1))</f>
        <v>31338.729476092536</v>
      </c>
      <c r="O33" s="680">
        <f>N33/(1+$L$15)*($L$15)/(1-(1+$L$15)^-$L$16)</f>
        <v>1259.9999999999991</v>
      </c>
      <c r="P33" s="985"/>
      <c r="Q33" s="3022"/>
      <c r="R33" s="3022"/>
      <c r="S33" s="3022"/>
      <c r="T33" s="1036" t="s">
        <v>810</v>
      </c>
      <c r="U33" s="675">
        <f t="shared" si="5"/>
        <v>12.599999999999991</v>
      </c>
      <c r="V33" s="684" t="str">
        <f>IF($T33="L",SUM($U33:U33)*V$16,"")</f>
        <v/>
      </c>
      <c r="W33" s="684">
        <f>IF($U33="","",IF(OR($T33="L",$T33="T",$T33="C"),SUM($U33:V33)*W$16,""))</f>
        <v>1.2599999999999991</v>
      </c>
      <c r="X33" s="684">
        <f>IF($U33="","",SUM($U33:W33)*X$16)</f>
        <v>4.1579999999999968</v>
      </c>
      <c r="Y33" s="1024">
        <f>IF($U33="","",SUM(V33:X33))</f>
        <v>5.4179999999999957</v>
      </c>
      <c r="Z33" s="721"/>
      <c r="AA33" s="738">
        <f>IF($U33="","",SUM(U33,Y33))</f>
        <v>18.017999999999986</v>
      </c>
      <c r="AB33" s="721"/>
      <c r="AC33" s="730">
        <f ca="1">IF(AA33="","",AA33/OFFSET($AB$23,AF33,0))</f>
        <v>0.27995536337006555</v>
      </c>
      <c r="AD33" s="683"/>
      <c r="AE33" s="1067"/>
      <c r="AF33" s="587">
        <f>AF32</f>
        <v>8</v>
      </c>
      <c r="AG33" s="587"/>
      <c r="AH33" s="669">
        <f>$AH$16/K33</f>
        <v>5</v>
      </c>
      <c r="AI33" s="669">
        <f>$AH$16/AH33</f>
        <v>1</v>
      </c>
      <c r="AJ33" s="665">
        <f>$H33*(1-(1+$L$15)^-(AH33*AI33))/((1+$L$15)^AI33-1)*(1+((1+$L$15)^AI33-1))</f>
        <v>5833.6679825636384</v>
      </c>
      <c r="AK33" s="985"/>
    </row>
    <row r="34" spans="1:37" ht="18" customHeight="1">
      <c r="A34" s="676"/>
      <c r="B34" s="712"/>
      <c r="C34" s="2537"/>
      <c r="D34" s="3854"/>
      <c r="E34" s="1082" t="s">
        <v>21</v>
      </c>
      <c r="F34" s="1177"/>
      <c r="G34" s="1177"/>
      <c r="H34" s="665"/>
      <c r="I34" s="818"/>
      <c r="J34" s="666"/>
      <c r="K34" s="667"/>
      <c r="L34" s="668"/>
      <c r="M34" s="667"/>
      <c r="N34" s="665"/>
      <c r="O34" s="680"/>
      <c r="P34" s="985"/>
      <c r="Q34" s="3022"/>
      <c r="R34" s="3022"/>
      <c r="S34" s="3022"/>
      <c r="T34" s="1036" t="s">
        <v>811</v>
      </c>
      <c r="U34" s="675"/>
      <c r="V34" s="684" t="str">
        <f>IF($T34="L",SUM($U34:U34)*V$16,"")</f>
        <v/>
      </c>
      <c r="W34" s="684" t="str">
        <f>IF($U34="","",IF(OR($T34="L",$T34="T",$T34="C"),SUM($U34:V34)*W$16,""))</f>
        <v/>
      </c>
      <c r="X34" s="684" t="str">
        <f>IF($U34="","",SUM($U34:W34)*X$16)</f>
        <v/>
      </c>
      <c r="Y34" s="1024"/>
      <c r="Z34" s="721"/>
      <c r="AA34" s="738"/>
      <c r="AB34" s="721"/>
      <c r="AC34" s="730"/>
      <c r="AD34" s="683"/>
      <c r="AE34" s="1067"/>
      <c r="AF34" s="587">
        <f>AF33</f>
        <v>8</v>
      </c>
      <c r="AG34" s="587"/>
      <c r="AH34" s="669"/>
      <c r="AI34" s="669"/>
      <c r="AJ34" s="665"/>
      <c r="AK34" s="985"/>
    </row>
    <row r="35" spans="1:37" ht="18" customHeight="1">
      <c r="A35" s="656"/>
      <c r="B35" s="713">
        <f>B31+0.1</f>
        <v>2.3000000000000003</v>
      </c>
      <c r="C35" s="2538" t="s">
        <v>202</v>
      </c>
      <c r="D35" s="3863" t="str">
        <f>D31</f>
        <v>This involves surveying a representative area (30% of management area) for general observations</v>
      </c>
      <c r="E35" s="686" t="s">
        <v>3</v>
      </c>
      <c r="F35" s="1178"/>
      <c r="G35" s="1178">
        <f>G234</f>
        <v>9.8415545590433489</v>
      </c>
      <c r="H35" s="645">
        <f>J234</f>
        <v>2214.3497757847535</v>
      </c>
      <c r="I35" s="820" t="s">
        <v>475</v>
      </c>
      <c r="J35" s="646" t="str">
        <f>IF(K35=1,"Annual","Done every "&amp;K35&amp;" years")</f>
        <v>Annual</v>
      </c>
      <c r="K35" s="647">
        <f>L234</f>
        <v>1</v>
      </c>
      <c r="L35" s="651">
        <f t="shared" ref="L35:M37" si="8">$L$16/K35</f>
        <v>80</v>
      </c>
      <c r="M35" s="881">
        <f t="shared" si="8"/>
        <v>1</v>
      </c>
      <c r="N35" s="884">
        <f>$H35*(1-(1+$L$15)^-(L35*M35))/((1+$L$15)^M35-1)*(1+((1+$L$15)^M35-1))</f>
        <v>55075.324276797262</v>
      </c>
      <c r="O35" s="653">
        <f>N35/(1+$L$15)*($L$15)/(1-(1+$L$15)^-$L$16)</f>
        <v>2214.3497757847517</v>
      </c>
      <c r="P35" s="931">
        <f>SUM(O35:O38)</f>
        <v>5296.7713004484267</v>
      </c>
      <c r="Q35" s="3023"/>
      <c r="R35" s="3023"/>
      <c r="S35" s="3023"/>
      <c r="T35" s="1037" t="s">
        <v>808</v>
      </c>
      <c r="U35" s="655">
        <f>O35/$U$16</f>
        <v>22.143497757847516</v>
      </c>
      <c r="V35" s="655">
        <f>IF($T35="L",SUM($U35:U35)*V$16,"")</f>
        <v>6.6430493273542544</v>
      </c>
      <c r="W35" s="655">
        <f>IF($U35="","",IF(OR($T35="L",$T35="T",$T35="C"),SUM($U35:V35)*W$16,""))</f>
        <v>2.8786547085201772</v>
      </c>
      <c r="X35" s="655">
        <f>IF($U35="","",SUM($U35:W35)*X$16)</f>
        <v>9.4995605381165849</v>
      </c>
      <c r="Y35" s="650">
        <f>IF($U35="","",SUM(V35:X35))</f>
        <v>19.021264573991019</v>
      </c>
      <c r="Z35" s="717">
        <f>SUM(V35:X38)</f>
        <v>32.275677130044819</v>
      </c>
      <c r="AA35" s="739">
        <f>IF($U35="","",SUM(U35,Y35))</f>
        <v>41.164762331838531</v>
      </c>
      <c r="AB35" s="717">
        <f>SUM(AA35:AA38)</f>
        <v>85.243390134529079</v>
      </c>
      <c r="AC35" s="731">
        <f ca="1">IF(AA35="","",AA35/OFFSET($AB$23,AF35,0))</f>
        <v>0.48290855474979688</v>
      </c>
      <c r="AD35" s="654"/>
      <c r="AE35" s="1068"/>
      <c r="AF35" s="587">
        <f>AF31+4</f>
        <v>12</v>
      </c>
      <c r="AG35" s="816">
        <f ca="1">SUM(AC35:AC38)-1</f>
        <v>0</v>
      </c>
      <c r="AH35" s="649">
        <f>$AH$16/K35</f>
        <v>5</v>
      </c>
      <c r="AI35" s="649">
        <f>$AH$16/AH35</f>
        <v>1</v>
      </c>
      <c r="AJ35" s="645">
        <f>$H35*(1-(1+$L$15)^-(AH35*AI35))/((1+$L$15)^AI35-1)*(1+((1+$L$15)^AI35-1))</f>
        <v>10252.207451740071</v>
      </c>
      <c r="AK35" s="931">
        <f>SUM(AJ35:AJ38)</f>
        <v>24523.496147926966</v>
      </c>
    </row>
    <row r="36" spans="1:37" ht="19" customHeight="1">
      <c r="A36" s="656"/>
      <c r="B36" s="714"/>
      <c r="C36" s="2539" t="s">
        <v>789</v>
      </c>
      <c r="D36" s="3864"/>
      <c r="E36" s="686" t="s">
        <v>308</v>
      </c>
      <c r="F36" s="1178">
        <f>$F$221</f>
        <v>1</v>
      </c>
      <c r="G36" s="1178">
        <f t="shared" ref="G36:G37" si="9">G235</f>
        <v>4.9207772795216744</v>
      </c>
      <c r="H36" s="645">
        <f>J235</f>
        <v>1402.4215246636772</v>
      </c>
      <c r="I36" s="820" t="s">
        <v>797</v>
      </c>
      <c r="J36" s="646" t="str">
        <f>IF(K36=1,"Annual","Done every "&amp;K36&amp;" years")</f>
        <v>Annual</v>
      </c>
      <c r="K36" s="647">
        <f>L235</f>
        <v>1</v>
      </c>
      <c r="L36" s="648">
        <f t="shared" si="8"/>
        <v>80</v>
      </c>
      <c r="M36" s="647">
        <f t="shared" si="8"/>
        <v>1</v>
      </c>
      <c r="N36" s="645">
        <f>$H36*(1-(1+$L$15)^-(L36*M36))/((1+$L$15)^M36-1)*(1+((1+$L$15)^M36-1))</f>
        <v>34881.038708638262</v>
      </c>
      <c r="O36" s="660">
        <f>N36/(1+$L$15)*($L$15)/(1-(1+$L$15)^-$L$16)</f>
        <v>1402.4215246636759</v>
      </c>
      <c r="P36" s="932"/>
      <c r="Q36" s="3024">
        <f>1*(1-(1+$L$15)^-(L36*M36))/((1+$L$15)^M36-1)*(1+((1+$L$15)^M36-1))</f>
        <v>24.872007520708362</v>
      </c>
      <c r="R36" s="3024">
        <f>Q36/(1+$L$15)*($L$15)/(1-(1+$L$15)^-$L$16)</f>
        <v>0.99999999999999911</v>
      </c>
      <c r="S36" s="3024">
        <f>F36*R36</f>
        <v>0.99999999999999911</v>
      </c>
      <c r="T36" s="1038" t="s">
        <v>809</v>
      </c>
      <c r="U36" s="655">
        <f>O36/$U$16</f>
        <v>14.024215246636759</v>
      </c>
      <c r="V36" s="662" t="str">
        <f>IF($T36="L",SUM($U36:U36)*V$16,"")</f>
        <v/>
      </c>
      <c r="W36" s="662">
        <f>IF($U36="","",IF(OR($T36="L",$T36="T",$T36="C"),SUM($U36:V36)*W$16,""))</f>
        <v>1.402421524663676</v>
      </c>
      <c r="X36" s="662">
        <f>IF($U36="","",SUM($U36:W36)*X$16)</f>
        <v>4.6279910313901302</v>
      </c>
      <c r="Y36" s="659">
        <f>IF($U36="","",SUM(V36:X36))</f>
        <v>6.0304125560538058</v>
      </c>
      <c r="Z36" s="722"/>
      <c r="AA36" s="740">
        <f>IF($U36="","",SUM(U36,Y36))</f>
        <v>20.054627802690565</v>
      </c>
      <c r="AB36" s="722"/>
      <c r="AC36" s="731">
        <f ca="1">IF(AA36="","",AA36/OFFSET($AB$23,AF36,0))</f>
        <v>0.23526314205759333</v>
      </c>
      <c r="AD36" s="661"/>
      <c r="AE36" s="1068"/>
      <c r="AF36" s="587">
        <f>AF35</f>
        <v>12</v>
      </c>
      <c r="AG36" s="587"/>
      <c r="AH36" s="649">
        <f>$AH$16/K36</f>
        <v>5</v>
      </c>
      <c r="AI36" s="649">
        <f>$AH$16/AH36</f>
        <v>1</v>
      </c>
      <c r="AJ36" s="645">
        <f>$H36*(1-(1+$L$15)^-(AH36*AI36))/((1+$L$15)^AI36-1)*(1+((1+$L$15)^AI36-1))</f>
        <v>6493.0647194353778</v>
      </c>
      <c r="AK36" s="932"/>
    </row>
    <row r="37" spans="1:37" ht="19" customHeight="1">
      <c r="A37" s="656"/>
      <c r="B37" s="714"/>
      <c r="C37" s="2539"/>
      <c r="D37" s="3864"/>
      <c r="E37" s="686" t="s">
        <v>4</v>
      </c>
      <c r="F37" s="1178"/>
      <c r="G37" s="1178">
        <f t="shared" si="9"/>
        <v>8</v>
      </c>
      <c r="H37" s="645">
        <f>J236</f>
        <v>1680</v>
      </c>
      <c r="I37" s="820" t="s">
        <v>70</v>
      </c>
      <c r="J37" s="646" t="str">
        <f>IF(K37=1,"Annual","Done every "&amp;K37&amp;" years")</f>
        <v>Annual</v>
      </c>
      <c r="K37" s="647">
        <f>L236</f>
        <v>1</v>
      </c>
      <c r="L37" s="648">
        <f t="shared" si="8"/>
        <v>80</v>
      </c>
      <c r="M37" s="647">
        <f t="shared" si="8"/>
        <v>1</v>
      </c>
      <c r="N37" s="645">
        <f>$H37*(1-(1+$L$15)^-(L37*M37))/((1+$L$15)^M37-1)*(1+((1+$L$15)^M37-1))</f>
        <v>41784.972634790051</v>
      </c>
      <c r="O37" s="660">
        <f>N37/(1+$L$15)*($L$15)/(1-(1+$L$15)^-$L$16)</f>
        <v>1679.9999999999986</v>
      </c>
      <c r="P37" s="933"/>
      <c r="Q37" s="3024"/>
      <c r="R37" s="3024"/>
      <c r="S37" s="3024"/>
      <c r="T37" s="1038" t="s">
        <v>810</v>
      </c>
      <c r="U37" s="655">
        <f>O37/$U$16</f>
        <v>16.799999999999986</v>
      </c>
      <c r="V37" s="664" t="str">
        <f>IF($T37="L",SUM($U37:U37)*V$16,"")</f>
        <v/>
      </c>
      <c r="W37" s="664">
        <f>IF($U37="","",IF(OR($T37="L",$T37="T",$T37="C"),SUM($U37:V37)*W$16,""))</f>
        <v>1.6799999999999988</v>
      </c>
      <c r="X37" s="664">
        <f>IF($U37="","",SUM($U37:W37)*X$16)</f>
        <v>5.543999999999996</v>
      </c>
      <c r="Y37" s="1025">
        <f>IF($U37="","",SUM(V37:X37))</f>
        <v>7.2239999999999949</v>
      </c>
      <c r="Z37" s="723"/>
      <c r="AA37" s="741">
        <f>IF($U37="","",SUM(U37,Y37))</f>
        <v>24.02399999999998</v>
      </c>
      <c r="AB37" s="723"/>
      <c r="AC37" s="731">
        <f ca="1">IF(AA37="","",AA37/OFFSET($AB$23,AF37,0))</f>
        <v>0.28182830319260976</v>
      </c>
      <c r="AD37" s="663"/>
      <c r="AE37" s="1068"/>
      <c r="AF37" s="587">
        <f>AF36</f>
        <v>12</v>
      </c>
      <c r="AG37" s="587"/>
      <c r="AH37" s="649">
        <f>$AH$16/K37</f>
        <v>5</v>
      </c>
      <c r="AI37" s="649">
        <f>$AH$16/AH37</f>
        <v>1</v>
      </c>
      <c r="AJ37" s="645">
        <f>$H37*(1-(1+$L$15)^-(AH37*AI37))/((1+$L$15)^AI37-1)*(1+((1+$L$15)^AI37-1))</f>
        <v>7778.2239767515175</v>
      </c>
      <c r="AK37" s="933"/>
    </row>
    <row r="38" spans="1:37" ht="19" customHeight="1">
      <c r="A38" s="656"/>
      <c r="B38" s="714"/>
      <c r="C38" s="2540"/>
      <c r="D38" s="3865"/>
      <c r="E38" s="686" t="s">
        <v>21</v>
      </c>
      <c r="F38" s="1178"/>
      <c r="G38" s="1178"/>
      <c r="H38" s="645"/>
      <c r="I38" s="1087"/>
      <c r="J38" s="646"/>
      <c r="K38" s="647"/>
      <c r="L38" s="648"/>
      <c r="M38" s="647"/>
      <c r="N38" s="645"/>
      <c r="O38" s="660"/>
      <c r="P38" s="934"/>
      <c r="Q38" s="3025"/>
      <c r="R38" s="3025"/>
      <c r="S38" s="3025"/>
      <c r="T38" s="1038"/>
      <c r="U38" s="655"/>
      <c r="V38" s="664" t="str">
        <f>IF($T38="L",SUM($U38:U38)*V$16,"")</f>
        <v/>
      </c>
      <c r="W38" s="664" t="str">
        <f>IF($U38="","",IF(OR($T38="L",$T38="T",$T38="C"),SUM($U38:V38)*W$16,""))</f>
        <v/>
      </c>
      <c r="X38" s="664" t="str">
        <f>IF($U38="","",SUM($U38:W38)*X$16)</f>
        <v/>
      </c>
      <c r="Y38" s="1025"/>
      <c r="Z38" s="723"/>
      <c r="AA38" s="741"/>
      <c r="AB38" s="723"/>
      <c r="AC38" s="731"/>
      <c r="AD38" s="663"/>
      <c r="AE38" s="1068"/>
      <c r="AF38" s="587">
        <f>AF37</f>
        <v>12</v>
      </c>
      <c r="AG38" s="587"/>
      <c r="AH38" s="649"/>
      <c r="AI38" s="649"/>
      <c r="AJ38" s="645"/>
      <c r="AK38" s="933"/>
    </row>
    <row r="39" spans="1:37" s="1144" customFormat="1" ht="18" customHeight="1">
      <c r="B39" s="926">
        <f>B35+1.1</f>
        <v>3.4000000000000004</v>
      </c>
      <c r="C39" s="3310" t="s">
        <v>2236</v>
      </c>
      <c r="D39" s="3847" t="s">
        <v>701</v>
      </c>
      <c r="E39" s="12" t="s">
        <v>3</v>
      </c>
      <c r="F39" s="1172"/>
      <c r="G39" s="1172">
        <f t="shared" ref="G39:G41" si="10">E341</f>
        <v>56.562032884902841</v>
      </c>
      <c r="H39" s="188">
        <f>H341</f>
        <v>19089.686098654707</v>
      </c>
      <c r="I39" s="1145" t="str">
        <f>K341</f>
        <v>Cost for labour</v>
      </c>
      <c r="J39" s="377" t="str">
        <f>IF(K39=1,"Annual","Done every "&amp;K39&amp;" years")</f>
        <v>Annual</v>
      </c>
      <c r="K39" s="586">
        <f>L341</f>
        <v>1</v>
      </c>
      <c r="L39" s="158">
        <f t="shared" ref="L39:M41" si="11">$L$16/K39</f>
        <v>80</v>
      </c>
      <c r="M39" s="586">
        <f t="shared" si="11"/>
        <v>1</v>
      </c>
      <c r="N39" s="188">
        <f>$H39*(1-(1+$L$15)^-(L39*M39))/((1+$L$15)^M39-1)*(1+((1+$L$15)^M39-1))</f>
        <v>474798.81621370168</v>
      </c>
      <c r="O39" s="1147">
        <f>N39/(1+$L$15)*($L$15)/(1-(1+$L$15)^-$L$16)</f>
        <v>19089.686098654689</v>
      </c>
      <c r="P39" s="192">
        <f>SUM(O39:O42)</f>
        <v>39448.275784753321</v>
      </c>
      <c r="Q39" s="2817"/>
      <c r="R39" s="2817"/>
      <c r="S39" s="2817"/>
      <c r="T39" s="1148" t="s">
        <v>808</v>
      </c>
      <c r="U39" s="583">
        <f t="shared" ref="U39:U50" si="12">O39/$U$16</f>
        <v>190.8968609865469</v>
      </c>
      <c r="V39" s="583">
        <f>IF($T39="L",SUM($U39:U39)*V$16,"")</f>
        <v>57.269058295964065</v>
      </c>
      <c r="W39" s="583">
        <f>IF($U39="","",IF(OR($T39="L",$T39="T",$T39="C"),SUM($U39:V39)*W$16,""))</f>
        <v>24.8165919282511</v>
      </c>
      <c r="X39" s="583">
        <f>IF($U39="","",SUM($U39:W39)*X$16)</f>
        <v>81.894753363228617</v>
      </c>
      <c r="Y39" s="240">
        <f t="shared" ref="Y39:Y50" si="13">IF($U39="","",SUM(V39:X39))</f>
        <v>163.98040358744379</v>
      </c>
      <c r="Z39" s="192">
        <f>SUM(V39:X42)</f>
        <v>251.52233923766792</v>
      </c>
      <c r="AA39" s="742">
        <f t="shared" ref="AA39:AA50" si="14">IF($U39="","",SUM(U39,Y39))</f>
        <v>354.87726457399071</v>
      </c>
      <c r="AB39" s="192">
        <f>SUM(AA39:AA42)</f>
        <v>646.00509708520121</v>
      </c>
      <c r="AC39" s="727">
        <f t="shared" ref="AC39:AC50" ca="1" si="15">IF(AA39="","",AA39/OFFSET($AB$23,AF39,0))</f>
        <v>0.54934127636950547</v>
      </c>
      <c r="AD39" s="1917"/>
      <c r="AE39" s="1437"/>
      <c r="AF39" s="1438">
        <f>AF35+4</f>
        <v>16</v>
      </c>
      <c r="AG39" s="1439">
        <f ca="1">SUM(AC39:AC42)-1</f>
        <v>0</v>
      </c>
      <c r="AH39" s="13">
        <f>$AH$16/K39</f>
        <v>5</v>
      </c>
      <c r="AI39" s="13">
        <f>$AH$16/AH39</f>
        <v>1</v>
      </c>
      <c r="AJ39" s="188">
        <f>$H39*(1-(1+$L$15)^-(AH39*AI39))/((1+$L$15)^AI39-1)*(1+((1+$L$15)^AI39-1))</f>
        <v>88383.246500723923</v>
      </c>
      <c r="AK39" s="191">
        <f>SUM(AJ39:AJ42)</f>
        <v>182641.38366099697</v>
      </c>
    </row>
    <row r="40" spans="1:37" s="1144" customFormat="1" ht="19" customHeight="1">
      <c r="B40" s="1918"/>
      <c r="C40" s="3311" t="s">
        <v>749</v>
      </c>
      <c r="D40" s="3848"/>
      <c r="E40" s="12" t="s">
        <v>308</v>
      </c>
      <c r="F40" s="1172">
        <f>$D$322</f>
        <v>2</v>
      </c>
      <c r="G40" s="1172">
        <f t="shared" si="10"/>
        <v>28.281016442451421</v>
      </c>
      <c r="H40" s="188">
        <f>H342</f>
        <v>8060.089686098655</v>
      </c>
      <c r="I40" s="1145" t="str">
        <f>K342</f>
        <v>On site Vehicle Costs</v>
      </c>
      <c r="J40" s="377" t="str">
        <f>IF(K40=1,"Annual","Done every "&amp;K40&amp;" years")</f>
        <v>Annual</v>
      </c>
      <c r="K40" s="586">
        <f>L342</f>
        <v>1</v>
      </c>
      <c r="L40" s="158">
        <f t="shared" si="11"/>
        <v>80</v>
      </c>
      <c r="M40" s="586">
        <f t="shared" si="11"/>
        <v>1</v>
      </c>
      <c r="N40" s="188">
        <f>$H40*(1-(1+$L$15)^-(L40*M40))/((1+$L$15)^M40-1)*(1+((1+$L$15)^M40-1))</f>
        <v>200470.61129022963</v>
      </c>
      <c r="O40" s="1147">
        <f>N40/(1+$L$15)*($L$15)/(1-(1+$L$15)^-$L$16)</f>
        <v>8060.0896860986477</v>
      </c>
      <c r="P40" s="194"/>
      <c r="Q40" s="2819">
        <f>1*(1-(1+$L$15)^-(L40*M40))/((1+$L$15)^M40-1)*(1+((1+$L$15)^M40-1))</f>
        <v>24.872007520708362</v>
      </c>
      <c r="R40" s="2819">
        <f>Q40/(1+$L$15)*($L$15)/(1-(1+$L$15)^-$L$16)</f>
        <v>0.99999999999999911</v>
      </c>
      <c r="S40" s="2819">
        <f>F40*R40</f>
        <v>1.9999999999999982</v>
      </c>
      <c r="T40" s="1152" t="s">
        <v>809</v>
      </c>
      <c r="U40" s="583">
        <f t="shared" si="12"/>
        <v>80.600896860986481</v>
      </c>
      <c r="V40" s="585" t="str">
        <f>IF($T40="L",SUM($U40:U40)*V$16,"")</f>
        <v/>
      </c>
      <c r="W40" s="585">
        <f>IF($U40="","",IF(OR($T40="L",$T40="T",$T40="C"),SUM($U40:V40)*W$16,""))</f>
        <v>8.0600896860986477</v>
      </c>
      <c r="X40" s="585">
        <f>IF($U40="","",SUM($U40:W40)*X$16)</f>
        <v>26.598295964125537</v>
      </c>
      <c r="Y40" s="242">
        <f t="shared" si="13"/>
        <v>34.658385650224183</v>
      </c>
      <c r="Z40" s="194"/>
      <c r="AA40" s="733">
        <f t="shared" si="14"/>
        <v>115.25928251121067</v>
      </c>
      <c r="AB40" s="194"/>
      <c r="AC40" s="727">
        <f t="shared" ca="1" si="15"/>
        <v>0.17841853420548043</v>
      </c>
      <c r="AD40" s="1440"/>
      <c r="AE40" s="1437"/>
      <c r="AF40" s="1438">
        <f>AF39</f>
        <v>16</v>
      </c>
      <c r="AG40" s="1438"/>
      <c r="AH40" s="13">
        <f>$AH$16/K40</f>
        <v>5</v>
      </c>
      <c r="AI40" s="13">
        <f>$AH$16/AH40</f>
        <v>1</v>
      </c>
      <c r="AJ40" s="188">
        <f>$H40*(1-(1+$L$15)^-(AH40*AI40))/((1+$L$15)^AI40-1)*(1+((1+$L$15)^AI40-1))</f>
        <v>37317.370744750107</v>
      </c>
      <c r="AK40" s="342"/>
    </row>
    <row r="41" spans="1:37" s="1144" customFormat="1" ht="19" customHeight="1">
      <c r="B41" s="1918"/>
      <c r="C41" s="3311"/>
      <c r="D41" s="3848"/>
      <c r="E41" s="12" t="s">
        <v>4</v>
      </c>
      <c r="F41" s="1172"/>
      <c r="G41" s="1172">
        <f t="shared" si="10"/>
        <v>56</v>
      </c>
      <c r="H41" s="188">
        <f>H343</f>
        <v>12298.5</v>
      </c>
      <c r="I41" s="1145" t="str">
        <f>K343</f>
        <v>Accomodation, food and bullets</v>
      </c>
      <c r="J41" s="377" t="str">
        <f>IF(K41=1,"Annual","Done every "&amp;K41&amp;" years")</f>
        <v>Annual</v>
      </c>
      <c r="K41" s="586">
        <f>L343</f>
        <v>1</v>
      </c>
      <c r="L41" s="158">
        <f t="shared" si="11"/>
        <v>80</v>
      </c>
      <c r="M41" s="586">
        <f t="shared" si="11"/>
        <v>1</v>
      </c>
      <c r="N41" s="188">
        <f>$H41*(1-(1+$L$15)^-(L41*M41))/((1+$L$15)^M41-1)*(1+((1+$L$15)^M41-1))</f>
        <v>305888.38449343177</v>
      </c>
      <c r="O41" s="1147">
        <f>N41/(1+$L$15)*($L$15)/(1-(1+$L$15)^-$L$16)</f>
        <v>12298.499999999989</v>
      </c>
      <c r="P41" s="210"/>
      <c r="Q41" s="2819"/>
      <c r="R41" s="2819"/>
      <c r="S41" s="2819"/>
      <c r="T41" s="1152" t="s">
        <v>810</v>
      </c>
      <c r="U41" s="583">
        <f t="shared" si="12"/>
        <v>122.98499999999989</v>
      </c>
      <c r="V41" s="584" t="str">
        <f>IF($T41="L",SUM($U41:U41)*V$16,"")</f>
        <v/>
      </c>
      <c r="W41" s="584">
        <f>IF($U41="","",IF(OR($T41="L",$T41="T",$T41="C"),SUM($U41:V41)*W$16,""))</f>
        <v>12.29849999999999</v>
      </c>
      <c r="X41" s="584">
        <f>IF($U41="","",SUM($U41:W41)*X$16)</f>
        <v>40.585049999999967</v>
      </c>
      <c r="Y41" s="241">
        <f t="shared" si="13"/>
        <v>52.883549999999957</v>
      </c>
      <c r="Z41" s="210"/>
      <c r="AA41" s="746">
        <f t="shared" si="14"/>
        <v>175.86854999999986</v>
      </c>
      <c r="AB41" s="210"/>
      <c r="AC41" s="727">
        <f t="shared" ca="1" si="15"/>
        <v>0.27224018942501421</v>
      </c>
      <c r="AD41" s="1919"/>
      <c r="AE41" s="1437"/>
      <c r="AF41" s="1438">
        <f>AF40</f>
        <v>16</v>
      </c>
      <c r="AG41" s="1438"/>
      <c r="AH41" s="13">
        <f>$AH$16/K41</f>
        <v>5</v>
      </c>
      <c r="AI41" s="13">
        <f>$AH$16/AH41</f>
        <v>1</v>
      </c>
      <c r="AJ41" s="188">
        <f>$H41*(1-(1+$L$15)^-(AH41*AI41))/((1+$L$15)^AI41-1)*(1+((1+$L$15)^AI41-1))</f>
        <v>56940.766415522943</v>
      </c>
      <c r="AK41" s="477"/>
    </row>
    <row r="42" spans="1:37" s="1144" customFormat="1" ht="16" customHeight="1">
      <c r="B42" s="1918"/>
      <c r="C42" s="3312"/>
      <c r="D42" s="3849"/>
      <c r="E42" s="12" t="s">
        <v>21</v>
      </c>
      <c r="F42" s="1172"/>
      <c r="G42" s="1172"/>
      <c r="H42" s="188"/>
      <c r="I42" s="1155"/>
      <c r="J42" s="377"/>
      <c r="K42" s="1146"/>
      <c r="L42" s="157"/>
      <c r="M42" s="11"/>
      <c r="N42" s="188"/>
      <c r="O42" s="1147"/>
      <c r="P42" s="211"/>
      <c r="Q42" s="2821"/>
      <c r="R42" s="2821"/>
      <c r="S42" s="2821"/>
      <c r="T42" s="1156" t="s">
        <v>811</v>
      </c>
      <c r="U42" s="583">
        <f t="shared" si="12"/>
        <v>0</v>
      </c>
      <c r="V42" s="584" t="str">
        <f>IF($T42="L",SUM($U42:U42)*V$16,"")</f>
        <v/>
      </c>
      <c r="W42" s="584" t="str">
        <f>IF($U42="","",IF(OR($T42="L",$T42="T",$T42="C"),SUM($U42:V42)*W$16,""))</f>
        <v/>
      </c>
      <c r="X42" s="584">
        <f>IF($U42="","",SUM($U42:W42)*X$16)</f>
        <v>0</v>
      </c>
      <c r="Y42" s="241">
        <f t="shared" si="13"/>
        <v>0</v>
      </c>
      <c r="Z42" s="211"/>
      <c r="AA42" s="1920">
        <f t="shared" si="14"/>
        <v>0</v>
      </c>
      <c r="AB42" s="211"/>
      <c r="AC42" s="727">
        <f t="shared" ca="1" si="15"/>
        <v>0</v>
      </c>
      <c r="AD42" s="1921"/>
      <c r="AE42" s="1437"/>
      <c r="AF42" s="1438">
        <f>AF41</f>
        <v>16</v>
      </c>
      <c r="AG42" s="1438"/>
      <c r="AH42" s="12"/>
      <c r="AI42" s="12"/>
      <c r="AJ42" s="188"/>
      <c r="AK42" s="478"/>
    </row>
    <row r="43" spans="1:37" s="1550" customFormat="1" ht="18" customHeight="1">
      <c r="B43" s="1922">
        <f>B39+0.1</f>
        <v>3.5000000000000004</v>
      </c>
      <c r="C43" s="3313" t="s">
        <v>2236</v>
      </c>
      <c r="D43" s="3753" t="s">
        <v>701</v>
      </c>
      <c r="E43" s="1552" t="s">
        <v>3</v>
      </c>
      <c r="F43" s="1553"/>
      <c r="G43" s="1553">
        <f>F341</f>
        <v>66.527154957648236</v>
      </c>
      <c r="H43" s="1554">
        <f>I341</f>
        <v>22452.914798206279</v>
      </c>
      <c r="I43" s="1923" t="str">
        <f>K341</f>
        <v>Cost for labour</v>
      </c>
      <c r="J43" s="1555" t="str">
        <f>IF(K43=1,"Annual","Done every "&amp;K43&amp;" years")</f>
        <v>Annual</v>
      </c>
      <c r="K43" s="1558">
        <f>L341</f>
        <v>1</v>
      </c>
      <c r="L43" s="1557">
        <f t="shared" ref="L43:M45" si="16">$L$16/K43</f>
        <v>80</v>
      </c>
      <c r="M43" s="1558">
        <f t="shared" si="16"/>
        <v>1</v>
      </c>
      <c r="N43" s="1554">
        <f>$H43*(1-(1+$L$15)^-(L43*M43))/((1+$L$15)^M43-1)*(1+((1+$L$15)^M43-1))</f>
        <v>558449.06572281069</v>
      </c>
      <c r="O43" s="1559">
        <f>N43/(1+$L$15)*($L$15)/(1-(1+$L$15)^-$L$16)</f>
        <v>22452.91479820626</v>
      </c>
      <c r="P43" s="1560">
        <f>SUM(O43:O46)</f>
        <v>46331.534379671109</v>
      </c>
      <c r="Q43" s="3093"/>
      <c r="R43" s="3093"/>
      <c r="S43" s="3093"/>
      <c r="T43" s="1561" t="s">
        <v>808</v>
      </c>
      <c r="U43" s="1563">
        <f t="shared" si="12"/>
        <v>224.5291479820626</v>
      </c>
      <c r="V43" s="1563">
        <f>IF($T43="L",SUM($U43:U43)*V$16,"")</f>
        <v>67.358744394618782</v>
      </c>
      <c r="W43" s="1563">
        <f>IF($U43="","",IF(OR($T43="L",$T43="T",$T43="C"),SUM($U43:V43)*W$16,""))</f>
        <v>29.188789237668143</v>
      </c>
      <c r="X43" s="1563">
        <f>IF($U43="","",SUM($U43:W43)*X$16)</f>
        <v>96.32300448430486</v>
      </c>
      <c r="Y43" s="1564">
        <f t="shared" si="13"/>
        <v>192.87053811659177</v>
      </c>
      <c r="Z43" s="1560">
        <f>SUM(V43:X46)</f>
        <v>295.54860231689065</v>
      </c>
      <c r="AA43" s="1565">
        <f t="shared" si="14"/>
        <v>417.39968609865434</v>
      </c>
      <c r="AB43" s="1560">
        <f>SUM(AA43:AA46)</f>
        <v>758.86394611360174</v>
      </c>
      <c r="AC43" s="1566">
        <f t="shared" ca="1" si="15"/>
        <v>0.55003230583861429</v>
      </c>
      <c r="AD43" s="1924"/>
      <c r="AE43" s="1568"/>
      <c r="AF43" s="1569">
        <f>AF39+4</f>
        <v>20</v>
      </c>
      <c r="AG43" s="1570">
        <f ca="1">SUM(AC43:AC46)-1</f>
        <v>0</v>
      </c>
      <c r="AH43" s="1571">
        <f>$AH$16/K43</f>
        <v>5</v>
      </c>
      <c r="AI43" s="1571">
        <f>$AH$16/AH43</f>
        <v>1</v>
      </c>
      <c r="AJ43" s="1554">
        <f>$H43*(1-(1+$L$15)^-(AH43*AI43))/((1+$L$15)^AI43-1)*(1+((1+$L$15)^AI43-1))</f>
        <v>103954.64299486132</v>
      </c>
      <c r="AK43" s="1572">
        <f>SUM(AJ43:AJ46)</f>
        <v>214510.14975693176</v>
      </c>
    </row>
    <row r="44" spans="1:37" s="1550" customFormat="1" ht="19" customHeight="1">
      <c r="B44" s="1925"/>
      <c r="C44" s="3314" t="s">
        <v>779</v>
      </c>
      <c r="D44" s="3754"/>
      <c r="E44" s="1552" t="s">
        <v>308</v>
      </c>
      <c r="F44" s="1553">
        <f>$E$322</f>
        <v>2</v>
      </c>
      <c r="G44" s="1553">
        <f t="shared" ref="G44:G45" si="17">F342</f>
        <v>33.263577478824118</v>
      </c>
      <c r="H44" s="1554">
        <f>I342</f>
        <v>9480.1195814648745</v>
      </c>
      <c r="I44" s="1923" t="str">
        <f>K342</f>
        <v>On site Vehicle Costs</v>
      </c>
      <c r="J44" s="1555" t="str">
        <f>IF(K44=1,"Annual","Done every "&amp;K44&amp;" years")</f>
        <v>Annual</v>
      </c>
      <c r="K44" s="1558">
        <f>L342</f>
        <v>1</v>
      </c>
      <c r="L44" s="1557">
        <f t="shared" si="16"/>
        <v>80</v>
      </c>
      <c r="M44" s="1558">
        <f t="shared" si="16"/>
        <v>1</v>
      </c>
      <c r="N44" s="1554">
        <f>$H44*(1-(1+$L$15)^-(L44*M44))/((1+$L$15)^M44-1)*(1+((1+$L$15)^M44-1))</f>
        <v>235789.60552740894</v>
      </c>
      <c r="O44" s="1559">
        <f>N44/(1+$L$15)*($L$15)/(1-(1+$L$15)^-$L$16)</f>
        <v>9480.1195814648654</v>
      </c>
      <c r="P44" s="1574"/>
      <c r="Q44" s="3094">
        <f>1*(1-(1+$L$15)^-(L44*M44))/((1+$L$15)^M44-1)*(1+((1+$L$15)^M44-1))</f>
        <v>24.872007520708362</v>
      </c>
      <c r="R44" s="3094">
        <f>Q44/(1+$L$15)*($L$15)/(1-(1+$L$15)^-$L$16)</f>
        <v>0.99999999999999911</v>
      </c>
      <c r="S44" s="3094">
        <f>F44*R44</f>
        <v>1.9999999999999982</v>
      </c>
      <c r="T44" s="1575" t="s">
        <v>809</v>
      </c>
      <c r="U44" s="1563">
        <f t="shared" si="12"/>
        <v>94.801195814648651</v>
      </c>
      <c r="V44" s="1576" t="str">
        <f>IF($T44="L",SUM($U44:U44)*V$16,"")</f>
        <v/>
      </c>
      <c r="W44" s="1576">
        <f>IF($U44="","",IF(OR($T44="L",$T44="T",$T44="C"),SUM($U44:V44)*W$16,""))</f>
        <v>9.4801195814648658</v>
      </c>
      <c r="X44" s="1576">
        <f>IF($U44="","",SUM($U44:W44)*X$16)</f>
        <v>31.284394618834053</v>
      </c>
      <c r="Y44" s="1577">
        <f t="shared" si="13"/>
        <v>40.764514200298919</v>
      </c>
      <c r="Z44" s="1574"/>
      <c r="AA44" s="1578">
        <f t="shared" si="14"/>
        <v>135.56571001494757</v>
      </c>
      <c r="AB44" s="1574"/>
      <c r="AC44" s="1566">
        <f t="shared" ca="1" si="15"/>
        <v>0.17864297112707134</v>
      </c>
      <c r="AD44" s="1579"/>
      <c r="AE44" s="1568"/>
      <c r="AF44" s="1569">
        <f>AF43</f>
        <v>20</v>
      </c>
      <c r="AG44" s="1569"/>
      <c r="AH44" s="1571">
        <f>$AH$16/K44</f>
        <v>5</v>
      </c>
      <c r="AI44" s="1571">
        <f>$AH$16/AH44</f>
        <v>1</v>
      </c>
      <c r="AJ44" s="1554">
        <f>$H44*(1-(1+$L$15)^-(AH44*AI44))/((1+$L$15)^AI44-1)*(1+((1+$L$15)^AI44-1))</f>
        <v>43891.960375608127</v>
      </c>
      <c r="AK44" s="1580"/>
    </row>
    <row r="45" spans="1:37" s="1550" customFormat="1" ht="19" customHeight="1">
      <c r="B45" s="1925"/>
      <c r="C45" s="3314"/>
      <c r="D45" s="3754"/>
      <c r="E45" s="1552" t="s">
        <v>4</v>
      </c>
      <c r="F45" s="1553"/>
      <c r="G45" s="1553">
        <f t="shared" si="17"/>
        <v>66</v>
      </c>
      <c r="H45" s="1554">
        <f>I343</f>
        <v>14398.5</v>
      </c>
      <c r="I45" s="1923" t="str">
        <f>K343</f>
        <v>Accomodation, food and bullets</v>
      </c>
      <c r="J45" s="1555" t="str">
        <f>IF(K45=1,"Annual","Done every "&amp;K45&amp;" years")</f>
        <v>Annual</v>
      </c>
      <c r="K45" s="1558">
        <f>L343</f>
        <v>1</v>
      </c>
      <c r="L45" s="1557">
        <f t="shared" si="16"/>
        <v>80</v>
      </c>
      <c r="M45" s="1558">
        <f t="shared" si="16"/>
        <v>1</v>
      </c>
      <c r="N45" s="1554">
        <f>$H45*(1-(1+$L$15)^-(L45*M45))/((1+$L$15)^M45-1)*(1+((1+$L$15)^M45-1))</f>
        <v>358119.60028691933</v>
      </c>
      <c r="O45" s="1559">
        <f>N45/(1+$L$15)*($L$15)/(1-(1+$L$15)^-$L$16)</f>
        <v>14398.499999999987</v>
      </c>
      <c r="P45" s="1926"/>
      <c r="Q45" s="3094"/>
      <c r="R45" s="3094"/>
      <c r="S45" s="3094"/>
      <c r="T45" s="1575" t="s">
        <v>810</v>
      </c>
      <c r="U45" s="1563">
        <f t="shared" si="12"/>
        <v>143.98499999999987</v>
      </c>
      <c r="V45" s="1927" t="str">
        <f>IF($T45="L",SUM($U45:U45)*V$16,"")</f>
        <v/>
      </c>
      <c r="W45" s="1927">
        <f>IF($U45="","",IF(OR($T45="L",$T45="T",$T45="C"),SUM($U45:V45)*W$16,""))</f>
        <v>14.398499999999988</v>
      </c>
      <c r="X45" s="1927">
        <f>IF($U45="","",SUM($U45:W45)*X$16)</f>
        <v>47.515049999999952</v>
      </c>
      <c r="Y45" s="1928">
        <f t="shared" si="13"/>
        <v>61.913549999999944</v>
      </c>
      <c r="Z45" s="1926"/>
      <c r="AA45" s="1929">
        <f t="shared" si="14"/>
        <v>205.89854999999983</v>
      </c>
      <c r="AB45" s="1926"/>
      <c r="AC45" s="1566">
        <f t="shared" ca="1" si="15"/>
        <v>0.27132472303431432</v>
      </c>
      <c r="AD45" s="1930"/>
      <c r="AE45" s="1568"/>
      <c r="AF45" s="1569">
        <f>AF44</f>
        <v>20</v>
      </c>
      <c r="AG45" s="1569"/>
      <c r="AH45" s="1571">
        <f>$AH$16/K45</f>
        <v>5</v>
      </c>
      <c r="AI45" s="1571">
        <f>$AH$16/AH45</f>
        <v>1</v>
      </c>
      <c r="AJ45" s="1554">
        <f>$H45*(1-(1+$L$15)^-(AH45*AI45))/((1+$L$15)^AI45-1)*(1+((1+$L$15)^AI45-1))</f>
        <v>66663.546386462331</v>
      </c>
      <c r="AK45" s="1931"/>
    </row>
    <row r="46" spans="1:37" s="1550" customFormat="1" ht="16" customHeight="1">
      <c r="B46" s="1925"/>
      <c r="C46" s="3315"/>
      <c r="D46" s="3755"/>
      <c r="E46" s="1552" t="s">
        <v>21</v>
      </c>
      <c r="F46" s="1553"/>
      <c r="G46" s="1553"/>
      <c r="H46" s="1554"/>
      <c r="I46" s="2494"/>
      <c r="J46" s="1555"/>
      <c r="K46" s="1556"/>
      <c r="L46" s="1932"/>
      <c r="M46" s="1933"/>
      <c r="N46" s="1554"/>
      <c r="O46" s="1559"/>
      <c r="P46" s="1934"/>
      <c r="Q46" s="3095"/>
      <c r="R46" s="3095"/>
      <c r="S46" s="3095"/>
      <c r="T46" s="1581" t="s">
        <v>811</v>
      </c>
      <c r="U46" s="1563">
        <f t="shared" si="12"/>
        <v>0</v>
      </c>
      <c r="V46" s="1927" t="str">
        <f>IF($T46="L",SUM($U46:U46)*V$16,"")</f>
        <v/>
      </c>
      <c r="W46" s="1927" t="str">
        <f>IF($U46="","",IF(OR($T46="L",$T46="T",$T46="C"),SUM($U46:V46)*W$16,""))</f>
        <v/>
      </c>
      <c r="X46" s="1927">
        <f>IF($U46="","",SUM($U46:W46)*X$16)</f>
        <v>0</v>
      </c>
      <c r="Y46" s="1928">
        <f t="shared" si="13"/>
        <v>0</v>
      </c>
      <c r="Z46" s="1934"/>
      <c r="AA46" s="1935">
        <f t="shared" si="14"/>
        <v>0</v>
      </c>
      <c r="AB46" s="1934"/>
      <c r="AC46" s="1566">
        <f t="shared" ca="1" si="15"/>
        <v>0</v>
      </c>
      <c r="AD46" s="1936"/>
      <c r="AE46" s="1568"/>
      <c r="AF46" s="1569">
        <f>AF45</f>
        <v>20</v>
      </c>
      <c r="AG46" s="1569"/>
      <c r="AH46" s="1552"/>
      <c r="AI46" s="1552"/>
      <c r="AJ46" s="1554"/>
      <c r="AK46" s="1937"/>
    </row>
    <row r="47" spans="1:37" s="1441" customFormat="1" ht="18" customHeight="1">
      <c r="B47" s="1938">
        <f>B43+0.1</f>
        <v>3.6000000000000005</v>
      </c>
      <c r="C47" s="3316" t="s">
        <v>2236</v>
      </c>
      <c r="D47" s="3915" t="s">
        <v>701</v>
      </c>
      <c r="E47" s="1443" t="s">
        <v>3</v>
      </c>
      <c r="F47" s="1444"/>
      <c r="G47" s="1444">
        <f>G341</f>
        <v>86.457399103139011</v>
      </c>
      <c r="H47" s="1445">
        <f t="shared" ref="H47:I49" si="18">J341</f>
        <v>29179.372197309414</v>
      </c>
      <c r="I47" s="1445" t="str">
        <f t="shared" si="18"/>
        <v>Cost for labour</v>
      </c>
      <c r="J47" s="1447" t="str">
        <f>IF(K47=1,"Annual","Done every "&amp;K47&amp;" years")</f>
        <v>Annual</v>
      </c>
      <c r="K47" s="1450">
        <f>L341</f>
        <v>1</v>
      </c>
      <c r="L47" s="1449">
        <f t="shared" ref="L47:M49" si="19">$L$16/K47</f>
        <v>80</v>
      </c>
      <c r="M47" s="1450">
        <f t="shared" si="19"/>
        <v>1</v>
      </c>
      <c r="N47" s="1445">
        <f>$H47*(1-(1+$L$15)^-(L47*M47))/((1+$L$15)^M47-1)*(1+((1+$L$15)^M47-1))</f>
        <v>725749.56474102812</v>
      </c>
      <c r="O47" s="1451">
        <f>N47/(1+$L$15)*($L$15)/(1-(1+$L$15)^-$L$16)</f>
        <v>29179.372197309389</v>
      </c>
      <c r="P47" s="1452">
        <f>SUM(O47:O50)</f>
        <v>60098.051569506672</v>
      </c>
      <c r="Q47" s="2839"/>
      <c r="R47" s="2839"/>
      <c r="S47" s="2839"/>
      <c r="T47" s="1453" t="s">
        <v>808</v>
      </c>
      <c r="U47" s="1455">
        <f t="shared" si="12"/>
        <v>291.79372197309391</v>
      </c>
      <c r="V47" s="1455">
        <f>IF($T47="L",SUM($U47:U47)*V$16,"")</f>
        <v>87.538116591928173</v>
      </c>
      <c r="W47" s="1455">
        <f>IF($U47="","",IF(OR($T47="L",$T47="T",$T47="C"),SUM($U47:V47)*W$16,""))</f>
        <v>37.933183856502204</v>
      </c>
      <c r="X47" s="1457">
        <f>IF($U47="","",SUM($U47:W47)*X$16)</f>
        <v>125.17950672645726</v>
      </c>
      <c r="Y47" s="1464">
        <f t="shared" si="13"/>
        <v>250.65080717488763</v>
      </c>
      <c r="Z47" s="1452">
        <f>SUM(V47:X50)</f>
        <v>383.60112847533594</v>
      </c>
      <c r="AA47" s="1457">
        <f t="shared" si="14"/>
        <v>542.44452914798148</v>
      </c>
      <c r="AB47" s="1452">
        <f>SUM(AA47:AA50)</f>
        <v>984.58164417040257</v>
      </c>
      <c r="AC47" s="1458">
        <f t="shared" ca="1" si="15"/>
        <v>0.55093910429849535</v>
      </c>
      <c r="AD47" s="1939"/>
      <c r="AE47" s="1460"/>
      <c r="AF47" s="1461">
        <f>AF43+4</f>
        <v>24</v>
      </c>
      <c r="AG47" s="1462">
        <f ca="1">SUM(AC47:AC50)-1</f>
        <v>0</v>
      </c>
      <c r="AH47" s="1463">
        <f>$AH$16/K47</f>
        <v>5</v>
      </c>
      <c r="AI47" s="1463">
        <f>$AH$16/AH47</f>
        <v>1</v>
      </c>
      <c r="AJ47" s="1445">
        <f>$H47*(1-(1+$L$15)^-(AH47*AI47))/((1+$L$15)^AI47-1)*(1+((1+$L$15)^AI47-1))</f>
        <v>135097.43598313615</v>
      </c>
      <c r="AK47" s="1464">
        <f>SUM(AJ47:AJ50)</f>
        <v>278247.68194880144</v>
      </c>
    </row>
    <row r="48" spans="1:37" s="1441" customFormat="1" ht="19" customHeight="1">
      <c r="B48" s="1940"/>
      <c r="C48" s="3317" t="s">
        <v>789</v>
      </c>
      <c r="D48" s="3916"/>
      <c r="E48" s="1443" t="s">
        <v>308</v>
      </c>
      <c r="F48" s="1444">
        <f>$F$322</f>
        <v>3</v>
      </c>
      <c r="G48" s="1444">
        <f t="shared" ref="G48:G49" si="20">G342</f>
        <v>43.228699551569505</v>
      </c>
      <c r="H48" s="1445">
        <f t="shared" si="18"/>
        <v>12320.17937219731</v>
      </c>
      <c r="I48" s="1445" t="str">
        <f t="shared" si="18"/>
        <v>On site Vehicle Costs</v>
      </c>
      <c r="J48" s="1447" t="str">
        <f>IF(K48=1,"Annual","Done every "&amp;K48&amp;" years")</f>
        <v>Annual</v>
      </c>
      <c r="K48" s="1450">
        <f>L342</f>
        <v>1</v>
      </c>
      <c r="L48" s="1449">
        <f t="shared" si="19"/>
        <v>80</v>
      </c>
      <c r="M48" s="1450">
        <f t="shared" si="19"/>
        <v>1</v>
      </c>
      <c r="N48" s="1445">
        <f>$H48*(1-(1+$L$15)^-(L48*M48))/((1+$L$15)^M48-1)*(1+((1+$L$15)^M48-1))</f>
        <v>306427.59400176746</v>
      </c>
      <c r="O48" s="1451">
        <f>N48/(1+$L$15)*($L$15)/(1-(1+$L$15)^-$L$16)</f>
        <v>12320.179372197297</v>
      </c>
      <c r="P48" s="1466"/>
      <c r="Q48" s="2840">
        <f>1*(1-(1+$L$15)^-(L48*M48))/((1+$L$15)^M48-1)*(1+((1+$L$15)^M48-1))</f>
        <v>24.872007520708362</v>
      </c>
      <c r="R48" s="2840">
        <f>Q48/(1+$L$15)*($L$15)/(1-(1+$L$15)^-$L$16)</f>
        <v>0.99999999999999911</v>
      </c>
      <c r="S48" s="2840">
        <f>F48*R48</f>
        <v>2.9999999999999973</v>
      </c>
      <c r="T48" s="1467" t="s">
        <v>809</v>
      </c>
      <c r="U48" s="1455">
        <f t="shared" si="12"/>
        <v>123.20179372197298</v>
      </c>
      <c r="V48" s="1468" t="str">
        <f>IF($T48="L",SUM($U48:U48)*V$16,"")</f>
        <v/>
      </c>
      <c r="W48" s="1468">
        <f>IF($U48="","",IF(OR($T48="L",$T48="T",$T48="C"),SUM($U48:V48)*W$16,""))</f>
        <v>12.320179372197298</v>
      </c>
      <c r="X48" s="1470">
        <f>IF($U48="","",SUM($U48:W48)*X$16)</f>
        <v>40.656591928251082</v>
      </c>
      <c r="Y48" s="1472">
        <f t="shared" si="13"/>
        <v>52.976771300448377</v>
      </c>
      <c r="Z48" s="1466"/>
      <c r="AA48" s="1470">
        <f t="shared" si="14"/>
        <v>176.17856502242137</v>
      </c>
      <c r="AB48" s="1466"/>
      <c r="AC48" s="1458">
        <f t="shared" ca="1" si="15"/>
        <v>0.17893748686617802</v>
      </c>
      <c r="AD48" s="1471"/>
      <c r="AE48" s="1460"/>
      <c r="AF48" s="1461">
        <f>AF47</f>
        <v>24</v>
      </c>
      <c r="AG48" s="1461"/>
      <c r="AH48" s="1463">
        <f>$AH$16/K48</f>
        <v>5</v>
      </c>
      <c r="AI48" s="1463">
        <f>$AH$16/AH48</f>
        <v>1</v>
      </c>
      <c r="AJ48" s="1445">
        <f>$H48*(1-(1+$L$15)^-(AH48*AI48))/((1+$L$15)^AI48-1)*(1+((1+$L$15)^AI48-1))</f>
        <v>57041.139637324159</v>
      </c>
      <c r="AK48" s="1472"/>
    </row>
    <row r="49" spans="2:37" s="1441" customFormat="1" ht="19" customHeight="1">
      <c r="B49" s="1940"/>
      <c r="C49" s="3317"/>
      <c r="D49" s="3916"/>
      <c r="E49" s="1443" t="s">
        <v>4</v>
      </c>
      <c r="F49" s="1444"/>
      <c r="G49" s="1444">
        <f t="shared" si="20"/>
        <v>86</v>
      </c>
      <c r="H49" s="1445">
        <f t="shared" si="18"/>
        <v>18598.5</v>
      </c>
      <c r="I49" s="1445" t="str">
        <f t="shared" si="18"/>
        <v>Accomodation, food and bullets</v>
      </c>
      <c r="J49" s="1447" t="str">
        <f>IF(K49=1,"Annual","Done every "&amp;K49&amp;" years")</f>
        <v>Annual</v>
      </c>
      <c r="K49" s="1450">
        <f>L343</f>
        <v>1</v>
      </c>
      <c r="L49" s="1449">
        <f t="shared" si="19"/>
        <v>80</v>
      </c>
      <c r="M49" s="1450">
        <f t="shared" si="19"/>
        <v>1</v>
      </c>
      <c r="N49" s="1445">
        <f>$H49*(1-(1+$L$15)^-(L49*M49))/((1+$L$15)^M49-1)*(1+((1+$L$15)^M49-1))</f>
        <v>462582.03187389445</v>
      </c>
      <c r="O49" s="1451">
        <f>N49/(1+$L$15)*($L$15)/(1-(1+$L$15)^-$L$16)</f>
        <v>18598.499999999985</v>
      </c>
      <c r="P49" s="1941"/>
      <c r="Q49" s="2840"/>
      <c r="R49" s="2840"/>
      <c r="S49" s="2840"/>
      <c r="T49" s="1467" t="s">
        <v>810</v>
      </c>
      <c r="U49" s="1455">
        <f t="shared" si="12"/>
        <v>185.98499999999984</v>
      </c>
      <c r="V49" s="1942" t="str">
        <f>IF($T49="L",SUM($U49:U49)*V$16,"")</f>
        <v/>
      </c>
      <c r="W49" s="1942">
        <f>IF($U49="","",IF(OR($T49="L",$T49="T",$T49="C"),SUM($U49:V49)*W$16,""))</f>
        <v>18.598499999999984</v>
      </c>
      <c r="X49" s="1943">
        <f>IF($U49="","",SUM($U49:W49)*X$16)</f>
        <v>61.375049999999945</v>
      </c>
      <c r="Y49" s="1944">
        <f t="shared" si="13"/>
        <v>79.973549999999932</v>
      </c>
      <c r="Z49" s="1941"/>
      <c r="AA49" s="1943">
        <f t="shared" si="14"/>
        <v>265.95854999999978</v>
      </c>
      <c r="AB49" s="1941"/>
      <c r="AC49" s="1458">
        <f t="shared" ca="1" si="15"/>
        <v>0.27012340883532665</v>
      </c>
      <c r="AD49" s="1945"/>
      <c r="AE49" s="1460"/>
      <c r="AF49" s="1461">
        <f>AF48</f>
        <v>24</v>
      </c>
      <c r="AG49" s="1461"/>
      <c r="AH49" s="1463">
        <f>$AH$16/K49</f>
        <v>5</v>
      </c>
      <c r="AI49" s="1463">
        <f>$AH$16/AH49</f>
        <v>1</v>
      </c>
      <c r="AJ49" s="1445">
        <f>$H49*(1-(1+$L$15)^-(AH49*AI49))/((1+$L$15)^AI49-1)*(1+((1+$L$15)^AI49-1))</f>
        <v>86109.10632834112</v>
      </c>
      <c r="AK49" s="1944"/>
    </row>
    <row r="50" spans="2:37" s="1441" customFormat="1" ht="16" customHeight="1">
      <c r="B50" s="1940"/>
      <c r="C50" s="3318"/>
      <c r="D50" s="3917"/>
      <c r="E50" s="1443" t="s">
        <v>21</v>
      </c>
      <c r="F50" s="1444"/>
      <c r="G50" s="1444"/>
      <c r="H50" s="1445"/>
      <c r="I50" s="1445"/>
      <c r="J50" s="1447"/>
      <c r="K50" s="1448"/>
      <c r="L50" s="1947"/>
      <c r="M50" s="1948"/>
      <c r="N50" s="1445"/>
      <c r="O50" s="1451"/>
      <c r="P50" s="1949"/>
      <c r="Q50" s="3096"/>
      <c r="R50" s="3096"/>
      <c r="S50" s="3096"/>
      <c r="T50" s="1473" t="s">
        <v>811</v>
      </c>
      <c r="U50" s="1455">
        <f t="shared" si="12"/>
        <v>0</v>
      </c>
      <c r="V50" s="1942" t="str">
        <f>IF($T50="L",SUM($U50:U50)*V$16,"")</f>
        <v/>
      </c>
      <c r="W50" s="1942" t="str">
        <f>IF($U50="","",IF(OR($T50="L",$T50="T",$T50="C"),SUM($U50:V50)*W$16,""))</f>
        <v/>
      </c>
      <c r="X50" s="1943">
        <f>IF($U50="","",SUM($U50:W50)*X$16)</f>
        <v>0</v>
      </c>
      <c r="Y50" s="1950">
        <f t="shared" si="13"/>
        <v>0</v>
      </c>
      <c r="Z50" s="1949"/>
      <c r="AA50" s="1951">
        <f t="shared" si="14"/>
        <v>0</v>
      </c>
      <c r="AB50" s="1949"/>
      <c r="AC50" s="1458">
        <f t="shared" ca="1" si="15"/>
        <v>0</v>
      </c>
      <c r="AD50" s="1952"/>
      <c r="AE50" s="1460"/>
      <c r="AF50" s="1461">
        <f>AF49</f>
        <v>24</v>
      </c>
      <c r="AG50" s="1461"/>
      <c r="AH50" s="1443"/>
      <c r="AI50" s="1443"/>
      <c r="AJ50" s="1445"/>
      <c r="AK50" s="1950"/>
    </row>
    <row r="51" spans="2:37" s="3373" customFormat="1" ht="19" customHeight="1">
      <c r="B51" s="3350">
        <f>B23+0.2</f>
        <v>1.2</v>
      </c>
      <c r="C51" s="4023" t="s">
        <v>392</v>
      </c>
      <c r="D51" s="4073" t="s">
        <v>2251</v>
      </c>
      <c r="E51" s="3351" t="s">
        <v>3</v>
      </c>
      <c r="F51" s="3352"/>
      <c r="G51" s="3352">
        <f t="shared" ref="G51:G53" si="21">E461</f>
        <v>733.33333333333337</v>
      </c>
      <c r="H51" s="3353">
        <f>G461</f>
        <v>165000</v>
      </c>
      <c r="I51" s="3353" t="str">
        <f>H461</f>
        <v>Cost for labour</v>
      </c>
      <c r="J51" s="3354" t="str">
        <f t="shared" ref="J51:J57" si="22">IF(K51=1,"Annual","Done every "&amp;K51&amp;" years")</f>
        <v>Done every 20 years</v>
      </c>
      <c r="K51" s="3355">
        <f>I461</f>
        <v>20</v>
      </c>
      <c r="L51" s="3356">
        <f t="shared" ref="L51:M57" si="23">$L$16/K51</f>
        <v>4</v>
      </c>
      <c r="M51" s="3357">
        <f t="shared" si="23"/>
        <v>20</v>
      </c>
      <c r="N51" s="3353">
        <f>$H51*(1-(1+$L$15)^-(L51*M51))/((1+$L$15)^M51-1)*(1+((1+$L$15)^M51-1))</f>
        <v>290356.5046610476</v>
      </c>
      <c r="O51" s="3358">
        <f t="shared" ref="O51:O58" si="24">N51/(1+$L$15)*($L$15)/(1-(1+$L$15)^-$L$16)</f>
        <v>11674.027696368994</v>
      </c>
      <c r="P51" s="3359">
        <f>SUM(O51:O54)</f>
        <v>45279.353733759068</v>
      </c>
      <c r="Q51" s="3360"/>
      <c r="R51" s="3360"/>
      <c r="S51" s="3360"/>
      <c r="T51" s="3361" t="s">
        <v>808</v>
      </c>
      <c r="U51" s="3362">
        <f t="shared" ref="U51:U54" si="25">O51/$U$16</f>
        <v>116.74027696368994</v>
      </c>
      <c r="V51" s="3363">
        <f>IF($T51="L",SUM($U51:U51)*V$16,"")</f>
        <v>35.022083089106978</v>
      </c>
      <c r="W51" s="3363">
        <f>IF($U51="","",IF(OR($T51="L",$T51="T",$T51="C"),SUM($U51:V51)*W$16,""))</f>
        <v>15.176236005279691</v>
      </c>
      <c r="X51" s="3363">
        <f>IF($U51="","",SUM($U51:W51)*X$16)</f>
        <v>50.081578817422979</v>
      </c>
      <c r="Y51" s="3364">
        <f t="shared" ref="Y51:Y58" si="26">IF($U51="","",SUM(V51:X51))</f>
        <v>100.27989791180966</v>
      </c>
      <c r="Z51" s="3359">
        <f>SUM(V51:X54)</f>
        <v>243.24166306846021</v>
      </c>
      <c r="AA51" s="3365">
        <f t="shared" ref="AA51:AA58" si="27">IF($U51="","",SUM(U51,Y51))</f>
        <v>217.02017487549961</v>
      </c>
      <c r="AB51" s="3359">
        <f>SUM(AA51:AA54)</f>
        <v>696.03520040605076</v>
      </c>
      <c r="AC51" s="3366">
        <f t="shared" ref="AC51:AC58" ca="1" si="28">IF(AA51="","",AA51/OFFSET($AB$23,AF51,0))</f>
        <v>0.31179482696980709</v>
      </c>
      <c r="AD51" s="3367"/>
      <c r="AE51" s="3368"/>
      <c r="AF51" s="3369">
        <f>AF47+4</f>
        <v>28</v>
      </c>
      <c r="AG51" s="3370">
        <f ca="1">SUM(AC51:AC54)-1</f>
        <v>0</v>
      </c>
      <c r="AH51" s="3371">
        <f>$AH$16/K51</f>
        <v>0.25</v>
      </c>
      <c r="AI51" s="3371">
        <f>$AH$16/AH51</f>
        <v>20</v>
      </c>
      <c r="AJ51" s="3353">
        <f>$H51*(1-(1+$L$15)^-(AH51*AI51))/((1+$L$15)^AI51-1)*(1+((1+$L$15)^AI51-1))</f>
        <v>54049.525079261126</v>
      </c>
      <c r="AK51" s="3372">
        <f>SUM(AJ51:AJ54)</f>
        <v>204149.9698175583</v>
      </c>
    </row>
    <row r="52" spans="2:37" s="3373" customFormat="1" ht="19" customHeight="1">
      <c r="B52" s="3374"/>
      <c r="C52" s="4024"/>
      <c r="D52" s="4074"/>
      <c r="E52" s="3351" t="s">
        <v>308</v>
      </c>
      <c r="F52" s="3375">
        <f>$D$438</f>
        <v>18</v>
      </c>
      <c r="G52" s="3375">
        <f t="shared" si="21"/>
        <v>366.66666666666669</v>
      </c>
      <c r="H52" s="3353">
        <f t="shared" ref="H52:I54" si="29">G462</f>
        <v>104500</v>
      </c>
      <c r="I52" s="3353" t="str">
        <f t="shared" si="29"/>
        <v>Cost for ute hire for the whole activity</v>
      </c>
      <c r="J52" s="3354" t="str">
        <f t="shared" si="22"/>
        <v>Done every 20 years</v>
      </c>
      <c r="K52" s="3355">
        <f t="shared" ref="K52:K54" si="30">I462</f>
        <v>20</v>
      </c>
      <c r="L52" s="3356">
        <f t="shared" si="23"/>
        <v>4</v>
      </c>
      <c r="M52" s="3357">
        <f t="shared" si="23"/>
        <v>20</v>
      </c>
      <c r="N52" s="3353">
        <f>$H52*(1-(1+$L$15)^-(L52*M52))/((1+$L$15)^M52-1)*(1+((1+$L$15)^M52-1))</f>
        <v>183892.45295199685</v>
      </c>
      <c r="O52" s="3358">
        <f t="shared" si="24"/>
        <v>7393.5508743670316</v>
      </c>
      <c r="P52" s="3376"/>
      <c r="Q52" s="3377">
        <f>1*(1-(1+$L$15)^-(L52*M52))/((1+$L$15)^M52-1)*(1+((1+$L$15)^M52-1))</f>
        <v>1.7597363918851372</v>
      </c>
      <c r="R52" s="3377">
        <f>Q52/(1+$L$15)*($L$15)/(1-(1+$L$15)^-$L$16)</f>
        <v>7.0751683008296956E-2</v>
      </c>
      <c r="S52" s="3377">
        <f>F52*R52</f>
        <v>1.2735302941493452</v>
      </c>
      <c r="T52" s="3378" t="s">
        <v>809</v>
      </c>
      <c r="U52" s="3363">
        <f t="shared" si="25"/>
        <v>73.935508743670312</v>
      </c>
      <c r="V52" s="3379" t="str">
        <f>IF($T52="L",SUM($U52:U52)*V$16,"")</f>
        <v/>
      </c>
      <c r="W52" s="3379">
        <f>IF($U52="","",IF(OR($T52="L",$T52="T",$T52="C"),SUM($U52:V52)*W$16,""))</f>
        <v>7.3935508743670315</v>
      </c>
      <c r="X52" s="3379">
        <f>IF($U52="","",SUM($U52:W52)*X$16)</f>
        <v>24.398717885411205</v>
      </c>
      <c r="Y52" s="3380">
        <f t="shared" si="26"/>
        <v>31.792268759778239</v>
      </c>
      <c r="Z52" s="3376"/>
      <c r="AA52" s="3381">
        <f t="shared" si="27"/>
        <v>105.72777750344855</v>
      </c>
      <c r="AB52" s="3376"/>
      <c r="AC52" s="3366">
        <f t="shared" ca="1" si="28"/>
        <v>0.15190004390836759</v>
      </c>
      <c r="AD52" s="3382"/>
      <c r="AE52" s="3368"/>
      <c r="AF52" s="3369">
        <f>AF51</f>
        <v>28</v>
      </c>
      <c r="AG52" s="3369"/>
      <c r="AH52" s="3371">
        <f>$AH$16/K52</f>
        <v>0.25</v>
      </c>
      <c r="AI52" s="3371">
        <f>$AH$16/AH52</f>
        <v>20</v>
      </c>
      <c r="AJ52" s="3353">
        <f>$H52*(1-(1+$L$15)^-(AH52*AI52))/((1+$L$15)^AI52-1)*(1+((1+$L$15)^AI52-1))</f>
        <v>34231.365883532046</v>
      </c>
      <c r="AK52" s="3383"/>
    </row>
    <row r="53" spans="2:37" s="3373" customFormat="1" ht="16" customHeight="1">
      <c r="B53" s="3374"/>
      <c r="C53" s="4024"/>
      <c r="D53" s="4074"/>
      <c r="E53" s="3351" t="s">
        <v>4</v>
      </c>
      <c r="F53" s="3352"/>
      <c r="G53" s="3352">
        <f t="shared" si="21"/>
        <v>732</v>
      </c>
      <c r="H53" s="3353">
        <f t="shared" si="29"/>
        <v>353720</v>
      </c>
      <c r="I53" s="3353" t="str">
        <f t="shared" si="29"/>
        <v>Accomodation/food + Fence Materials</v>
      </c>
      <c r="J53" s="3354" t="str">
        <f t="shared" si="22"/>
        <v>Done every 20 years</v>
      </c>
      <c r="K53" s="3355">
        <f t="shared" si="30"/>
        <v>20</v>
      </c>
      <c r="L53" s="3356">
        <f t="shared" si="23"/>
        <v>4</v>
      </c>
      <c r="M53" s="3357">
        <f t="shared" si="23"/>
        <v>20</v>
      </c>
      <c r="N53" s="3353">
        <f>$H53*(1-(1+$L$15)^-(L53*M53))/((1+$L$15)^M53-1)*(1+((1+$L$15)^M53-1))</f>
        <v>622453.95653761073</v>
      </c>
      <c r="O53" s="3358">
        <f t="shared" si="24"/>
        <v>25026.2853136948</v>
      </c>
      <c r="P53" s="3376"/>
      <c r="Q53" s="3377"/>
      <c r="R53" s="3377"/>
      <c r="S53" s="3377"/>
      <c r="T53" s="3378" t="s">
        <v>810</v>
      </c>
      <c r="U53" s="3363">
        <f t="shared" si="25"/>
        <v>250.262853136948</v>
      </c>
      <c r="V53" s="3379" t="str">
        <f>IF($T53="L",SUM($U53:U53)*V$16,"")</f>
        <v/>
      </c>
      <c r="W53" s="3379">
        <f>IF($U53="","",IF(OR($T53="L",$T53="T",$T53="C"),SUM($U53:V53)*W$16,""))</f>
        <v>25.0262853136948</v>
      </c>
      <c r="X53" s="3379">
        <f>IF($U53="","",SUM($U53:W53)*X$16)</f>
        <v>82.586741535192829</v>
      </c>
      <c r="Y53" s="3380">
        <f t="shared" si="26"/>
        <v>107.61302684888763</v>
      </c>
      <c r="Z53" s="3376"/>
      <c r="AA53" s="3381">
        <f t="shared" si="27"/>
        <v>357.87587998583564</v>
      </c>
      <c r="AB53" s="3376"/>
      <c r="AC53" s="3366">
        <f t="shared" ca="1" si="28"/>
        <v>0.51416347876811286</v>
      </c>
      <c r="AD53" s="3367"/>
      <c r="AE53" s="3368"/>
      <c r="AF53" s="3369">
        <f>AF52</f>
        <v>28</v>
      </c>
      <c r="AG53" s="3369"/>
      <c r="AH53" s="3371">
        <f>$AH$16/K53</f>
        <v>0.25</v>
      </c>
      <c r="AI53" s="3371">
        <f>$AH$16/AH53</f>
        <v>20</v>
      </c>
      <c r="AJ53" s="3353">
        <f>$H53*(1-(1+$L$15)^-(AH53*AI53))/((1+$L$15)^AI53-1)*(1+((1+$L$15)^AI53-1))</f>
        <v>115869.07885476513</v>
      </c>
      <c r="AK53" s="3383"/>
    </row>
    <row r="54" spans="2:37" s="3373" customFormat="1" ht="19" customHeight="1">
      <c r="B54" s="3374"/>
      <c r="C54" s="4025"/>
      <c r="D54" s="4075"/>
      <c r="E54" s="3351" t="s">
        <v>21</v>
      </c>
      <c r="F54" s="3352"/>
      <c r="G54" s="3352"/>
      <c r="H54" s="3353">
        <f t="shared" si="29"/>
        <v>10000</v>
      </c>
      <c r="I54" s="3353" t="str">
        <f t="shared" si="29"/>
        <v>Equipment</v>
      </c>
      <c r="J54" s="3354" t="str">
        <f t="shared" si="22"/>
        <v>Done every 10 years</v>
      </c>
      <c r="K54" s="3355">
        <f t="shared" si="30"/>
        <v>10</v>
      </c>
      <c r="L54" s="3356">
        <f t="shared" si="23"/>
        <v>8</v>
      </c>
      <c r="M54" s="3357">
        <f t="shared" si="23"/>
        <v>10</v>
      </c>
      <c r="N54" s="3353">
        <f>$H54*(1-(1+$L$15)^-(L54*M54))/((1+$L$15)^M54-1)*(1+((1+$L$15)^M54-1))</f>
        <v>29485.512448215297</v>
      </c>
      <c r="O54" s="3358">
        <f t="shared" si="24"/>
        <v>1185.4898493282344</v>
      </c>
      <c r="P54" s="3376"/>
      <c r="Q54" s="3377"/>
      <c r="R54" s="3377"/>
      <c r="S54" s="3377"/>
      <c r="T54" s="3384" t="s">
        <v>811</v>
      </c>
      <c r="U54" s="3363">
        <f t="shared" si="25"/>
        <v>11.854898493282343</v>
      </c>
      <c r="V54" s="3379" t="str">
        <f>IF($T54="L",SUM($U54:U54)*V$16,"")</f>
        <v/>
      </c>
      <c r="W54" s="3379" t="str">
        <f>IF($U54="","",IF(OR($T54="L",$T54="T",$T54="C"),SUM($U54:V54)*W$16,""))</f>
        <v/>
      </c>
      <c r="X54" s="3379">
        <f>IF($U54="","",SUM($U54:W54)*X$16)</f>
        <v>3.5564695479847028</v>
      </c>
      <c r="Y54" s="3380">
        <f t="shared" si="26"/>
        <v>3.5564695479847028</v>
      </c>
      <c r="Z54" s="3376"/>
      <c r="AA54" s="3381">
        <f t="shared" si="27"/>
        <v>15.411368041267046</v>
      </c>
      <c r="AB54" s="3376"/>
      <c r="AC54" s="3366">
        <f t="shared" ca="1" si="28"/>
        <v>2.2141650353712589E-2</v>
      </c>
      <c r="AD54" s="3367"/>
      <c r="AE54" s="3368"/>
      <c r="AF54" s="3369">
        <f>AF53</f>
        <v>28</v>
      </c>
      <c r="AG54" s="3369"/>
      <c r="AH54" s="3371"/>
      <c r="AI54" s="3371"/>
      <c r="AJ54" s="3353"/>
      <c r="AK54" s="3383"/>
    </row>
    <row r="55" spans="2:37" s="172" customFormat="1" ht="19" customHeight="1">
      <c r="B55" s="2495" t="e">
        <f>#REF!+0.2</f>
        <v>#REF!</v>
      </c>
      <c r="C55" s="3869" t="s">
        <v>1858</v>
      </c>
      <c r="D55" s="4037" t="s">
        <v>2252</v>
      </c>
      <c r="E55" s="2496" t="s">
        <v>3</v>
      </c>
      <c r="F55" s="2497"/>
      <c r="G55" s="2497">
        <f>F461</f>
        <v>80</v>
      </c>
      <c r="H55" s="2498">
        <f>J461</f>
        <v>18000</v>
      </c>
      <c r="I55" s="2498" t="str">
        <f>K461</f>
        <v>Cost for labour</v>
      </c>
      <c r="J55" s="2499" t="str">
        <f t="shared" si="22"/>
        <v>Annual</v>
      </c>
      <c r="K55" s="2500">
        <f>L461</f>
        <v>1</v>
      </c>
      <c r="L55" s="2501">
        <f t="shared" si="23"/>
        <v>80</v>
      </c>
      <c r="M55" s="2502">
        <f t="shared" si="23"/>
        <v>1</v>
      </c>
      <c r="N55" s="2272">
        <f>$H55*(1-(1+$L$15)^-(L55*M55))/((1+$L$15)^M55-1)*(1+((1+$L$15)^M55-1))-H55</f>
        <v>429696.13537275052</v>
      </c>
      <c r="O55" s="2503">
        <f t="shared" si="24"/>
        <v>17276.294847329329</v>
      </c>
      <c r="P55" s="2504">
        <f>SUM(O55:O58)</f>
        <v>63538.373271844532</v>
      </c>
      <c r="Q55" s="3026"/>
      <c r="R55" s="3026"/>
      <c r="S55" s="3026"/>
      <c r="T55" s="2505" t="s">
        <v>808</v>
      </c>
      <c r="U55" s="2560">
        <f>O55/$U$16</f>
        <v>172.76294847329328</v>
      </c>
      <c r="V55" s="2506">
        <f>IF($T55="L",SUM($U55:U55)*V$16,"")</f>
        <v>51.828884541987982</v>
      </c>
      <c r="W55" s="2506">
        <f>IF($U55="","",IF(OR($T55="L",$T55="T",$T55="C"),SUM($U55:V55)*W$16,""))</f>
        <v>22.459183301528128</v>
      </c>
      <c r="X55" s="2506">
        <f>IF($U55="","",SUM($U55:W55)*X$16)</f>
        <v>74.115304895042811</v>
      </c>
      <c r="Y55" s="2507">
        <f t="shared" si="26"/>
        <v>148.40337273855891</v>
      </c>
      <c r="Z55" s="2504">
        <f>SUM(V55:X58)</f>
        <v>347.33030996397429</v>
      </c>
      <c r="AA55" s="2508">
        <f t="shared" si="27"/>
        <v>321.16632121185216</v>
      </c>
      <c r="AB55" s="2504">
        <f>SUM(AA55:AA58)</f>
        <v>982.71404268241952</v>
      </c>
      <c r="AC55" s="2509">
        <f t="shared" ca="1" si="28"/>
        <v>0.32681564245810052</v>
      </c>
      <c r="AD55" s="2510"/>
      <c r="AE55" s="2511"/>
      <c r="AF55" s="2512">
        <f>AF51+4</f>
        <v>32</v>
      </c>
      <c r="AG55" s="2513">
        <f ca="1">SUM(AC55:AC58)-1</f>
        <v>0</v>
      </c>
      <c r="AH55" s="2514">
        <f>$AH$16/K55</f>
        <v>5</v>
      </c>
      <c r="AI55" s="2514">
        <f>$AH$16/AH55</f>
        <v>1</v>
      </c>
      <c r="AJ55" s="2498">
        <f>$H55*(1-(1+$L$15)^-(AH55*AI55))/((1+$L$15)^AI55-1)*(1+((1+$L$15)^AI55-1))</f>
        <v>83338.114036623403</v>
      </c>
      <c r="AK55" s="2515">
        <f>SUM(AJ55:AJ58)</f>
        <v>306499.06384580384</v>
      </c>
    </row>
    <row r="56" spans="2:37" s="172" customFormat="1" ht="19" customHeight="1">
      <c r="B56" s="2516"/>
      <c r="C56" s="3870"/>
      <c r="D56" s="4038"/>
      <c r="E56" s="2496" t="s">
        <v>308</v>
      </c>
      <c r="F56" s="2497">
        <f>$E$438</f>
        <v>2</v>
      </c>
      <c r="G56" s="2497">
        <f t="shared" ref="G56:G57" si="31">F462</f>
        <v>40</v>
      </c>
      <c r="H56" s="2498">
        <f t="shared" ref="H56:I57" si="32">J462</f>
        <v>11400</v>
      </c>
      <c r="I56" s="2498" t="str">
        <f t="shared" si="32"/>
        <v>Cost for ute hire for the whole activity</v>
      </c>
      <c r="J56" s="2499" t="str">
        <f t="shared" si="22"/>
        <v>Annual</v>
      </c>
      <c r="K56" s="2500">
        <f t="shared" ref="K56:K57" si="33">L462</f>
        <v>1</v>
      </c>
      <c r="L56" s="2501">
        <f t="shared" si="23"/>
        <v>80</v>
      </c>
      <c r="M56" s="2502">
        <f t="shared" si="23"/>
        <v>1</v>
      </c>
      <c r="N56" s="2272">
        <f>$H56*(1-(1+$L$15)^-(L56*M56))/((1+$L$15)^M56-1)*(1+((1+$L$15)^M56-1))-H56</f>
        <v>272140.88573607535</v>
      </c>
      <c r="O56" s="2503">
        <f t="shared" si="24"/>
        <v>10941.653403308575</v>
      </c>
      <c r="P56" s="2518"/>
      <c r="Q56" s="3027">
        <f>1*(1-(1+$L$15)^-(L56*M56))/((1+$L$15)^M56-1)*(1+((1+$L$15)^M56-1))</f>
        <v>24.872007520708362</v>
      </c>
      <c r="R56" s="3027">
        <f>Q56/(1+$L$15)*($L$15)/(1-(1+$L$15)^-$L$16)</f>
        <v>0.99999999999999911</v>
      </c>
      <c r="S56" s="3027">
        <f>F56*R56</f>
        <v>1.9999999999999982</v>
      </c>
      <c r="T56" s="2519" t="s">
        <v>809</v>
      </c>
      <c r="U56" s="2506">
        <f>O56/$U$16</f>
        <v>109.41653403308575</v>
      </c>
      <c r="V56" s="2520" t="str">
        <f>IF($T56="L",SUM($U56:U56)*V$16,"")</f>
        <v/>
      </c>
      <c r="W56" s="2520">
        <f>IF($U56="","",IF(OR($T56="L",$T56="T",$T56="C"),SUM($U56:V56)*W$16,""))</f>
        <v>10.941653403308576</v>
      </c>
      <c r="X56" s="2520">
        <f>IF($U56="","",SUM($U56:W56)*X$16)</f>
        <v>36.107456230918295</v>
      </c>
      <c r="Y56" s="2521">
        <f t="shared" si="26"/>
        <v>47.049109634226873</v>
      </c>
      <c r="Z56" s="2518"/>
      <c r="AA56" s="2522">
        <f t="shared" si="27"/>
        <v>156.46564366731263</v>
      </c>
      <c r="AB56" s="2518"/>
      <c r="AC56" s="2509">
        <f t="shared" ca="1" si="28"/>
        <v>0.15921787709497209</v>
      </c>
      <c r="AD56" s="2523"/>
      <c r="AE56" s="2511"/>
      <c r="AF56" s="2512">
        <f>AF55</f>
        <v>32</v>
      </c>
      <c r="AG56" s="2512"/>
      <c r="AH56" s="2514">
        <f>$AH$16/K56</f>
        <v>5</v>
      </c>
      <c r="AI56" s="2514">
        <f>$AH$16/AH56</f>
        <v>1</v>
      </c>
      <c r="AJ56" s="2498">
        <f>$H56*(1-(1+$L$15)^-(AH56*AI56))/((1+$L$15)^AI56-1)*(1+((1+$L$15)^AI56-1))</f>
        <v>52780.805556528154</v>
      </c>
      <c r="AK56" s="2524"/>
    </row>
    <row r="57" spans="2:37" s="172" customFormat="1" ht="16" customHeight="1">
      <c r="B57" s="2516"/>
      <c r="C57" s="3870"/>
      <c r="D57" s="4038"/>
      <c r="E57" s="2496" t="s">
        <v>4</v>
      </c>
      <c r="F57" s="2497"/>
      <c r="G57" s="2497">
        <f t="shared" si="31"/>
        <v>80</v>
      </c>
      <c r="H57" s="2498">
        <f t="shared" si="32"/>
        <v>36800</v>
      </c>
      <c r="I57" s="2498" t="str">
        <f t="shared" si="32"/>
        <v>Accomodation/food + Fence Materials</v>
      </c>
      <c r="J57" s="2499" t="str">
        <f t="shared" si="22"/>
        <v>Annual</v>
      </c>
      <c r="K57" s="2500">
        <f t="shared" si="33"/>
        <v>1</v>
      </c>
      <c r="L57" s="2501">
        <f t="shared" si="23"/>
        <v>80</v>
      </c>
      <c r="M57" s="2502">
        <f t="shared" si="23"/>
        <v>1</v>
      </c>
      <c r="N57" s="2272">
        <f>$H57*(1-(1+$L$15)^-(L57*M57))/((1+$L$15)^M57-1)*(1+((1+$L$15)^M57-1))-H57</f>
        <v>878489.87676206778</v>
      </c>
      <c r="O57" s="2503">
        <f t="shared" si="24"/>
        <v>35320.425021206625</v>
      </c>
      <c r="P57" s="2518"/>
      <c r="Q57" s="3027"/>
      <c r="R57" s="3027"/>
      <c r="S57" s="3027"/>
      <c r="T57" s="2519" t="s">
        <v>810</v>
      </c>
      <c r="U57" s="2506">
        <f>O57/$U$16</f>
        <v>353.20425021206626</v>
      </c>
      <c r="V57" s="2520" t="str">
        <f>IF($T57="L",SUM($U57:U57)*V$16,"")</f>
        <v/>
      </c>
      <c r="W57" s="2520">
        <f>IF($U57="","",IF(OR($T57="L",$T57="T",$T57="C"),SUM($U57:V57)*W$16,""))</f>
        <v>35.320425021206624</v>
      </c>
      <c r="X57" s="2520">
        <f>IF($U57="","",SUM($U57:W57)*X$16)</f>
        <v>116.55740256998186</v>
      </c>
      <c r="Y57" s="2521">
        <f t="shared" si="26"/>
        <v>151.87782759118849</v>
      </c>
      <c r="Z57" s="2518"/>
      <c r="AA57" s="2522">
        <f t="shared" si="27"/>
        <v>505.08207780325472</v>
      </c>
      <c r="AB57" s="2518"/>
      <c r="AC57" s="2509">
        <f t="shared" ca="1" si="28"/>
        <v>0.51396648044692739</v>
      </c>
      <c r="AD57" s="2510"/>
      <c r="AE57" s="2511"/>
      <c r="AF57" s="2512">
        <f>AF56</f>
        <v>32</v>
      </c>
      <c r="AG57" s="2512"/>
      <c r="AH57" s="2514">
        <f>$AH$16/K57</f>
        <v>5</v>
      </c>
      <c r="AI57" s="2514">
        <f>$AH$16/AH57</f>
        <v>1</v>
      </c>
      <c r="AJ57" s="2498">
        <f>$H57*(1-(1+$L$15)^-(AH57*AI57))/((1+$L$15)^AI57-1)*(1+((1+$L$15)^AI57-1))</f>
        <v>170380.1442526523</v>
      </c>
      <c r="AK57" s="2524"/>
    </row>
    <row r="58" spans="2:37" s="172" customFormat="1" ht="19" customHeight="1">
      <c r="B58" s="2516"/>
      <c r="C58" s="3871"/>
      <c r="D58" s="4039"/>
      <c r="E58" s="2496" t="s">
        <v>21</v>
      </c>
      <c r="F58" s="2497"/>
      <c r="G58" s="2497"/>
      <c r="H58" s="2498"/>
      <c r="I58" s="2498"/>
      <c r="J58" s="2499"/>
      <c r="K58" s="3385"/>
      <c r="L58" s="2501"/>
      <c r="M58" s="2502"/>
      <c r="N58" s="2498"/>
      <c r="O58" s="2503">
        <f t="shared" si="24"/>
        <v>0</v>
      </c>
      <c r="P58" s="2518"/>
      <c r="Q58" s="3027"/>
      <c r="R58" s="3027"/>
      <c r="S58" s="3027"/>
      <c r="T58" s="2525" t="s">
        <v>811</v>
      </c>
      <c r="U58" s="2506"/>
      <c r="V58" s="2520" t="str">
        <f>IF($T58="L",SUM($U58:U58)*V$16,"")</f>
        <v/>
      </c>
      <c r="W58" s="2520" t="str">
        <f>IF($U58="","",IF(OR($T58="L",$T58="T",$T58="C"),SUM($U58:V58)*W$16,""))</f>
        <v/>
      </c>
      <c r="X58" s="2520" t="str">
        <f>IF($U58="","",SUM($U58:W58)*X$16)</f>
        <v/>
      </c>
      <c r="Y58" s="2521" t="str">
        <f t="shared" si="26"/>
        <v/>
      </c>
      <c r="Z58" s="2518"/>
      <c r="AA58" s="2522" t="str">
        <f t="shared" si="27"/>
        <v/>
      </c>
      <c r="AB58" s="2518"/>
      <c r="AC58" s="2509" t="str">
        <f t="shared" ca="1" si="28"/>
        <v/>
      </c>
      <c r="AD58" s="2510"/>
      <c r="AE58" s="2511"/>
      <c r="AF58" s="2512">
        <f>AF57</f>
        <v>32</v>
      </c>
      <c r="AG58" s="2512"/>
      <c r="AH58" s="2514"/>
      <c r="AI58" s="2514"/>
      <c r="AJ58" s="2498"/>
      <c r="AK58" s="2524"/>
    </row>
    <row r="59" spans="2:37" s="1349" customFormat="1" ht="19" customHeight="1">
      <c r="B59" s="167">
        <f>B31+0.2</f>
        <v>2.4000000000000004</v>
      </c>
      <c r="C59" s="3961" t="s">
        <v>570</v>
      </c>
      <c r="D59" s="3973" t="s">
        <v>2249</v>
      </c>
      <c r="E59" s="168" t="s">
        <v>3</v>
      </c>
      <c r="F59" s="1350"/>
      <c r="G59" s="1350">
        <f t="shared" ref="G59:G61" si="34">E583</f>
        <v>231.90036174568115</v>
      </c>
      <c r="H59" s="169">
        <f t="shared" ref="H59:I62" si="35">G583</f>
        <v>52177.581392778258</v>
      </c>
      <c r="I59" s="169" t="str">
        <f t="shared" si="35"/>
        <v>Cost for labour</v>
      </c>
      <c r="J59" s="1351" t="str">
        <f t="shared" ref="J59:J65" si="36">IF(K59=1,"Annual","Done every "&amp;K59&amp;" years")</f>
        <v>Done every 20 years</v>
      </c>
      <c r="K59" s="1695">
        <f t="shared" ref="K59:K62" si="37">I583</f>
        <v>20</v>
      </c>
      <c r="L59" s="1353">
        <f t="shared" ref="L59:L65" si="38">$L$16/K59</f>
        <v>4</v>
      </c>
      <c r="M59" s="1354">
        <f t="shared" ref="M59:M65" si="39">$L$16/L59</f>
        <v>20</v>
      </c>
      <c r="N59" s="169">
        <f>$H59*(1-(1+$L$15)^-(L59*M59))/((1+$L$15)^M59-1)*(1+((1+$L$15)^M59-1))</f>
        <v>91818.788817420675</v>
      </c>
      <c r="O59" s="1355">
        <f t="shared" ref="O59:O66" si="40">N59/(1+$L$15)*($L$15)/(1-(1+$L$15)^-$L$16)</f>
        <v>3691.6516988414605</v>
      </c>
      <c r="P59" s="1356">
        <f>SUM(O59:O62)</f>
        <v>15107.223245332407</v>
      </c>
      <c r="Q59" s="3028"/>
      <c r="R59" s="3028"/>
      <c r="S59" s="3028"/>
      <c r="T59" s="1357" t="s">
        <v>808</v>
      </c>
      <c r="U59" s="1358">
        <f t="shared" ref="U59:U62" si="41">O59/$U$16</f>
        <v>36.916516988414607</v>
      </c>
      <c r="V59" s="1359">
        <f>IF($T59="L",SUM($U59:U59)*V$16,"")</f>
        <v>11.074955096524382</v>
      </c>
      <c r="W59" s="1359">
        <f>IF($U59="","",IF(OR($T59="L",$T59="T",$T59="C"),SUM($U59:V59)*W$16,""))</f>
        <v>4.7991472084938991</v>
      </c>
      <c r="X59" s="1359">
        <f>IF($U59="","",SUM($U59:W59)*X$16)</f>
        <v>15.837185788029867</v>
      </c>
      <c r="Y59" s="1360">
        <f t="shared" ref="Y59:Y66" si="42">IF($U59="","",SUM(V59:X59))</f>
        <v>31.711288093048147</v>
      </c>
      <c r="Z59" s="1356">
        <f>SUM(V59:X62)</f>
        <v>79.257108938832516</v>
      </c>
      <c r="AA59" s="1361">
        <f t="shared" ref="AA59:AA66" si="43">IF($U59="","",SUM(U59,Y59))</f>
        <v>68.627805081462753</v>
      </c>
      <c r="AB59" s="1356">
        <f>SUM(AA59:AA62)</f>
        <v>230.32934139215661</v>
      </c>
      <c r="AC59" s="1630">
        <f t="shared" ref="AC59:AC66" ca="1" si="44">IF(AA59="","",AA59/OFFSET($AB$23,AF59,0))</f>
        <v>0.29795511360672755</v>
      </c>
      <c r="AD59" s="1631"/>
      <c r="AE59" s="1632"/>
      <c r="AF59" s="1365">
        <f>AF55+4</f>
        <v>36</v>
      </c>
      <c r="AG59" s="1366">
        <f ca="1">SUM(AC59:AC62)-1</f>
        <v>0</v>
      </c>
      <c r="AH59" s="1367">
        <f>$AH$16/K59</f>
        <v>0.25</v>
      </c>
      <c r="AI59" s="1367">
        <f>$AH$16/AH59</f>
        <v>20</v>
      </c>
      <c r="AJ59" s="169">
        <f>$H59*(1-(1+$L$15)^-(AH59*AI59))/((1+$L$15)^AI59-1)*(1+((1+$L$15)^AI59-1))</f>
        <v>17091.960570085805</v>
      </c>
      <c r="AK59" s="1368">
        <f>SUM(AJ59:AJ62)</f>
        <v>64456.166963536962</v>
      </c>
    </row>
    <row r="60" spans="2:37" s="1349" customFormat="1" ht="19" customHeight="1">
      <c r="B60" s="170"/>
      <c r="C60" s="3962"/>
      <c r="D60" s="3974"/>
      <c r="E60" s="168" t="s">
        <v>308</v>
      </c>
      <c r="F60" s="2557">
        <f>$D$561</f>
        <v>6</v>
      </c>
      <c r="G60" s="2557">
        <f t="shared" si="34"/>
        <v>115.95018087284058</v>
      </c>
      <c r="H60" s="169">
        <f t="shared" si="35"/>
        <v>33045.801548759562</v>
      </c>
      <c r="I60" s="169" t="str">
        <f t="shared" si="35"/>
        <v>Cost for ute hire for the whole activity</v>
      </c>
      <c r="J60" s="1351" t="str">
        <f t="shared" si="36"/>
        <v>Done every 20 years</v>
      </c>
      <c r="K60" s="1695">
        <f t="shared" si="37"/>
        <v>20</v>
      </c>
      <c r="L60" s="1353">
        <f t="shared" si="38"/>
        <v>4</v>
      </c>
      <c r="M60" s="1354">
        <f t="shared" si="39"/>
        <v>20</v>
      </c>
      <c r="N60" s="169">
        <f>$H60*(1-(1+$L$15)^-(L60*M60))/((1+$L$15)^M60-1)*(1+((1+$L$15)^M60-1))</f>
        <v>58151.899584366431</v>
      </c>
      <c r="O60" s="1355">
        <f t="shared" si="40"/>
        <v>2338.0460759329249</v>
      </c>
      <c r="P60" s="1369"/>
      <c r="Q60" s="3029">
        <f>1*(1-(1+$L$15)^-(L60*M60))/((1+$L$15)^M60-1)*(1+((1+$L$15)^M60-1))</f>
        <v>1.7597363918851372</v>
      </c>
      <c r="R60" s="3029">
        <f>Q60/(1+$L$15)*($L$15)/(1-(1+$L$15)^-$L$16)</f>
        <v>7.0751683008296956E-2</v>
      </c>
      <c r="S60" s="3029">
        <f>F60*R60</f>
        <v>0.42451009804978174</v>
      </c>
      <c r="T60" s="1370" t="s">
        <v>809</v>
      </c>
      <c r="U60" s="1359">
        <f t="shared" si="41"/>
        <v>23.380460759329249</v>
      </c>
      <c r="V60" s="1371" t="str">
        <f>IF($T60="L",SUM($U60:U60)*V$16,"")</f>
        <v/>
      </c>
      <c r="W60" s="1371">
        <f>IF($U60="","",IF(OR($T60="L",$T60="T",$T60="C"),SUM($U60:V60)*W$16,""))</f>
        <v>2.3380460759329251</v>
      </c>
      <c r="X60" s="1371">
        <f>IF($U60="","",SUM($U60:W60)*X$16)</f>
        <v>7.7155520505786521</v>
      </c>
      <c r="Y60" s="1372">
        <f t="shared" si="42"/>
        <v>10.053598126511577</v>
      </c>
      <c r="Z60" s="1369"/>
      <c r="AA60" s="1373">
        <f t="shared" si="43"/>
        <v>33.434058885840827</v>
      </c>
      <c r="AB60" s="1369"/>
      <c r="AC60" s="1630">
        <f t="shared" ca="1" si="44"/>
        <v>0.14515761944943137</v>
      </c>
      <c r="AD60" s="1633"/>
      <c r="AE60" s="1632"/>
      <c r="AF60" s="1365">
        <f>AF59</f>
        <v>36</v>
      </c>
      <c r="AG60" s="1365"/>
      <c r="AH60" s="1367">
        <f>$AH$16/K60</f>
        <v>0.25</v>
      </c>
      <c r="AI60" s="1367">
        <f>$AH$16/AH60</f>
        <v>20</v>
      </c>
      <c r="AJ60" s="169">
        <f>$H60*(1-(1+$L$15)^-(AH60*AI60))/((1+$L$15)^AI60-1)*(1+((1+$L$15)^AI60-1))</f>
        <v>10824.908361054342</v>
      </c>
      <c r="AK60" s="1376"/>
    </row>
    <row r="61" spans="2:37" s="1349" customFormat="1" ht="16" customHeight="1">
      <c r="B61" s="170"/>
      <c r="C61" s="3962"/>
      <c r="D61" s="3974"/>
      <c r="E61" s="168" t="s">
        <v>4</v>
      </c>
      <c r="F61" s="1350"/>
      <c r="G61" s="1350">
        <f t="shared" si="34"/>
        <v>230</v>
      </c>
      <c r="H61" s="169">
        <f t="shared" si="35"/>
        <v>111545.5532033676</v>
      </c>
      <c r="I61" s="169" t="str">
        <f t="shared" si="35"/>
        <v>Accomodation/food + Fence Materials</v>
      </c>
      <c r="J61" s="1351" t="str">
        <f t="shared" si="36"/>
        <v>Done every 20 years</v>
      </c>
      <c r="K61" s="1695">
        <f t="shared" si="37"/>
        <v>20</v>
      </c>
      <c r="L61" s="1353">
        <f t="shared" si="38"/>
        <v>4</v>
      </c>
      <c r="M61" s="1354">
        <f t="shared" si="39"/>
        <v>20</v>
      </c>
      <c r="N61" s="169">
        <f>$H61*(1-(1+$L$15)^-(L61*M61))/((1+$L$15)^M61-1)*(1+((1+$L$15)^M61-1))</f>
        <v>196290.76932492573</v>
      </c>
      <c r="O61" s="1355">
        <f t="shared" si="40"/>
        <v>7892.0356212297875</v>
      </c>
      <c r="P61" s="1369"/>
      <c r="Q61" s="3029"/>
      <c r="R61" s="3029"/>
      <c r="S61" s="3029"/>
      <c r="T61" s="1370" t="s">
        <v>810</v>
      </c>
      <c r="U61" s="1359">
        <f t="shared" si="41"/>
        <v>78.920356212297875</v>
      </c>
      <c r="V61" s="1371" t="str">
        <f>IF($T61="L",SUM($U61:U61)*V$16,"")</f>
        <v/>
      </c>
      <c r="W61" s="1371">
        <f>IF($U61="","",IF(OR($T61="L",$T61="T",$T61="C"),SUM($U61:V61)*W$16,""))</f>
        <v>7.8920356212297875</v>
      </c>
      <c r="X61" s="1371">
        <f>IF($U61="","",SUM($U61:W61)*X$16)</f>
        <v>26.0437175500583</v>
      </c>
      <c r="Y61" s="1372">
        <f t="shared" si="42"/>
        <v>33.935753171288084</v>
      </c>
      <c r="Z61" s="1369"/>
      <c r="AA61" s="1373">
        <f t="shared" si="43"/>
        <v>112.85610938358596</v>
      </c>
      <c r="AB61" s="1369"/>
      <c r="AC61" s="1630">
        <f t="shared" ca="1" si="44"/>
        <v>0.48997712884281724</v>
      </c>
      <c r="AD61" s="1631"/>
      <c r="AE61" s="1632"/>
      <c r="AF61" s="1365">
        <f>AF60</f>
        <v>36</v>
      </c>
      <c r="AG61" s="1365"/>
      <c r="AH61" s="1367">
        <f>$AH$16/K61</f>
        <v>0.25</v>
      </c>
      <c r="AI61" s="1367">
        <f>$AH$16/AH61</f>
        <v>20</v>
      </c>
      <c r="AJ61" s="169">
        <f>$H61*(1-(1+$L$15)^-(AH61*AI61))/((1+$L$15)^AI61-1)*(1+((1+$L$15)^AI61-1))</f>
        <v>36539.298032396815</v>
      </c>
      <c r="AK61" s="1376"/>
    </row>
    <row r="62" spans="2:37" s="1349" customFormat="1" ht="19" customHeight="1">
      <c r="B62" s="170"/>
      <c r="C62" s="3963"/>
      <c r="D62" s="3975"/>
      <c r="E62" s="168" t="s">
        <v>21</v>
      </c>
      <c r="F62" s="1350"/>
      <c r="G62" s="1350"/>
      <c r="H62" s="169">
        <f t="shared" si="35"/>
        <v>10000</v>
      </c>
      <c r="I62" s="169" t="str">
        <f t="shared" si="35"/>
        <v>Equipment</v>
      </c>
      <c r="J62" s="1351" t="str">
        <f t="shared" si="36"/>
        <v>Done every 10 years</v>
      </c>
      <c r="K62" s="1695">
        <f t="shared" si="37"/>
        <v>10</v>
      </c>
      <c r="L62" s="1353">
        <f t="shared" si="38"/>
        <v>8</v>
      </c>
      <c r="M62" s="1354">
        <f t="shared" si="39"/>
        <v>10</v>
      </c>
      <c r="N62" s="169">
        <f>$H62*(1-(1+$L$15)^-(L62*M62))/((1+$L$15)^M62-1)*(1+((1+$L$15)^M62-1))</f>
        <v>29485.512448215297</v>
      </c>
      <c r="O62" s="1355">
        <f t="shared" si="40"/>
        <v>1185.4898493282344</v>
      </c>
      <c r="P62" s="1369"/>
      <c r="Q62" s="3029"/>
      <c r="R62" s="3029"/>
      <c r="S62" s="3029"/>
      <c r="T62" s="1378" t="s">
        <v>811</v>
      </c>
      <c r="U62" s="1359">
        <f t="shared" si="41"/>
        <v>11.854898493282343</v>
      </c>
      <c r="V62" s="1371" t="str">
        <f>IF($T62="L",SUM($U62:U62)*V$16,"")</f>
        <v/>
      </c>
      <c r="W62" s="1371" t="str">
        <f>IF($U62="","",IF(OR($T62="L",$T62="T",$T62="C"),SUM($U62:V62)*W$16,""))</f>
        <v/>
      </c>
      <c r="X62" s="1371">
        <f>IF($U62="","",SUM($U62:W62)*X$16)</f>
        <v>3.5564695479847028</v>
      </c>
      <c r="Y62" s="1372">
        <f t="shared" si="42"/>
        <v>3.5564695479847028</v>
      </c>
      <c r="Z62" s="1369"/>
      <c r="AA62" s="1373">
        <f t="shared" si="43"/>
        <v>15.411368041267046</v>
      </c>
      <c r="AB62" s="1369"/>
      <c r="AC62" s="1630">
        <f t="shared" ca="1" si="44"/>
        <v>6.6910138101023753E-2</v>
      </c>
      <c r="AD62" s="1631"/>
      <c r="AE62" s="1632"/>
      <c r="AF62" s="1365">
        <f>AF61</f>
        <v>36</v>
      </c>
      <c r="AG62" s="1365"/>
      <c r="AH62" s="1367"/>
      <c r="AI62" s="1367"/>
      <c r="AJ62" s="169"/>
      <c r="AK62" s="1376"/>
    </row>
    <row r="63" spans="2:37" s="1414" customFormat="1" ht="19" customHeight="1">
      <c r="B63" s="1634" t="e">
        <f>#REF!+0.2</f>
        <v>#REF!</v>
      </c>
      <c r="C63" s="3919" t="s">
        <v>1349</v>
      </c>
      <c r="D63" s="3922" t="s">
        <v>2250</v>
      </c>
      <c r="E63" s="1635" t="s">
        <v>3</v>
      </c>
      <c r="F63" s="1636"/>
      <c r="G63" s="1636">
        <f>F583</f>
        <v>25.298221281347036</v>
      </c>
      <c r="H63" s="1637">
        <f>J583</f>
        <v>5692.0997883030832</v>
      </c>
      <c r="I63" s="1637" t="str">
        <f>K583</f>
        <v>Cost for labour</v>
      </c>
      <c r="J63" s="1638" t="str">
        <f t="shared" si="36"/>
        <v>Annual</v>
      </c>
      <c r="K63" s="1697">
        <f>L583</f>
        <v>1</v>
      </c>
      <c r="L63" s="177">
        <f t="shared" si="38"/>
        <v>80</v>
      </c>
      <c r="M63" s="178">
        <f t="shared" si="39"/>
        <v>1</v>
      </c>
      <c r="N63" s="2272">
        <f>$H63*(1-(1+$L$15)^-(L63*M63))/((1+$L$15)^M63-1)*(1+((1+$L$15)^M63-1))-H63</f>
        <v>135881.84895499368</v>
      </c>
      <c r="O63" s="1639">
        <f t="shared" si="40"/>
        <v>5463.2441246191611</v>
      </c>
      <c r="P63" s="1640">
        <f>SUM(O63:O66)</f>
        <v>19830.932543707022</v>
      </c>
      <c r="Q63" s="3030"/>
      <c r="R63" s="3030"/>
      <c r="S63" s="3030"/>
      <c r="T63" s="1641" t="s">
        <v>808</v>
      </c>
      <c r="U63" s="1642">
        <f>O63/$U$16</f>
        <v>54.632441246191611</v>
      </c>
      <c r="V63" s="1643">
        <f>IF($T63="L",SUM($U63:U63)*V$16,"")</f>
        <v>16.389732373857484</v>
      </c>
      <c r="W63" s="1643">
        <f>IF($U63="","",IF(OR($T63="L",$T63="T",$T63="C"),SUM($U63:V63)*W$16,""))</f>
        <v>7.1022173620049109</v>
      </c>
      <c r="X63" s="1643">
        <f>IF($U63="","",SUM($U63:W63)*X$16)</f>
        <v>23.437317294616204</v>
      </c>
      <c r="Y63" s="1644">
        <f t="shared" si="42"/>
        <v>46.929267030478599</v>
      </c>
      <c r="Z63" s="1640">
        <f>SUM(V63:X66)</f>
        <v>108.71032723255638</v>
      </c>
      <c r="AA63" s="1645">
        <f t="shared" si="43"/>
        <v>101.5617082766702</v>
      </c>
      <c r="AB63" s="1640">
        <f>SUM(AA63:AA66)</f>
        <v>307.01965266962662</v>
      </c>
      <c r="AC63" s="1646">
        <f t="shared" ca="1" si="44"/>
        <v>0.33079872051694781</v>
      </c>
      <c r="AD63" s="1415"/>
      <c r="AE63" s="181"/>
      <c r="AF63" s="1647">
        <f>AF59+4</f>
        <v>40</v>
      </c>
      <c r="AG63" s="1648">
        <f ca="1">SUM(AC63:AC66)-1</f>
        <v>0</v>
      </c>
      <c r="AH63" s="1649">
        <f>$AH$16/K63</f>
        <v>5</v>
      </c>
      <c r="AI63" s="1649">
        <f>$AH$16/AH63</f>
        <v>1</v>
      </c>
      <c r="AJ63" s="1637">
        <f>$H63*(1-(1+$L$15)^-(AH63*AI63))/((1+$L$15)^AI63-1)*(1+((1+$L$15)^AI63-1))</f>
        <v>26353.825625857902</v>
      </c>
      <c r="AK63" s="1650">
        <f>SUM(AJ63:AJ66)</f>
        <v>95661.282258997919</v>
      </c>
    </row>
    <row r="64" spans="2:37" s="1414" customFormat="1" ht="19" customHeight="1">
      <c r="B64" s="1651"/>
      <c r="C64" s="3920"/>
      <c r="D64" s="3923"/>
      <c r="E64" s="1635" t="s">
        <v>308</v>
      </c>
      <c r="F64" s="1636">
        <f>$E$561</f>
        <v>1</v>
      </c>
      <c r="G64" s="1636">
        <f t="shared" ref="G64:G65" si="45">F584</f>
        <v>12.649110640673518</v>
      </c>
      <c r="H64" s="1637">
        <f t="shared" ref="H64:I65" si="46">J584</f>
        <v>3604.9965325919525</v>
      </c>
      <c r="I64" s="1637" t="str">
        <f t="shared" si="46"/>
        <v>Cost for ute hire for the whole activity</v>
      </c>
      <c r="J64" s="1638" t="str">
        <f t="shared" si="36"/>
        <v>Annual</v>
      </c>
      <c r="K64" s="1697">
        <f t="shared" ref="K64:K65" si="47">L584</f>
        <v>1</v>
      </c>
      <c r="L64" s="177">
        <f t="shared" si="38"/>
        <v>80</v>
      </c>
      <c r="M64" s="178">
        <f t="shared" si="39"/>
        <v>1</v>
      </c>
      <c r="N64" s="2272">
        <f>$H64*(1-(1+$L$15)^-(L64*M64))/((1+$L$15)^M64-1)*(1+((1+$L$15)^M64-1))-H64</f>
        <v>86058.50433816266</v>
      </c>
      <c r="O64" s="1639">
        <f t="shared" si="40"/>
        <v>3460.0546122588025</v>
      </c>
      <c r="P64" s="1652"/>
      <c r="Q64" s="2982">
        <f>1*(1-(1+$L$15)^-(L64*M64))/((1+$L$15)^M64-1)*(1+((1+$L$15)^M64-1))</f>
        <v>24.872007520708362</v>
      </c>
      <c r="R64" s="2982">
        <f>Q64/(1+$L$15)*($L$15)/(1-(1+$L$15)^-$L$16)</f>
        <v>0.99999999999999911</v>
      </c>
      <c r="S64" s="2982">
        <f>F64*R64</f>
        <v>0.99999999999999911</v>
      </c>
      <c r="T64" s="1653" t="s">
        <v>809</v>
      </c>
      <c r="U64" s="1643">
        <f>O64/$U$16</f>
        <v>34.600546122588028</v>
      </c>
      <c r="V64" s="205" t="str">
        <f>IF($T64="L",SUM($U64:U64)*V$16,"")</f>
        <v/>
      </c>
      <c r="W64" s="205">
        <f>IF($U64="","",IF(OR($T64="L",$T64="T",$T64="C"),SUM($U64:V64)*W$16,""))</f>
        <v>3.4600546122588032</v>
      </c>
      <c r="X64" s="205">
        <f>IF($U64="","",SUM($U64:W64)*X$16)</f>
        <v>11.418180220454049</v>
      </c>
      <c r="Y64" s="180">
        <f t="shared" si="42"/>
        <v>14.878234832712852</v>
      </c>
      <c r="Z64" s="1652"/>
      <c r="AA64" s="1654">
        <f t="shared" si="43"/>
        <v>49.478780955300877</v>
      </c>
      <c r="AB64" s="1652"/>
      <c r="AC64" s="1646">
        <f t="shared" ca="1" si="44"/>
        <v>0.16115835102107717</v>
      </c>
      <c r="AD64" s="1655"/>
      <c r="AE64" s="181"/>
      <c r="AF64" s="1647">
        <f>AF63</f>
        <v>40</v>
      </c>
      <c r="AG64" s="1647"/>
      <c r="AH64" s="1649">
        <f>$AH$16/K64</f>
        <v>5</v>
      </c>
      <c r="AI64" s="1649">
        <f>$AH$16/AH64</f>
        <v>1</v>
      </c>
      <c r="AJ64" s="1637">
        <f>$H64*(1-(1+$L$15)^-(AH64*AI64))/((1+$L$15)^AI64-1)*(1+((1+$L$15)^AI64-1))</f>
        <v>16690.756229710005</v>
      </c>
      <c r="AK64" s="1656"/>
    </row>
    <row r="65" spans="1:37" s="1414" customFormat="1" ht="16" customHeight="1">
      <c r="B65" s="1651"/>
      <c r="C65" s="3920"/>
      <c r="D65" s="3923"/>
      <c r="E65" s="1635" t="s">
        <v>4</v>
      </c>
      <c r="F65" s="1636"/>
      <c r="G65" s="1636">
        <f t="shared" si="45"/>
        <v>24</v>
      </c>
      <c r="H65" s="1637">
        <f t="shared" si="46"/>
        <v>11364.55532033676</v>
      </c>
      <c r="I65" s="1637" t="str">
        <f t="shared" si="46"/>
        <v>Accomodation/food + Fence Materials</v>
      </c>
      <c r="J65" s="1638" t="str">
        <f t="shared" si="36"/>
        <v>Annual</v>
      </c>
      <c r="K65" s="1697">
        <f t="shared" si="47"/>
        <v>1</v>
      </c>
      <c r="L65" s="177">
        <f t="shared" si="38"/>
        <v>80</v>
      </c>
      <c r="M65" s="178">
        <f t="shared" si="39"/>
        <v>1</v>
      </c>
      <c r="N65" s="2272">
        <f>$H65*(1-(1+$L$15)^-(L65*M65))/((1+$L$15)^M65-1)*(1+((1+$L$15)^M65-1))-H65</f>
        <v>271294.75007658533</v>
      </c>
      <c r="O65" s="1639">
        <f t="shared" si="40"/>
        <v>10907.633806829057</v>
      </c>
      <c r="P65" s="1652"/>
      <c r="Q65" s="2982"/>
      <c r="R65" s="2982"/>
      <c r="S65" s="2982"/>
      <c r="T65" s="1653" t="s">
        <v>810</v>
      </c>
      <c r="U65" s="1643">
        <f>O65/$U$16</f>
        <v>109.07633806829057</v>
      </c>
      <c r="V65" s="205" t="str">
        <f>IF($T65="L",SUM($U65:U65)*V$16,"")</f>
        <v/>
      </c>
      <c r="W65" s="205">
        <f>IF($U65="","",IF(OR($T65="L",$T65="T",$T65="C"),SUM($U65:V65)*W$16,""))</f>
        <v>10.907633806829057</v>
      </c>
      <c r="X65" s="205">
        <f>IF($U65="","",SUM($U65:W65)*X$16)</f>
        <v>35.995191562535886</v>
      </c>
      <c r="Y65" s="180">
        <f t="shared" si="42"/>
        <v>46.902825369364948</v>
      </c>
      <c r="Z65" s="1652"/>
      <c r="AA65" s="1654">
        <f t="shared" si="43"/>
        <v>155.97916343765553</v>
      </c>
      <c r="AB65" s="1652"/>
      <c r="AC65" s="1646">
        <f t="shared" ca="1" si="44"/>
        <v>0.50804292846197496</v>
      </c>
      <c r="AD65" s="1415"/>
      <c r="AE65" s="181"/>
      <c r="AF65" s="1647">
        <f>AF64</f>
        <v>40</v>
      </c>
      <c r="AG65" s="1647"/>
      <c r="AH65" s="1649">
        <f>$AH$16/K65</f>
        <v>5</v>
      </c>
      <c r="AI65" s="1649">
        <f>$AH$16/AH65</f>
        <v>1</v>
      </c>
      <c r="AJ65" s="1637">
        <f>$H65*(1-(1+$L$15)^-(AH65*AI65))/((1+$L$15)^AI65-1)*(1+((1+$L$15)^AI65-1))</f>
        <v>52616.700403430012</v>
      </c>
      <c r="AK65" s="1656"/>
    </row>
    <row r="66" spans="1:37" s="1414" customFormat="1" ht="19" customHeight="1">
      <c r="B66" s="1651"/>
      <c r="C66" s="3921"/>
      <c r="D66" s="3924"/>
      <c r="E66" s="1635" t="s">
        <v>21</v>
      </c>
      <c r="F66" s="1636"/>
      <c r="G66" s="1636"/>
      <c r="H66" s="1637"/>
      <c r="I66" s="1637"/>
      <c r="J66" s="1638"/>
      <c r="K66" s="1698"/>
      <c r="L66" s="177"/>
      <c r="M66" s="178"/>
      <c r="N66" s="1637"/>
      <c r="O66" s="1639">
        <f t="shared" si="40"/>
        <v>0</v>
      </c>
      <c r="P66" s="1652"/>
      <c r="Q66" s="2982"/>
      <c r="R66" s="2982"/>
      <c r="S66" s="2982"/>
      <c r="T66" s="1657" t="s">
        <v>811</v>
      </c>
      <c r="U66" s="1643"/>
      <c r="V66" s="205" t="str">
        <f>IF($T66="L",SUM($U66:U66)*V$16,"")</f>
        <v/>
      </c>
      <c r="W66" s="205" t="str">
        <f>IF($U66="","",IF(OR($T66="L",$T66="T",$T66="C"),SUM($U66:V66)*W$16,""))</f>
        <v/>
      </c>
      <c r="X66" s="205" t="str">
        <f>IF($U66="","",SUM($U66:W66)*X$16)</f>
        <v/>
      </c>
      <c r="Y66" s="180" t="str">
        <f t="shared" si="42"/>
        <v/>
      </c>
      <c r="Z66" s="1652"/>
      <c r="AA66" s="1654" t="str">
        <f t="shared" si="43"/>
        <v/>
      </c>
      <c r="AB66" s="1652"/>
      <c r="AC66" s="1646" t="str">
        <f t="shared" ca="1" si="44"/>
        <v/>
      </c>
      <c r="AD66" s="1415"/>
      <c r="AE66" s="181"/>
      <c r="AF66" s="1647">
        <f>AF65</f>
        <v>40</v>
      </c>
      <c r="AG66" s="1647"/>
      <c r="AH66" s="1649"/>
      <c r="AI66" s="1649"/>
      <c r="AJ66" s="1637"/>
      <c r="AK66" s="1656"/>
    </row>
    <row r="67" spans="1:37" s="266" customFormat="1" ht="19" customHeight="1">
      <c r="B67" s="2642">
        <f>B31+0.2</f>
        <v>2.4000000000000004</v>
      </c>
      <c r="C67" s="3955" t="s">
        <v>655</v>
      </c>
      <c r="D67" s="4040" t="s">
        <v>2247</v>
      </c>
      <c r="E67" s="1955" t="s">
        <v>3</v>
      </c>
      <c r="F67" s="1956"/>
      <c r="G67" s="1956">
        <f t="shared" ref="G67:G69" si="48">E707</f>
        <v>146.66666666666666</v>
      </c>
      <c r="H67" s="1957">
        <f t="shared" ref="H67:I70" si="49">G707</f>
        <v>33000</v>
      </c>
      <c r="I67" s="1957" t="str">
        <f t="shared" si="49"/>
        <v>Cost for labour</v>
      </c>
      <c r="J67" s="1959" t="str">
        <f t="shared" ref="J67:J73" si="50">IF(K67=1,"Annual","Done every "&amp;K67&amp;" years")</f>
        <v>Done every 20 years</v>
      </c>
      <c r="K67" s="2686">
        <f>I707</f>
        <v>20</v>
      </c>
      <c r="L67" s="1961">
        <f t="shared" ref="L67:L73" si="51">$L$16/K67</f>
        <v>4</v>
      </c>
      <c r="M67" s="1960">
        <f t="shared" ref="M67:M73" si="52">$L$16/L67</f>
        <v>20</v>
      </c>
      <c r="N67" s="1957">
        <f>$H67*(1-(1+$L$15)^-(L67*M67))/((1+$L$15)^M67-1)*(1+((1+$L$15)^M67-1))</f>
        <v>58071.300932209524</v>
      </c>
      <c r="O67" s="1962">
        <f t="shared" ref="O67:O74" si="53">N67/(1+$L$15)*($L$15)/(1-(1+$L$15)^-$L$16)</f>
        <v>2334.8055392737992</v>
      </c>
      <c r="P67" s="1963">
        <f>SUM(O67:O70)</f>
        <v>9998.3194848417043</v>
      </c>
      <c r="Q67" s="2989"/>
      <c r="R67" s="2989"/>
      <c r="S67" s="2989"/>
      <c r="T67" s="1964" t="s">
        <v>808</v>
      </c>
      <c r="U67" s="2644">
        <f t="shared" ref="U67:U70" si="54">O67/$U$16</f>
        <v>23.348055392737994</v>
      </c>
      <c r="V67" s="1965">
        <f>IF($T67="L",SUM($U67:U67)*V$16,"")</f>
        <v>7.0044166178213976</v>
      </c>
      <c r="W67" s="1965">
        <f>IF($U67="","",IF(OR($T67="L",$T67="T",$T67="C"),SUM($U67:V67)*W$16,""))</f>
        <v>3.0352472010559395</v>
      </c>
      <c r="X67" s="1965">
        <f>IF($U67="","",SUM($U67:W67)*X$16)</f>
        <v>10.016315763484601</v>
      </c>
      <c r="Y67" s="1966">
        <f t="shared" ref="Y67:Y74" si="55">IF($U67="","",SUM(V67:X67))</f>
        <v>20.055979582361935</v>
      </c>
      <c r="Z67" s="1963">
        <f>SUM(V67:X70)</f>
        <v>51.467952744177218</v>
      </c>
      <c r="AA67" s="1967">
        <f t="shared" ref="AA67:AA74" si="56">IF($U67="","",SUM(U67,Y67))</f>
        <v>43.404034975099933</v>
      </c>
      <c r="AB67" s="1963">
        <f>SUM(AA67:AA70)</f>
        <v>151.45114759259428</v>
      </c>
      <c r="AC67" s="1968">
        <f t="shared" ref="AC67:AC74" ca="1" si="57">IF(AA67="","",AA67/OFFSET($AB$23,AF67,0))</f>
        <v>0.28658769289657282</v>
      </c>
      <c r="AD67" s="2645"/>
      <c r="AE67" s="1970"/>
      <c r="AF67" s="1482">
        <f>AF63+4</f>
        <v>44</v>
      </c>
      <c r="AG67" s="1971">
        <f ca="1">SUM(AC67:AC70)-1</f>
        <v>0</v>
      </c>
      <c r="AH67" s="1972">
        <f>$AH$16/K67</f>
        <v>0.25</v>
      </c>
      <c r="AI67" s="1972">
        <f>$AH$16/AH67</f>
        <v>20</v>
      </c>
      <c r="AJ67" s="1957">
        <f>$H67*(1-(1+$L$15)^-(AH67*AI67))/((1+$L$15)^AI67-1)*(1+((1+$L$15)^AI67-1))</f>
        <v>10809.905015852226</v>
      </c>
      <c r="AK67" s="1973">
        <f>SUM(AJ67:AJ70)</f>
        <v>40802.477841653134</v>
      </c>
    </row>
    <row r="68" spans="1:37" s="266" customFormat="1" ht="19" customHeight="1">
      <c r="B68" s="2646"/>
      <c r="C68" s="3956"/>
      <c r="D68" s="4041"/>
      <c r="E68" s="1955" t="s">
        <v>308</v>
      </c>
      <c r="F68" s="1324">
        <f>$D$685</f>
        <v>4</v>
      </c>
      <c r="G68" s="1324">
        <f t="shared" si="48"/>
        <v>73.333333333333329</v>
      </c>
      <c r="H68" s="1957">
        <f t="shared" si="49"/>
        <v>20900</v>
      </c>
      <c r="I68" s="1957" t="str">
        <f t="shared" si="49"/>
        <v>Cost for ute hire for the whole activity</v>
      </c>
      <c r="J68" s="1959" t="str">
        <f t="shared" si="50"/>
        <v>Done every 20 years</v>
      </c>
      <c r="K68" s="2686">
        <f t="shared" ref="K68:K70" si="58">I708</f>
        <v>20</v>
      </c>
      <c r="L68" s="1961">
        <f t="shared" si="51"/>
        <v>4</v>
      </c>
      <c r="M68" s="1960">
        <f t="shared" si="52"/>
        <v>20</v>
      </c>
      <c r="N68" s="1957">
        <f>$H68*(1-(1+$L$15)^-(L68*M68))/((1+$L$15)^M68-1)*(1+((1+$L$15)^M68-1))</f>
        <v>36778.490590399371</v>
      </c>
      <c r="O68" s="1962">
        <f t="shared" si="53"/>
        <v>1478.7101748734065</v>
      </c>
      <c r="P68" s="1976"/>
      <c r="Q68" s="2990">
        <f>1*(1-(1+$L$15)^-(L68*M68))/((1+$L$15)^M68-1)*(1+((1+$L$15)^M68-1))</f>
        <v>1.7597363918851372</v>
      </c>
      <c r="R68" s="2990">
        <f>Q68/(1+$L$15)*($L$15)/(1-(1+$L$15)^-$L$16)</f>
        <v>7.0751683008296956E-2</v>
      </c>
      <c r="S68" s="2990">
        <f>F68*R68</f>
        <v>0.28300673203318782</v>
      </c>
      <c r="T68" s="1977" t="s">
        <v>809</v>
      </c>
      <c r="U68" s="1965">
        <f t="shared" si="54"/>
        <v>14.787101748734065</v>
      </c>
      <c r="V68" s="1978" t="str">
        <f>IF($T68="L",SUM($U68:U68)*V$16,"")</f>
        <v/>
      </c>
      <c r="W68" s="1978">
        <f>IF($U68="","",IF(OR($T68="L",$T68="T",$T68="C"),SUM($U68:V68)*W$16,""))</f>
        <v>1.4787101748734066</v>
      </c>
      <c r="X68" s="1978">
        <f>IF($U68="","",SUM($U68:W68)*X$16)</f>
        <v>4.8797435770822419</v>
      </c>
      <c r="Y68" s="1979">
        <f t="shared" si="55"/>
        <v>6.3584537519556488</v>
      </c>
      <c r="Z68" s="1976"/>
      <c r="AA68" s="1980">
        <f t="shared" si="56"/>
        <v>21.145555500689714</v>
      </c>
      <c r="AB68" s="1976"/>
      <c r="AC68" s="1968">
        <f t="shared" ca="1" si="57"/>
        <v>0.13961964525730472</v>
      </c>
      <c r="AD68" s="1981"/>
      <c r="AE68" s="1970"/>
      <c r="AF68" s="1482">
        <f>AF67</f>
        <v>44</v>
      </c>
      <c r="AG68" s="1482"/>
      <c r="AH68" s="1972">
        <f>$AH$16/K68</f>
        <v>0.25</v>
      </c>
      <c r="AI68" s="1972">
        <f>$AH$16/AH68</f>
        <v>20</v>
      </c>
      <c r="AJ68" s="1957">
        <f>$H68*(1-(1+$L$15)^-(AH68*AI68))/((1+$L$15)^AI68-1)*(1+((1+$L$15)^AI68-1))</f>
        <v>6846.2731767064097</v>
      </c>
      <c r="AK68" s="1982"/>
    </row>
    <row r="69" spans="1:37" s="266" customFormat="1" ht="16" customHeight="1">
      <c r="B69" s="2646"/>
      <c r="C69" s="3956"/>
      <c r="D69" s="4041"/>
      <c r="E69" s="1955" t="s">
        <v>4</v>
      </c>
      <c r="F69" s="1956"/>
      <c r="G69" s="1956">
        <f t="shared" si="48"/>
        <v>146</v>
      </c>
      <c r="H69" s="1957">
        <f t="shared" si="49"/>
        <v>70660</v>
      </c>
      <c r="I69" s="1957" t="str">
        <f t="shared" si="49"/>
        <v>Accomodation/food + Fence Materials</v>
      </c>
      <c r="J69" s="1959" t="str">
        <f t="shared" si="50"/>
        <v>Done every 20 years</v>
      </c>
      <c r="K69" s="2686">
        <f t="shared" si="58"/>
        <v>20</v>
      </c>
      <c r="L69" s="1961">
        <f t="shared" si="51"/>
        <v>4</v>
      </c>
      <c r="M69" s="1960">
        <f t="shared" si="52"/>
        <v>20</v>
      </c>
      <c r="N69" s="1957">
        <f>$H69*(1-(1+$L$15)^-(L69*M69))/((1+$L$15)^M69-1)*(1+((1+$L$15)^M69-1))</f>
        <v>124342.97345060381</v>
      </c>
      <c r="O69" s="1962">
        <f t="shared" si="53"/>
        <v>4999.3139213662635</v>
      </c>
      <c r="P69" s="1976"/>
      <c r="Q69" s="2990"/>
      <c r="R69" s="2990"/>
      <c r="S69" s="2990"/>
      <c r="T69" s="1977" t="s">
        <v>810</v>
      </c>
      <c r="U69" s="1965">
        <f t="shared" si="54"/>
        <v>49.993139213662637</v>
      </c>
      <c r="V69" s="1978" t="str">
        <f>IF($T69="L",SUM($U69:U69)*V$16,"")</f>
        <v/>
      </c>
      <c r="W69" s="1978">
        <f>IF($U69="","",IF(OR($T69="L",$T69="T",$T69="C"),SUM($U69:V69)*W$16,""))</f>
        <v>4.9993139213662641</v>
      </c>
      <c r="X69" s="1978">
        <f>IF($U69="","",SUM($U69:W69)*X$16)</f>
        <v>16.497735940508669</v>
      </c>
      <c r="Y69" s="1979">
        <f t="shared" si="55"/>
        <v>21.497049861874935</v>
      </c>
      <c r="Z69" s="1976"/>
      <c r="AA69" s="1980">
        <f t="shared" si="56"/>
        <v>71.490189075537572</v>
      </c>
      <c r="AB69" s="1976"/>
      <c r="AC69" s="1968">
        <f t="shared" ca="1" si="57"/>
        <v>0.47203464755412211</v>
      </c>
      <c r="AD69" s="2645"/>
      <c r="AE69" s="1970"/>
      <c r="AF69" s="1482">
        <f>AF68</f>
        <v>44</v>
      </c>
      <c r="AG69" s="1482"/>
      <c r="AH69" s="1972">
        <f>$AH$16/K69</f>
        <v>0.25</v>
      </c>
      <c r="AI69" s="1972">
        <f>$AH$16/AH69</f>
        <v>20</v>
      </c>
      <c r="AJ69" s="1957">
        <f>$H69*(1-(1+$L$15)^-(AH69*AI69))/((1+$L$15)^AI69-1)*(1+((1+$L$15)^AI69-1))</f>
        <v>23146.299649094493</v>
      </c>
      <c r="AK69" s="1982"/>
    </row>
    <row r="70" spans="1:37" s="266" customFormat="1" ht="19" customHeight="1">
      <c r="B70" s="2646"/>
      <c r="C70" s="3957"/>
      <c r="D70" s="4042"/>
      <c r="E70" s="1955" t="s">
        <v>21</v>
      </c>
      <c r="F70" s="1956"/>
      <c r="G70" s="1956"/>
      <c r="H70" s="1957">
        <f t="shared" si="49"/>
        <v>10000</v>
      </c>
      <c r="I70" s="1957" t="str">
        <f t="shared" si="49"/>
        <v>Equipment</v>
      </c>
      <c r="J70" s="1959" t="str">
        <f t="shared" si="50"/>
        <v>Done every 10 years</v>
      </c>
      <c r="K70" s="2686">
        <f t="shared" si="58"/>
        <v>10</v>
      </c>
      <c r="L70" s="1961">
        <f t="shared" si="51"/>
        <v>8</v>
      </c>
      <c r="M70" s="1960">
        <f t="shared" si="52"/>
        <v>10</v>
      </c>
      <c r="N70" s="1957">
        <f>$H70*(1-(1+$L$15)^-(L70*M70))/((1+$L$15)^M70-1)*(1+((1+$L$15)^M70-1))</f>
        <v>29485.512448215297</v>
      </c>
      <c r="O70" s="1962">
        <f t="shared" si="53"/>
        <v>1185.4898493282344</v>
      </c>
      <c r="P70" s="1976"/>
      <c r="Q70" s="2990"/>
      <c r="R70" s="2990"/>
      <c r="S70" s="2990"/>
      <c r="T70" s="1993" t="s">
        <v>811</v>
      </c>
      <c r="U70" s="1965">
        <f t="shared" si="54"/>
        <v>11.854898493282343</v>
      </c>
      <c r="V70" s="1978" t="str">
        <f>IF($T70="L",SUM($U70:U70)*V$16,"")</f>
        <v/>
      </c>
      <c r="W70" s="1978" t="str">
        <f>IF($U70="","",IF(OR($T70="L",$T70="T",$T70="C"),SUM($U70:V70)*W$16,""))</f>
        <v/>
      </c>
      <c r="X70" s="1978">
        <f>IF($U70="","",SUM($U70:W70)*X$16)</f>
        <v>3.5564695479847028</v>
      </c>
      <c r="Y70" s="1979">
        <f t="shared" si="55"/>
        <v>3.5564695479847028</v>
      </c>
      <c r="Z70" s="1976"/>
      <c r="AA70" s="1980">
        <f t="shared" si="56"/>
        <v>15.411368041267046</v>
      </c>
      <c r="AB70" s="1976"/>
      <c r="AC70" s="1968">
        <f t="shared" ca="1" si="57"/>
        <v>0.10175801429200024</v>
      </c>
      <c r="AD70" s="2645"/>
      <c r="AE70" s="1970"/>
      <c r="AF70" s="1482">
        <f>AF69</f>
        <v>44</v>
      </c>
      <c r="AG70" s="1482"/>
      <c r="AH70" s="1972"/>
      <c r="AI70" s="1972"/>
      <c r="AJ70" s="1957"/>
      <c r="AK70" s="1982"/>
    </row>
    <row r="71" spans="1:37" s="1997" customFormat="1" ht="19" customHeight="1">
      <c r="B71" s="2303" t="e">
        <f>#REF!+0.2</f>
        <v>#REF!</v>
      </c>
      <c r="C71" s="3906" t="s">
        <v>1270</v>
      </c>
      <c r="D71" s="3909" t="s">
        <v>2248</v>
      </c>
      <c r="E71" s="2000" t="s">
        <v>3</v>
      </c>
      <c r="F71" s="2001"/>
      <c r="G71" s="2001">
        <f>F707</f>
        <v>16</v>
      </c>
      <c r="H71" s="2002">
        <f t="shared" ref="H71:I73" si="59">J707</f>
        <v>3600</v>
      </c>
      <c r="I71" s="2002" t="str">
        <f t="shared" si="59"/>
        <v>Cost for labour</v>
      </c>
      <c r="J71" s="2004" t="str">
        <f t="shared" si="50"/>
        <v>Annual</v>
      </c>
      <c r="K71" s="3340">
        <f>L707</f>
        <v>1</v>
      </c>
      <c r="L71" s="2006">
        <f t="shared" si="51"/>
        <v>80</v>
      </c>
      <c r="M71" s="2005">
        <f t="shared" si="52"/>
        <v>1</v>
      </c>
      <c r="N71" s="2272">
        <f>$H71*(1-(1+$L$15)^-(L71*M71))/((1+$L$15)^M71-1)*(1+((1+$L$15)^M71-1))-H71</f>
        <v>85939.227074550101</v>
      </c>
      <c r="O71" s="2007">
        <f t="shared" si="53"/>
        <v>3455.2589694658654</v>
      </c>
      <c r="P71" s="2008">
        <f>SUM(O71:O74)</f>
        <v>12707.674654368904</v>
      </c>
      <c r="Q71" s="3063"/>
      <c r="R71" s="3063"/>
      <c r="S71" s="3063"/>
      <c r="T71" s="2009" t="s">
        <v>808</v>
      </c>
      <c r="U71" s="2305">
        <f>O71/$U$16</f>
        <v>34.552589694658657</v>
      </c>
      <c r="V71" s="2010">
        <f>IF($T71="L",SUM($U71:U71)*V$16,"")</f>
        <v>10.365776908397597</v>
      </c>
      <c r="W71" s="2010">
        <f>IF($U71="","",IF(OR($T71="L",$T71="T",$T71="C"),SUM($U71:V71)*W$16,""))</f>
        <v>4.4918366603056255</v>
      </c>
      <c r="X71" s="2010">
        <f>IF($U71="","",SUM($U71:W71)*X$16)</f>
        <v>14.823060979008563</v>
      </c>
      <c r="Y71" s="2011">
        <f t="shared" si="55"/>
        <v>29.680674547711785</v>
      </c>
      <c r="Z71" s="2008">
        <f>SUM(V71:X74)</f>
        <v>69.466061992794849</v>
      </c>
      <c r="AA71" s="2012">
        <f t="shared" si="56"/>
        <v>64.233264242370439</v>
      </c>
      <c r="AB71" s="2008">
        <f>SUM(AA71:AA74)</f>
        <v>196.5428085364839</v>
      </c>
      <c r="AC71" s="2013">
        <f t="shared" ca="1" si="57"/>
        <v>0.32681564245810057</v>
      </c>
      <c r="AD71" s="2306"/>
      <c r="AE71" s="2015"/>
      <c r="AF71" s="1483">
        <f>AF67+4</f>
        <v>48</v>
      </c>
      <c r="AG71" s="2016">
        <f ca="1">SUM(AC71:AC74)-1</f>
        <v>0</v>
      </c>
      <c r="AH71" s="2017">
        <f>$AH$16/K71</f>
        <v>5</v>
      </c>
      <c r="AI71" s="2017">
        <f>$AH$16/AH71</f>
        <v>1</v>
      </c>
      <c r="AJ71" s="2002">
        <f>$H71*(1-(1+$L$15)^-(AH71*AI71))/((1+$L$15)^AI71-1)*(1+((1+$L$15)^AI71-1))</f>
        <v>16667.622807324682</v>
      </c>
      <c r="AK71" s="2018">
        <f>SUM(AJ71:AJ74)</f>
        <v>61299.812769160766</v>
      </c>
    </row>
    <row r="72" spans="1:37" s="1997" customFormat="1" ht="19" customHeight="1">
      <c r="B72" s="2307"/>
      <c r="C72" s="3907"/>
      <c r="D72" s="3910"/>
      <c r="E72" s="2000" t="s">
        <v>308</v>
      </c>
      <c r="F72" s="2001">
        <f>$E$685</f>
        <v>1</v>
      </c>
      <c r="G72" s="2001">
        <f t="shared" ref="G72:G73" si="60">F708</f>
        <v>8</v>
      </c>
      <c r="H72" s="2002">
        <f t="shared" si="59"/>
        <v>2280</v>
      </c>
      <c r="I72" s="2002" t="str">
        <f t="shared" si="59"/>
        <v>Cost for ute hire for the whole activity</v>
      </c>
      <c r="J72" s="2004" t="str">
        <f t="shared" si="50"/>
        <v>Annual</v>
      </c>
      <c r="K72" s="3340">
        <f t="shared" ref="K72:K73" si="61">L708</f>
        <v>1</v>
      </c>
      <c r="L72" s="2006">
        <f t="shared" si="51"/>
        <v>80</v>
      </c>
      <c r="M72" s="2005">
        <f t="shared" si="52"/>
        <v>1</v>
      </c>
      <c r="N72" s="2272">
        <f>$H72*(1-(1+$L$15)^-(L72*M72))/((1+$L$15)^M72-1)*(1+((1+$L$15)^M72-1))-H72</f>
        <v>54428.177147215058</v>
      </c>
      <c r="O72" s="2007">
        <f t="shared" si="53"/>
        <v>2188.3306806617147</v>
      </c>
      <c r="P72" s="2021"/>
      <c r="Q72" s="3064">
        <f>1*(1-(1+$L$15)^-(L72*M72))/((1+$L$15)^M72-1)*(1+((1+$L$15)^M72-1))</f>
        <v>24.872007520708362</v>
      </c>
      <c r="R72" s="3064">
        <f>Q72/(1+$L$15)*($L$15)/(1-(1+$L$15)^-$L$16)</f>
        <v>0.99999999999999911</v>
      </c>
      <c r="S72" s="3064">
        <f>F72*R72</f>
        <v>0.99999999999999911</v>
      </c>
      <c r="T72" s="2022" t="s">
        <v>809</v>
      </c>
      <c r="U72" s="2010">
        <f>O72/$U$16</f>
        <v>21.883306806617146</v>
      </c>
      <c r="V72" s="2023" t="str">
        <f>IF($T72="L",SUM($U72:U72)*V$16,"")</f>
        <v/>
      </c>
      <c r="W72" s="2023">
        <f>IF($U72="","",IF(OR($T72="L",$T72="T",$T72="C"),SUM($U72:V72)*W$16,""))</f>
        <v>2.1883306806617147</v>
      </c>
      <c r="X72" s="2023">
        <f>IF($U72="","",SUM($U72:W72)*X$16)</f>
        <v>7.2214912461836578</v>
      </c>
      <c r="Y72" s="2024">
        <f t="shared" si="55"/>
        <v>9.4098219268453729</v>
      </c>
      <c r="Z72" s="2021"/>
      <c r="AA72" s="2025">
        <f t="shared" si="56"/>
        <v>31.293128733462517</v>
      </c>
      <c r="AB72" s="2021"/>
      <c r="AC72" s="2013">
        <f t="shared" ca="1" si="57"/>
        <v>0.15921787709497204</v>
      </c>
      <c r="AD72" s="2026"/>
      <c r="AE72" s="2015"/>
      <c r="AF72" s="1483">
        <f>AF71</f>
        <v>48</v>
      </c>
      <c r="AG72" s="1483"/>
      <c r="AH72" s="2017">
        <f>$AH$16/K72</f>
        <v>5</v>
      </c>
      <c r="AI72" s="2017">
        <f>$AH$16/AH72</f>
        <v>1</v>
      </c>
      <c r="AJ72" s="2002">
        <f>$H72*(1-(1+$L$15)^-(AH72*AI72))/((1+$L$15)^AI72-1)*(1+((1+$L$15)^AI72-1))</f>
        <v>10556.161111305631</v>
      </c>
      <c r="AK72" s="2027"/>
    </row>
    <row r="73" spans="1:37" s="1997" customFormat="1" ht="16" customHeight="1">
      <c r="B73" s="2307"/>
      <c r="C73" s="3907"/>
      <c r="D73" s="3910"/>
      <c r="E73" s="2000" t="s">
        <v>4</v>
      </c>
      <c r="F73" s="2001"/>
      <c r="G73" s="2001">
        <f t="shared" si="60"/>
        <v>16</v>
      </c>
      <c r="H73" s="2002">
        <f t="shared" si="59"/>
        <v>7360</v>
      </c>
      <c r="I73" s="2002" t="str">
        <f t="shared" si="59"/>
        <v>Accomodation/food + Fence Materials</v>
      </c>
      <c r="J73" s="2004" t="str">
        <f t="shared" si="50"/>
        <v>Annual</v>
      </c>
      <c r="K73" s="3340">
        <f t="shared" si="61"/>
        <v>1</v>
      </c>
      <c r="L73" s="2006">
        <f t="shared" si="51"/>
        <v>80</v>
      </c>
      <c r="M73" s="2005">
        <f t="shared" si="52"/>
        <v>1</v>
      </c>
      <c r="N73" s="2272">
        <f>$H73*(1-(1+$L$15)^-(L73*M73))/((1+$L$15)^M73-1)*(1+((1+$L$15)^M73-1))-H73</f>
        <v>175697.97535241354</v>
      </c>
      <c r="O73" s="2007">
        <f t="shared" si="53"/>
        <v>7064.0850042413249</v>
      </c>
      <c r="P73" s="2021"/>
      <c r="Q73" s="3064"/>
      <c r="R73" s="3064"/>
      <c r="S73" s="3064"/>
      <c r="T73" s="2022" t="s">
        <v>810</v>
      </c>
      <c r="U73" s="2010">
        <f>O73/$U$16</f>
        <v>70.640850042413248</v>
      </c>
      <c r="V73" s="2023" t="str">
        <f>IF($T73="L",SUM($U73:U73)*V$16,"")</f>
        <v/>
      </c>
      <c r="W73" s="2023">
        <f>IF($U73="","",IF(OR($T73="L",$T73="T",$T73="C"),SUM($U73:V73)*W$16,""))</f>
        <v>7.064085004241325</v>
      </c>
      <c r="X73" s="2023">
        <f>IF($U73="","",SUM($U73:W73)*X$16)</f>
        <v>23.311480513996369</v>
      </c>
      <c r="Y73" s="2024">
        <f t="shared" si="55"/>
        <v>30.375565518237693</v>
      </c>
      <c r="Z73" s="2021"/>
      <c r="AA73" s="2025">
        <f t="shared" si="56"/>
        <v>101.01641556065094</v>
      </c>
      <c r="AB73" s="2021"/>
      <c r="AC73" s="2013">
        <f t="shared" ca="1" si="57"/>
        <v>0.51396648044692739</v>
      </c>
      <c r="AD73" s="2306"/>
      <c r="AE73" s="2015"/>
      <c r="AF73" s="1483">
        <f>AF72</f>
        <v>48</v>
      </c>
      <c r="AG73" s="1483"/>
      <c r="AH73" s="2017">
        <f>$AH$16/K73</f>
        <v>5</v>
      </c>
      <c r="AI73" s="2017">
        <f>$AH$16/AH73</f>
        <v>1</v>
      </c>
      <c r="AJ73" s="2002">
        <f>$H73*(1-(1+$L$15)^-(AH73*AI73))/((1+$L$15)^AI73-1)*(1+((1+$L$15)^AI73-1))</f>
        <v>34076.028850530456</v>
      </c>
      <c r="AK73" s="2027"/>
    </row>
    <row r="74" spans="1:37" s="1997" customFormat="1" ht="19" customHeight="1">
      <c r="B74" s="2307"/>
      <c r="C74" s="3908"/>
      <c r="D74" s="3911"/>
      <c r="E74" s="2000" t="s">
        <v>21</v>
      </c>
      <c r="F74" s="2001"/>
      <c r="G74" s="2001"/>
      <c r="H74" s="2002"/>
      <c r="I74" s="2002"/>
      <c r="J74" s="2004"/>
      <c r="K74" s="3341"/>
      <c r="L74" s="2006"/>
      <c r="M74" s="2005"/>
      <c r="N74" s="2002"/>
      <c r="O74" s="2007">
        <f t="shared" si="53"/>
        <v>0</v>
      </c>
      <c r="P74" s="2021"/>
      <c r="Q74" s="3064"/>
      <c r="R74" s="3064"/>
      <c r="S74" s="3064"/>
      <c r="T74" s="2040" t="s">
        <v>811</v>
      </c>
      <c r="U74" s="2010"/>
      <c r="V74" s="2023" t="str">
        <f>IF($T74="L",SUM($U74:U74)*V$16,"")</f>
        <v/>
      </c>
      <c r="W74" s="2023" t="str">
        <f>IF($U74="","",IF(OR($T74="L",$T74="T",$T74="C"),SUM($U74:V74)*W$16,""))</f>
        <v/>
      </c>
      <c r="X74" s="2023" t="str">
        <f>IF($U74="","",SUM($U74:W74)*X$16)</f>
        <v/>
      </c>
      <c r="Y74" s="2024" t="str">
        <f t="shared" si="55"/>
        <v/>
      </c>
      <c r="Z74" s="2021"/>
      <c r="AA74" s="2025" t="str">
        <f t="shared" si="56"/>
        <v/>
      </c>
      <c r="AB74" s="2021"/>
      <c r="AC74" s="2013" t="str">
        <f t="shared" ca="1" si="57"/>
        <v/>
      </c>
      <c r="AD74" s="2306"/>
      <c r="AE74" s="2015"/>
      <c r="AF74" s="1483">
        <f>AF73</f>
        <v>48</v>
      </c>
      <c r="AG74" s="1483"/>
      <c r="AH74" s="2017"/>
      <c r="AI74" s="2017"/>
      <c r="AJ74" s="2002"/>
      <c r="AK74" s="2027"/>
    </row>
    <row r="75" spans="1:37" ht="19" customHeight="1">
      <c r="A75" s="390"/>
      <c r="B75" s="1768">
        <v>6.1</v>
      </c>
      <c r="C75" s="3859" t="s">
        <v>1008</v>
      </c>
      <c r="D75" s="3850" t="s">
        <v>1551</v>
      </c>
      <c r="E75" s="373" t="s">
        <v>3</v>
      </c>
      <c r="F75" s="1176"/>
      <c r="G75" s="1176">
        <f t="shared" ref="G75:G77" si="62">E728</f>
        <v>6.2541106128550075</v>
      </c>
      <c r="H75" s="370">
        <f>H728</f>
        <v>1407.1748878923768</v>
      </c>
      <c r="I75" s="613" t="s">
        <v>474</v>
      </c>
      <c r="J75" s="375" t="str">
        <f>IF(K75=1,"Annual","Done every "&amp;K75&amp;" years")</f>
        <v>Annual</v>
      </c>
      <c r="K75" s="374">
        <f>L728</f>
        <v>1</v>
      </c>
      <c r="L75" s="386">
        <f t="shared" ref="L75:M77" si="63">$L$16/K75</f>
        <v>80</v>
      </c>
      <c r="M75" s="371">
        <f t="shared" si="63"/>
        <v>1</v>
      </c>
      <c r="N75" s="370">
        <f>$H75*(1-(1+$L$15)^-(L75*M75))/((1+$L$15)^M75-1)*(1+((1+$L$15)^M75-1))</f>
        <v>34999.264394611135</v>
      </c>
      <c r="O75" s="640">
        <f>N75/(1+$L$15)*($L$15)/(1-(1+$L$15)^-$L$16)</f>
        <v>1407.1748878923752</v>
      </c>
      <c r="P75" s="392">
        <f>SUM(O75:O78)</f>
        <v>3558.3856502242124</v>
      </c>
      <c r="Q75" s="2980"/>
      <c r="R75" s="2980"/>
      <c r="S75" s="2980"/>
      <c r="T75" s="1039" t="s">
        <v>808</v>
      </c>
      <c r="U75" s="639">
        <f t="shared" ref="U75:U77" si="64">O75/$U$16</f>
        <v>14.071748878923751</v>
      </c>
      <c r="V75" s="639">
        <f>IF($T75="L",SUM($U75:U75)*V$16,"")</f>
        <v>4.2215246636771253</v>
      </c>
      <c r="W75" s="639">
        <f>IF($U75="","",IF(OR($T75="L",$T75="T",$T75="C"),SUM($U75:V75)*W$16,""))</f>
        <v>1.8293273542600876</v>
      </c>
      <c r="X75" s="639">
        <f>IF($U75="","",SUM($U75:W75)*X$16)</f>
        <v>6.0367802690582888</v>
      </c>
      <c r="Y75" s="388">
        <f t="shared" ref="Y75:Y90" si="65">IF($U75="","",SUM(V75:X75))</f>
        <v>12.087632286995502</v>
      </c>
      <c r="Z75" s="392">
        <f>SUM(V75:X78)</f>
        <v>21.337838565022402</v>
      </c>
      <c r="AA75" s="734">
        <f t="shared" ref="AA75:AA90" si="66">IF($U75="","",SUM(U75,Y75))</f>
        <v>26.159381165919253</v>
      </c>
      <c r="AB75" s="391">
        <f>SUM(AA75:AA78)</f>
        <v>56.921695067264523</v>
      </c>
      <c r="AC75" s="936">
        <f t="shared" ref="AC75:AC90" ca="1" si="67">IF(AA75="","",AA75/OFFSET($AB$23,AF75,0))</f>
        <v>0.45956785255615878</v>
      </c>
      <c r="AD75" s="638"/>
      <c r="AE75" s="1069"/>
      <c r="AF75" s="587">
        <f>AF71+4</f>
        <v>52</v>
      </c>
      <c r="AG75" s="816">
        <f ca="1">SUM(AC75:AC78)-1</f>
        <v>0</v>
      </c>
      <c r="AH75" s="387">
        <f>$AH$16/K75</f>
        <v>5</v>
      </c>
      <c r="AI75" s="387">
        <f>$AH$16/AH75</f>
        <v>1</v>
      </c>
      <c r="AJ75" s="370">
        <f>$H75*(1-(1+$L$15)^-(AH75*AI75))/((1+$L$15)^AI75-1)*(1+((1+$L$15)^AI75-1))</f>
        <v>6515.0722931470918</v>
      </c>
      <c r="AK75" s="981">
        <f>SUM(AJ75:AJ78)</f>
        <v>16474.95272803722</v>
      </c>
    </row>
    <row r="76" spans="1:37" ht="19" customHeight="1">
      <c r="A76" s="390"/>
      <c r="B76" s="1765"/>
      <c r="C76" s="3860"/>
      <c r="D76" s="3851"/>
      <c r="E76" s="373" t="s">
        <v>308</v>
      </c>
      <c r="F76" s="1176">
        <f>$F$28</f>
        <v>1</v>
      </c>
      <c r="G76" s="1176">
        <f t="shared" si="62"/>
        <v>3.1270553064275037</v>
      </c>
      <c r="H76" s="370">
        <f>H729</f>
        <v>891.21076233183862</v>
      </c>
      <c r="I76" s="613" t="s">
        <v>65</v>
      </c>
      <c r="J76" s="375" t="str">
        <f>IF(K76=1,"Annual","Done every "&amp;K76&amp;" years")</f>
        <v>Annual</v>
      </c>
      <c r="K76" s="374">
        <f>L729</f>
        <v>1</v>
      </c>
      <c r="L76" s="386">
        <f t="shared" si="63"/>
        <v>80</v>
      </c>
      <c r="M76" s="371">
        <f t="shared" si="63"/>
        <v>1</v>
      </c>
      <c r="N76" s="370">
        <f>$H76*(1-(1+$L$15)^-(L76*M76))/((1+$L$15)^M76-1)*(1+((1+$L$15)^M76-1))</f>
        <v>22166.200783253724</v>
      </c>
      <c r="O76" s="640">
        <f>N76/(1+$L$15)*($L$15)/(1-(1+$L$15)^-$L$16)</f>
        <v>891.21076233183794</v>
      </c>
      <c r="P76" s="392"/>
      <c r="Q76" s="2980">
        <f>1*(1-(1+$L$15)^-(L76*M76))/((1+$L$15)^M76-1)*(1+((1+$L$15)^M76-1))</f>
        <v>24.872007520708362</v>
      </c>
      <c r="R76" s="2980">
        <f>Q76/(1+$L$15)*($L$15)/(1-(1+$L$15)^-$L$16)</f>
        <v>0.99999999999999911</v>
      </c>
      <c r="S76" s="2980">
        <f>F76*R76</f>
        <v>0.99999999999999911</v>
      </c>
      <c r="T76" s="1034" t="s">
        <v>809</v>
      </c>
      <c r="U76" s="639">
        <f t="shared" si="64"/>
        <v>8.9121076233183789</v>
      </c>
      <c r="V76" s="642" t="str">
        <f>IF($T76="L",SUM($U76:U76)*V$16,"")</f>
        <v/>
      </c>
      <c r="W76" s="642">
        <f>IF($U76="","",IF(OR($T76="L",$T76="T",$T76="C"),SUM($U76:V76)*W$16,""))</f>
        <v>0.89121076233183794</v>
      </c>
      <c r="X76" s="642">
        <f>IF($U76="","",SUM($U76:W76)*X$16)</f>
        <v>2.9409955156950649</v>
      </c>
      <c r="Y76" s="388">
        <f t="shared" si="65"/>
        <v>3.8322062780269031</v>
      </c>
      <c r="Z76" s="392"/>
      <c r="AA76" s="734">
        <f t="shared" si="66"/>
        <v>12.744313901345283</v>
      </c>
      <c r="AB76" s="391"/>
      <c r="AC76" s="936">
        <f t="shared" ca="1" si="67"/>
        <v>0.2238920307324877</v>
      </c>
      <c r="AD76" s="641"/>
      <c r="AE76" s="1069"/>
      <c r="AF76" s="587">
        <f>AF75</f>
        <v>52</v>
      </c>
      <c r="AG76" s="587"/>
      <c r="AH76" s="387">
        <f>$AH$16/K76</f>
        <v>5</v>
      </c>
      <c r="AI76" s="387">
        <f>$AH$16/AH76</f>
        <v>1</v>
      </c>
      <c r="AJ76" s="370">
        <f>$H76*(1-(1+$L$15)^-(AH76*AI76))/((1+$L$15)^AI76-1)*(1+((1+$L$15)^AI76-1))</f>
        <v>4126.212452326492</v>
      </c>
      <c r="AK76" s="981"/>
    </row>
    <row r="77" spans="1:37" ht="19" customHeight="1">
      <c r="A77" s="390"/>
      <c r="B77" s="1765"/>
      <c r="C77" s="3860"/>
      <c r="D77" s="3851"/>
      <c r="E77" s="373" t="s">
        <v>4</v>
      </c>
      <c r="F77" s="1176"/>
      <c r="G77" s="1176">
        <f t="shared" si="62"/>
        <v>6</v>
      </c>
      <c r="H77" s="370">
        <f>H730</f>
        <v>1260</v>
      </c>
      <c r="I77" s="613" t="s">
        <v>70</v>
      </c>
      <c r="J77" s="375" t="str">
        <f>IF(K77=1,"Annual","Done every "&amp;K77&amp;" years")</f>
        <v>Annual</v>
      </c>
      <c r="K77" s="374">
        <f>L730</f>
        <v>1</v>
      </c>
      <c r="L77" s="386">
        <f t="shared" si="63"/>
        <v>80</v>
      </c>
      <c r="M77" s="371">
        <f t="shared" si="63"/>
        <v>1</v>
      </c>
      <c r="N77" s="370">
        <f>$H77*(1-(1+$L$15)^-(L77*M77))/((1+$L$15)^M77-1)*(1+((1+$L$15)^M77-1))</f>
        <v>31338.729476092536</v>
      </c>
      <c r="O77" s="640">
        <f>N77/(1+$L$15)*($L$15)/(1-(1+$L$15)^-$L$16)</f>
        <v>1259.9999999999991</v>
      </c>
      <c r="P77" s="392"/>
      <c r="Q77" s="2980"/>
      <c r="R77" s="2980"/>
      <c r="S77" s="2980"/>
      <c r="T77" s="1034" t="s">
        <v>810</v>
      </c>
      <c r="U77" s="639">
        <f t="shared" si="64"/>
        <v>12.599999999999991</v>
      </c>
      <c r="V77" s="642" t="str">
        <f>IF($T77="L",SUM($U77:U77)*V$16,"")</f>
        <v/>
      </c>
      <c r="W77" s="642">
        <f>IF($U77="","",IF(OR($T77="L",$T77="T",$T77="C"),SUM($U77:V77)*W$16,""))</f>
        <v>1.2599999999999991</v>
      </c>
      <c r="X77" s="642">
        <f>IF($U77="","",SUM($U77:W77)*X$16)</f>
        <v>4.1579999999999968</v>
      </c>
      <c r="Y77" s="388">
        <f t="shared" si="65"/>
        <v>5.4179999999999957</v>
      </c>
      <c r="Z77" s="392"/>
      <c r="AA77" s="734">
        <f t="shared" si="66"/>
        <v>18.017999999999986</v>
      </c>
      <c r="AB77" s="391"/>
      <c r="AC77" s="936">
        <f t="shared" ca="1" si="67"/>
        <v>0.31654011671135351</v>
      </c>
      <c r="AD77" s="641"/>
      <c r="AE77" s="1069"/>
      <c r="AF77" s="587">
        <f>AF76</f>
        <v>52</v>
      </c>
      <c r="AG77" s="587"/>
      <c r="AH77" s="387">
        <f>$AH$16/K77</f>
        <v>5</v>
      </c>
      <c r="AI77" s="387">
        <f>$AH$16/AH77</f>
        <v>1</v>
      </c>
      <c r="AJ77" s="370">
        <f>$H77*(1-(1+$L$15)^-(AH77*AI77))/((1+$L$15)^AI77-1)*(1+((1+$L$15)^AI77-1))</f>
        <v>5833.6679825636384</v>
      </c>
      <c r="AK77" s="981"/>
    </row>
    <row r="78" spans="1:37" ht="19" customHeight="1">
      <c r="A78" s="390"/>
      <c r="B78" s="1772"/>
      <c r="C78" s="3861"/>
      <c r="D78" s="3862"/>
      <c r="E78" s="373" t="s">
        <v>21</v>
      </c>
      <c r="F78" s="1176"/>
      <c r="G78" s="1176"/>
      <c r="H78" s="370"/>
      <c r="I78" s="613"/>
      <c r="J78" s="375"/>
      <c r="K78" s="374"/>
      <c r="L78" s="386"/>
      <c r="M78" s="371"/>
      <c r="N78" s="370"/>
      <c r="O78" s="699"/>
      <c r="P78" s="396"/>
      <c r="Q78" s="3031"/>
      <c r="R78" s="3031"/>
      <c r="S78" s="3031"/>
      <c r="T78" s="1040" t="s">
        <v>811</v>
      </c>
      <c r="U78" s="700"/>
      <c r="V78" s="700" t="str">
        <f>IF($T78="L",SUM($U78:U78)*V$16,"")</f>
        <v/>
      </c>
      <c r="W78" s="700" t="str">
        <f>IF($U78="","",IF(OR($T78="L",$T78="T",$T78="C"),SUM($U78:V78)*W$16,""))</f>
        <v/>
      </c>
      <c r="X78" s="700" t="str">
        <f>IF($U78="","",SUM($U78:W78)*X$16)</f>
        <v/>
      </c>
      <c r="Y78" s="699" t="str">
        <f t="shared" si="65"/>
        <v/>
      </c>
      <c r="Z78" s="396"/>
      <c r="AA78" s="743" t="str">
        <f t="shared" si="66"/>
        <v/>
      </c>
      <c r="AB78" s="395"/>
      <c r="AC78" s="937" t="str">
        <f t="shared" ca="1" si="67"/>
        <v/>
      </c>
      <c r="AD78" s="822"/>
      <c r="AE78" s="1069"/>
      <c r="AF78" s="587">
        <f>AF77</f>
        <v>52</v>
      </c>
      <c r="AG78" s="587"/>
      <c r="AH78" s="387"/>
      <c r="AI78" s="387"/>
      <c r="AJ78" s="370"/>
      <c r="AK78" s="882"/>
    </row>
    <row r="79" spans="1:37" ht="19" customHeight="1">
      <c r="A79" s="676"/>
      <c r="B79" s="1766">
        <f>B75+0.1</f>
        <v>6.1999999999999993</v>
      </c>
      <c r="C79" s="3875" t="s">
        <v>203</v>
      </c>
      <c r="D79" s="3852" t="str">
        <f>D75</f>
        <v>Monitoring of action output.</v>
      </c>
      <c r="E79" s="685" t="s">
        <v>3</v>
      </c>
      <c r="F79" s="1177"/>
      <c r="G79" s="1177">
        <f>F728</f>
        <v>7.449925261584454</v>
      </c>
      <c r="H79" s="665">
        <f>I728</f>
        <v>1676.2331838565024</v>
      </c>
      <c r="I79" s="818" t="s">
        <v>474</v>
      </c>
      <c r="J79" s="666" t="str">
        <f>IF(K79=1,"Annual","Done every "&amp;K79&amp;" years")</f>
        <v>Annual</v>
      </c>
      <c r="K79" s="701">
        <f>K75</f>
        <v>1</v>
      </c>
      <c r="L79" s="668">
        <f t="shared" ref="L79:M81" si="68">$L$16/K79</f>
        <v>80</v>
      </c>
      <c r="M79" s="667">
        <f t="shared" si="68"/>
        <v>1</v>
      </c>
      <c r="N79" s="665">
        <f>$H79*(1-(1+$L$15)^-(L79*M79))/((1+$L$15)^M79-1)*(1+((1+$L$15)^M79-1))</f>
        <v>41691.284355339849</v>
      </c>
      <c r="O79" s="680">
        <f>N79/(1+$L$15)*($L$15)/(1-(1+$L$15)^-$L$16)</f>
        <v>1676.233183856501</v>
      </c>
      <c r="P79" s="720">
        <f>SUM(O79:O82)</f>
        <v>3997.847533632284</v>
      </c>
      <c r="Q79" s="3032"/>
      <c r="R79" s="3032"/>
      <c r="S79" s="3032"/>
      <c r="T79" s="1035" t="s">
        <v>808</v>
      </c>
      <c r="U79" s="675">
        <f>O79/$U$16</f>
        <v>16.762331838565011</v>
      </c>
      <c r="V79" s="675">
        <f>IF($T79="L",SUM($U79:U79)*V$16,"")</f>
        <v>5.0286995515695034</v>
      </c>
      <c r="W79" s="675">
        <f>IF($U79="","",IF(OR($T79="L",$T79="T",$T79="C"),SUM($U79:V79)*W$16,""))</f>
        <v>2.1791031390134514</v>
      </c>
      <c r="X79" s="675">
        <f>IF($U79="","",SUM($U79:W79)*X$16)</f>
        <v>7.1910403587443898</v>
      </c>
      <c r="Y79" s="679">
        <f t="shared" si="65"/>
        <v>14.398843049327345</v>
      </c>
      <c r="Z79" s="720">
        <f>SUM(V79:X82)</f>
        <v>24.381784753363213</v>
      </c>
      <c r="AA79" s="737">
        <f t="shared" si="66"/>
        <v>31.161174887892358</v>
      </c>
      <c r="AB79" s="678">
        <f>SUM(AA79:AA82)</f>
        <v>64.360260089686051</v>
      </c>
      <c r="AC79" s="935">
        <f t="shared" ca="1" si="67"/>
        <v>0.48416794532012841</v>
      </c>
      <c r="AD79" s="674"/>
      <c r="AE79" s="1070"/>
      <c r="AF79" s="587">
        <f>AF75+4</f>
        <v>56</v>
      </c>
      <c r="AG79" s="816">
        <f ca="1">SUM(AC79:AC82)-1</f>
        <v>0</v>
      </c>
      <c r="AH79" s="669">
        <f>$AH$16/K79</f>
        <v>5</v>
      </c>
      <c r="AI79" s="669">
        <f>$AH$16/AH79</f>
        <v>1</v>
      </c>
      <c r="AJ79" s="665">
        <f>$H79*(1-(1+$L$15)^-(AH79*AI79))/((1+$L$15)^AI79-1)*(1+((1+$L$15)^AI79-1))</f>
        <v>7760.7840126780848</v>
      </c>
      <c r="AK79" s="984">
        <f>SUM(AJ79:AJ82)</f>
        <v>18509.615203271176</v>
      </c>
    </row>
    <row r="80" spans="1:37" ht="19" customHeight="1">
      <c r="A80" s="676"/>
      <c r="B80" s="1769"/>
      <c r="C80" s="3876"/>
      <c r="D80" s="3853"/>
      <c r="E80" s="685" t="s">
        <v>308</v>
      </c>
      <c r="F80" s="1177">
        <f>$F$32</f>
        <v>1</v>
      </c>
      <c r="G80" s="1177">
        <f t="shared" ref="G80:G81" si="69">F729</f>
        <v>3.724962630792227</v>
      </c>
      <c r="H80" s="665">
        <f>I729</f>
        <v>1061.6143497757848</v>
      </c>
      <c r="I80" s="818" t="s">
        <v>65</v>
      </c>
      <c r="J80" s="666" t="str">
        <f>IF(K80=1,"Annual","Done every "&amp;K80&amp;" years")</f>
        <v>Annual</v>
      </c>
      <c r="K80" s="701">
        <f>K76</f>
        <v>1</v>
      </c>
      <c r="L80" s="668">
        <f t="shared" si="68"/>
        <v>80</v>
      </c>
      <c r="M80" s="667">
        <f t="shared" si="68"/>
        <v>1</v>
      </c>
      <c r="N80" s="665">
        <f>$H80*(1-(1+$L$15)^-(L80*M80))/((1+$L$15)^M80-1)*(1+((1+$L$15)^M80-1))</f>
        <v>26404.480091715235</v>
      </c>
      <c r="O80" s="680">
        <f>N80/(1+$L$15)*($L$15)/(1-(1+$L$15)^-$L$16)</f>
        <v>1061.6143497757839</v>
      </c>
      <c r="P80" s="720"/>
      <c r="Q80" s="3032">
        <f>1*(1-(1+$L$15)^-(L80*M80))/((1+$L$15)^M80-1)*(1+((1+$L$15)^M80-1))</f>
        <v>24.872007520708362</v>
      </c>
      <c r="R80" s="3032">
        <f>Q80/(1+$L$15)*($L$15)/(1-(1+$L$15)^-$L$16)</f>
        <v>0.99999999999999911</v>
      </c>
      <c r="S80" s="3032">
        <f>F80*R80</f>
        <v>0.99999999999999911</v>
      </c>
      <c r="T80" s="1036" t="s">
        <v>809</v>
      </c>
      <c r="U80" s="675">
        <f>O80/$U$16</f>
        <v>10.616143497757839</v>
      </c>
      <c r="V80" s="682" t="str">
        <f>IF($T80="L",SUM($U80:U80)*V$16,"")</f>
        <v/>
      </c>
      <c r="W80" s="682">
        <f>IF($U80="","",IF(OR($T80="L",$T80="T",$T80="C"),SUM($U80:V80)*W$16,""))</f>
        <v>1.0616143497757839</v>
      </c>
      <c r="X80" s="682">
        <f>IF($U80="","",SUM($U80:W80)*X$16)</f>
        <v>3.5033273542600871</v>
      </c>
      <c r="Y80" s="679">
        <f t="shared" si="65"/>
        <v>4.5649417040358706</v>
      </c>
      <c r="Z80" s="720"/>
      <c r="AA80" s="737">
        <f t="shared" si="66"/>
        <v>15.18108520179371</v>
      </c>
      <c r="AB80" s="678"/>
      <c r="AC80" s="935">
        <f t="shared" ca="1" si="67"/>
        <v>0.2358766913098061</v>
      </c>
      <c r="AD80" s="681"/>
      <c r="AE80" s="1070"/>
      <c r="AF80" s="587">
        <f>AF79</f>
        <v>56</v>
      </c>
      <c r="AG80" s="587"/>
      <c r="AH80" s="669">
        <f>$AH$16/K80</f>
        <v>5</v>
      </c>
      <c r="AI80" s="669">
        <f>$AH$16/AH80</f>
        <v>1</v>
      </c>
      <c r="AJ80" s="665">
        <f>$H80*(1-(1+$L$15)^-(AH80*AI80))/((1+$L$15)^AI80-1)*(1+((1+$L$15)^AI80-1))</f>
        <v>4915.163208029453</v>
      </c>
      <c r="AK80" s="984"/>
    </row>
    <row r="81" spans="1:37" ht="19" customHeight="1">
      <c r="A81" s="676"/>
      <c r="B81" s="1769"/>
      <c r="C81" s="3876"/>
      <c r="D81" s="3853"/>
      <c r="E81" s="685" t="s">
        <v>4</v>
      </c>
      <c r="F81" s="1177"/>
      <c r="G81" s="1177">
        <f t="shared" si="69"/>
        <v>6</v>
      </c>
      <c r="H81" s="665">
        <f>I730</f>
        <v>1260</v>
      </c>
      <c r="I81" s="818" t="s">
        <v>70</v>
      </c>
      <c r="J81" s="666" t="str">
        <f>IF(K81=1,"Annual","Done every "&amp;K81&amp;" years")</f>
        <v>Annual</v>
      </c>
      <c r="K81" s="701">
        <f>K77</f>
        <v>1</v>
      </c>
      <c r="L81" s="668">
        <f t="shared" si="68"/>
        <v>80</v>
      </c>
      <c r="M81" s="667">
        <f t="shared" si="68"/>
        <v>1</v>
      </c>
      <c r="N81" s="665">
        <f>$H81*(1-(1+$L$15)^-(L81*M81))/((1+$L$15)^M81-1)*(1+((1+$L$15)^M81-1))</f>
        <v>31338.729476092536</v>
      </c>
      <c r="O81" s="680">
        <f>N81/(1+$L$15)*($L$15)/(1-(1+$L$15)^-$L$16)</f>
        <v>1259.9999999999991</v>
      </c>
      <c r="P81" s="720"/>
      <c r="Q81" s="3032"/>
      <c r="R81" s="3032"/>
      <c r="S81" s="3032"/>
      <c r="T81" s="1036" t="s">
        <v>810</v>
      </c>
      <c r="U81" s="675">
        <f>O81/$U$16</f>
        <v>12.599999999999991</v>
      </c>
      <c r="V81" s="682" t="str">
        <f>IF($T81="L",SUM($U81:U81)*V$16,"")</f>
        <v/>
      </c>
      <c r="W81" s="682">
        <f>IF($U81="","",IF(OR($T81="L",$T81="T",$T81="C"),SUM($U81:V81)*W$16,""))</f>
        <v>1.2599999999999991</v>
      </c>
      <c r="X81" s="682">
        <f>IF($U81="","",SUM($U81:W81)*X$16)</f>
        <v>4.1579999999999968</v>
      </c>
      <c r="Y81" s="679">
        <f t="shared" si="65"/>
        <v>5.4179999999999957</v>
      </c>
      <c r="Z81" s="720"/>
      <c r="AA81" s="737">
        <f t="shared" si="66"/>
        <v>18.017999999999986</v>
      </c>
      <c r="AB81" s="678"/>
      <c r="AC81" s="935">
        <f t="shared" ca="1" si="67"/>
        <v>0.27995536337006555</v>
      </c>
      <c r="AD81" s="681"/>
      <c r="AE81" s="1070"/>
      <c r="AF81" s="587">
        <f>AF80</f>
        <v>56</v>
      </c>
      <c r="AG81" s="587"/>
      <c r="AH81" s="669">
        <f>$AH$16/K81</f>
        <v>5</v>
      </c>
      <c r="AI81" s="669">
        <f>$AH$16/AH81</f>
        <v>1</v>
      </c>
      <c r="AJ81" s="665">
        <f>$H81*(1-(1+$L$15)^-(AH81*AI81))/((1+$L$15)^AI81-1)*(1+((1+$L$15)^AI81-1))</f>
        <v>5833.6679825636384</v>
      </c>
      <c r="AK81" s="984"/>
    </row>
    <row r="82" spans="1:37" ht="19" customHeight="1">
      <c r="A82" s="676"/>
      <c r="B82" s="1773"/>
      <c r="C82" s="3877"/>
      <c r="D82" s="3854"/>
      <c r="E82" s="685" t="s">
        <v>21</v>
      </c>
      <c r="F82" s="1177"/>
      <c r="G82" s="1177"/>
      <c r="H82" s="665"/>
      <c r="I82" s="818"/>
      <c r="J82" s="666"/>
      <c r="K82" s="701"/>
      <c r="L82" s="668"/>
      <c r="M82" s="667"/>
      <c r="N82" s="665"/>
      <c r="O82" s="703"/>
      <c r="P82" s="718"/>
      <c r="Q82" s="3033"/>
      <c r="R82" s="3033"/>
      <c r="S82" s="3033"/>
      <c r="T82" s="1041" t="s">
        <v>811</v>
      </c>
      <c r="U82" s="704"/>
      <c r="V82" s="704" t="str">
        <f>IF($T82="L",SUM($U82:U82)*V$16,"")</f>
        <v/>
      </c>
      <c r="W82" s="704" t="str">
        <f>IF($U82="","",IF(OR($T82="L",$T82="T",$T82="C"),SUM($U82:V82)*W$16,""))</f>
        <v/>
      </c>
      <c r="X82" s="704" t="str">
        <f>IF($U82="","",SUM($U82:W82)*X$16)</f>
        <v/>
      </c>
      <c r="Y82" s="703" t="str">
        <f t="shared" si="65"/>
        <v/>
      </c>
      <c r="Z82" s="718"/>
      <c r="AA82" s="744" t="str">
        <f t="shared" si="66"/>
        <v/>
      </c>
      <c r="AB82" s="672"/>
      <c r="AC82" s="938" t="str">
        <f t="shared" ca="1" si="67"/>
        <v/>
      </c>
      <c r="AD82" s="823"/>
      <c r="AE82" s="1070"/>
      <c r="AF82" s="587">
        <f>AF81</f>
        <v>56</v>
      </c>
      <c r="AG82" s="587"/>
      <c r="AH82" s="669"/>
      <c r="AI82" s="669"/>
      <c r="AJ82" s="665"/>
      <c r="AK82" s="883"/>
    </row>
    <row r="83" spans="1:37" ht="19" customHeight="1">
      <c r="A83" s="656"/>
      <c r="B83" s="1767">
        <f>B79+0.1</f>
        <v>6.2999999999999989</v>
      </c>
      <c r="C83" s="3878" t="s">
        <v>203</v>
      </c>
      <c r="D83" s="3863" t="str">
        <f>D79</f>
        <v>Monitoring of action output.</v>
      </c>
      <c r="E83" s="686" t="s">
        <v>3</v>
      </c>
      <c r="F83" s="1178"/>
      <c r="G83" s="1178">
        <f>G728</f>
        <v>9.8415545590433489</v>
      </c>
      <c r="H83" s="645">
        <f>J728</f>
        <v>2214.3497757847535</v>
      </c>
      <c r="I83" s="820" t="s">
        <v>474</v>
      </c>
      <c r="J83" s="646" t="str">
        <f>IF(K83=1,"Annual","Done every "&amp;K83&amp;" years")</f>
        <v>Annual</v>
      </c>
      <c r="K83" s="705">
        <f>K79</f>
        <v>1</v>
      </c>
      <c r="L83" s="648">
        <f t="shared" ref="L83:M85" si="70">$L$16/K83</f>
        <v>80</v>
      </c>
      <c r="M83" s="647">
        <f t="shared" si="70"/>
        <v>1</v>
      </c>
      <c r="N83" s="645">
        <f>$H83*(1-(1+$L$15)^-(L83*M83))/((1+$L$15)^M83-1)*(1+((1+$L$15)^M83-1))</f>
        <v>55075.324276797262</v>
      </c>
      <c r="O83" s="660">
        <f>N83/(1+$L$15)*($L$15)/(1-(1+$L$15)^-$L$16)</f>
        <v>2214.3497757847517</v>
      </c>
      <c r="P83" s="722">
        <f>SUM(O83:O86)</f>
        <v>5296.7713004484267</v>
      </c>
      <c r="Q83" s="3034"/>
      <c r="R83" s="3034"/>
      <c r="S83" s="3034"/>
      <c r="T83" s="1037" t="s">
        <v>808</v>
      </c>
      <c r="U83" s="655">
        <f>O83/$U$16</f>
        <v>22.143497757847516</v>
      </c>
      <c r="V83" s="655">
        <f>IF($T83="L",SUM($U83:U83)*V$16,"")</f>
        <v>6.6430493273542544</v>
      </c>
      <c r="W83" s="655">
        <f>IF($U83="","",IF(OR($T83="L",$T83="T",$T83="C"),SUM($U83:V83)*W$16,""))</f>
        <v>2.8786547085201772</v>
      </c>
      <c r="X83" s="655">
        <f>IF($U83="","",SUM($U83:W83)*X$16)</f>
        <v>9.4995605381165849</v>
      </c>
      <c r="Y83" s="659">
        <f t="shared" si="65"/>
        <v>19.021264573991019</v>
      </c>
      <c r="Z83" s="722">
        <f>SUM(V83:X86)</f>
        <v>32.275677130044819</v>
      </c>
      <c r="AA83" s="740">
        <f t="shared" si="66"/>
        <v>41.164762331838531</v>
      </c>
      <c r="AB83" s="658">
        <f>SUM(AA83:AA86)</f>
        <v>85.243390134529079</v>
      </c>
      <c r="AC83" s="939">
        <f t="shared" ca="1" si="67"/>
        <v>0.48290855474979688</v>
      </c>
      <c r="AD83" s="654"/>
      <c r="AE83" s="1071"/>
      <c r="AF83" s="587">
        <f>AF79+4</f>
        <v>60</v>
      </c>
      <c r="AG83" s="816">
        <f ca="1">SUM(AC83:AC86)-1</f>
        <v>0</v>
      </c>
      <c r="AH83" s="649">
        <f>$AH$16/K83</f>
        <v>5</v>
      </c>
      <c r="AI83" s="649">
        <f>$AH$16/AH83</f>
        <v>1</v>
      </c>
      <c r="AJ83" s="645">
        <f>$H83*(1-(1+$L$15)^-(AH83*AI83))/((1+$L$15)^AI83-1)*(1+((1+$L$15)^AI83-1))</f>
        <v>10252.207451740071</v>
      </c>
      <c r="AK83" s="932">
        <f>SUM(AJ83:AJ86)</f>
        <v>24523.496147926966</v>
      </c>
    </row>
    <row r="84" spans="1:37" ht="19" customHeight="1">
      <c r="A84" s="656"/>
      <c r="B84" s="1770"/>
      <c r="C84" s="3879"/>
      <c r="D84" s="3864"/>
      <c r="E84" s="686" t="s">
        <v>308</v>
      </c>
      <c r="F84" s="1178">
        <f>$F$36</f>
        <v>1</v>
      </c>
      <c r="G84" s="1178">
        <f t="shared" ref="G84:G85" si="71">G729</f>
        <v>4.9207772795216744</v>
      </c>
      <c r="H84" s="645">
        <f>J729</f>
        <v>1402.4215246636772</v>
      </c>
      <c r="I84" s="820" t="s">
        <v>65</v>
      </c>
      <c r="J84" s="646" t="str">
        <f>IF(K84=1,"Annual","Done every "&amp;K84&amp;" years")</f>
        <v>Annual</v>
      </c>
      <c r="K84" s="705">
        <f>K80</f>
        <v>1</v>
      </c>
      <c r="L84" s="648">
        <f t="shared" si="70"/>
        <v>80</v>
      </c>
      <c r="M84" s="647">
        <f t="shared" si="70"/>
        <v>1</v>
      </c>
      <c r="N84" s="645">
        <f>$H84*(1-(1+$L$15)^-(L84*M84))/((1+$L$15)^M84-1)*(1+((1+$L$15)^M84-1))</f>
        <v>34881.038708638262</v>
      </c>
      <c r="O84" s="660">
        <f>N84/(1+$L$15)*($L$15)/(1-(1+$L$15)^-$L$16)</f>
        <v>1402.4215246636759</v>
      </c>
      <c r="P84" s="722"/>
      <c r="Q84" s="3034">
        <f>1*(1-(1+$L$15)^-(L84*M84))/((1+$L$15)^M84-1)*(1+((1+$L$15)^M84-1))</f>
        <v>24.872007520708362</v>
      </c>
      <c r="R84" s="3034">
        <f>Q84/(1+$L$15)*($L$15)/(1-(1+$L$15)^-$L$16)</f>
        <v>0.99999999999999911</v>
      </c>
      <c r="S84" s="3034">
        <f>F84*R84</f>
        <v>0.99999999999999911</v>
      </c>
      <c r="T84" s="1038" t="s">
        <v>809</v>
      </c>
      <c r="U84" s="655">
        <f>O84/$U$16</f>
        <v>14.024215246636759</v>
      </c>
      <c r="V84" s="662" t="str">
        <f>IF($T84="L",SUM($U84:U84)*V$16,"")</f>
        <v/>
      </c>
      <c r="W84" s="662">
        <f>IF($U84="","",IF(OR($T84="L",$T84="T",$T84="C"),SUM($U84:V84)*W$16,""))</f>
        <v>1.402421524663676</v>
      </c>
      <c r="X84" s="662">
        <f>IF($U84="","",SUM($U84:W84)*X$16)</f>
        <v>4.6279910313901302</v>
      </c>
      <c r="Y84" s="659">
        <f t="shared" si="65"/>
        <v>6.0304125560538058</v>
      </c>
      <c r="Z84" s="722"/>
      <c r="AA84" s="740">
        <f t="shared" si="66"/>
        <v>20.054627802690565</v>
      </c>
      <c r="AB84" s="658"/>
      <c r="AC84" s="939">
        <f t="shared" ca="1" si="67"/>
        <v>0.23526314205759333</v>
      </c>
      <c r="AD84" s="661"/>
      <c r="AE84" s="1071"/>
      <c r="AF84" s="587">
        <f>AF83</f>
        <v>60</v>
      </c>
      <c r="AG84" s="587"/>
      <c r="AH84" s="649">
        <f>$AH$16/K84</f>
        <v>5</v>
      </c>
      <c r="AI84" s="649">
        <f>$AH$16/AH84</f>
        <v>1</v>
      </c>
      <c r="AJ84" s="645">
        <f>$H84*(1-(1+$L$15)^-(AH84*AI84))/((1+$L$15)^AI84-1)*(1+((1+$L$15)^AI84-1))</f>
        <v>6493.0647194353778</v>
      </c>
      <c r="AK84" s="932"/>
    </row>
    <row r="85" spans="1:37" ht="19" customHeight="1">
      <c r="A85" s="656"/>
      <c r="B85" s="1770"/>
      <c r="C85" s="3879"/>
      <c r="D85" s="3864"/>
      <c r="E85" s="686" t="s">
        <v>4</v>
      </c>
      <c r="F85" s="1178"/>
      <c r="G85" s="1178">
        <f t="shared" si="71"/>
        <v>8</v>
      </c>
      <c r="H85" s="645">
        <f>J730</f>
        <v>1680</v>
      </c>
      <c r="I85" s="820" t="s">
        <v>70</v>
      </c>
      <c r="J85" s="646" t="str">
        <f>IF(K85=1,"Annual","Done every "&amp;K85&amp;" years")</f>
        <v>Annual</v>
      </c>
      <c r="K85" s="705">
        <f>K81</f>
        <v>1</v>
      </c>
      <c r="L85" s="648">
        <f t="shared" si="70"/>
        <v>80</v>
      </c>
      <c r="M85" s="647">
        <f t="shared" si="70"/>
        <v>1</v>
      </c>
      <c r="N85" s="645">
        <f>$H85*(1-(1+$L$15)^-(L85*M85))/((1+$L$15)^M85-1)*(1+((1+$L$15)^M85-1))</f>
        <v>41784.972634790051</v>
      </c>
      <c r="O85" s="660">
        <f>N85/(1+$L$15)*($L$15)/(1-(1+$L$15)^-$L$16)</f>
        <v>1679.9999999999986</v>
      </c>
      <c r="P85" s="722"/>
      <c r="Q85" s="3034"/>
      <c r="R85" s="3034"/>
      <c r="S85" s="3034"/>
      <c r="T85" s="1038" t="s">
        <v>810</v>
      </c>
      <c r="U85" s="655">
        <f>O85/$U$16</f>
        <v>16.799999999999986</v>
      </c>
      <c r="V85" s="662" t="str">
        <f>IF($T85="L",SUM($U85:U85)*V$16,"")</f>
        <v/>
      </c>
      <c r="W85" s="662">
        <f>IF($U85="","",IF(OR($T85="L",$T85="T",$T85="C"),SUM($U85:V85)*W$16,""))</f>
        <v>1.6799999999999988</v>
      </c>
      <c r="X85" s="662">
        <f>IF($U85="","",SUM($U85:W85)*X$16)</f>
        <v>5.543999999999996</v>
      </c>
      <c r="Y85" s="659">
        <f t="shared" si="65"/>
        <v>7.2239999999999949</v>
      </c>
      <c r="Z85" s="722"/>
      <c r="AA85" s="740">
        <f t="shared" si="66"/>
        <v>24.02399999999998</v>
      </c>
      <c r="AB85" s="658"/>
      <c r="AC85" s="939">
        <f t="shared" ca="1" si="67"/>
        <v>0.28182830319260976</v>
      </c>
      <c r="AD85" s="661"/>
      <c r="AE85" s="1071"/>
      <c r="AF85" s="587">
        <f>AF84</f>
        <v>60</v>
      </c>
      <c r="AG85" s="587"/>
      <c r="AH85" s="649">
        <f>$AH$16/K85</f>
        <v>5</v>
      </c>
      <c r="AI85" s="649">
        <f>$AH$16/AH85</f>
        <v>1</v>
      </c>
      <c r="AJ85" s="645">
        <f>$H85*(1-(1+$L$15)^-(AH85*AI85))/((1+$L$15)^AI85-1)*(1+((1+$L$15)^AI85-1))</f>
        <v>7778.2239767515175</v>
      </c>
      <c r="AK85" s="932"/>
    </row>
    <row r="86" spans="1:37" ht="19" customHeight="1">
      <c r="A86" s="656"/>
      <c r="B86" s="706"/>
      <c r="C86" s="3880"/>
      <c r="D86" s="3865"/>
      <c r="E86" s="686" t="s">
        <v>21</v>
      </c>
      <c r="F86" s="1178"/>
      <c r="G86" s="1178"/>
      <c r="H86" s="645"/>
      <c r="I86" s="820"/>
      <c r="J86" s="646"/>
      <c r="K86" s="705"/>
      <c r="L86" s="648"/>
      <c r="M86" s="647"/>
      <c r="N86" s="645"/>
      <c r="O86" s="707"/>
      <c r="P86" s="719"/>
      <c r="Q86" s="3035"/>
      <c r="R86" s="3035"/>
      <c r="S86" s="3035"/>
      <c r="T86" s="1042" t="s">
        <v>811</v>
      </c>
      <c r="U86" s="708"/>
      <c r="V86" s="708" t="str">
        <f>IF($T86="L",SUM($U86:U86)*V$16,"")</f>
        <v/>
      </c>
      <c r="W86" s="708" t="str">
        <f>IF($U86="","",IF(OR($T86="L",$T86="T",$T86="C"),SUM($U86:V86)*W$16,""))</f>
        <v/>
      </c>
      <c r="X86" s="708" t="str">
        <f>IF($U86="","",SUM($U86:W86)*X$16)</f>
        <v/>
      </c>
      <c r="Y86" s="707" t="str">
        <f t="shared" si="65"/>
        <v/>
      </c>
      <c r="Z86" s="719"/>
      <c r="AA86" s="745" t="str">
        <f t="shared" si="66"/>
        <v/>
      </c>
      <c r="AB86" s="652"/>
      <c r="AC86" s="940" t="str">
        <f t="shared" ca="1" si="67"/>
        <v/>
      </c>
      <c r="AD86" s="824"/>
      <c r="AE86" s="1071"/>
      <c r="AF86" s="587">
        <f>AF85</f>
        <v>60</v>
      </c>
      <c r="AG86" s="587"/>
      <c r="AH86" s="649"/>
      <c r="AI86" s="649"/>
      <c r="AJ86" s="645"/>
      <c r="AK86" s="884"/>
    </row>
    <row r="87" spans="1:37" ht="19" customHeight="1">
      <c r="B87" s="1771">
        <v>9</v>
      </c>
      <c r="C87" s="2543" t="s">
        <v>397</v>
      </c>
      <c r="D87" s="3847" t="s">
        <v>192</v>
      </c>
      <c r="E87" s="12" t="s">
        <v>3</v>
      </c>
      <c r="F87" s="1172"/>
      <c r="G87" s="1172">
        <f>$E$758</f>
        <v>15</v>
      </c>
      <c r="H87" s="188">
        <f>F758</f>
        <v>5062.5</v>
      </c>
      <c r="I87" s="1088" t="str">
        <f>G758</f>
        <v>Cost for reporting, analysis and feedback</v>
      </c>
      <c r="J87" s="377" t="str">
        <f>IF(K87=1,"Annual","Done every "&amp;K87&amp;" years")</f>
        <v>Annual</v>
      </c>
      <c r="K87" s="586">
        <f>$D$746</f>
        <v>1</v>
      </c>
      <c r="L87" s="158">
        <f>$L$16/K87</f>
        <v>80</v>
      </c>
      <c r="M87" s="586">
        <f>$L$16/L87</f>
        <v>1</v>
      </c>
      <c r="N87" s="188">
        <f>$H87*(1-(1+$L$15)^-(L87*M87))/((1+$L$15)^M87-1)*(1+((1+$L$15)^M87-1))</f>
        <v>125914.53807358607</v>
      </c>
      <c r="O87" s="242">
        <f>N87/(1+$L$15)*($L$15)/(1-(1+$L$15)^-$L$16)</f>
        <v>5062.4999999999955</v>
      </c>
      <c r="P87" s="192">
        <f>SUM(O87:O90)</f>
        <v>5062.4999999999955</v>
      </c>
      <c r="Q87" s="3036"/>
      <c r="R87" s="3036"/>
      <c r="S87" s="3036"/>
      <c r="T87" s="1039" t="s">
        <v>808</v>
      </c>
      <c r="U87" s="583">
        <f>O87/$U$16</f>
        <v>50.624999999999957</v>
      </c>
      <c r="V87" s="583">
        <f>IF($T87="L",SUM($U87:U87)*V$16,"")</f>
        <v>15.187499999999986</v>
      </c>
      <c r="W87" s="1474"/>
      <c r="X87" s="583">
        <f>IF($U87="","",SUM($U87:W87)*X$16)</f>
        <v>19.743749999999981</v>
      </c>
      <c r="Y87" s="240">
        <f t="shared" si="65"/>
        <v>34.931249999999963</v>
      </c>
      <c r="Z87" s="192">
        <f>SUM(V87:X90)</f>
        <v>34.931249999999963</v>
      </c>
      <c r="AA87" s="742">
        <f t="shared" si="66"/>
        <v>85.55624999999992</v>
      </c>
      <c r="AB87" s="192">
        <f>SUM(AA87:AA90)</f>
        <v>85.55624999999992</v>
      </c>
      <c r="AC87" s="727">
        <f t="shared" ca="1" si="67"/>
        <v>1</v>
      </c>
      <c r="AD87" s="589"/>
      <c r="AE87" s="573"/>
      <c r="AF87" s="587">
        <f>AF83+4</f>
        <v>64</v>
      </c>
      <c r="AG87" s="816">
        <f ca="1">SUM(AC87:AC90)-1</f>
        <v>0</v>
      </c>
      <c r="AH87" s="13">
        <f>$AH$16/K87</f>
        <v>5</v>
      </c>
      <c r="AI87" s="13">
        <f>$AH$16/AH87</f>
        <v>1</v>
      </c>
      <c r="AJ87" s="188">
        <f>$H87*(1-(1+$L$15)^-(AH87*AI87))/((1+$L$15)^AI87-1)*(1+((1+$L$15)^AI87-1))</f>
        <v>23438.844572800335</v>
      </c>
      <c r="AK87" s="191">
        <f>SUM(AJ87:AJ90)</f>
        <v>23438.844572800335</v>
      </c>
    </row>
    <row r="88" spans="1:37" ht="19" customHeight="1">
      <c r="B88" s="261"/>
      <c r="C88" s="2544"/>
      <c r="D88" s="3848"/>
      <c r="E88" s="12" t="s">
        <v>308</v>
      </c>
      <c r="F88" s="1172"/>
      <c r="G88" s="1172"/>
      <c r="H88" s="188"/>
      <c r="I88" s="921"/>
      <c r="J88" s="377"/>
      <c r="K88" s="586"/>
      <c r="L88" s="158"/>
      <c r="M88" s="586"/>
      <c r="N88" s="188"/>
      <c r="O88" s="242"/>
      <c r="P88" s="194"/>
      <c r="Q88" s="3037">
        <v>0</v>
      </c>
      <c r="R88" s="3037">
        <v>0</v>
      </c>
      <c r="S88" s="3037">
        <v>0</v>
      </c>
      <c r="T88" s="1034" t="s">
        <v>809</v>
      </c>
      <c r="U88" s="585"/>
      <c r="V88" s="585" t="str">
        <f>IF($T88="L",SUM($U88:U88)*V$16,"")</f>
        <v/>
      </c>
      <c r="W88" s="1475"/>
      <c r="X88" s="585" t="str">
        <f>IF($U88="","",SUM($U88:W88)*X$16)</f>
        <v/>
      </c>
      <c r="Y88" s="242" t="str">
        <f t="shared" si="65"/>
        <v/>
      </c>
      <c r="Z88" s="194"/>
      <c r="AA88" s="733" t="str">
        <f t="shared" si="66"/>
        <v/>
      </c>
      <c r="AB88" s="194"/>
      <c r="AC88" s="728" t="str">
        <f t="shared" ca="1" si="67"/>
        <v/>
      </c>
      <c r="AD88" s="589"/>
      <c r="AE88" s="1072"/>
      <c r="AF88" s="587">
        <f>AF87</f>
        <v>64</v>
      </c>
      <c r="AG88" s="587"/>
      <c r="AH88" s="13"/>
      <c r="AI88" s="13"/>
      <c r="AJ88" s="209"/>
      <c r="AK88" s="342"/>
    </row>
    <row r="89" spans="1:37" ht="19" customHeight="1">
      <c r="B89" s="261"/>
      <c r="C89" s="2544"/>
      <c r="D89" s="3848"/>
      <c r="E89" s="12" t="s">
        <v>4</v>
      </c>
      <c r="F89" s="1172"/>
      <c r="G89" s="1172"/>
      <c r="H89" s="188"/>
      <c r="I89" s="921"/>
      <c r="J89" s="377"/>
      <c r="K89" s="586"/>
      <c r="L89" s="158"/>
      <c r="M89" s="586"/>
      <c r="N89" s="188"/>
      <c r="O89" s="241"/>
      <c r="P89" s="210"/>
      <c r="Q89" s="3037"/>
      <c r="R89" s="3037"/>
      <c r="S89" s="3037"/>
      <c r="T89" s="1034" t="s">
        <v>810</v>
      </c>
      <c r="U89" s="584"/>
      <c r="V89" s="584" t="str">
        <f>IF($T89="L",SUM($U89:U89)*V$16,"")</f>
        <v/>
      </c>
      <c r="W89" s="1475"/>
      <c r="X89" s="584" t="str">
        <f>IF($U89="","",SUM($U89:W89)*X$16)</f>
        <v/>
      </c>
      <c r="Y89" s="241" t="str">
        <f t="shared" si="65"/>
        <v/>
      </c>
      <c r="Z89" s="210"/>
      <c r="AA89" s="746" t="str">
        <f t="shared" si="66"/>
        <v/>
      </c>
      <c r="AB89" s="210"/>
      <c r="AC89" s="732" t="str">
        <f t="shared" ca="1" si="67"/>
        <v/>
      </c>
      <c r="AD89" s="815"/>
      <c r="AE89" s="1072"/>
      <c r="AF89" s="587">
        <f>AF88</f>
        <v>64</v>
      </c>
      <c r="AG89" s="587"/>
      <c r="AH89" s="13"/>
      <c r="AI89" s="13"/>
      <c r="AJ89" s="188"/>
      <c r="AK89" s="477"/>
    </row>
    <row r="90" spans="1:37" ht="19" customHeight="1" thickBot="1">
      <c r="B90" s="261"/>
      <c r="C90" s="2545"/>
      <c r="D90" s="3849"/>
      <c r="E90" s="12" t="s">
        <v>21</v>
      </c>
      <c r="F90" s="1172"/>
      <c r="G90" s="1172"/>
      <c r="H90" s="188"/>
      <c r="I90" s="921"/>
      <c r="J90" s="377"/>
      <c r="K90" s="11"/>
      <c r="L90" s="1046"/>
      <c r="M90" s="1047"/>
      <c r="N90" s="1048"/>
      <c r="O90" s="726"/>
      <c r="P90" s="725"/>
      <c r="Q90" s="3038"/>
      <c r="R90" s="3038"/>
      <c r="S90" s="3038"/>
      <c r="T90" s="1040" t="s">
        <v>811</v>
      </c>
      <c r="U90" s="724"/>
      <c r="V90" s="724" t="str">
        <f>IF($T90="L",SUM($U90:U90)*V$16,"")</f>
        <v/>
      </c>
      <c r="W90" s="1478"/>
      <c r="X90" s="724" t="str">
        <f>IF($U90="","",SUM($U90:W90)*X$16)</f>
        <v/>
      </c>
      <c r="Y90" s="726" t="str">
        <f t="shared" si="65"/>
        <v/>
      </c>
      <c r="Z90" s="725"/>
      <c r="AA90" s="747" t="str">
        <f t="shared" si="66"/>
        <v/>
      </c>
      <c r="AB90" s="725"/>
      <c r="AC90" s="767" t="str">
        <f t="shared" ca="1" si="67"/>
        <v/>
      </c>
      <c r="AD90" s="1073"/>
      <c r="AE90" s="1074"/>
      <c r="AF90" s="587">
        <f>AF89</f>
        <v>64</v>
      </c>
      <c r="AG90" s="587"/>
      <c r="AH90" s="13"/>
      <c r="AI90" s="13"/>
      <c r="AJ90" s="188"/>
      <c r="AK90" s="478"/>
    </row>
    <row r="91" spans="1:37">
      <c r="C91" s="24"/>
      <c r="D91" s="238"/>
      <c r="E91"/>
      <c r="F91" s="359"/>
      <c r="H91" s="6"/>
      <c r="I91" s="359"/>
      <c r="Q91" s="2795"/>
      <c r="R91" s="2795"/>
      <c r="S91" s="2795"/>
      <c r="U91" s="5"/>
    </row>
    <row r="92" spans="1:37">
      <c r="C92" s="24"/>
      <c r="D92" s="238"/>
      <c r="E92"/>
      <c r="F92" s="359"/>
      <c r="H92" s="6"/>
      <c r="I92" s="359"/>
      <c r="Q92" s="2795"/>
      <c r="R92" s="2795"/>
      <c r="S92" s="2795"/>
      <c r="U92" s="5"/>
    </row>
    <row r="93" spans="1:37">
      <c r="C93" s="24"/>
      <c r="D93" s="238"/>
      <c r="E93"/>
      <c r="F93" s="359"/>
      <c r="H93" s="6"/>
      <c r="I93" s="359"/>
      <c r="Q93" s="2795"/>
      <c r="R93" s="2795"/>
      <c r="S93" s="2795"/>
      <c r="U93" s="5"/>
    </row>
    <row r="94" spans="1:37">
      <c r="C94" s="24"/>
      <c r="D94" s="238"/>
      <c r="E94"/>
      <c r="F94" s="359"/>
      <c r="H94" s="6"/>
      <c r="I94" s="359"/>
      <c r="Q94" s="2795"/>
      <c r="R94" s="2795"/>
      <c r="S94" s="2795"/>
      <c r="U94" s="5"/>
    </row>
    <row r="95" spans="1:37">
      <c r="C95" s="24"/>
      <c r="D95" s="238"/>
      <c r="E95"/>
      <c r="F95" s="359"/>
      <c r="H95" s="6"/>
      <c r="I95" s="359"/>
      <c r="U95" s="5"/>
    </row>
    <row r="96" spans="1:37">
      <c r="C96" s="24"/>
      <c r="D96" s="238" t="s">
        <v>299</v>
      </c>
      <c r="E96"/>
      <c r="F96" s="359"/>
      <c r="H96" s="6"/>
      <c r="I96" s="359"/>
      <c r="U96" s="5"/>
    </row>
    <row r="97" spans="3:21">
      <c r="C97" s="24"/>
      <c r="D97" s="238"/>
      <c r="E97"/>
      <c r="F97" s="359"/>
      <c r="H97" s="6"/>
      <c r="I97" s="359"/>
      <c r="U97" s="5"/>
    </row>
    <row r="98" spans="3:21">
      <c r="C98" s="24"/>
      <c r="D98" s="238"/>
      <c r="E98"/>
      <c r="F98" s="359"/>
      <c r="H98" s="6"/>
      <c r="I98" s="359"/>
      <c r="U98" s="5"/>
    </row>
    <row r="99" spans="3:21">
      <c r="C99" s="24"/>
      <c r="D99" s="238"/>
      <c r="E99"/>
      <c r="F99" s="359"/>
      <c r="H99" s="6"/>
      <c r="I99" s="359"/>
      <c r="U99" s="5"/>
    </row>
    <row r="100" spans="3:21">
      <c r="C100" s="24"/>
      <c r="D100" s="238"/>
      <c r="E100"/>
      <c r="F100" s="359"/>
      <c r="H100" s="6"/>
      <c r="I100" s="359"/>
      <c r="U100" s="5"/>
    </row>
    <row r="101" spans="3:21">
      <c r="C101" s="24"/>
      <c r="D101" s="238"/>
      <c r="E101"/>
      <c r="F101" s="359"/>
      <c r="H101" s="6"/>
      <c r="I101" s="359"/>
      <c r="U101" s="5"/>
    </row>
    <row r="102" spans="3:21">
      <c r="C102" s="24"/>
      <c r="D102" s="238"/>
      <c r="E102"/>
      <c r="F102" s="359"/>
      <c r="H102" s="6"/>
      <c r="I102" s="359"/>
      <c r="U102" s="5"/>
    </row>
    <row r="103" spans="3:21">
      <c r="C103" s="24"/>
      <c r="D103" s="238"/>
      <c r="E103"/>
      <c r="F103" s="359"/>
      <c r="H103" s="6"/>
      <c r="I103" s="359"/>
      <c r="U103" s="5"/>
    </row>
    <row r="104" spans="3:21" s="7" customFormat="1">
      <c r="E104" s="36"/>
      <c r="G104" s="1089"/>
    </row>
    <row r="105" spans="3:21" s="9" customFormat="1">
      <c r="C105" s="120" t="s">
        <v>57</v>
      </c>
      <c r="D105" s="34" t="s">
        <v>1054</v>
      </c>
      <c r="E105" s="34"/>
      <c r="G105" s="572"/>
    </row>
    <row r="106" spans="3:21" s="9" customFormat="1">
      <c r="D106" s="592" t="s">
        <v>237</v>
      </c>
      <c r="E106" s="970"/>
      <c r="G106" s="572"/>
    </row>
    <row r="107" spans="3:21" s="9" customFormat="1">
      <c r="D107" s="332" t="s">
        <v>91</v>
      </c>
      <c r="E107" s="43"/>
      <c r="F107" s="24"/>
      <c r="G107" s="359"/>
    </row>
    <row r="108" spans="3:21" s="9" customFormat="1">
      <c r="D108" s="135">
        <f>'Overall Assumptions'!$C$6</f>
        <v>100</v>
      </c>
      <c r="E108" s="246" t="s">
        <v>967</v>
      </c>
      <c r="F108"/>
      <c r="G108" s="359"/>
    </row>
    <row r="109" spans="3:21" s="9" customFormat="1">
      <c r="D109" s="332">
        <f>'Overall Assumptions'!$C$115</f>
        <v>3</v>
      </c>
      <c r="E109" s="131" t="str">
        <f>'Overall Assumptions'!$D$115</f>
        <v>weeks</v>
      </c>
      <c r="F109"/>
      <c r="G109" s="359"/>
    </row>
    <row r="110" spans="3:21" s="9" customFormat="1">
      <c r="C110" s="105"/>
      <c r="D110" s="332">
        <f>'Overall Assumptions'!$C$116</f>
        <v>15</v>
      </c>
      <c r="E110" s="131" t="str">
        <f>'Overall Assumptions'!$D$116</f>
        <v>days</v>
      </c>
      <c r="F110"/>
      <c r="G110" s="359"/>
    </row>
    <row r="111" spans="3:21" s="9" customFormat="1">
      <c r="C111" s="105"/>
      <c r="D111" s="332"/>
      <c r="E111" s="43"/>
      <c r="F111"/>
      <c r="G111" s="359"/>
    </row>
    <row r="112" spans="3:21" s="9" customFormat="1">
      <c r="C112" s="105"/>
      <c r="D112" s="268">
        <v>1</v>
      </c>
      <c r="E112" s="43" t="s">
        <v>245</v>
      </c>
      <c r="F112"/>
      <c r="G112" s="359"/>
    </row>
    <row r="113" spans="3:8" s="9" customFormat="1">
      <c r="C113" s="105"/>
      <c r="D113" s="332"/>
      <c r="E113" s="43"/>
      <c r="F113"/>
      <c r="G113" s="359"/>
    </row>
    <row r="114" spans="3:8" s="9" customFormat="1">
      <c r="C114" s="105"/>
      <c r="D114" s="332"/>
      <c r="E114" s="43"/>
      <c r="F114"/>
      <c r="G114" s="359"/>
    </row>
    <row r="115" spans="3:8" s="9" customFormat="1">
      <c r="C115" s="105"/>
      <c r="D115" s="332" t="str">
        <f>'Overall Assumptions'!$D$76</f>
        <v>Daily rate (AUD) for labour assuming 7.5 hours/day</v>
      </c>
      <c r="E115" s="246"/>
      <c r="F115"/>
      <c r="G115" s="359"/>
    </row>
    <row r="116" spans="3:8" s="9" customFormat="1">
      <c r="D116" s="614">
        <f>'Overall Assumptions'!$C$68</f>
        <v>225</v>
      </c>
      <c r="E116" s="246" t="str">
        <f>'Overall Assumptions'!$B$67</f>
        <v>Labour 1- APS Low (Entry lvl)</v>
      </c>
      <c r="F116"/>
      <c r="G116" s="359"/>
    </row>
    <row r="117" spans="3:8" s="9" customFormat="1">
      <c r="D117" s="399">
        <f>'Overall Assumptions'!$C$72</f>
        <v>337.5</v>
      </c>
      <c r="E117" s="530" t="str">
        <f>'Overall Assumptions'!$B$71</f>
        <v>Labour 2 - APS High (Experienced)</v>
      </c>
      <c r="F117"/>
      <c r="G117" s="359"/>
    </row>
    <row r="118" spans="3:8" s="9" customFormat="1">
      <c r="D118" s="112">
        <f>'Overall Assumptions'!$C$76</f>
        <v>487.5</v>
      </c>
      <c r="E118" s="45" t="str">
        <f>'Overall Assumptions'!$B$75</f>
        <v>Labour 3 - EL (Management)</v>
      </c>
      <c r="F118"/>
      <c r="G118" s="359"/>
    </row>
    <row r="119" spans="3:8" s="9" customFormat="1">
      <c r="D119" s="33"/>
      <c r="E119" s="16"/>
      <c r="F119"/>
      <c r="G119" s="359"/>
    </row>
    <row r="120" spans="3:8" s="9" customFormat="1">
      <c r="D120" s="2428"/>
      <c r="E120" s="33"/>
      <c r="F120"/>
      <c r="G120" s="359"/>
    </row>
    <row r="121" spans="3:8" s="9" customFormat="1">
      <c r="D121" s="912"/>
      <c r="E121" s="16"/>
      <c r="F121"/>
      <c r="G121" s="359"/>
    </row>
    <row r="122" spans="3:8" s="9" customFormat="1">
      <c r="D122" s="33"/>
      <c r="E122" s="16"/>
      <c r="F122"/>
      <c r="G122" s="359"/>
    </row>
    <row r="123" spans="3:8" s="9" customFormat="1">
      <c r="D123" s="33"/>
      <c r="E123" s="16"/>
      <c r="F123"/>
      <c r="G123" s="359"/>
    </row>
    <row r="124" spans="3:8" s="9" customFormat="1">
      <c r="D124" s="175"/>
      <c r="E124" s="164" t="s">
        <v>155</v>
      </c>
      <c r="F124" s="255" t="s">
        <v>166</v>
      </c>
      <c r="G124" s="1090" t="s">
        <v>69</v>
      </c>
      <c r="H124" s="108"/>
    </row>
    <row r="125" spans="3:8" s="9" customFormat="1">
      <c r="D125" s="405" t="s">
        <v>3</v>
      </c>
      <c r="E125" s="509">
        <f>D110+D120</f>
        <v>15</v>
      </c>
      <c r="F125" s="321">
        <f>E125*D117</f>
        <v>5062.5</v>
      </c>
      <c r="G125" s="1091" t="s">
        <v>1769</v>
      </c>
      <c r="H125" s="323"/>
    </row>
    <row r="126" spans="3:8" s="9" customFormat="1">
      <c r="D126" s="105"/>
      <c r="E126" s="34"/>
      <c r="G126" s="572"/>
    </row>
    <row r="127" spans="3:8" s="7" customFormat="1">
      <c r="D127" s="35"/>
      <c r="E127" s="36"/>
      <c r="G127" s="1089"/>
    </row>
    <row r="128" spans="3:8" s="7" customFormat="1">
      <c r="D128" s="35"/>
      <c r="E128" s="36"/>
      <c r="G128" s="1089"/>
    </row>
    <row r="129" spans="3:5">
      <c r="C129" s="8" t="s">
        <v>1001</v>
      </c>
      <c r="D129" s="16" t="s">
        <v>163</v>
      </c>
    </row>
    <row r="130" spans="3:5">
      <c r="D130" t="s">
        <v>168</v>
      </c>
    </row>
    <row r="131" spans="3:5">
      <c r="D131" t="s">
        <v>1734</v>
      </c>
      <c r="E131"/>
    </row>
    <row r="132" spans="3:5">
      <c r="D132"/>
      <c r="E132"/>
    </row>
    <row r="133" spans="3:5">
      <c r="D133" s="455" t="s">
        <v>986</v>
      </c>
      <c r="E133"/>
    </row>
    <row r="134" spans="3:5" ht="17">
      <c r="D134" s="456" t="s">
        <v>874</v>
      </c>
      <c r="E134"/>
    </row>
    <row r="135" spans="3:5">
      <c r="D135" s="455"/>
      <c r="E135"/>
    </row>
    <row r="136" spans="3:5">
      <c r="D136"/>
      <c r="E136"/>
    </row>
    <row r="137" spans="3:5">
      <c r="D137" s="592" t="s">
        <v>179</v>
      </c>
      <c r="E137" s="274"/>
    </row>
    <row r="138" spans="3:5">
      <c r="D138" s="974">
        <f>'Overall Assumptions'!$C$6</f>
        <v>100</v>
      </c>
      <c r="E138" s="246" t="s">
        <v>451</v>
      </c>
    </row>
    <row r="139" spans="3:5">
      <c r="D139" s="408">
        <f>'Overall Assumptions'!$C$120</f>
        <v>0.3</v>
      </c>
      <c r="E139" s="483" t="str">
        <f>'Overall Assumptions'!$D$120</f>
        <v>Percentage of field that needs to be surveyed (ground)</v>
      </c>
    </row>
    <row r="140" spans="3:5">
      <c r="D140" s="332">
        <f>D138*D139</f>
        <v>30</v>
      </c>
      <c r="E140" s="483" t="s">
        <v>450</v>
      </c>
    </row>
    <row r="141" spans="3:5">
      <c r="D141" s="447">
        <v>1</v>
      </c>
      <c r="E141" s="483" t="s">
        <v>246</v>
      </c>
    </row>
    <row r="142" spans="3:5">
      <c r="D142" s="482">
        <f>'Overall Assumptions'!$C$132</f>
        <v>0.5</v>
      </c>
      <c r="E142" s="43" t="s">
        <v>79</v>
      </c>
    </row>
    <row r="143" spans="3:5">
      <c r="D143" s="54">
        <f>D140/D142</f>
        <v>60</v>
      </c>
      <c r="E143" s="483" t="s">
        <v>972</v>
      </c>
    </row>
    <row r="144" spans="3:5">
      <c r="D144" s="42">
        <f>'Overall Assumptions'!$C$53</f>
        <v>4.46</v>
      </c>
      <c r="E144" s="631" t="s">
        <v>780</v>
      </c>
    </row>
    <row r="145" spans="3:12">
      <c r="D145" s="42">
        <f>'Overall Assumptions'!$C$54</f>
        <v>3.3449999999999998</v>
      </c>
      <c r="E145" s="631" t="s">
        <v>781</v>
      </c>
    </row>
    <row r="146" spans="3:12">
      <c r="D146" s="125">
        <f>'Overall Assumptions'!$C$55</f>
        <v>2.23</v>
      </c>
      <c r="E146" s="635" t="s">
        <v>782</v>
      </c>
    </row>
    <row r="148" spans="3:12">
      <c r="D148" s="25"/>
    </row>
    <row r="149" spans="3:12">
      <c r="D149" s="151" t="s">
        <v>179</v>
      </c>
      <c r="E149" s="164"/>
      <c r="F149" s="255"/>
      <c r="G149" s="1090"/>
      <c r="H149" s="161"/>
    </row>
    <row r="150" spans="3:12">
      <c r="D150" s="444">
        <f>10/60</f>
        <v>0.16666666666666666</v>
      </c>
      <c r="E150" s="443" t="s">
        <v>1134</v>
      </c>
      <c r="F150" s="465"/>
      <c r="G150" s="1097"/>
      <c r="H150" s="466"/>
    </row>
    <row r="151" spans="3:12">
      <c r="D151" s="332">
        <f>D140/D142</f>
        <v>60</v>
      </c>
      <c r="E151" s="16" t="s">
        <v>253</v>
      </c>
      <c r="H151" s="246"/>
    </row>
    <row r="152" spans="3:12">
      <c r="D152" s="154">
        <f>D150*D151</f>
        <v>10</v>
      </c>
      <c r="E152" s="333" t="s">
        <v>1135</v>
      </c>
      <c r="F152" s="439"/>
      <c r="G152" s="1098"/>
      <c r="H152" s="162"/>
    </row>
    <row r="153" spans="3:12">
      <c r="D153" s="152"/>
      <c r="H153" s="246"/>
    </row>
    <row r="154" spans="3:12">
      <c r="D154"/>
      <c r="E154"/>
    </row>
    <row r="155" spans="3:12">
      <c r="D155"/>
      <c r="E155"/>
    </row>
    <row r="156" spans="3:12">
      <c r="D156"/>
      <c r="K156" s="2535"/>
      <c r="L156" s="2535"/>
    </row>
    <row r="157" spans="3:12">
      <c r="D157" s="825"/>
      <c r="E157" s="825"/>
    </row>
    <row r="158" spans="3:12">
      <c r="D158"/>
      <c r="E158"/>
      <c r="F158" s="432"/>
      <c r="G158" s="1099"/>
    </row>
    <row r="159" spans="3:12" ht="19">
      <c r="C159" t="s">
        <v>50</v>
      </c>
      <c r="D159" s="37" t="s">
        <v>81</v>
      </c>
      <c r="E159" s="24"/>
      <c r="F159" s="1"/>
      <c r="G159" s="1100"/>
      <c r="H159" s="3"/>
      <c r="I159" s="3"/>
      <c r="J159" s="3"/>
    </row>
    <row r="160" spans="3:12">
      <c r="F160" s="1"/>
      <c r="G160" s="1100"/>
      <c r="H160" s="3"/>
      <c r="I160" s="3"/>
      <c r="J160" s="3"/>
    </row>
    <row r="161" spans="4:6">
      <c r="D161" s="160" t="s">
        <v>408</v>
      </c>
    </row>
    <row r="163" spans="4:6">
      <c r="D163" s="50"/>
    </row>
    <row r="164" spans="4:6">
      <c r="D164" s="51" t="s">
        <v>82</v>
      </c>
      <c r="E164" s="273"/>
      <c r="F164" s="274"/>
    </row>
    <row r="165" spans="4:6" ht="19">
      <c r="D165" s="54">
        <f>'Overall Assumptions'!$C$68</f>
        <v>225</v>
      </c>
      <c r="E165" s="1215" t="s">
        <v>99</v>
      </c>
      <c r="F165" s="246"/>
    </row>
    <row r="166" spans="4:6">
      <c r="D166" s="54">
        <f>'Overall Assumptions'!$C$130</f>
        <v>2</v>
      </c>
      <c r="E166" s="76" t="s">
        <v>84</v>
      </c>
      <c r="F166" s="246"/>
    </row>
    <row r="167" spans="4:6">
      <c r="D167" s="152"/>
      <c r="E167" s="76"/>
      <c r="F167" s="246"/>
    </row>
    <row r="168" spans="4:6">
      <c r="D168" s="42">
        <f>'Overall Assumptions'!$C$53</f>
        <v>4.46</v>
      </c>
      <c r="E168" s="629" t="s">
        <v>780</v>
      </c>
      <c r="F168" s="246"/>
    </row>
    <row r="169" spans="4:6">
      <c r="D169" s="42">
        <f>'Overall Assumptions'!$C$54</f>
        <v>3.3449999999999998</v>
      </c>
      <c r="E169" s="629" t="s">
        <v>781</v>
      </c>
      <c r="F169" s="246"/>
    </row>
    <row r="170" spans="4:6">
      <c r="D170" s="42">
        <f>'Overall Assumptions'!$C$55</f>
        <v>2.23</v>
      </c>
      <c r="E170" s="629" t="s">
        <v>782</v>
      </c>
      <c r="F170" s="246"/>
    </row>
    <row r="171" spans="4:6">
      <c r="D171" s="616"/>
      <c r="E171" s="833"/>
      <c r="F171" s="246"/>
    </row>
    <row r="172" spans="4:6">
      <c r="D172" s="467">
        <f>D143</f>
        <v>60</v>
      </c>
      <c r="E172" s="1216" t="str">
        <f>E143</f>
        <v>Effective distance to be walked along</v>
      </c>
      <c r="F172" s="246"/>
    </row>
    <row r="173" spans="4:6">
      <c r="D173" s="467"/>
      <c r="E173" s="76"/>
      <c r="F173" s="246"/>
    </row>
    <row r="174" spans="4:6">
      <c r="D174" s="468">
        <f>D152/7.5</f>
        <v>1.3333333333333333</v>
      </c>
      <c r="E174" s="76" t="s">
        <v>464</v>
      </c>
      <c r="F174" s="246"/>
    </row>
    <row r="175" spans="4:6">
      <c r="D175" s="54">
        <f>'Overall Assumptions'!$C$10</f>
        <v>0</v>
      </c>
      <c r="E175" s="76" t="s">
        <v>85</v>
      </c>
      <c r="F175" s="246"/>
    </row>
    <row r="176" spans="4:6">
      <c r="D176" s="54">
        <f>'Overall Assumptions'!$C$90</f>
        <v>80</v>
      </c>
      <c r="E176" s="76" t="s">
        <v>86</v>
      </c>
      <c r="F176" s="246"/>
    </row>
    <row r="177" spans="3:11">
      <c r="D177" s="56">
        <f>'Overall Assumptions'!$C$81</f>
        <v>210</v>
      </c>
      <c r="E177" s="333" t="s">
        <v>87</v>
      </c>
      <c r="F177" s="162"/>
      <c r="J177" s="578"/>
    </row>
    <row r="178" spans="3:11">
      <c r="D178" s="57"/>
    </row>
    <row r="179" spans="3:11">
      <c r="C179" s="21"/>
      <c r="J179" s="90"/>
    </row>
    <row r="180" spans="3:11">
      <c r="C180" s="21"/>
      <c r="D180" s="59" t="s">
        <v>735</v>
      </c>
      <c r="E180" s="2" t="s">
        <v>218</v>
      </c>
      <c r="F180" s="2" t="s">
        <v>733</v>
      </c>
      <c r="G180" s="359" t="s">
        <v>796</v>
      </c>
    </row>
    <row r="181" spans="3:11">
      <c r="C181" s="21"/>
      <c r="D181" s="46">
        <f>D168</f>
        <v>4.46</v>
      </c>
      <c r="E181" s="46">
        <f>D169</f>
        <v>3.3449999999999998</v>
      </c>
      <c r="F181" s="1219">
        <f>D170</f>
        <v>2.23</v>
      </c>
      <c r="G181" s="359" t="s">
        <v>254</v>
      </c>
      <c r="J181" s="90"/>
    </row>
    <row r="182" spans="3:11">
      <c r="C182" s="21"/>
      <c r="D182" s="77">
        <f>2*D175/D176/7.5</f>
        <v>0</v>
      </c>
      <c r="E182" s="77">
        <f>D182</f>
        <v>0</v>
      </c>
      <c r="F182" s="77">
        <f>E182</f>
        <v>0</v>
      </c>
      <c r="G182" s="59" t="s">
        <v>95</v>
      </c>
      <c r="J182" s="90"/>
    </row>
    <row r="183" spans="3:11">
      <c r="C183" s="21"/>
      <c r="D183" s="77"/>
      <c r="G183" s="16" t="s">
        <v>778</v>
      </c>
      <c r="J183" s="90"/>
    </row>
    <row r="184" spans="3:11">
      <c r="C184" s="21"/>
      <c r="J184" s="90"/>
    </row>
    <row r="185" spans="3:11" ht="18" customHeight="1">
      <c r="C185" s="21"/>
      <c r="D185" s="77">
        <f>$D172/D181/7.5</f>
        <v>1.7937219730941705</v>
      </c>
      <c r="E185" s="77">
        <f>$D172/E181/7.5</f>
        <v>2.391629297458894</v>
      </c>
      <c r="F185" s="77">
        <f>$D172/F181/7.5</f>
        <v>3.5874439461883409</v>
      </c>
      <c r="G185" s="693" t="s">
        <v>96</v>
      </c>
    </row>
    <row r="186" spans="3:11" ht="18" customHeight="1">
      <c r="C186" s="21"/>
      <c r="D186" s="77">
        <f>$D174</f>
        <v>1.3333333333333333</v>
      </c>
      <c r="E186" s="77">
        <f>$D174</f>
        <v>1.3333333333333333</v>
      </c>
      <c r="F186" s="77">
        <f>$D174</f>
        <v>1.3333333333333333</v>
      </c>
      <c r="G186" s="693" t="s">
        <v>786</v>
      </c>
    </row>
    <row r="187" spans="3:11" ht="18" customHeight="1">
      <c r="C187" s="21"/>
      <c r="D187" s="77">
        <f>SUM(D185:D186)</f>
        <v>3.1270553064275037</v>
      </c>
      <c r="E187" s="77">
        <f>SUM(E185:E186)</f>
        <v>3.724962630792227</v>
      </c>
      <c r="F187" s="77">
        <f>SUM(F185:F186)</f>
        <v>4.9207772795216744</v>
      </c>
      <c r="G187" s="693" t="s">
        <v>171</v>
      </c>
    </row>
    <row r="188" spans="3:11" ht="18" customHeight="1">
      <c r="C188" s="21"/>
      <c r="D188" s="16"/>
      <c r="E188"/>
    </row>
    <row r="189" spans="3:11" ht="18" customHeight="1">
      <c r="C189" s="21"/>
      <c r="D189" s="77">
        <f>D187*$D166</f>
        <v>6.2541106128550075</v>
      </c>
      <c r="E189" s="77">
        <f>E187*$D166</f>
        <v>7.449925261584454</v>
      </c>
      <c r="F189" s="77">
        <f>F187*$D166</f>
        <v>9.8415545590433489</v>
      </c>
      <c r="G189" s="99" t="s">
        <v>787</v>
      </c>
    </row>
    <row r="190" spans="3:11">
      <c r="C190" s="21"/>
      <c r="D190" s="16"/>
      <c r="E190"/>
      <c r="G190" s="99"/>
    </row>
    <row r="191" spans="3:11">
      <c r="C191" s="21"/>
      <c r="D191" s="63">
        <f>$D165*$D166*D185</f>
        <v>807.17488789237666</v>
      </c>
      <c r="E191" s="63">
        <f>$D165*$D166*E185</f>
        <v>1076.2331838565024</v>
      </c>
      <c r="F191" s="63">
        <f>$D165*$D166*F185</f>
        <v>1614.3497757847533</v>
      </c>
      <c r="G191" s="99" t="s">
        <v>37</v>
      </c>
      <c r="J191" s="90"/>
    </row>
    <row r="192" spans="3:11">
      <c r="C192" s="21"/>
      <c r="D192" s="63">
        <f>$D165*$D166*D186</f>
        <v>600</v>
      </c>
      <c r="E192" s="63">
        <f>$D165*$D166*E186</f>
        <v>600</v>
      </c>
      <c r="F192" s="63">
        <f>$D165*$D166*F186</f>
        <v>600</v>
      </c>
      <c r="G192" s="99" t="s">
        <v>412</v>
      </c>
      <c r="J192" s="259"/>
      <c r="K192" s="16"/>
    </row>
    <row r="193" spans="3:11">
      <c r="C193" s="21"/>
      <c r="D193" s="64">
        <f>SUM(D191:D192)</f>
        <v>1407.1748878923768</v>
      </c>
      <c r="E193" s="905">
        <f>SUM(E191:E192)</f>
        <v>1676.2331838565024</v>
      </c>
      <c r="F193" s="905">
        <f>SUM(F191:F192)</f>
        <v>2214.3497757847535</v>
      </c>
      <c r="G193" s="1101" t="s">
        <v>486</v>
      </c>
      <c r="J193" s="259"/>
      <c r="K193" s="16"/>
    </row>
    <row r="194" spans="3:11">
      <c r="F194" s="16"/>
      <c r="G194" s="99"/>
    </row>
    <row r="195" spans="3:11">
      <c r="D195" s="46"/>
      <c r="E195" s="46"/>
      <c r="F195" s="46"/>
      <c r="J195" s="65"/>
      <c r="K195" s="24"/>
    </row>
    <row r="196" spans="3:11">
      <c r="D196" s="75"/>
      <c r="E196" s="75"/>
      <c r="F196" s="75"/>
      <c r="G196" s="99"/>
      <c r="J196" s="65"/>
      <c r="K196" s="24"/>
    </row>
    <row r="197" spans="3:11">
      <c r="D197" s="75"/>
      <c r="E197" s="75"/>
      <c r="F197" s="75"/>
      <c r="G197" s="99"/>
      <c r="J197" s="65"/>
      <c r="K197" s="24"/>
    </row>
    <row r="198" spans="3:11" ht="19">
      <c r="C198" t="s">
        <v>64</v>
      </c>
      <c r="D198" s="37" t="s">
        <v>89</v>
      </c>
    </row>
    <row r="199" spans="3:11">
      <c r="C199" t="s">
        <v>54</v>
      </c>
    </row>
    <row r="201" spans="3:11">
      <c r="D201" s="16"/>
    </row>
    <row r="202" spans="3:11">
      <c r="D202" s="67" t="s">
        <v>91</v>
      </c>
      <c r="E202" s="41"/>
    </row>
    <row r="203" spans="3:11">
      <c r="D203" s="52">
        <f>'Overall Assumptions'!$C$93</f>
        <v>285</v>
      </c>
      <c r="E203" s="41" t="s">
        <v>93</v>
      </c>
    </row>
    <row r="204" spans="3:11">
      <c r="D204" s="54">
        <f>'Overall Assumptions'!$C$10</f>
        <v>0</v>
      </c>
      <c r="E204" s="43" t="s">
        <v>85</v>
      </c>
    </row>
    <row r="205" spans="3:11">
      <c r="D205" s="54"/>
      <c r="E205" s="43"/>
    </row>
    <row r="206" spans="3:11">
      <c r="D206" s="616"/>
      <c r="E206" s="43"/>
    </row>
    <row r="207" spans="3:11">
      <c r="D207" s="56"/>
      <c r="E207" s="45"/>
      <c r="J207" s="578"/>
    </row>
    <row r="208" spans="3:11">
      <c r="D208" s="75"/>
    </row>
    <row r="209" spans="3:11">
      <c r="D209" s="46">
        <f>D182</f>
        <v>0</v>
      </c>
      <c r="E209" s="46">
        <f>D209</f>
        <v>0</v>
      </c>
      <c r="F209" s="46">
        <f>E209</f>
        <v>0</v>
      </c>
      <c r="G209" s="693"/>
      <c r="J209" s="532"/>
      <c r="K209" s="59"/>
    </row>
    <row r="210" spans="3:11">
      <c r="D210" s="46">
        <f t="shared" ref="D210:F211" si="72">D185</f>
        <v>1.7937219730941705</v>
      </c>
      <c r="E210" s="46">
        <f t="shared" si="72"/>
        <v>2.391629297458894</v>
      </c>
      <c r="F210" s="46">
        <f t="shared" si="72"/>
        <v>3.5874439461883409</v>
      </c>
      <c r="G210" s="693" t="s">
        <v>98</v>
      </c>
      <c r="K210" s="59"/>
    </row>
    <row r="211" spans="3:11">
      <c r="D211" s="46">
        <f t="shared" si="72"/>
        <v>1.3333333333333333</v>
      </c>
      <c r="E211" s="46">
        <f t="shared" si="72"/>
        <v>1.3333333333333333</v>
      </c>
      <c r="F211" s="46">
        <f t="shared" si="72"/>
        <v>1.3333333333333333</v>
      </c>
      <c r="G211" s="693" t="str">
        <f>G186</f>
        <v>3rd term is the days required to do all activities (for one person)</v>
      </c>
      <c r="K211" s="59"/>
    </row>
    <row r="212" spans="3:11">
      <c r="D212" s="46"/>
      <c r="E212" s="46"/>
      <c r="F212" s="46"/>
      <c r="G212" s="693"/>
      <c r="K212" s="59"/>
    </row>
    <row r="213" spans="3:11">
      <c r="D213" s="46">
        <f>SUM(D209:D211)</f>
        <v>3.1270553064275037</v>
      </c>
      <c r="E213" s="46">
        <f>SUM(E209:E211)</f>
        <v>3.724962630792227</v>
      </c>
      <c r="F213" s="46">
        <f>SUM(F209:F211)</f>
        <v>4.9207772795216744</v>
      </c>
      <c r="G213" s="693" t="s">
        <v>135</v>
      </c>
      <c r="J213" s="90"/>
    </row>
    <row r="214" spans="3:11">
      <c r="D214" s="46"/>
      <c r="E214" s="59"/>
      <c r="J214" s="90"/>
    </row>
    <row r="215" spans="3:11">
      <c r="D215" s="63"/>
      <c r="E215" s="63"/>
      <c r="F215" s="63"/>
      <c r="G215" s="99"/>
      <c r="J215" s="259"/>
      <c r="K215" s="16"/>
    </row>
    <row r="216" spans="3:11">
      <c r="D216" s="63">
        <f>$D203*D210</f>
        <v>511.21076233183857</v>
      </c>
      <c r="E216" s="63">
        <f>$D203*E210</f>
        <v>681.61434977578483</v>
      </c>
      <c r="F216" s="63">
        <f>$D203*F210</f>
        <v>1022.4215246636771</v>
      </c>
      <c r="G216" s="99" t="s">
        <v>52</v>
      </c>
      <c r="J216" s="259"/>
      <c r="K216" s="16"/>
    </row>
    <row r="217" spans="3:11">
      <c r="D217" s="63">
        <f>$D203*D211</f>
        <v>380</v>
      </c>
      <c r="E217" s="63">
        <f>$D203*E211</f>
        <v>380</v>
      </c>
      <c r="F217" s="63">
        <f>$D203*F211</f>
        <v>380</v>
      </c>
      <c r="G217" s="99" t="s">
        <v>52</v>
      </c>
      <c r="J217" s="259"/>
      <c r="K217" s="16"/>
    </row>
    <row r="218" spans="3:11">
      <c r="D218" s="68">
        <f>SUM(D215:D217)</f>
        <v>891.21076233183862</v>
      </c>
      <c r="E218" s="906">
        <f>SUM(E215:E217)</f>
        <v>1061.6143497757848</v>
      </c>
      <c r="F218" s="906">
        <f>SUM(F215:F217)</f>
        <v>1402.4215246636772</v>
      </c>
      <c r="G218" s="1101" t="s">
        <v>53</v>
      </c>
      <c r="J218" s="65"/>
      <c r="K218" s="24"/>
    </row>
    <row r="219" spans="3:11">
      <c r="D219" s="432"/>
      <c r="J219" s="65"/>
      <c r="K219" s="24"/>
    </row>
    <row r="220" spans="3:11">
      <c r="D220" s="46">
        <f>D213</f>
        <v>3.1270553064275037</v>
      </c>
      <c r="E220" s="46">
        <f>E213</f>
        <v>3.724962630792227</v>
      </c>
      <c r="F220" s="46">
        <f>F213</f>
        <v>4.9207772795216744</v>
      </c>
      <c r="G220" s="359" t="s">
        <v>795</v>
      </c>
      <c r="J220" s="65"/>
      <c r="K220" s="24"/>
    </row>
    <row r="221" spans="3:11">
      <c r="D221" s="75">
        <f>ROUNDUP((D213/21),0)</f>
        <v>1</v>
      </c>
      <c r="E221" s="75">
        <f>ROUNDUP((E213/21),0)</f>
        <v>1</v>
      </c>
      <c r="F221" s="75">
        <f>ROUNDUP((F213/21),0)</f>
        <v>1</v>
      </c>
      <c r="G221" s="99" t="s">
        <v>739</v>
      </c>
      <c r="J221" s="65"/>
      <c r="K221" s="24"/>
    </row>
    <row r="222" spans="3:11">
      <c r="D222" s="432"/>
      <c r="J222" s="65"/>
      <c r="K222" s="24"/>
    </row>
    <row r="223" spans="3:11">
      <c r="D223" s="65"/>
      <c r="E223" s="24"/>
      <c r="J223" s="65"/>
      <c r="K223" s="24"/>
    </row>
    <row r="224" spans="3:11">
      <c r="C224" t="s">
        <v>70</v>
      </c>
      <c r="D224" s="58"/>
      <c r="E224" s="59" t="s">
        <v>156</v>
      </c>
      <c r="J224" s="65"/>
      <c r="K224" s="24"/>
    </row>
    <row r="225" spans="4:12">
      <c r="D225" s="160" t="s">
        <v>238</v>
      </c>
      <c r="E225" s="59"/>
      <c r="J225" s="65"/>
      <c r="K225" s="24"/>
    </row>
    <row r="226" spans="4:12">
      <c r="D226" s="58"/>
      <c r="E226" s="59"/>
      <c r="J226" s="65"/>
      <c r="K226" s="24"/>
    </row>
    <row r="227" spans="4:12">
      <c r="D227" s="25">
        <f>D187</f>
        <v>3.1270553064275037</v>
      </c>
      <c r="E227" s="25">
        <f>E187</f>
        <v>3.724962630792227</v>
      </c>
      <c r="F227" s="25">
        <f>F187</f>
        <v>4.9207772795216744</v>
      </c>
      <c r="G227" s="99" t="s">
        <v>157</v>
      </c>
      <c r="J227" s="65"/>
      <c r="K227" s="24"/>
    </row>
    <row r="228" spans="4:12">
      <c r="D228" s="61">
        <f>FLOOR(D227,1)</f>
        <v>3</v>
      </c>
      <c r="E228" s="61">
        <f>FLOOR(E227,1)</f>
        <v>3</v>
      </c>
      <c r="F228" s="61">
        <f>FLOOR(F227,1)</f>
        <v>4</v>
      </c>
      <c r="G228" s="99" t="s">
        <v>73</v>
      </c>
      <c r="J228" s="65"/>
      <c r="K228" s="24"/>
    </row>
    <row r="229" spans="4:12">
      <c r="D229" s="65"/>
      <c r="G229" s="1102"/>
      <c r="J229" s="65"/>
      <c r="K229" s="24"/>
    </row>
    <row r="230" spans="4:12">
      <c r="D230" s="65">
        <f>D228*$D166</f>
        <v>6</v>
      </c>
      <c r="E230" s="65">
        <f>E228*$D166</f>
        <v>6</v>
      </c>
      <c r="F230" s="65">
        <f>F228*$D166</f>
        <v>8</v>
      </c>
      <c r="G230" s="1102" t="s">
        <v>88</v>
      </c>
      <c r="J230" s="65"/>
      <c r="K230" s="24"/>
    </row>
    <row r="231" spans="4:12">
      <c r="D231" s="102">
        <f>D230*$D177</f>
        <v>1260</v>
      </c>
      <c r="E231" s="907">
        <f>E230*$D177</f>
        <v>1260</v>
      </c>
      <c r="F231" s="907">
        <f>F230*$D177</f>
        <v>1680</v>
      </c>
      <c r="G231" s="1101" t="s">
        <v>74</v>
      </c>
      <c r="J231" s="259"/>
      <c r="K231" s="16"/>
    </row>
    <row r="232" spans="4:12">
      <c r="D232" s="825"/>
      <c r="E232" s="1" t="s">
        <v>788</v>
      </c>
      <c r="F232" s="1" t="s">
        <v>779</v>
      </c>
      <c r="G232" s="1" t="s">
        <v>789</v>
      </c>
      <c r="H232" s="1" t="s">
        <v>788</v>
      </c>
      <c r="I232" s="1" t="s">
        <v>779</v>
      </c>
      <c r="J232" s="1" t="s">
        <v>789</v>
      </c>
    </row>
    <row r="233" spans="4:12">
      <c r="D233" s="617" t="s">
        <v>172</v>
      </c>
      <c r="E233" s="618" t="s">
        <v>155</v>
      </c>
      <c r="F233" s="618" t="s">
        <v>155</v>
      </c>
      <c r="G233" s="618" t="s">
        <v>155</v>
      </c>
      <c r="H233" s="618" t="s">
        <v>166</v>
      </c>
      <c r="I233" s="618" t="s">
        <v>166</v>
      </c>
      <c r="J233" s="618" t="s">
        <v>166</v>
      </c>
      <c r="K233" s="619" t="s">
        <v>69</v>
      </c>
    </row>
    <row r="234" spans="4:12">
      <c r="D234" s="404" t="s">
        <v>3</v>
      </c>
      <c r="E234" s="90">
        <f>D189</f>
        <v>6.2541106128550075</v>
      </c>
      <c r="F234" s="90">
        <f t="shared" ref="F234:G234" si="73">E189</f>
        <v>7.449925261584454</v>
      </c>
      <c r="G234" s="90">
        <f t="shared" si="73"/>
        <v>9.8415545590433489</v>
      </c>
      <c r="H234" s="432">
        <f>D193</f>
        <v>1407.1748878923768</v>
      </c>
      <c r="I234" s="432">
        <f>E193</f>
        <v>1676.2331838565024</v>
      </c>
      <c r="J234" s="432">
        <f>F193</f>
        <v>2214.3497757847535</v>
      </c>
      <c r="K234" s="830" t="str">
        <f>G193</f>
        <v>Cost for labour</v>
      </c>
      <c r="L234" s="558">
        <f>D141</f>
        <v>1</v>
      </c>
    </row>
    <row r="235" spans="4:12">
      <c r="D235" s="404" t="s">
        <v>490</v>
      </c>
      <c r="E235" s="90">
        <f>D213</f>
        <v>3.1270553064275037</v>
      </c>
      <c r="F235" s="90">
        <f t="shared" ref="F235:G235" si="74">E213</f>
        <v>3.724962630792227</v>
      </c>
      <c r="G235" s="90">
        <f t="shared" si="74"/>
        <v>4.9207772795216744</v>
      </c>
      <c r="H235" s="432">
        <f>D218</f>
        <v>891.21076233183862</v>
      </c>
      <c r="I235" s="432">
        <f>E218</f>
        <v>1061.6143497757848</v>
      </c>
      <c r="J235" s="432">
        <f>F218</f>
        <v>1402.4215246636772</v>
      </c>
      <c r="K235" s="830" t="str">
        <f>G218</f>
        <v>Cost for ute hire for the whole activity</v>
      </c>
      <c r="L235" s="558">
        <f>L234</f>
        <v>1</v>
      </c>
    </row>
    <row r="236" spans="4:12">
      <c r="D236" s="404" t="s">
        <v>169</v>
      </c>
      <c r="E236" s="90">
        <f>D230</f>
        <v>6</v>
      </c>
      <c r="F236" s="90">
        <f t="shared" ref="F236:G236" si="75">E230</f>
        <v>6</v>
      </c>
      <c r="G236" s="90">
        <f t="shared" si="75"/>
        <v>8</v>
      </c>
      <c r="H236" s="432">
        <f>D231</f>
        <v>1260</v>
      </c>
      <c r="I236" s="432">
        <f>E231</f>
        <v>1260</v>
      </c>
      <c r="J236" s="432">
        <f>F231</f>
        <v>1680</v>
      </c>
      <c r="K236" s="830" t="str">
        <f>G231</f>
        <v>Accomodation + Food Cost</v>
      </c>
      <c r="L236" s="558">
        <f>L235</f>
        <v>1</v>
      </c>
    </row>
    <row r="237" spans="4:12">
      <c r="D237" s="404"/>
      <c r="E237" s="90"/>
      <c r="F237" s="531"/>
      <c r="H237" s="432"/>
      <c r="I237" s="259"/>
      <c r="J237" s="259"/>
      <c r="K237" s="830"/>
      <c r="L237" s="558"/>
    </row>
    <row r="238" spans="4:12">
      <c r="D238" s="404"/>
      <c r="E238" s="90"/>
      <c r="F238" s="531"/>
      <c r="H238" s="432"/>
      <c r="I238" s="259"/>
      <c r="J238" s="259"/>
      <c r="K238" s="830"/>
    </row>
    <row r="239" spans="4:12">
      <c r="D239" s="405"/>
      <c r="E239" s="439"/>
      <c r="F239" s="439"/>
      <c r="G239" s="1098"/>
      <c r="H239" s="622">
        <f>SUM(H234:H238)</f>
        <v>3558.3856502242152</v>
      </c>
      <c r="I239" s="622">
        <f>SUM(I234:I238)</f>
        <v>3997.8475336322872</v>
      </c>
      <c r="J239" s="622">
        <f>SUM(J234:J238)</f>
        <v>5296.7713004484303</v>
      </c>
      <c r="K239" s="623" t="s">
        <v>165</v>
      </c>
    </row>
    <row r="240" spans="4:12">
      <c r="D240"/>
      <c r="E240"/>
      <c r="F240" s="432"/>
      <c r="G240" s="1099"/>
    </row>
    <row r="241" spans="1:36">
      <c r="D241" s="25"/>
    </row>
    <row r="242" spans="1:36" s="7" customFormat="1">
      <c r="D242" s="134"/>
      <c r="E242" s="134"/>
      <c r="G242" s="1089"/>
    </row>
    <row r="243" spans="1:36" s="7" customFormat="1">
      <c r="D243" s="103"/>
      <c r="E243" s="103"/>
      <c r="G243" s="1089"/>
      <c r="AI243"/>
      <c r="AJ243"/>
    </row>
    <row r="244" spans="1:36" s="351" customFormat="1">
      <c r="A244" s="351" t="s">
        <v>2235</v>
      </c>
      <c r="D244" s="352"/>
      <c r="E244" s="353"/>
      <c r="G244" s="1122"/>
    </row>
    <row r="245" spans="1:36" s="9" customFormat="1">
      <c r="E245" s="34"/>
      <c r="F245" s="34"/>
      <c r="G245" s="572"/>
    </row>
    <row r="246" spans="1:36" s="9" customFormat="1">
      <c r="C246" s="121" t="s">
        <v>219</v>
      </c>
      <c r="D246" s="34" t="s">
        <v>396</v>
      </c>
      <c r="E246" s="34"/>
      <c r="G246" s="572"/>
    </row>
    <row r="247" spans="1:36" s="79" customFormat="1">
      <c r="D247" s="279"/>
      <c r="E247" s="76"/>
      <c r="G247" s="1119"/>
    </row>
    <row r="248" spans="1:36" s="79" customFormat="1">
      <c r="C248" s="233"/>
      <c r="D248" s="475"/>
      <c r="E248" s="76"/>
      <c r="G248" s="1119"/>
      <c r="H248" s="129"/>
      <c r="J248" s="65"/>
      <c r="K248" s="66"/>
    </row>
    <row r="249" spans="1:36" s="79" customFormat="1">
      <c r="D249" s="65"/>
      <c r="E249" s="66"/>
      <c r="G249" s="1119"/>
      <c r="J249" s="65"/>
      <c r="K249" s="66"/>
    </row>
    <row r="250" spans="1:36" s="79" customFormat="1">
      <c r="D250" s="330">
        <v>1</v>
      </c>
      <c r="E250" s="66" t="s">
        <v>263</v>
      </c>
      <c r="G250" s="1120"/>
      <c r="H250" s="324"/>
      <c r="I250" s="325"/>
    </row>
    <row r="251" spans="1:36" s="79" customFormat="1">
      <c r="C251" s="9"/>
      <c r="D251" s="290"/>
      <c r="E251" s="124"/>
      <c r="F251" s="147"/>
      <c r="G251" s="1121"/>
      <c r="H251" s="288"/>
      <c r="I251" s="288"/>
      <c r="J251" s="289"/>
      <c r="K251" s="216"/>
    </row>
    <row r="252" spans="1:36" s="79" customFormat="1" ht="19">
      <c r="C252" s="2953" t="s">
        <v>50</v>
      </c>
      <c r="D252" s="37" t="s">
        <v>81</v>
      </c>
      <c r="E252" s="24"/>
      <c r="F252" s="1"/>
      <c r="G252" s="1100"/>
      <c r="H252" s="286"/>
      <c r="I252" s="286"/>
      <c r="J252" s="289"/>
      <c r="K252" s="216"/>
    </row>
    <row r="253" spans="1:36" s="79" customFormat="1">
      <c r="C253" s="2953"/>
      <c r="D253" s="24" t="s">
        <v>250</v>
      </c>
      <c r="E253" s="16"/>
      <c r="F253" s="1"/>
      <c r="G253" s="1100"/>
      <c r="J253" s="248"/>
      <c r="K253" s="248"/>
      <c r="L253" s="122"/>
    </row>
    <row r="254" spans="1:36" s="79" customFormat="1">
      <c r="C254" s="2953"/>
      <c r="D254" s="160" t="s">
        <v>294</v>
      </c>
      <c r="E254" s="16"/>
      <c r="F254" s="2953"/>
      <c r="G254" s="359"/>
      <c r="J254" s="248"/>
      <c r="K254" s="288"/>
      <c r="L254" s="122"/>
    </row>
    <row r="255" spans="1:36" s="79" customFormat="1">
      <c r="C255" s="2953"/>
      <c r="D255" s="50"/>
      <c r="E255" s="16"/>
      <c r="F255" s="2953"/>
      <c r="G255" s="359"/>
      <c r="J255" s="286"/>
      <c r="K255" s="286"/>
      <c r="L255" s="122"/>
    </row>
    <row r="256" spans="1:36" s="79" customFormat="1">
      <c r="C256" s="2953"/>
      <c r="D256" s="484" t="s">
        <v>82</v>
      </c>
      <c r="E256" s="41"/>
      <c r="F256" s="2953"/>
      <c r="G256" s="359"/>
      <c r="H256" s="212" t="s">
        <v>994</v>
      </c>
      <c r="I256" s="212"/>
      <c r="J256" s="216"/>
      <c r="K256" s="216"/>
    </row>
    <row r="257" spans="3:21" s="79" customFormat="1" ht="19">
      <c r="C257" s="2953"/>
      <c r="D257" s="1243">
        <f>'Overall Assumptions'!$C$72</f>
        <v>337.5</v>
      </c>
      <c r="E257" s="53" t="s">
        <v>99</v>
      </c>
      <c r="F257" s="2953"/>
      <c r="G257" s="359"/>
      <c r="H257" s="474">
        <f>AVERAGE(J258,J262)</f>
        <v>750</v>
      </c>
      <c r="K257" s="76" t="s">
        <v>480</v>
      </c>
    </row>
    <row r="258" spans="3:21" s="79" customFormat="1" ht="19">
      <c r="C258" s="2953"/>
      <c r="D258" s="54">
        <f>'Overall Assumptions'!$C$6</f>
        <v>100</v>
      </c>
      <c r="E258" s="355" t="s">
        <v>80</v>
      </c>
      <c r="F258" s="2953"/>
      <c r="G258" s="359"/>
      <c r="I258" s="65"/>
      <c r="J258" s="122">
        <v>500</v>
      </c>
      <c r="K258" s="76" t="s">
        <v>478</v>
      </c>
    </row>
    <row r="259" spans="3:21" s="79" customFormat="1">
      <c r="C259" s="2953"/>
      <c r="D259" s="482">
        <f>'Overall Assumptions'!$C$135</f>
        <v>0.2</v>
      </c>
      <c r="E259" s="43" t="s">
        <v>79</v>
      </c>
      <c r="F259" s="2953"/>
      <c r="G259" s="359"/>
      <c r="H259" s="122"/>
      <c r="I259" s="978"/>
      <c r="J259" s="122">
        <v>350</v>
      </c>
      <c r="K259" s="124" t="s">
        <v>479</v>
      </c>
      <c r="U259" s="9"/>
    </row>
    <row r="260" spans="3:21" s="79" customFormat="1">
      <c r="C260" s="2953"/>
      <c r="D260" s="54">
        <f>D258/D259</f>
        <v>500</v>
      </c>
      <c r="E260" s="483" t="s">
        <v>972</v>
      </c>
      <c r="F260" s="2953"/>
      <c r="G260" s="359"/>
      <c r="H260" s="122"/>
      <c r="I260" s="978"/>
      <c r="J260" s="129"/>
      <c r="K260" s="76"/>
      <c r="U260" s="9"/>
    </row>
    <row r="261" spans="3:21" s="79" customFormat="1">
      <c r="C261" s="2953"/>
      <c r="D261" s="42">
        <f>'Overall Assumptions'!$C$53</f>
        <v>4.46</v>
      </c>
      <c r="E261" s="631" t="s">
        <v>780</v>
      </c>
      <c r="F261" s="2953"/>
      <c r="G261" s="359"/>
      <c r="H261" s="122"/>
      <c r="I261" s="978"/>
      <c r="K261" s="79" t="s">
        <v>485</v>
      </c>
      <c r="U261" s="9"/>
    </row>
    <row r="262" spans="3:21" s="79" customFormat="1">
      <c r="C262" s="2953"/>
      <c r="D262" s="42">
        <f>'Overall Assumptions'!$C$54</f>
        <v>3.3449999999999998</v>
      </c>
      <c r="E262" s="631" t="s">
        <v>781</v>
      </c>
      <c r="F262" s="2953"/>
      <c r="G262" s="359"/>
      <c r="H262" s="122"/>
      <c r="I262" s="978"/>
      <c r="J262" s="122">
        <v>1000</v>
      </c>
      <c r="K262" s="122" t="s">
        <v>484</v>
      </c>
      <c r="U262" s="9"/>
    </row>
    <row r="263" spans="3:21" s="79" customFormat="1">
      <c r="C263" s="2953"/>
      <c r="D263" s="42">
        <f>'Overall Assumptions'!$C$55</f>
        <v>2.23</v>
      </c>
      <c r="E263" s="631" t="s">
        <v>782</v>
      </c>
      <c r="F263" s="2953"/>
      <c r="G263" s="359"/>
      <c r="H263" s="122"/>
      <c r="I263" s="978"/>
      <c r="K263" s="79" t="s">
        <v>483</v>
      </c>
      <c r="U263" s="9"/>
    </row>
    <row r="264" spans="3:21" s="79" customFormat="1">
      <c r="C264" s="2953"/>
      <c r="D264" s="354">
        <v>2</v>
      </c>
      <c r="E264" s="43" t="s">
        <v>84</v>
      </c>
      <c r="F264" s="2953"/>
      <c r="G264" s="359"/>
      <c r="H264" s="122"/>
      <c r="I264" s="978"/>
      <c r="K264" s="79" t="s">
        <v>481</v>
      </c>
      <c r="U264" s="9"/>
    </row>
    <row r="265" spans="3:21" s="79" customFormat="1">
      <c r="C265" s="2953"/>
      <c r="D265" s="44"/>
      <c r="E265" s="43"/>
      <c r="F265" s="2953"/>
      <c r="G265" s="359"/>
      <c r="H265" s="122"/>
      <c r="I265" s="978"/>
      <c r="K265" s="473" t="s">
        <v>482</v>
      </c>
      <c r="U265" s="9"/>
    </row>
    <row r="266" spans="3:21" s="79" customFormat="1">
      <c r="C266" s="2953"/>
      <c r="D266" s="548">
        <v>3</v>
      </c>
      <c r="E266" s="1021" t="s">
        <v>1022</v>
      </c>
      <c r="F266" s="2953"/>
      <c r="G266" s="359"/>
      <c r="H266" s="122" t="s">
        <v>1016</v>
      </c>
      <c r="I266" s="122"/>
      <c r="U266" s="2953"/>
    </row>
    <row r="267" spans="3:21" s="79" customFormat="1">
      <c r="C267" s="2953"/>
      <c r="D267" s="1244">
        <f>D266*D258</f>
        <v>300</v>
      </c>
      <c r="E267" s="1021" t="s">
        <v>1023</v>
      </c>
      <c r="F267" s="2953"/>
      <c r="G267" s="359"/>
      <c r="H267" s="1023" t="s">
        <v>1017</v>
      </c>
      <c r="I267" s="122"/>
      <c r="U267" s="2953"/>
    </row>
    <row r="268" spans="3:21" s="79" customFormat="1" ht="19">
      <c r="C268" s="2953"/>
      <c r="D268" s="354">
        <v>20</v>
      </c>
      <c r="E268" s="43" t="s">
        <v>1015</v>
      </c>
      <c r="F268" s="2953"/>
      <c r="G268" s="359"/>
      <c r="H268" s="1022" t="s">
        <v>1019</v>
      </c>
      <c r="I268" s="122"/>
      <c r="U268" s="2953"/>
    </row>
    <row r="269" spans="3:21" s="79" customFormat="1">
      <c r="C269" s="2953"/>
      <c r="D269" s="1020">
        <f>D267*D268</f>
        <v>6000</v>
      </c>
      <c r="E269" s="43" t="s">
        <v>1013</v>
      </c>
      <c r="F269" s="2953"/>
      <c r="G269" s="359"/>
      <c r="H269" s="122" t="s">
        <v>1018</v>
      </c>
      <c r="I269" s="122"/>
      <c r="U269" s="2953"/>
    </row>
    <row r="270" spans="3:21" s="79" customFormat="1">
      <c r="C270" s="2953"/>
      <c r="D270" s="1245">
        <f>D269/60/7.5</f>
        <v>13.333333333333334</v>
      </c>
      <c r="E270" s="96" t="s">
        <v>1021</v>
      </c>
      <c r="G270" s="359"/>
      <c r="H270" s="122" t="s">
        <v>1014</v>
      </c>
      <c r="I270" s="122"/>
      <c r="U270" s="2953"/>
    </row>
    <row r="271" spans="3:21" s="79" customFormat="1">
      <c r="C271" s="2953"/>
      <c r="D271" s="404"/>
      <c r="E271" s="246"/>
      <c r="G271" s="359"/>
      <c r="H271" s="122"/>
      <c r="I271" s="122"/>
      <c r="U271" s="2953"/>
    </row>
    <row r="272" spans="3:21" s="79" customFormat="1">
      <c r="C272" s="2953"/>
      <c r="D272" s="1020">
        <f>D269/D258</f>
        <v>60</v>
      </c>
      <c r="E272" s="43" t="s">
        <v>1012</v>
      </c>
      <c r="F272" s="2953"/>
      <c r="G272" s="359"/>
      <c r="H272" s="122"/>
      <c r="I272" s="122"/>
      <c r="U272" s="2953"/>
    </row>
    <row r="273" spans="3:21" s="79" customFormat="1">
      <c r="C273" s="2953"/>
      <c r="D273" s="1020">
        <f>D269/D260</f>
        <v>12</v>
      </c>
      <c r="E273" s="43" t="s">
        <v>1020</v>
      </c>
      <c r="F273" s="2953"/>
      <c r="G273" s="1119"/>
      <c r="H273" s="122"/>
      <c r="I273" s="122"/>
      <c r="U273" s="2953"/>
    </row>
    <row r="274" spans="3:21" s="79" customFormat="1">
      <c r="C274" s="2953"/>
      <c r="D274" s="404"/>
      <c r="E274" s="246"/>
      <c r="G274" s="1119"/>
      <c r="H274" s="122"/>
      <c r="I274" s="122"/>
      <c r="U274" s="2953"/>
    </row>
    <row r="275" spans="3:21" s="79" customFormat="1">
      <c r="C275" s="2953"/>
      <c r="D275" s="54">
        <f>'Overall Assumptions'!$C$10</f>
        <v>0</v>
      </c>
      <c r="E275" s="43" t="s">
        <v>85</v>
      </c>
      <c r="F275" s="2953"/>
      <c r="G275" s="359"/>
      <c r="H275" s="122" t="s">
        <v>996</v>
      </c>
      <c r="I275" s="122"/>
      <c r="U275" s="2953"/>
    </row>
    <row r="276" spans="3:21" s="79" customFormat="1">
      <c r="C276" s="2953"/>
      <c r="D276" s="54">
        <f>'Overall Assumptions'!$C$90</f>
        <v>80</v>
      </c>
      <c r="E276" s="43" t="s">
        <v>86</v>
      </c>
      <c r="F276" s="2953"/>
      <c r="G276" s="359"/>
      <c r="U276" s="2953"/>
    </row>
    <row r="277" spans="3:21" s="79" customFormat="1">
      <c r="C277" s="2953"/>
      <c r="D277" s="56">
        <f>'Overall Assumptions'!$C$81</f>
        <v>210</v>
      </c>
      <c r="E277" s="45" t="s">
        <v>87</v>
      </c>
      <c r="F277" s="2953"/>
      <c r="G277" s="359"/>
      <c r="U277" s="2953"/>
    </row>
    <row r="278" spans="3:21" s="79" customFormat="1">
      <c r="C278" s="2953"/>
      <c r="D278" s="75"/>
      <c r="E278" s="76"/>
      <c r="F278" s="2953"/>
      <c r="G278" s="359"/>
      <c r="U278" s="2953"/>
    </row>
    <row r="279" spans="3:21" s="79" customFormat="1">
      <c r="C279" s="2953"/>
      <c r="F279" s="2953"/>
      <c r="G279" s="359"/>
      <c r="U279" s="2953"/>
    </row>
    <row r="280" spans="3:21" s="79" customFormat="1">
      <c r="C280" s="2953"/>
      <c r="F280" s="2953"/>
      <c r="G280" s="359"/>
      <c r="U280" s="2953"/>
    </row>
    <row r="281" spans="3:21" s="79" customFormat="1">
      <c r="C281" s="2953"/>
      <c r="D281" s="79" t="s">
        <v>988</v>
      </c>
      <c r="F281" s="2953"/>
      <c r="G281" s="359"/>
      <c r="U281" s="2953"/>
    </row>
    <row r="282" spans="3:21" s="79" customFormat="1">
      <c r="C282" s="2953"/>
      <c r="G282" s="1119"/>
      <c r="U282" s="2953"/>
    </row>
    <row r="283" spans="3:21" s="79" customFormat="1">
      <c r="C283" s="2953"/>
      <c r="D283" s="79" t="s">
        <v>735</v>
      </c>
      <c r="E283" s="79" t="s">
        <v>987</v>
      </c>
      <c r="F283" s="2953" t="s">
        <v>733</v>
      </c>
      <c r="G283" s="359" t="s">
        <v>796</v>
      </c>
      <c r="U283" s="2953"/>
    </row>
    <row r="284" spans="3:21" s="79" customFormat="1">
      <c r="C284" s="2953"/>
      <c r="D284" s="132">
        <f>D261</f>
        <v>4.46</v>
      </c>
      <c r="E284" s="132">
        <f>D262</f>
        <v>3.3449999999999998</v>
      </c>
      <c r="F284" s="532">
        <f>D263</f>
        <v>2.23</v>
      </c>
      <c r="G284" s="359" t="s">
        <v>997</v>
      </c>
      <c r="U284" s="2953"/>
    </row>
    <row r="285" spans="3:21" s="79" customFormat="1">
      <c r="C285" s="2953"/>
      <c r="D285" s="336">
        <f>D258</f>
        <v>100</v>
      </c>
      <c r="E285" s="336">
        <f>D285</f>
        <v>100</v>
      </c>
      <c r="F285" s="336">
        <f>E285</f>
        <v>100</v>
      </c>
      <c r="G285" s="1119" t="s">
        <v>173</v>
      </c>
      <c r="U285" s="2953"/>
    </row>
    <row r="286" spans="3:21" s="79" customFormat="1">
      <c r="C286" s="2953"/>
      <c r="D286" s="336">
        <f>D260</f>
        <v>500</v>
      </c>
      <c r="E286" s="336">
        <f>D286</f>
        <v>500</v>
      </c>
      <c r="F286" s="336">
        <f>E286</f>
        <v>500</v>
      </c>
      <c r="G286" s="1119" t="s">
        <v>989</v>
      </c>
      <c r="U286" s="2953"/>
    </row>
    <row r="287" spans="3:21" s="79" customFormat="1">
      <c r="C287" s="2953"/>
      <c r="D287" s="132">
        <f>D286/D284/7.5</f>
        <v>14.947683109118087</v>
      </c>
      <c r="E287" s="132">
        <f>E286/E284/7.5</f>
        <v>19.930244145490786</v>
      </c>
      <c r="F287" s="132">
        <f>F286/F284/7.5</f>
        <v>29.895366218236173</v>
      </c>
      <c r="G287" s="1093" t="s">
        <v>990</v>
      </c>
      <c r="U287" s="2953"/>
    </row>
    <row r="288" spans="3:21" s="79" customFormat="1">
      <c r="C288" s="2953"/>
      <c r="D288" s="128">
        <f>$D270</f>
        <v>13.333333333333334</v>
      </c>
      <c r="E288" s="128">
        <f>$D270</f>
        <v>13.333333333333334</v>
      </c>
      <c r="F288" s="128">
        <f>$D270</f>
        <v>13.333333333333334</v>
      </c>
      <c r="G288" s="1093" t="s">
        <v>991</v>
      </c>
      <c r="U288" s="2953"/>
    </row>
    <row r="289" spans="3:21" s="79" customFormat="1">
      <c r="C289" s="2953"/>
      <c r="D289" s="132"/>
      <c r="F289" s="2953"/>
      <c r="G289" s="1093"/>
      <c r="U289" s="2953"/>
    </row>
    <row r="290" spans="3:21" s="79" customFormat="1">
      <c r="C290" s="2953"/>
      <c r="F290" s="2953"/>
      <c r="G290" s="1093"/>
      <c r="U290" s="2953"/>
    </row>
    <row r="291" spans="3:21" s="79" customFormat="1">
      <c r="C291" s="21"/>
      <c r="D291" s="296">
        <f>2*D275/D276/7.5</f>
        <v>0</v>
      </c>
      <c r="E291" s="979">
        <f>D291</f>
        <v>0</v>
      </c>
      <c r="F291" s="979">
        <f>E291</f>
        <v>0</v>
      </c>
      <c r="G291" s="693" t="s">
        <v>95</v>
      </c>
      <c r="I291" s="2953"/>
      <c r="J291" s="2953"/>
      <c r="U291" s="2953"/>
    </row>
    <row r="292" spans="3:21" s="79" customFormat="1">
      <c r="C292" s="21"/>
      <c r="D292" s="296"/>
      <c r="G292" s="1123"/>
      <c r="I292" s="2953"/>
      <c r="J292" s="2953"/>
      <c r="U292" s="2953"/>
    </row>
    <row r="293" spans="3:21" s="79" customFormat="1">
      <c r="C293" s="21"/>
      <c r="D293" s="296">
        <f t="shared" ref="D293:F294" si="76">D287</f>
        <v>14.947683109118087</v>
      </c>
      <c r="E293" s="296">
        <f t="shared" si="76"/>
        <v>19.930244145490786</v>
      </c>
      <c r="F293" s="296">
        <f t="shared" si="76"/>
        <v>29.895366218236173</v>
      </c>
      <c r="G293" s="1124" t="s">
        <v>992</v>
      </c>
      <c r="I293" s="2953"/>
      <c r="J293" s="2953"/>
      <c r="U293" s="2953"/>
    </row>
    <row r="294" spans="3:21" s="79" customFormat="1">
      <c r="C294" s="21"/>
      <c r="D294" s="297">
        <f t="shared" si="76"/>
        <v>13.333333333333334</v>
      </c>
      <c r="E294" s="297">
        <f t="shared" si="76"/>
        <v>13.333333333333334</v>
      </c>
      <c r="F294" s="297">
        <f t="shared" si="76"/>
        <v>13.333333333333334</v>
      </c>
      <c r="G294" s="693" t="s">
        <v>993</v>
      </c>
      <c r="U294" s="2953"/>
    </row>
    <row r="295" spans="3:21" s="79" customFormat="1" ht="28">
      <c r="C295" s="21"/>
      <c r="D295" s="296">
        <f>D291+D293+D294</f>
        <v>28.281016442451421</v>
      </c>
      <c r="E295" s="296">
        <f>E291+E293+E294</f>
        <v>33.263577478824118</v>
      </c>
      <c r="F295" s="296">
        <f>F291+F293+F294</f>
        <v>43.228699551569505</v>
      </c>
      <c r="G295" s="99" t="s">
        <v>157</v>
      </c>
      <c r="I295" s="19"/>
      <c r="J295" s="2953"/>
      <c r="U295" s="2953"/>
    </row>
    <row r="296" spans="3:21" s="122" customFormat="1">
      <c r="C296" s="9"/>
      <c r="D296" s="105"/>
      <c r="G296" s="1125"/>
      <c r="I296" s="9"/>
      <c r="J296" s="9"/>
      <c r="U296" s="2953"/>
    </row>
    <row r="297" spans="3:21" s="79" customFormat="1">
      <c r="C297" s="2953"/>
      <c r="D297" s="77">
        <f>D295*$D264</f>
        <v>56.562032884902841</v>
      </c>
      <c r="E297" s="77">
        <f>E295*$D264</f>
        <v>66.527154957648236</v>
      </c>
      <c r="F297" s="77">
        <f>F295*$D264</f>
        <v>86.457399103139011</v>
      </c>
      <c r="G297" s="99" t="s">
        <v>787</v>
      </c>
      <c r="I297" s="2953"/>
      <c r="J297" s="2953"/>
      <c r="U297" s="2953"/>
    </row>
    <row r="298" spans="3:21" s="79" customFormat="1">
      <c r="C298" s="2953"/>
      <c r="D298" s="77"/>
      <c r="E298" s="16"/>
      <c r="F298" s="2953"/>
      <c r="G298" s="359"/>
      <c r="U298" s="2953"/>
    </row>
    <row r="299" spans="3:21" s="79" customFormat="1">
      <c r="C299" s="21"/>
      <c r="D299" s="64">
        <f>D297*$D257</f>
        <v>19089.686098654707</v>
      </c>
      <c r="E299" s="64">
        <f>E297*$D257</f>
        <v>22452.914798206279</v>
      </c>
      <c r="F299" s="64">
        <f>F297*$D257</f>
        <v>29179.372197309414</v>
      </c>
      <c r="G299" s="1101" t="s">
        <v>486</v>
      </c>
      <c r="H299" s="276"/>
      <c r="I299" s="276"/>
      <c r="U299" s="2953"/>
    </row>
    <row r="300" spans="3:21" s="79" customFormat="1">
      <c r="C300" s="21"/>
      <c r="G300" s="1119"/>
      <c r="H300" s="276"/>
      <c r="I300" s="276"/>
      <c r="U300" s="2953"/>
    </row>
    <row r="301" spans="3:21" s="79" customFormat="1">
      <c r="C301" s="21"/>
      <c r="G301" s="1119"/>
      <c r="H301" s="276"/>
      <c r="I301" s="276"/>
      <c r="U301" s="2953"/>
    </row>
    <row r="302" spans="3:21" s="79" customFormat="1">
      <c r="C302" s="21"/>
      <c r="G302" s="1119"/>
      <c r="H302" s="119"/>
      <c r="I302" s="119"/>
      <c r="U302" s="3"/>
    </row>
    <row r="303" spans="3:21" s="79" customFormat="1">
      <c r="C303" s="21"/>
      <c r="G303" s="1119"/>
      <c r="H303" s="119"/>
      <c r="I303" s="119"/>
      <c r="L303" s="2953"/>
      <c r="U303" s="3"/>
    </row>
    <row r="304" spans="3:21" s="79" customFormat="1" ht="19">
      <c r="C304" s="2" t="s">
        <v>132</v>
      </c>
      <c r="D304" s="37" t="s">
        <v>89</v>
      </c>
      <c r="E304" s="16"/>
      <c r="F304" s="2953"/>
      <c r="G304" s="359"/>
      <c r="H304" s="2953"/>
      <c r="I304" s="2953"/>
      <c r="L304" s="2953"/>
      <c r="U304" s="3"/>
    </row>
    <row r="305" spans="3:21" s="79" customFormat="1">
      <c r="C305" s="2953" t="s">
        <v>54</v>
      </c>
      <c r="D305" s="160" t="s">
        <v>296</v>
      </c>
      <c r="E305" s="16"/>
      <c r="F305" s="2953"/>
      <c r="G305" s="359"/>
      <c r="H305" s="2953"/>
      <c r="I305" s="2953"/>
      <c r="L305" s="2953"/>
      <c r="U305" s="3"/>
    </row>
    <row r="306" spans="3:21" s="79" customFormat="1">
      <c r="C306" s="2953"/>
      <c r="D306" s="160"/>
      <c r="E306" s="16"/>
      <c r="F306" s="2953"/>
      <c r="G306" s="359"/>
      <c r="H306" s="2953"/>
      <c r="I306" s="2953"/>
      <c r="L306" s="2953"/>
      <c r="M306" s="122"/>
    </row>
    <row r="307" spans="3:21" s="79" customFormat="1">
      <c r="C307" s="2953"/>
      <c r="D307" s="16"/>
      <c r="E307" s="16"/>
      <c r="F307" s="2953"/>
      <c r="G307" s="359"/>
      <c r="H307" s="2953"/>
      <c r="I307" s="2953"/>
      <c r="L307" s="2953"/>
    </row>
    <row r="308" spans="3:21" s="79" customFormat="1">
      <c r="C308" s="2953"/>
      <c r="D308" s="67" t="s">
        <v>91</v>
      </c>
      <c r="E308" s="41"/>
      <c r="F308" s="2953"/>
      <c r="G308" s="359"/>
      <c r="H308" s="2953"/>
      <c r="I308" s="2953"/>
      <c r="L308" s="2953"/>
    </row>
    <row r="309" spans="3:21" s="79" customFormat="1">
      <c r="C309" s="2953"/>
      <c r="D309" s="52">
        <f>'Overall Assumptions'!$C$93</f>
        <v>285</v>
      </c>
      <c r="E309" s="41" t="s">
        <v>93</v>
      </c>
      <c r="F309" s="2953"/>
      <c r="G309" s="359"/>
      <c r="H309" s="2953"/>
      <c r="I309" s="2953"/>
      <c r="L309" s="2953"/>
    </row>
    <row r="310" spans="3:21" s="79" customFormat="1">
      <c r="C310" s="2953"/>
      <c r="D310" s="54">
        <v>1</v>
      </c>
      <c r="E310" s="43" t="s">
        <v>995</v>
      </c>
      <c r="F310" s="2953"/>
      <c r="G310" s="359"/>
      <c r="H310" s="2953"/>
      <c r="I310" s="2953"/>
      <c r="L310" s="2953"/>
    </row>
    <row r="311" spans="3:21" s="79" customFormat="1">
      <c r="C311" s="2953"/>
      <c r="D311" s="54"/>
      <c r="E311" s="43"/>
      <c r="F311" s="2953"/>
      <c r="G311" s="359"/>
      <c r="H311" s="2953"/>
      <c r="I311" s="2953"/>
      <c r="L311" s="274"/>
    </row>
    <row r="312" spans="3:21" s="79" customFormat="1">
      <c r="C312" s="2953"/>
      <c r="D312" s="56"/>
      <c r="E312" s="45"/>
      <c r="F312" s="2953"/>
      <c r="G312" s="359"/>
      <c r="H312" s="2953"/>
      <c r="I312" s="2953"/>
      <c r="L312" s="2953"/>
    </row>
    <row r="313" spans="3:21" s="79" customFormat="1">
      <c r="C313" s="2953"/>
      <c r="D313" s="75"/>
      <c r="E313" s="76"/>
      <c r="F313" s="2953"/>
      <c r="G313" s="359"/>
      <c r="H313" s="2953"/>
      <c r="I313" s="2953"/>
      <c r="L313" s="2953"/>
    </row>
    <row r="314" spans="3:21" s="79" customFormat="1">
      <c r="C314" s="2953"/>
      <c r="D314" s="46">
        <f>D291</f>
        <v>0</v>
      </c>
      <c r="E314" s="46">
        <f>E291</f>
        <v>0</v>
      </c>
      <c r="F314" s="46">
        <f>F291</f>
        <v>0</v>
      </c>
      <c r="G314" s="693" t="s">
        <v>97</v>
      </c>
      <c r="H314" s="2953"/>
      <c r="I314" s="2953"/>
    </row>
    <row r="315" spans="3:21" s="79" customFormat="1">
      <c r="C315" s="2953"/>
      <c r="D315" s="46">
        <f>D295</f>
        <v>28.281016442451421</v>
      </c>
      <c r="E315" s="46">
        <f>E295</f>
        <v>33.263577478824118</v>
      </c>
      <c r="F315" s="46">
        <f>F295</f>
        <v>43.228699551569505</v>
      </c>
      <c r="G315" s="693" t="s">
        <v>98</v>
      </c>
      <c r="H315" s="2953"/>
      <c r="I315" s="2953"/>
    </row>
    <row r="316" spans="3:21" s="79" customFormat="1">
      <c r="C316" s="2953"/>
      <c r="D316" s="46"/>
      <c r="F316" s="2953"/>
      <c r="G316" s="693"/>
      <c r="H316" s="2953"/>
      <c r="I316" s="2953"/>
    </row>
    <row r="317" spans="3:21" s="79" customFormat="1">
      <c r="C317" s="2953"/>
      <c r="D317" s="46">
        <f>SUM(D314:D316)</f>
        <v>28.281016442451421</v>
      </c>
      <c r="E317" s="46">
        <f>SUM(E314:E316)</f>
        <v>33.263577478824118</v>
      </c>
      <c r="F317" s="46">
        <f>SUM(F314:F316)</f>
        <v>43.228699551569505</v>
      </c>
      <c r="G317" s="693" t="s">
        <v>135</v>
      </c>
      <c r="H317" s="2953"/>
      <c r="I317" s="2953"/>
    </row>
    <row r="318" spans="3:21" s="79" customFormat="1">
      <c r="C318" s="2953"/>
      <c r="D318" s="63"/>
      <c r="E318" s="16"/>
      <c r="F318" s="2953"/>
      <c r="G318" s="359"/>
      <c r="H318" s="2953"/>
      <c r="I318" s="2953"/>
    </row>
    <row r="319" spans="3:21" s="79" customFormat="1">
      <c r="C319" s="2953"/>
      <c r="D319" s="63"/>
      <c r="E319" s="16"/>
      <c r="F319" s="2953"/>
      <c r="G319" s="359"/>
      <c r="H319" s="2953"/>
      <c r="I319" s="2953"/>
    </row>
    <row r="320" spans="3:21" s="79" customFormat="1">
      <c r="C320" s="2953" t="s">
        <v>998</v>
      </c>
      <c r="D320" s="68">
        <f>D317*$D309*$D310</f>
        <v>8060.089686098655</v>
      </c>
      <c r="E320" s="68">
        <f>E317*$D309*$D310</f>
        <v>9480.1195814648745</v>
      </c>
      <c r="F320" s="68">
        <f>F317*$D309*$D310</f>
        <v>12320.17937219731</v>
      </c>
      <c r="G320" s="1126" t="s">
        <v>53</v>
      </c>
      <c r="H320" s="2953"/>
      <c r="I320" s="2953"/>
    </row>
    <row r="321" spans="3:13" s="79" customFormat="1">
      <c r="D321" s="46">
        <f>D315</f>
        <v>28.281016442451421</v>
      </c>
      <c r="E321" s="46">
        <f>E315</f>
        <v>33.263577478824118</v>
      </c>
      <c r="F321" s="46">
        <f>F315</f>
        <v>43.228699551569505</v>
      </c>
      <c r="G321" s="359" t="s">
        <v>795</v>
      </c>
    </row>
    <row r="322" spans="3:13" s="79" customFormat="1">
      <c r="D322" s="75">
        <f>ROUNDUP((D317/21),0)</f>
        <v>2</v>
      </c>
      <c r="E322" s="75">
        <f>ROUNDUP((E317/21),0)</f>
        <v>2</v>
      </c>
      <c r="F322" s="75">
        <f>ROUNDUP((F317/21),0)</f>
        <v>3</v>
      </c>
      <c r="G322" s="99" t="s">
        <v>739</v>
      </c>
    </row>
    <row r="323" spans="3:13" s="79" customFormat="1">
      <c r="D323" s="75"/>
      <c r="E323" s="75"/>
      <c r="F323" s="75"/>
      <c r="G323" s="99"/>
    </row>
    <row r="324" spans="3:13" s="79" customFormat="1">
      <c r="C324" s="225" t="s">
        <v>70</v>
      </c>
      <c r="D324" s="230"/>
      <c r="E324" s="224" t="s">
        <v>156</v>
      </c>
      <c r="F324" s="212"/>
      <c r="G324" s="1108"/>
      <c r="H324" s="212"/>
      <c r="I324" s="119"/>
    </row>
    <row r="325" spans="3:13" s="79" customFormat="1">
      <c r="C325" s="212"/>
      <c r="D325" s="230"/>
      <c r="E325" s="224"/>
      <c r="F325" s="212"/>
      <c r="G325" s="1108"/>
      <c r="H325" s="212"/>
      <c r="I325" s="119"/>
    </row>
    <row r="326" spans="3:13" s="79" customFormat="1">
      <c r="C326" s="212"/>
      <c r="D326" s="230"/>
      <c r="E326" s="224"/>
      <c r="F326" s="212"/>
      <c r="G326" s="1108"/>
      <c r="H326" s="212"/>
      <c r="I326" s="119"/>
    </row>
    <row r="327" spans="3:13" s="79" customFormat="1">
      <c r="C327" s="212"/>
      <c r="D327" s="222">
        <f>D317</f>
        <v>28.281016442451421</v>
      </c>
      <c r="E327" s="222">
        <f>E317</f>
        <v>33.263577478824118</v>
      </c>
      <c r="F327" s="222">
        <f>F317</f>
        <v>43.228699551569505</v>
      </c>
      <c r="G327" s="1127" t="s">
        <v>157</v>
      </c>
      <c r="H327" s="212"/>
      <c r="I327" s="119"/>
    </row>
    <row r="328" spans="3:13" s="79" customFormat="1">
      <c r="C328" s="212"/>
      <c r="D328" s="229">
        <f>FLOOR(D327,1)</f>
        <v>28</v>
      </c>
      <c r="E328" s="229">
        <f>FLOOR(E327,1)</f>
        <v>33</v>
      </c>
      <c r="F328" s="229">
        <f>FLOOR(F327,1)</f>
        <v>43</v>
      </c>
      <c r="G328" s="1127" t="s">
        <v>73</v>
      </c>
      <c r="H328" s="212"/>
      <c r="I328" s="119"/>
    </row>
    <row r="329" spans="3:13" s="79" customFormat="1">
      <c r="C329" s="212"/>
      <c r="D329" s="228">
        <f>D328*$D264</f>
        <v>56</v>
      </c>
      <c r="E329" s="228">
        <f>E328*$D264</f>
        <v>66</v>
      </c>
      <c r="F329" s="228">
        <f>F328*$D264</f>
        <v>86</v>
      </c>
      <c r="G329" s="1128" t="s">
        <v>175</v>
      </c>
      <c r="H329" s="212"/>
      <c r="I329" s="119"/>
    </row>
    <row r="330" spans="3:13" s="79" customFormat="1">
      <c r="C330" s="212"/>
      <c r="D330" s="227"/>
      <c r="E330" s="227"/>
      <c r="F330" s="227"/>
      <c r="G330" s="1128" t="s">
        <v>88</v>
      </c>
      <c r="H330" s="212"/>
    </row>
    <row r="331" spans="3:13" s="79" customFormat="1">
      <c r="C331" s="212"/>
      <c r="D331" s="226">
        <f>D329*$D277</f>
        <v>11760</v>
      </c>
      <c r="E331" s="226">
        <f t="shared" ref="E331:F331" si="77">E329*$D277</f>
        <v>13860</v>
      </c>
      <c r="F331" s="226">
        <f t="shared" si="77"/>
        <v>18060</v>
      </c>
      <c r="G331" s="1129" t="s">
        <v>74</v>
      </c>
      <c r="H331" s="212"/>
      <c r="J331" s="276"/>
      <c r="K331" s="276"/>
      <c r="L331" s="276"/>
      <c r="M331" s="276"/>
    </row>
    <row r="332" spans="3:13" s="79" customFormat="1">
      <c r="D332" s="282">
        <f>$E$337</f>
        <v>538.5</v>
      </c>
      <c r="E332" s="282">
        <f t="shared" ref="E332:F332" si="78">$E$337</f>
        <v>538.5</v>
      </c>
      <c r="F332" s="282">
        <f t="shared" si="78"/>
        <v>538.5</v>
      </c>
      <c r="G332" s="1119" t="s">
        <v>2367</v>
      </c>
      <c r="J332" s="122"/>
      <c r="K332" s="136"/>
      <c r="L332" s="119"/>
      <c r="M332" s="119"/>
    </row>
    <row r="333" spans="3:13" s="79" customFormat="1">
      <c r="D333" s="21"/>
      <c r="E333" s="65"/>
      <c r="F333" s="65"/>
      <c r="G333" s="65"/>
      <c r="H333" s="1084"/>
      <c r="I333" s="276"/>
      <c r="J333" s="2145" t="s">
        <v>271</v>
      </c>
      <c r="K333" s="2953"/>
      <c r="M333" s="119"/>
    </row>
    <row r="334" spans="3:13" s="79" customFormat="1">
      <c r="D334" s="21"/>
      <c r="E334" s="65"/>
      <c r="F334" s="65"/>
      <c r="G334" s="65"/>
      <c r="H334" s="1084"/>
      <c r="I334" s="276"/>
      <c r="J334" s="9" t="s">
        <v>275</v>
      </c>
      <c r="M334" s="119"/>
    </row>
    <row r="335" spans="3:13" s="79" customFormat="1">
      <c r="D335" s="107" t="s">
        <v>1402</v>
      </c>
      <c r="E335" s="255"/>
      <c r="F335" s="255"/>
      <c r="G335" s="255"/>
      <c r="H335" s="161"/>
      <c r="I335" s="276"/>
      <c r="J335" s="349">
        <v>359</v>
      </c>
      <c r="K335" s="2953" t="s">
        <v>272</v>
      </c>
      <c r="M335" s="119"/>
    </row>
    <row r="336" spans="3:13" s="79" customFormat="1">
      <c r="D336" s="404"/>
      <c r="E336" s="3610">
        <f>J337</f>
        <v>1.7949999999999999</v>
      </c>
      <c r="F336" s="122" t="s">
        <v>2362</v>
      </c>
      <c r="H336" s="246"/>
      <c r="I336" s="276"/>
      <c r="J336" s="2953">
        <v>200</v>
      </c>
      <c r="K336" s="2953" t="s">
        <v>273</v>
      </c>
      <c r="M336" s="119"/>
    </row>
    <row r="337" spans="3:13" s="79" customFormat="1">
      <c r="D337" s="405"/>
      <c r="E337" s="176">
        <f>D267*E336</f>
        <v>538.5</v>
      </c>
      <c r="F337" s="142" t="s">
        <v>1526</v>
      </c>
      <c r="G337" s="138"/>
      <c r="H337" s="2149"/>
      <c r="I337" s="119"/>
      <c r="J337" s="2146">
        <f>J335/J336</f>
        <v>1.7949999999999999</v>
      </c>
      <c r="K337" s="2953" t="s">
        <v>274</v>
      </c>
      <c r="M337" s="119"/>
    </row>
    <row r="338" spans="3:13" s="79" customFormat="1">
      <c r="M338" s="119"/>
    </row>
    <row r="339" spans="3:13" s="79" customFormat="1">
      <c r="D339" s="283"/>
      <c r="E339" s="76"/>
      <c r="H339" s="1130" t="s">
        <v>788</v>
      </c>
      <c r="I339" s="1" t="s">
        <v>779</v>
      </c>
      <c r="J339" s="1" t="s">
        <v>789</v>
      </c>
      <c r="K339" s="122"/>
      <c r="L339" s="136"/>
      <c r="M339" s="119"/>
    </row>
    <row r="340" spans="3:13" s="79" customFormat="1">
      <c r="D340" s="143" t="s">
        <v>172</v>
      </c>
      <c r="E340" s="144" t="s">
        <v>155</v>
      </c>
      <c r="F340" s="144" t="s">
        <v>155</v>
      </c>
      <c r="G340" s="144" t="s">
        <v>155</v>
      </c>
      <c r="H340" s="1130" t="s">
        <v>166</v>
      </c>
      <c r="I340" s="1130" t="s">
        <v>166</v>
      </c>
      <c r="J340" s="1130" t="s">
        <v>166</v>
      </c>
      <c r="K340" s="145" t="s">
        <v>69</v>
      </c>
      <c r="M340" s="119"/>
    </row>
    <row r="341" spans="3:13" s="79" customFormat="1">
      <c r="D341" s="135" t="s">
        <v>3</v>
      </c>
      <c r="E341" s="136">
        <f>D297</f>
        <v>56.562032884902841</v>
      </c>
      <c r="F341" s="136">
        <f t="shared" ref="F341:G341" si="79">E297</f>
        <v>66.527154957648236</v>
      </c>
      <c r="G341" s="136">
        <f t="shared" si="79"/>
        <v>86.457399103139011</v>
      </c>
      <c r="H341" s="1092">
        <f>D299</f>
        <v>19089.686098654707</v>
      </c>
      <c r="I341" s="119">
        <f>E299</f>
        <v>22452.914798206279</v>
      </c>
      <c r="J341" s="119">
        <f>F299</f>
        <v>29179.372197309414</v>
      </c>
      <c r="K341" s="119" t="str">
        <f>G299</f>
        <v>Cost for labour</v>
      </c>
      <c r="L341" s="866">
        <f>D250</f>
        <v>1</v>
      </c>
    </row>
    <row r="342" spans="3:13" s="79" customFormat="1">
      <c r="D342" s="135" t="s">
        <v>132</v>
      </c>
      <c r="E342" s="136">
        <f>D317</f>
        <v>28.281016442451421</v>
      </c>
      <c r="F342" s="136">
        <f t="shared" ref="F342:G342" si="80">E317</f>
        <v>33.263577478824118</v>
      </c>
      <c r="G342" s="136">
        <f t="shared" si="80"/>
        <v>43.228699551569505</v>
      </c>
      <c r="H342" s="1092">
        <f>D320</f>
        <v>8060.089686098655</v>
      </c>
      <c r="I342" s="119">
        <f>E320</f>
        <v>9480.1195814648745</v>
      </c>
      <c r="J342" s="119">
        <f>F320</f>
        <v>12320.17937219731</v>
      </c>
      <c r="K342" s="119" t="s">
        <v>999</v>
      </c>
      <c r="L342" s="2466">
        <f>L341</f>
        <v>1</v>
      </c>
    </row>
    <row r="343" spans="3:13" s="79" customFormat="1">
      <c r="D343" s="135" t="s">
        <v>169</v>
      </c>
      <c r="E343" s="136">
        <f>D329</f>
        <v>56</v>
      </c>
      <c r="F343" s="136">
        <f t="shared" ref="F343:G343" si="81">E329</f>
        <v>66</v>
      </c>
      <c r="G343" s="136">
        <f t="shared" si="81"/>
        <v>86</v>
      </c>
      <c r="H343" s="1092">
        <f>SUM(D331:D332)</f>
        <v>12298.5</v>
      </c>
      <c r="I343" s="1092">
        <f>SUM(E331:E332)</f>
        <v>14398.5</v>
      </c>
      <c r="J343" s="1092">
        <f>SUM(F331:F332)</f>
        <v>18598.5</v>
      </c>
      <c r="K343" s="119" t="s">
        <v>2365</v>
      </c>
      <c r="L343" s="2466">
        <f>L342</f>
        <v>1</v>
      </c>
    </row>
    <row r="344" spans="3:13" s="79" customFormat="1">
      <c r="D344" s="137"/>
      <c r="E344" s="138"/>
      <c r="F344" s="142"/>
      <c r="H344" s="1116">
        <f>SUM(H341:H343)</f>
        <v>39448.275784753365</v>
      </c>
      <c r="I344" s="139">
        <f>SUM(I341:I343)</f>
        <v>46331.534379671153</v>
      </c>
      <c r="J344" s="139">
        <f>SUM(J341:J343)</f>
        <v>60098.051569506722</v>
      </c>
      <c r="K344" s="140" t="s">
        <v>165</v>
      </c>
      <c r="L344" s="2466"/>
    </row>
    <row r="345" spans="3:13" s="2953" customFormat="1">
      <c r="D345" s="25"/>
      <c r="E345" s="16"/>
      <c r="G345" s="359"/>
    </row>
    <row r="346" spans="3:13" s="7" customFormat="1">
      <c r="D346" s="69"/>
      <c r="E346" s="3738">
        <f>E341/100</f>
        <v>0.56562032884902846</v>
      </c>
      <c r="F346" s="3738">
        <f t="shared" ref="F346:G346" si="82">F341/100</f>
        <v>0.66527154957648238</v>
      </c>
      <c r="G346" s="3738">
        <f t="shared" si="82"/>
        <v>0.8645739910313901</v>
      </c>
    </row>
    <row r="347" spans="3:13" s="7" customFormat="1">
      <c r="D347" s="69"/>
      <c r="E347" s="3738">
        <f>E346*7.5</f>
        <v>4.2421524663677133</v>
      </c>
      <c r="G347" s="1089"/>
    </row>
    <row r="348" spans="3:13" s="9" customFormat="1">
      <c r="E348" s="34"/>
    </row>
    <row r="349" spans="3:13" s="9" customFormat="1" ht="17">
      <c r="C349" s="121" t="s">
        <v>2244</v>
      </c>
      <c r="E349" s="34"/>
      <c r="G349" s="572"/>
      <c r="H349" s="2765" t="s">
        <v>2240</v>
      </c>
    </row>
    <row r="350" spans="3:13" s="9" customFormat="1" ht="18">
      <c r="C350" s="121"/>
      <c r="D350" s="1658">
        <f>'Overall Assumptions'!$C$6</f>
        <v>100</v>
      </c>
      <c r="E350" s="319" t="s">
        <v>451</v>
      </c>
      <c r="F350" s="108"/>
      <c r="G350" s="572"/>
      <c r="H350" s="3349" t="s">
        <v>2241</v>
      </c>
    </row>
    <row r="351" spans="3:13" s="9" customFormat="1" ht="17">
      <c r="C351" s="121"/>
      <c r="D351" s="403">
        <v>1</v>
      </c>
      <c r="E351" s="124" t="s">
        <v>2239</v>
      </c>
      <c r="F351" s="109"/>
      <c r="G351" s="572"/>
      <c r="H351" s="2765" t="s">
        <v>2242</v>
      </c>
    </row>
    <row r="352" spans="3:13" s="9" customFormat="1" ht="18">
      <c r="C352" s="121"/>
      <c r="D352" s="548">
        <f>D350*D351</f>
        <v>100</v>
      </c>
      <c r="E352" s="124" t="s">
        <v>2245</v>
      </c>
      <c r="F352" s="109"/>
      <c r="G352" s="572"/>
      <c r="H352" s="3349" t="s">
        <v>2243</v>
      </c>
    </row>
    <row r="353" spans="3:25" s="9" customFormat="1">
      <c r="C353" s="121"/>
      <c r="D353" s="527">
        <f>SQRT(D352)*4</f>
        <v>40</v>
      </c>
      <c r="E353" s="322" t="s">
        <v>1319</v>
      </c>
      <c r="F353" s="323"/>
      <c r="G353" s="572"/>
    </row>
    <row r="354" spans="3:25" s="9" customFormat="1">
      <c r="C354" s="121"/>
      <c r="E354" s="867" t="s">
        <v>1315</v>
      </c>
      <c r="F354" s="34"/>
    </row>
    <row r="355" spans="3:25" s="9" customFormat="1">
      <c r="C355" s="121"/>
      <c r="E355" s="1604" t="s">
        <v>1316</v>
      </c>
      <c r="F355" s="34"/>
    </row>
    <row r="356" spans="3:25" s="9" customFormat="1">
      <c r="C356" s="121"/>
      <c r="E356" s="9" t="s">
        <v>1317</v>
      </c>
      <c r="F356" s="34"/>
    </row>
    <row r="357" spans="3:25" s="9" customFormat="1">
      <c r="C357" s="121"/>
      <c r="E357" s="9" t="s">
        <v>1318</v>
      </c>
      <c r="F357" s="34"/>
    </row>
    <row r="358" spans="3:25" s="79" customFormat="1">
      <c r="D358" s="34"/>
      <c r="E358" s="76"/>
      <c r="G358" s="1119"/>
    </row>
    <row r="359" spans="3:25" s="79" customFormat="1">
      <c r="C359" s="233"/>
      <c r="D359" s="693" t="s">
        <v>1291</v>
      </c>
      <c r="E359" s="76"/>
      <c r="G359" s="1119"/>
      <c r="H359" s="129"/>
      <c r="J359" s="34" t="s">
        <v>179</v>
      </c>
      <c r="K359" s="34"/>
      <c r="L359" s="34"/>
      <c r="M359" s="34"/>
      <c r="N359" s="34"/>
    </row>
    <row r="360" spans="3:25" s="79" customFormat="1">
      <c r="D360" s="489" t="s">
        <v>1292</v>
      </c>
      <c r="E360" s="66"/>
      <c r="G360" s="1119"/>
      <c r="J360" s="874">
        <f>'Overall Assumptions'!$C$25</f>
        <v>1.4999999999999999E-2</v>
      </c>
      <c r="K360" s="34" t="s">
        <v>881</v>
      </c>
      <c r="L360" s="34"/>
      <c r="M360" s="34"/>
      <c r="N360" s="34"/>
    </row>
    <row r="361" spans="3:25" s="79" customFormat="1">
      <c r="D361" s="444">
        <v>20</v>
      </c>
      <c r="E361" s="164" t="s">
        <v>1289</v>
      </c>
      <c r="F361" s="161"/>
      <c r="G361" s="1120"/>
      <c r="H361" s="324"/>
      <c r="J361" s="34">
        <v>40</v>
      </c>
      <c r="K361" s="34" t="s">
        <v>886</v>
      </c>
      <c r="L361" s="34"/>
      <c r="M361" s="34"/>
      <c r="N361" s="34"/>
      <c r="O361" s="34"/>
      <c r="P361" s="34"/>
      <c r="Q361" s="34"/>
      <c r="R361" s="34"/>
      <c r="S361" s="34"/>
      <c r="T361" s="34"/>
    </row>
    <row r="362" spans="3:25" s="79" customFormat="1">
      <c r="C362" s="9"/>
      <c r="D362" s="1659">
        <v>1</v>
      </c>
      <c r="E362" s="322" t="s">
        <v>1196</v>
      </c>
      <c r="F362" s="1660"/>
      <c r="G362" s="1121"/>
      <c r="H362" s="288"/>
      <c r="J362" s="34"/>
      <c r="K362" s="34"/>
      <c r="L362" s="34"/>
      <c r="M362" s="34"/>
      <c r="N362" s="34"/>
    </row>
    <row r="363" spans="3:25" s="79" customFormat="1">
      <c r="C363" s="9"/>
      <c r="D363" s="1600"/>
      <c r="E363" s="124"/>
      <c r="F363" s="147"/>
      <c r="G363" s="1121"/>
      <c r="H363" s="288"/>
      <c r="J363" s="34"/>
      <c r="K363" s="871" t="s">
        <v>880</v>
      </c>
      <c r="L363" s="34"/>
      <c r="M363" s="34"/>
      <c r="N363" s="34"/>
      <c r="O363" s="872" t="s">
        <v>892</v>
      </c>
      <c r="T363" s="16"/>
    </row>
    <row r="364" spans="3:25" s="79" customFormat="1">
      <c r="C364" s="9"/>
      <c r="D364" s="1602">
        <v>40</v>
      </c>
      <c r="E364" s="1600" t="s">
        <v>1295</v>
      </c>
      <c r="F364" s="147"/>
      <c r="G364" s="1121"/>
      <c r="H364" s="288"/>
      <c r="J364" s="34">
        <v>2500</v>
      </c>
      <c r="K364" s="34" t="s">
        <v>891</v>
      </c>
      <c r="L364" s="34"/>
      <c r="M364" s="34"/>
      <c r="N364" s="34"/>
      <c r="O364" s="16"/>
      <c r="P364" s="24" t="s">
        <v>889</v>
      </c>
      <c r="Q364" s="24"/>
      <c r="R364" s="24"/>
      <c r="S364" s="24"/>
      <c r="T364" s="16"/>
    </row>
    <row r="365" spans="3:25" s="79" customFormat="1">
      <c r="C365" s="9"/>
      <c r="E365" s="1600"/>
      <c r="F365" s="147"/>
      <c r="G365" s="1121"/>
      <c r="H365" s="288"/>
      <c r="J365" s="16">
        <f>J364/J361</f>
        <v>62.5</v>
      </c>
      <c r="K365" s="34" t="s">
        <v>887</v>
      </c>
      <c r="L365" s="34"/>
      <c r="M365" s="34"/>
      <c r="N365" s="16"/>
      <c r="O365" s="63">
        <v>4500</v>
      </c>
      <c r="P365" s="16" t="s">
        <v>890</v>
      </c>
      <c r="Q365" s="16"/>
      <c r="R365" s="16"/>
      <c r="S365" s="16"/>
      <c r="T365" s="16"/>
    </row>
    <row r="366" spans="3:25" s="79" customFormat="1">
      <c r="C366" s="1601" t="s">
        <v>1290</v>
      </c>
      <c r="D366" s="1689" t="s">
        <v>1304</v>
      </c>
      <c r="E366" s="401"/>
      <c r="F366" s="1688"/>
      <c r="G366" s="1121"/>
      <c r="H366" s="288"/>
      <c r="J366" s="34"/>
      <c r="K366" s="34"/>
      <c r="L366" s="34"/>
      <c r="M366" s="34"/>
      <c r="N366" s="16"/>
      <c r="O366" s="267">
        <f>O365*(1+J360)^8</f>
        <v>5069.2166396788753</v>
      </c>
      <c r="P366" s="34" t="s">
        <v>877</v>
      </c>
      <c r="Q366" s="34"/>
      <c r="R366" s="34"/>
      <c r="S366" s="34"/>
      <c r="T366" s="16"/>
    </row>
    <row r="367" spans="3:25" s="79" customFormat="1">
      <c r="C367" s="1601"/>
      <c r="D367" s="1661">
        <v>2500</v>
      </c>
      <c r="E367" s="1678">
        <v>2500</v>
      </c>
      <c r="F367" s="1662">
        <v>2500</v>
      </c>
      <c r="G367" s="79" t="s">
        <v>426</v>
      </c>
      <c r="H367" s="288"/>
      <c r="J367" s="267">
        <v>5800</v>
      </c>
      <c r="K367" s="105" t="s">
        <v>876</v>
      </c>
      <c r="L367" s="34"/>
      <c r="M367" s="34"/>
      <c r="N367" s="16"/>
      <c r="O367" s="63">
        <v>5000</v>
      </c>
      <c r="P367" s="34" t="s">
        <v>1303</v>
      </c>
      <c r="Q367" s="34"/>
      <c r="R367" s="34"/>
      <c r="S367" s="34"/>
      <c r="T367" s="16"/>
      <c r="W367" s="872" t="s">
        <v>894</v>
      </c>
      <c r="X367" s="34"/>
      <c r="Y367" s="34"/>
    </row>
    <row r="368" spans="3:25" s="79" customFormat="1">
      <c r="C368" s="1601"/>
      <c r="D368" s="875">
        <f>D367/$D364</f>
        <v>62.5</v>
      </c>
      <c r="E368" s="875">
        <f t="shared" ref="E368:F368" si="83">E367/$D364</f>
        <v>62.5</v>
      </c>
      <c r="F368" s="875">
        <f t="shared" si="83"/>
        <v>62.5</v>
      </c>
      <c r="G368" s="79" t="s">
        <v>1296</v>
      </c>
      <c r="H368" s="288"/>
      <c r="J368" s="267">
        <f>J367*(1+J360)^8</f>
        <v>6533.6570022527731</v>
      </c>
      <c r="K368" s="34" t="s">
        <v>877</v>
      </c>
      <c r="L368" s="34"/>
      <c r="M368" s="34"/>
      <c r="N368" s="16"/>
      <c r="O368" s="63">
        <v>3000</v>
      </c>
      <c r="P368" s="16" t="s">
        <v>885</v>
      </c>
      <c r="Q368" s="16"/>
      <c r="R368" s="16"/>
      <c r="S368" s="16"/>
      <c r="T368" s="16"/>
      <c r="W368" s="34"/>
      <c r="X368" s="521" t="s">
        <v>893</v>
      </c>
      <c r="Y368" s="16"/>
    </row>
    <row r="369" spans="3:25" s="79" customFormat="1">
      <c r="C369" s="1601"/>
      <c r="D369" s="1689" t="s">
        <v>1294</v>
      </c>
      <c r="E369" s="593"/>
      <c r="F369" s="1688"/>
      <c r="G369" s="1121"/>
      <c r="H369" s="288"/>
      <c r="J369" s="267">
        <v>7000</v>
      </c>
      <c r="K369" s="34" t="s">
        <v>879</v>
      </c>
      <c r="L369" s="34"/>
      <c r="M369" s="34"/>
      <c r="N369" s="16"/>
      <c r="O369" s="432">
        <f>O368/J361</f>
        <v>75</v>
      </c>
      <c r="P369" s="16" t="s">
        <v>888</v>
      </c>
      <c r="Q369" s="16"/>
      <c r="R369" s="16"/>
      <c r="S369" s="16"/>
      <c r="T369" s="16"/>
      <c r="W369" s="16"/>
      <c r="X369" s="105" t="s">
        <v>901</v>
      </c>
      <c r="Y369" s="16"/>
    </row>
    <row r="370" spans="3:25" s="79" customFormat="1">
      <c r="C370" s="9"/>
      <c r="D370" s="1663" t="s">
        <v>1298</v>
      </c>
      <c r="E370" s="1679" t="s">
        <v>1299</v>
      </c>
      <c r="F370" s="485" t="s">
        <v>889</v>
      </c>
      <c r="G370" s="79" t="s">
        <v>1305</v>
      </c>
      <c r="H370" s="288"/>
      <c r="J370" s="267"/>
      <c r="K370" s="34"/>
      <c r="L370" s="34"/>
      <c r="M370" s="34"/>
      <c r="N370" s="16"/>
      <c r="W370" s="16"/>
      <c r="X370" s="16" t="s">
        <v>895</v>
      </c>
      <c r="Y370" s="16"/>
    </row>
    <row r="371" spans="3:25" s="79" customFormat="1">
      <c r="C371" s="9"/>
      <c r="D371" s="1540" t="s">
        <v>1300</v>
      </c>
      <c r="E371" s="591" t="s">
        <v>1302</v>
      </c>
      <c r="F371" s="1664" t="s">
        <v>1306</v>
      </c>
      <c r="G371" s="79" t="s">
        <v>69</v>
      </c>
      <c r="H371" s="288"/>
      <c r="J371" s="267">
        <v>1000</v>
      </c>
      <c r="K371" s="34" t="s">
        <v>885</v>
      </c>
      <c r="L371" s="34"/>
      <c r="M371" s="34"/>
      <c r="N371" s="16"/>
      <c r="W371" s="16">
        <v>0.9</v>
      </c>
      <c r="X371" s="16" t="s">
        <v>896</v>
      </c>
      <c r="Y371" s="16"/>
    </row>
    <row r="372" spans="3:25" s="79" customFormat="1">
      <c r="C372" s="9"/>
      <c r="D372" s="1665">
        <f>J369</f>
        <v>7000</v>
      </c>
      <c r="E372" s="1680">
        <f>J376</f>
        <v>11000</v>
      </c>
      <c r="F372" s="1666">
        <f>O367</f>
        <v>5000</v>
      </c>
      <c r="G372" s="79" t="s">
        <v>1297</v>
      </c>
      <c r="H372" s="288"/>
      <c r="J372" s="432">
        <f>J371/J361</f>
        <v>25</v>
      </c>
      <c r="K372" s="34" t="s">
        <v>887</v>
      </c>
      <c r="L372" s="16"/>
      <c r="M372" s="16"/>
      <c r="N372" s="16"/>
      <c r="O372" s="16"/>
      <c r="P372" s="872" t="s">
        <v>884</v>
      </c>
      <c r="Q372" s="872"/>
      <c r="R372" s="872"/>
      <c r="S372" s="872"/>
      <c r="W372" s="16">
        <f>W371*52</f>
        <v>46.800000000000004</v>
      </c>
      <c r="X372" s="16" t="s">
        <v>897</v>
      </c>
      <c r="Y372" s="16"/>
    </row>
    <row r="373" spans="3:25" s="79" customFormat="1">
      <c r="C373" s="9"/>
      <c r="D373" s="1667">
        <f>J371</f>
        <v>1000</v>
      </c>
      <c r="E373" s="1078">
        <f>J379</f>
        <v>8500</v>
      </c>
      <c r="F373" s="552">
        <f>O368</f>
        <v>3000</v>
      </c>
      <c r="G373" s="1121" t="s">
        <v>1301</v>
      </c>
      <c r="H373" s="288"/>
      <c r="N373" s="16"/>
      <c r="O373" s="63">
        <v>12500</v>
      </c>
      <c r="P373" s="24" t="s">
        <v>883</v>
      </c>
      <c r="Q373" s="24"/>
      <c r="R373" s="24"/>
      <c r="S373" s="24"/>
      <c r="W373" s="864">
        <f>W372/J380</f>
        <v>0.22023529411764708</v>
      </c>
      <c r="X373" s="16" t="s">
        <v>898</v>
      </c>
      <c r="Y373" s="16"/>
    </row>
    <row r="374" spans="3:25" s="79" customFormat="1">
      <c r="C374" s="9"/>
      <c r="D374" s="535">
        <f>J372</f>
        <v>25</v>
      </c>
      <c r="E374" s="1681">
        <f>J380</f>
        <v>212.5</v>
      </c>
      <c r="F374" s="1668">
        <f>O369</f>
        <v>75</v>
      </c>
      <c r="G374" s="1121" t="s">
        <v>1307</v>
      </c>
      <c r="H374" s="288"/>
      <c r="J374" s="267">
        <v>9600</v>
      </c>
      <c r="K374" s="105" t="s">
        <v>878</v>
      </c>
      <c r="L374" s="34"/>
      <c r="M374" s="16"/>
      <c r="N374" s="16"/>
      <c r="O374" s="267">
        <f>O373*(1+J360)^5</f>
        <v>13466.050048554678</v>
      </c>
      <c r="P374" s="34" t="s">
        <v>877</v>
      </c>
      <c r="Q374" s="34"/>
      <c r="R374" s="34"/>
      <c r="S374" s="34"/>
      <c r="W374" s="825">
        <v>0.2</v>
      </c>
      <c r="X374" s="16" t="s">
        <v>899</v>
      </c>
      <c r="Y374" s="16"/>
    </row>
    <row r="375" spans="3:25" s="79" customFormat="1">
      <c r="C375" s="9"/>
      <c r="D375" s="1245"/>
      <c r="E375" s="1682"/>
      <c r="F375" s="1669"/>
      <c r="G375" s="122" t="s">
        <v>1308</v>
      </c>
      <c r="J375" s="267">
        <f>J374*(1+J360)^8</f>
        <v>10814.328831314935</v>
      </c>
      <c r="K375" s="34" t="s">
        <v>877</v>
      </c>
      <c r="L375" s="34"/>
      <c r="M375" s="16"/>
      <c r="N375" s="16"/>
      <c r="O375" s="63">
        <v>13000</v>
      </c>
      <c r="P375" s="34" t="s">
        <v>882</v>
      </c>
      <c r="Q375" s="34"/>
      <c r="R375" s="34"/>
      <c r="S375" s="34"/>
      <c r="W375" s="16"/>
      <c r="X375" s="16" t="s">
        <v>900</v>
      </c>
      <c r="Y375" s="16"/>
    </row>
    <row r="376" spans="3:25" s="79" customFormat="1">
      <c r="C376" s="1601" t="s">
        <v>1293</v>
      </c>
      <c r="D376" s="1687" t="s">
        <v>1341</v>
      </c>
      <c r="E376" s="865"/>
      <c r="F376" s="1688"/>
      <c r="G376" s="6"/>
      <c r="H376" s="288"/>
      <c r="J376" s="63">
        <v>11000</v>
      </c>
      <c r="K376" s="34" t="s">
        <v>882</v>
      </c>
      <c r="L376" s="16"/>
      <c r="M376" s="16"/>
      <c r="N376" s="16"/>
      <c r="Y376" s="16"/>
    </row>
    <row r="377" spans="3:25" s="79" customFormat="1">
      <c r="C377" s="1601"/>
      <c r="D377" s="1670">
        <v>0.1</v>
      </c>
      <c r="E377" s="1683">
        <v>0.1</v>
      </c>
      <c r="F377" s="1671">
        <v>0.1</v>
      </c>
      <c r="G377" s="6" t="s">
        <v>1311</v>
      </c>
      <c r="H377" s="288"/>
      <c r="J377" s="63"/>
      <c r="K377" s="34"/>
      <c r="L377" s="16"/>
      <c r="M377" s="16"/>
      <c r="N377" s="16"/>
      <c r="Y377" s="16"/>
    </row>
    <row r="378" spans="3:25" s="79" customFormat="1">
      <c r="C378" s="9"/>
      <c r="D378" s="1672">
        <f>D377*D372</f>
        <v>700</v>
      </c>
      <c r="E378" s="1684">
        <f>E377*E372</f>
        <v>1100</v>
      </c>
      <c r="F378" s="1673">
        <f>F377*F372</f>
        <v>500</v>
      </c>
      <c r="G378" s="79" t="s">
        <v>1312</v>
      </c>
      <c r="H378" s="288"/>
      <c r="J378" s="63"/>
      <c r="K378" s="16"/>
      <c r="L378" s="16"/>
      <c r="M378" s="16"/>
      <c r="N378" s="34"/>
      <c r="O378" s="16"/>
      <c r="P378" s="16"/>
      <c r="Q378" s="16"/>
      <c r="R378" s="16"/>
      <c r="S378" s="16"/>
      <c r="T378" s="16"/>
    </row>
    <row r="379" spans="3:25" s="79" customFormat="1">
      <c r="C379" s="9"/>
      <c r="D379" s="1674">
        <v>0.2</v>
      </c>
      <c r="E379" s="1685">
        <v>0.2</v>
      </c>
      <c r="F379" s="1675">
        <v>0.2</v>
      </c>
      <c r="G379" s="1121" t="s">
        <v>1309</v>
      </c>
      <c r="H379" s="288"/>
      <c r="J379" s="63">
        <v>8500</v>
      </c>
      <c r="K379" s="16" t="s">
        <v>885</v>
      </c>
      <c r="L379" s="16"/>
      <c r="M379" s="16"/>
      <c r="N379" s="34"/>
      <c r="Y379" s="16"/>
    </row>
    <row r="380" spans="3:25" s="79" customFormat="1">
      <c r="D380" s="1676">
        <f>D374*D379</f>
        <v>5</v>
      </c>
      <c r="E380" s="1686">
        <f>E374*E379</f>
        <v>42.5</v>
      </c>
      <c r="F380" s="1677">
        <f>F374*F379</f>
        <v>15</v>
      </c>
      <c r="G380" s="1121" t="s">
        <v>1310</v>
      </c>
      <c r="J380" s="432">
        <f>J379/J361</f>
        <v>212.5</v>
      </c>
      <c r="K380" s="16" t="s">
        <v>888</v>
      </c>
      <c r="L380" s="16"/>
      <c r="M380" s="16"/>
      <c r="N380" s="34"/>
      <c r="Y380" s="16"/>
    </row>
    <row r="381" spans="3:25" s="79" customFormat="1">
      <c r="M381" s="16"/>
      <c r="N381" s="34"/>
      <c r="Y381" s="16"/>
    </row>
    <row r="382" spans="3:25" s="79" customFormat="1">
      <c r="M382" s="16"/>
      <c r="N382" s="34"/>
      <c r="Y382" s="16"/>
    </row>
    <row r="383" spans="3:25" s="79" customFormat="1">
      <c r="M383" s="16"/>
      <c r="N383" s="34"/>
      <c r="Y383" s="16"/>
    </row>
    <row r="384" spans="3:25" s="79" customFormat="1" ht="19">
      <c r="C384" t="s">
        <v>50</v>
      </c>
      <c r="D384" s="37" t="s">
        <v>81</v>
      </c>
      <c r="E384" s="24"/>
      <c r="F384" s="1"/>
      <c r="G384" s="1100"/>
      <c r="H384" s="286"/>
      <c r="I384" s="286"/>
      <c r="J384" s="289"/>
      <c r="K384" s="216"/>
    </row>
    <row r="385" spans="3:12" s="79" customFormat="1">
      <c r="C385"/>
      <c r="D385" s="24" t="s">
        <v>250</v>
      </c>
      <c r="E385" s="16"/>
      <c r="F385" s="1"/>
      <c r="G385" s="1100"/>
      <c r="J385" s="248"/>
      <c r="K385" s="248"/>
      <c r="L385" s="122"/>
    </row>
    <row r="386" spans="3:12" s="79" customFormat="1">
      <c r="C386"/>
      <c r="D386" s="160" t="s">
        <v>294</v>
      </c>
      <c r="E386" s="16"/>
      <c r="F386"/>
      <c r="G386" s="359"/>
      <c r="J386" s="248"/>
      <c r="K386" s="288"/>
      <c r="L386" s="122"/>
    </row>
    <row r="387" spans="3:12" s="79" customFormat="1">
      <c r="C387"/>
      <c r="D387" s="50"/>
      <c r="E387" s="16"/>
      <c r="F387"/>
      <c r="G387" s="359"/>
      <c r="J387" s="286"/>
      <c r="K387" s="286"/>
      <c r="L387" s="122"/>
    </row>
    <row r="388" spans="3:12" s="79" customFormat="1">
      <c r="C388"/>
      <c r="D388" s="51" t="s">
        <v>82</v>
      </c>
      <c r="E388" s="39"/>
      <c r="F388"/>
      <c r="G388" s="359"/>
      <c r="H388" s="212"/>
      <c r="I388" s="212"/>
      <c r="J388" s="216"/>
      <c r="K388" s="216"/>
    </row>
    <row r="389" spans="3:12" s="79" customFormat="1" ht="19">
      <c r="C389"/>
      <c r="D389" s="52">
        <f>'Overall Assumptions'!$C$68</f>
        <v>225</v>
      </c>
      <c r="E389" s="53" t="s">
        <v>99</v>
      </c>
      <c r="F389"/>
      <c r="G389" s="359"/>
      <c r="J389" s="65"/>
      <c r="K389" s="66"/>
    </row>
    <row r="390" spans="3:12" s="79" customFormat="1" ht="19">
      <c r="C390"/>
      <c r="D390" s="54">
        <f>D353</f>
        <v>40</v>
      </c>
      <c r="E390" s="355" t="s">
        <v>1321</v>
      </c>
      <c r="F390"/>
      <c r="G390" s="359"/>
      <c r="I390" s="65"/>
      <c r="K390" s="66"/>
    </row>
    <row r="391" spans="3:12" s="79" customFormat="1" ht="19">
      <c r="C391"/>
      <c r="D391" s="54"/>
      <c r="E391" s="355"/>
      <c r="F391"/>
      <c r="G391" s="359"/>
      <c r="H391" s="122"/>
      <c r="I391" s="978"/>
      <c r="K391" s="66"/>
    </row>
    <row r="392" spans="3:12" s="79" customFormat="1">
      <c r="C392"/>
      <c r="D392" s="354">
        <v>2</v>
      </c>
      <c r="E392" s="43" t="s">
        <v>291</v>
      </c>
      <c r="F392"/>
      <c r="G392" s="359"/>
      <c r="H392" s="122"/>
      <c r="I392" s="122"/>
      <c r="J392" s="65"/>
      <c r="K392" s="66"/>
    </row>
    <row r="393" spans="3:12" s="79" customFormat="1">
      <c r="C393"/>
      <c r="D393" s="506"/>
      <c r="E393" s="43" t="s">
        <v>1326</v>
      </c>
      <c r="F393"/>
      <c r="G393" s="359"/>
      <c r="H393" s="122"/>
      <c r="I393" s="122"/>
      <c r="J393" s="65"/>
      <c r="K393" s="66"/>
    </row>
    <row r="394" spans="3:12" s="79" customFormat="1">
      <c r="C394"/>
      <c r="D394" s="1603" t="s">
        <v>889</v>
      </c>
      <c r="E394" s="43" t="s">
        <v>1313</v>
      </c>
      <c r="F394"/>
      <c r="G394" s="359"/>
      <c r="H394" s="122"/>
      <c r="I394" s="122"/>
      <c r="J394" s="65"/>
      <c r="K394" s="66"/>
    </row>
    <row r="395" spans="3:12" s="79" customFormat="1">
      <c r="C395"/>
      <c r="D395" s="295">
        <f>F368</f>
        <v>62.5</v>
      </c>
      <c r="E395" s="43" t="s">
        <v>1338</v>
      </c>
      <c r="F395"/>
      <c r="G395" s="359"/>
      <c r="H395" s="122"/>
      <c r="I395" s="122"/>
      <c r="J395" s="65"/>
      <c r="K395" s="66"/>
    </row>
    <row r="396" spans="3:12" s="79" customFormat="1">
      <c r="C396"/>
      <c r="D396" s="295">
        <f>F374</f>
        <v>75</v>
      </c>
      <c r="E396" s="43" t="s">
        <v>1339</v>
      </c>
      <c r="F396"/>
      <c r="G396" s="359"/>
      <c r="H396" s="122"/>
      <c r="I396" s="122"/>
      <c r="J396" s="65"/>
      <c r="K396" s="66"/>
    </row>
    <row r="397" spans="3:12" s="79" customFormat="1">
      <c r="C397"/>
      <c r="D397" s="506"/>
      <c r="E397" s="43"/>
      <c r="F397"/>
      <c r="G397" s="359"/>
      <c r="H397" s="122"/>
      <c r="I397" s="122"/>
      <c r="J397" s="65"/>
      <c r="K397" s="66"/>
    </row>
    <row r="398" spans="3:12" s="79" customFormat="1">
      <c r="C398"/>
      <c r="D398" s="295">
        <f>F380</f>
        <v>15</v>
      </c>
      <c r="E398" s="43" t="s">
        <v>1314</v>
      </c>
      <c r="F398"/>
      <c r="G398" s="359"/>
      <c r="H398" s="122"/>
      <c r="I398" s="122"/>
      <c r="J398" s="65"/>
      <c r="K398" s="66"/>
    </row>
    <row r="399" spans="3:12" s="79" customFormat="1">
      <c r="C399"/>
      <c r="D399" s="506"/>
      <c r="E399" s="43"/>
      <c r="F399"/>
      <c r="G399" s="359"/>
      <c r="H399" s="122"/>
      <c r="I399" s="122"/>
      <c r="J399" s="65"/>
      <c r="K399" s="66"/>
    </row>
    <row r="400" spans="3:12" s="79" customFormat="1">
      <c r="C400"/>
      <c r="D400" s="295">
        <f>F372</f>
        <v>5000</v>
      </c>
      <c r="E400" s="43" t="s">
        <v>1887</v>
      </c>
      <c r="F400"/>
      <c r="G400" s="359"/>
      <c r="H400" s="122"/>
      <c r="I400" s="122"/>
      <c r="J400" s="65"/>
      <c r="K400" s="66"/>
    </row>
    <row r="401" spans="3:11" s="79" customFormat="1">
      <c r="C401"/>
      <c r="D401" s="295">
        <f>F378</f>
        <v>500</v>
      </c>
      <c r="E401" s="43" t="s">
        <v>1888</v>
      </c>
      <c r="F401"/>
      <c r="G401" s="359"/>
      <c r="H401" s="122"/>
      <c r="I401" s="122"/>
      <c r="J401" s="65"/>
      <c r="K401" s="66"/>
    </row>
    <row r="402" spans="3:11" s="79" customFormat="1">
      <c r="C402"/>
      <c r="D402" s="506"/>
      <c r="E402" s="43"/>
      <c r="F402"/>
      <c r="G402" s="359"/>
      <c r="H402" s="122"/>
      <c r="I402" s="122"/>
      <c r="J402" s="65"/>
      <c r="K402" s="66"/>
    </row>
    <row r="403" spans="3:11" s="79" customFormat="1">
      <c r="C403"/>
      <c r="D403" s="54">
        <f>'Overall Assumptions'!$C$10</f>
        <v>0</v>
      </c>
      <c r="E403" s="43" t="s">
        <v>85</v>
      </c>
      <c r="F403"/>
      <c r="G403" s="359"/>
      <c r="I403" s="122"/>
      <c r="J403" s="65"/>
      <c r="K403" s="66"/>
    </row>
    <row r="404" spans="3:11" s="79" customFormat="1">
      <c r="C404"/>
      <c r="D404" s="54">
        <f>'Overall Assumptions'!$C$90</f>
        <v>80</v>
      </c>
      <c r="E404" s="43" t="s">
        <v>86</v>
      </c>
      <c r="F404"/>
      <c r="G404" s="359"/>
      <c r="J404" s="65"/>
      <c r="K404" s="66"/>
    </row>
    <row r="405" spans="3:11" s="79" customFormat="1">
      <c r="C405"/>
      <c r="D405" s="56">
        <f>'Overall Assumptions'!$C$81</f>
        <v>210</v>
      </c>
      <c r="E405" s="45" t="s">
        <v>87</v>
      </c>
      <c r="F405"/>
      <c r="G405" s="359"/>
      <c r="J405" s="65"/>
      <c r="K405" s="66"/>
    </row>
    <row r="406" spans="3:11" s="79" customFormat="1">
      <c r="C406"/>
      <c r="D406" s="57"/>
      <c r="E406" s="16"/>
      <c r="F406"/>
      <c r="G406" s="359"/>
      <c r="J406" s="65"/>
      <c r="K406" s="66"/>
    </row>
    <row r="407" spans="3:11" s="79" customFormat="1">
      <c r="C407"/>
      <c r="D407" s="57"/>
      <c r="E407" s="16"/>
      <c r="F407"/>
      <c r="G407" s="359"/>
      <c r="J407" s="65"/>
      <c r="K407" s="66"/>
    </row>
    <row r="408" spans="3:11" s="79" customFormat="1">
      <c r="C408"/>
      <c r="D408" s="57" t="s">
        <v>1322</v>
      </c>
      <c r="E408" s="124" t="s">
        <v>901</v>
      </c>
      <c r="F408"/>
      <c r="G408" s="359"/>
      <c r="J408" s="65"/>
      <c r="K408" s="66"/>
    </row>
    <row r="409" spans="3:11" s="79" customFormat="1">
      <c r="C409" s="21"/>
      <c r="D409" s="296">
        <f>2*D403/D404/7.5</f>
        <v>0</v>
      </c>
      <c r="E409" s="79">
        <f>2*D403/D404/7.5</f>
        <v>0</v>
      </c>
      <c r="F409" s="59" t="s">
        <v>95</v>
      </c>
      <c r="G409"/>
      <c r="J409" s="129"/>
      <c r="K409" s="76"/>
    </row>
    <row r="410" spans="3:11" s="79" customFormat="1">
      <c r="C410" s="21"/>
      <c r="D410" s="296"/>
      <c r="F410" s="60" t="s">
        <v>100</v>
      </c>
      <c r="G410"/>
      <c r="J410" s="65"/>
      <c r="K410" s="66"/>
    </row>
    <row r="411" spans="3:11" s="79" customFormat="1">
      <c r="C411" s="21"/>
      <c r="D411" s="296">
        <f>SUM(D395:D396)*D390/7.5</f>
        <v>733.33333333333337</v>
      </c>
      <c r="E411" s="79">
        <f>D398*D390/7.5</f>
        <v>80</v>
      </c>
      <c r="F411" s="124" t="s">
        <v>1323</v>
      </c>
      <c r="G411"/>
    </row>
    <row r="412" spans="3:11" s="79" customFormat="1">
      <c r="C412" s="21"/>
      <c r="D412" s="297"/>
      <c r="F412" s="59"/>
    </row>
    <row r="413" spans="3:11" s="79" customFormat="1" ht="28">
      <c r="C413" s="21"/>
      <c r="D413" s="296">
        <f>D415/$D392</f>
        <v>366.66666666666669</v>
      </c>
      <c r="E413" s="296">
        <f>E415/$D392</f>
        <v>40</v>
      </c>
      <c r="F413" s="16" t="s">
        <v>1327</v>
      </c>
      <c r="G413" s="19"/>
    </row>
    <row r="414" spans="3:11" s="122" customFormat="1">
      <c r="C414" s="9"/>
      <c r="D414" s="105"/>
      <c r="E414" s="105"/>
      <c r="F414" s="34"/>
      <c r="G414" s="9"/>
    </row>
    <row r="415" spans="3:11" s="79" customFormat="1">
      <c r="C415"/>
      <c r="D415" s="77">
        <f>D409+D411</f>
        <v>733.33333333333337</v>
      </c>
      <c r="E415" s="77">
        <f>E409+E411</f>
        <v>80</v>
      </c>
      <c r="F415" s="16" t="s">
        <v>133</v>
      </c>
      <c r="G415"/>
    </row>
    <row r="416" spans="3:11" s="79" customFormat="1">
      <c r="C416"/>
      <c r="D416" s="77"/>
      <c r="F416" s="16"/>
      <c r="G416"/>
    </row>
    <row r="417" spans="3:9" s="79" customFormat="1">
      <c r="C417" s="21"/>
      <c r="D417" s="64">
        <f>D415*$D389</f>
        <v>165000</v>
      </c>
      <c r="E417" s="64">
        <f>E415*$D389</f>
        <v>18000</v>
      </c>
      <c r="F417" s="39" t="s">
        <v>486</v>
      </c>
      <c r="G417"/>
      <c r="H417" s="276"/>
      <c r="I417" s="276"/>
    </row>
    <row r="418" spans="3:9" s="79" customFormat="1">
      <c r="C418" s="21"/>
      <c r="G418" s="1119"/>
      <c r="H418" s="119"/>
      <c r="I418" s="119"/>
    </row>
    <row r="419" spans="3:9" s="79" customFormat="1">
      <c r="C419" s="21"/>
      <c r="G419" s="1119"/>
      <c r="H419" s="119"/>
      <c r="I419" s="119"/>
    </row>
    <row r="420" spans="3:9" s="79" customFormat="1" ht="19">
      <c r="C420" s="2" t="s">
        <v>132</v>
      </c>
      <c r="D420" s="37" t="s">
        <v>89</v>
      </c>
      <c r="E420" s="16"/>
      <c r="F420"/>
      <c r="G420" s="359"/>
      <c r="H420"/>
      <c r="I420"/>
    </row>
    <row r="421" spans="3:9" s="79" customFormat="1">
      <c r="C421" t="s">
        <v>54</v>
      </c>
      <c r="D421" s="160" t="s">
        <v>296</v>
      </c>
      <c r="E421" s="16"/>
      <c r="F421"/>
      <c r="G421" s="359"/>
      <c r="H421"/>
      <c r="I421"/>
    </row>
    <row r="422" spans="3:9" s="79" customFormat="1">
      <c r="C422"/>
      <c r="D422" s="160"/>
      <c r="E422" s="16"/>
      <c r="F422"/>
      <c r="G422" s="359"/>
      <c r="H422"/>
      <c r="I422"/>
    </row>
    <row r="423" spans="3:9" s="79" customFormat="1">
      <c r="C423"/>
      <c r="D423" s="16"/>
      <c r="E423" s="16"/>
      <c r="F423"/>
      <c r="G423" s="359"/>
      <c r="H423"/>
      <c r="I423"/>
    </row>
    <row r="424" spans="3:9" s="79" customFormat="1">
      <c r="C424"/>
      <c r="D424" s="67" t="s">
        <v>91</v>
      </c>
      <c r="E424" s="41"/>
      <c r="F424"/>
      <c r="G424" s="359"/>
      <c r="H424"/>
      <c r="I424"/>
    </row>
    <row r="425" spans="3:9" s="79" customFormat="1">
      <c r="C425"/>
      <c r="D425" s="52">
        <f>'Overall Assumptions'!$C$93</f>
        <v>285</v>
      </c>
      <c r="E425" s="41" t="s">
        <v>93</v>
      </c>
      <c r="F425"/>
      <c r="G425" s="359"/>
      <c r="H425"/>
      <c r="I425"/>
    </row>
    <row r="426" spans="3:9" s="79" customFormat="1">
      <c r="C426"/>
      <c r="D426" s="54"/>
      <c r="E426" s="43"/>
      <c r="F426"/>
      <c r="G426" s="359"/>
      <c r="H426"/>
      <c r="I426"/>
    </row>
    <row r="427" spans="3:9" s="79" customFormat="1">
      <c r="C427"/>
      <c r="D427" s="54"/>
      <c r="E427" s="43"/>
      <c r="F427"/>
      <c r="G427" s="359"/>
      <c r="H427"/>
      <c r="I427"/>
    </row>
    <row r="428" spans="3:9" s="79" customFormat="1">
      <c r="C428"/>
      <c r="D428" s="56"/>
      <c r="E428" s="45"/>
      <c r="F428"/>
      <c r="G428" s="359"/>
      <c r="H428"/>
      <c r="I428"/>
    </row>
    <row r="429" spans="3:9" s="79" customFormat="1">
      <c r="C429"/>
      <c r="D429" s="57" t="s">
        <v>1322</v>
      </c>
      <c r="E429" s="124" t="s">
        <v>901</v>
      </c>
      <c r="F429"/>
      <c r="G429" s="359"/>
      <c r="H429"/>
      <c r="I429"/>
    </row>
    <row r="430" spans="3:9" s="79" customFormat="1">
      <c r="C430"/>
      <c r="D430" s="46">
        <f>D409</f>
        <v>0</v>
      </c>
      <c r="E430" s="46">
        <f>E409</f>
        <v>0</v>
      </c>
      <c r="F430" s="59" t="s">
        <v>97</v>
      </c>
      <c r="G430" s="359"/>
      <c r="H430"/>
      <c r="I430"/>
    </row>
    <row r="431" spans="3:9" s="79" customFormat="1">
      <c r="C431"/>
      <c r="D431" s="46">
        <f>D413</f>
        <v>366.66666666666669</v>
      </c>
      <c r="E431" s="46">
        <f>E413</f>
        <v>40</v>
      </c>
      <c r="F431" s="59" t="s">
        <v>98</v>
      </c>
      <c r="G431" s="359"/>
      <c r="H431"/>
      <c r="I431"/>
    </row>
    <row r="432" spans="3:9" s="79" customFormat="1">
      <c r="C432"/>
      <c r="D432" s="46"/>
      <c r="E432" s="46"/>
      <c r="F432" s="59"/>
      <c r="G432" s="359"/>
      <c r="H432"/>
      <c r="I432"/>
    </row>
    <row r="433" spans="3:13" s="79" customFormat="1">
      <c r="C433"/>
      <c r="D433" s="46">
        <f>SUM(D430:D432)</f>
        <v>366.66666666666669</v>
      </c>
      <c r="E433" s="46">
        <f>SUM(E430:E432)</f>
        <v>40</v>
      </c>
      <c r="F433" s="59" t="s">
        <v>1582</v>
      </c>
      <c r="G433" s="359"/>
      <c r="H433"/>
      <c r="I433"/>
    </row>
    <row r="434" spans="3:13" s="79" customFormat="1">
      <c r="C434"/>
      <c r="D434" s="63"/>
      <c r="F434" s="59"/>
      <c r="G434" s="359"/>
      <c r="H434"/>
      <c r="I434"/>
    </row>
    <row r="435" spans="3:13" s="79" customFormat="1">
      <c r="C435"/>
      <c r="D435" s="63"/>
      <c r="F435" s="16"/>
      <c r="G435" s="359"/>
      <c r="H435"/>
      <c r="I435"/>
    </row>
    <row r="436" spans="3:13" s="79" customFormat="1">
      <c r="C436"/>
      <c r="D436" s="68">
        <f>D433*$D425</f>
        <v>104500</v>
      </c>
      <c r="E436" s="68">
        <f>E433*$D425</f>
        <v>11400</v>
      </c>
      <c r="F436" s="47" t="s">
        <v>53</v>
      </c>
      <c r="G436" s="359"/>
      <c r="H436"/>
      <c r="I436"/>
    </row>
    <row r="437" spans="3:13" s="79" customFormat="1">
      <c r="G437" s="1119"/>
    </row>
    <row r="438" spans="3:13" s="79" customFormat="1">
      <c r="D438">
        <f>ROUNDUP(D439/21,0)</f>
        <v>18</v>
      </c>
      <c r="E438">
        <f>ROUNDUP(E439/21,0)</f>
        <v>2</v>
      </c>
      <c r="F438" s="359" t="s">
        <v>739</v>
      </c>
    </row>
    <row r="439" spans="3:13" s="79" customFormat="1">
      <c r="D439" s="532">
        <f>D433</f>
        <v>366.66666666666669</v>
      </c>
      <c r="E439" s="532">
        <f>E433</f>
        <v>40</v>
      </c>
      <c r="F439" s="359" t="s">
        <v>793</v>
      </c>
    </row>
    <row r="440" spans="3:13" s="79" customFormat="1">
      <c r="G440" s="1119"/>
    </row>
    <row r="441" spans="3:13" s="79" customFormat="1">
      <c r="C441" s="225" t="s">
        <v>70</v>
      </c>
      <c r="D441" s="230"/>
      <c r="E441" s="224" t="s">
        <v>156</v>
      </c>
      <c r="F441" s="212"/>
      <c r="G441" s="1108"/>
      <c r="H441" s="212"/>
      <c r="I441" s="119"/>
    </row>
    <row r="442" spans="3:13" s="79" customFormat="1">
      <c r="C442" s="212"/>
      <c r="D442" s="230"/>
      <c r="E442" s="224"/>
      <c r="F442" s="212"/>
      <c r="G442" s="1108"/>
      <c r="H442" s="212"/>
      <c r="I442" s="119"/>
    </row>
    <row r="443" spans="3:13" s="79" customFormat="1">
      <c r="C443" s="212"/>
      <c r="D443" s="57" t="s">
        <v>1322</v>
      </c>
      <c r="E443" s="124" t="s">
        <v>901</v>
      </c>
      <c r="F443" s="212"/>
      <c r="G443" s="1108"/>
      <c r="H443" s="212"/>
      <c r="I443" s="119"/>
    </row>
    <row r="444" spans="3:13" s="79" customFormat="1">
      <c r="C444" s="212"/>
      <c r="D444" s="222">
        <f>D413</f>
        <v>366.66666666666669</v>
      </c>
      <c r="E444" s="222">
        <f>E413</f>
        <v>40</v>
      </c>
      <c r="F444" s="213" t="s">
        <v>157</v>
      </c>
      <c r="G444" s="1108"/>
      <c r="H444" s="212"/>
      <c r="I444" s="119"/>
    </row>
    <row r="445" spans="3:13" s="79" customFormat="1">
      <c r="C445" s="212"/>
      <c r="D445" s="229">
        <f>FLOOR(D444,1)</f>
        <v>366</v>
      </c>
      <c r="E445" s="229">
        <f>FLOOR(E444,1)</f>
        <v>40</v>
      </c>
      <c r="F445" s="213" t="s">
        <v>73</v>
      </c>
      <c r="G445" s="1108"/>
      <c r="H445" s="212"/>
      <c r="I445" s="119"/>
    </row>
    <row r="446" spans="3:13" s="79" customFormat="1">
      <c r="C446" s="212"/>
      <c r="D446" s="228">
        <f>D445*$D392</f>
        <v>732</v>
      </c>
      <c r="E446" s="228">
        <f>E445*$D392</f>
        <v>80</v>
      </c>
      <c r="F446" s="214" t="s">
        <v>175</v>
      </c>
      <c r="G446" s="1108"/>
      <c r="H446" s="212"/>
      <c r="I446" s="119"/>
    </row>
    <row r="447" spans="3:13" s="79" customFormat="1">
      <c r="C447" s="212"/>
      <c r="D447" s="227"/>
      <c r="F447" s="214" t="s">
        <v>88</v>
      </c>
      <c r="G447" s="1108"/>
      <c r="H447" s="212"/>
    </row>
    <row r="448" spans="3:13" s="79" customFormat="1">
      <c r="C448" s="212"/>
      <c r="D448" s="226">
        <f>D446*$D405</f>
        <v>153720</v>
      </c>
      <c r="E448" s="226">
        <f>E446*$D405</f>
        <v>16800</v>
      </c>
      <c r="F448" s="221" t="s">
        <v>74</v>
      </c>
      <c r="G448" s="1108"/>
      <c r="H448" s="212"/>
      <c r="J448" s="276"/>
      <c r="K448" s="276"/>
      <c r="L448" s="276"/>
      <c r="M448" s="276"/>
    </row>
    <row r="449" spans="3:25" s="79" customFormat="1">
      <c r="D449" s="282"/>
      <c r="E449" s="76"/>
      <c r="G449" s="1119"/>
      <c r="J449" s="122"/>
      <c r="K449" s="136"/>
      <c r="L449" s="119"/>
      <c r="M449" s="119"/>
    </row>
    <row r="450" spans="3:25" s="79" customFormat="1">
      <c r="C450" s="79" t="s">
        <v>4</v>
      </c>
      <c r="D450" s="57" t="s">
        <v>1322</v>
      </c>
      <c r="E450" s="124" t="s">
        <v>901</v>
      </c>
      <c r="M450" s="16"/>
      <c r="N450" s="34"/>
      <c r="Y450" s="16"/>
    </row>
    <row r="451" spans="3:25" s="79" customFormat="1">
      <c r="D451" s="79">
        <f>$D353</f>
        <v>40</v>
      </c>
      <c r="E451" s="79">
        <f>$D353</f>
        <v>40</v>
      </c>
      <c r="F451" s="79" t="s">
        <v>1324</v>
      </c>
      <c r="M451" s="16"/>
      <c r="N451" s="34"/>
      <c r="Y451" s="16"/>
    </row>
    <row r="452" spans="3:25" s="79" customFormat="1">
      <c r="D452" s="129">
        <f>D400</f>
        <v>5000</v>
      </c>
      <c r="E452" s="129">
        <f>D401</f>
        <v>500</v>
      </c>
      <c r="F452" s="79" t="s">
        <v>1325</v>
      </c>
      <c r="M452" s="16"/>
      <c r="N452" s="34"/>
      <c r="Y452" s="16"/>
    </row>
    <row r="453" spans="3:25" s="79" customFormat="1">
      <c r="D453" s="1606">
        <f>D451*D452</f>
        <v>200000</v>
      </c>
      <c r="E453" s="1597">
        <f>E451*E452</f>
        <v>20000</v>
      </c>
      <c r="F453" s="274" t="s">
        <v>1330</v>
      </c>
      <c r="M453" s="16"/>
      <c r="N453" s="34"/>
      <c r="Y453" s="16"/>
    </row>
    <row r="454" spans="3:25" s="79" customFormat="1">
      <c r="M454" s="16"/>
      <c r="N454" s="34"/>
      <c r="Y454" s="16"/>
    </row>
    <row r="455" spans="3:25" s="79" customFormat="1">
      <c r="M455" s="16"/>
      <c r="N455" s="34"/>
      <c r="Y455" s="16"/>
    </row>
    <row r="456" spans="3:25" s="79" customFormat="1">
      <c r="C456" s="79" t="s">
        <v>21</v>
      </c>
      <c r="D456" s="781">
        <v>10000</v>
      </c>
      <c r="E456" s="401"/>
      <c r="F456" s="118" t="s">
        <v>1336</v>
      </c>
      <c r="M456" s="16"/>
      <c r="N456" s="34"/>
      <c r="Y456" s="16"/>
    </row>
    <row r="457" spans="3:25" s="79" customFormat="1">
      <c r="D457" s="1740">
        <v>10</v>
      </c>
      <c r="E457" s="284"/>
      <c r="F457" s="78" t="s">
        <v>1356</v>
      </c>
      <c r="G457" s="1119"/>
      <c r="J457" s="122"/>
      <c r="K457" s="136"/>
      <c r="L457" s="119"/>
      <c r="M457" s="119"/>
    </row>
    <row r="458" spans="3:25" s="79" customFormat="1">
      <c r="D458" s="1740"/>
      <c r="E458" s="284"/>
      <c r="F458" s="78"/>
      <c r="G458" s="1119"/>
      <c r="J458" s="122"/>
      <c r="K458" s="136"/>
      <c r="L458" s="119"/>
      <c r="M458" s="119"/>
    </row>
    <row r="459" spans="3:25" s="79" customFormat="1">
      <c r="D459" s="283"/>
      <c r="E459" s="76" t="s">
        <v>2368</v>
      </c>
      <c r="F459" s="122" t="s">
        <v>1195</v>
      </c>
      <c r="G459" s="1119" t="s">
        <v>1328</v>
      </c>
      <c r="I459" s="79" t="s">
        <v>1329</v>
      </c>
      <c r="J459" s="122"/>
      <c r="K459" s="136"/>
      <c r="L459" s="119"/>
      <c r="M459" s="119"/>
    </row>
    <row r="460" spans="3:25" s="79" customFormat="1">
      <c r="D460" s="143" t="s">
        <v>172</v>
      </c>
      <c r="E460" s="144" t="s">
        <v>155</v>
      </c>
      <c r="F460" s="144" t="s">
        <v>138</v>
      </c>
      <c r="G460" s="1622" t="s">
        <v>1333</v>
      </c>
      <c r="H460" s="144" t="s">
        <v>69</v>
      </c>
      <c r="I460" s="144" t="s">
        <v>391</v>
      </c>
      <c r="J460" s="144" t="s">
        <v>1202</v>
      </c>
      <c r="K460" s="144" t="s">
        <v>69</v>
      </c>
      <c r="L460" s="619" t="s">
        <v>391</v>
      </c>
    </row>
    <row r="461" spans="3:25" s="79" customFormat="1">
      <c r="D461" s="135" t="s">
        <v>3</v>
      </c>
      <c r="E461" s="136">
        <f>D415</f>
        <v>733.33333333333337</v>
      </c>
      <c r="F461" s="136">
        <f>E415</f>
        <v>80</v>
      </c>
      <c r="G461" s="1623">
        <f>D417</f>
        <v>165000</v>
      </c>
      <c r="H461" s="119" t="s">
        <v>486</v>
      </c>
      <c r="I461" s="79">
        <f>D361</f>
        <v>20</v>
      </c>
      <c r="J461" s="1092">
        <f>E417</f>
        <v>18000</v>
      </c>
      <c r="K461" s="119" t="s">
        <v>486</v>
      </c>
      <c r="L461" s="1624">
        <f>D362</f>
        <v>1</v>
      </c>
    </row>
    <row r="462" spans="3:25" s="79" customFormat="1">
      <c r="D462" s="135" t="s">
        <v>132</v>
      </c>
      <c r="E462" s="136">
        <f>D433</f>
        <v>366.66666666666669</v>
      </c>
      <c r="F462" s="136">
        <f>E433</f>
        <v>40</v>
      </c>
      <c r="G462" s="1623">
        <f>D436</f>
        <v>104500</v>
      </c>
      <c r="H462" s="119" t="s">
        <v>53</v>
      </c>
      <c r="I462" s="79">
        <f>I461</f>
        <v>20</v>
      </c>
      <c r="J462" s="1092">
        <f>E436</f>
        <v>11400</v>
      </c>
      <c r="K462" s="119" t="s">
        <v>53</v>
      </c>
      <c r="L462" s="1624">
        <f>L461</f>
        <v>1</v>
      </c>
    </row>
    <row r="463" spans="3:25" s="79" customFormat="1">
      <c r="D463" s="135" t="s">
        <v>1331</v>
      </c>
      <c r="E463" s="136">
        <f>D446</f>
        <v>732</v>
      </c>
      <c r="F463" s="136">
        <f>E446</f>
        <v>80</v>
      </c>
      <c r="G463" s="1623">
        <f>SUM(G467:G468)</f>
        <v>353720</v>
      </c>
      <c r="H463" s="119" t="s">
        <v>1334</v>
      </c>
      <c r="I463" s="79">
        <f>I462</f>
        <v>20</v>
      </c>
      <c r="J463" s="1092">
        <f>SUM(J467:J468)</f>
        <v>36800</v>
      </c>
      <c r="K463" s="119" t="s">
        <v>1334</v>
      </c>
      <c r="L463" s="1624">
        <f>L462</f>
        <v>1</v>
      </c>
    </row>
    <row r="464" spans="3:25" s="79" customFormat="1">
      <c r="D464" s="135" t="s">
        <v>21</v>
      </c>
      <c r="E464" s="136"/>
      <c r="F464" s="141"/>
      <c r="G464" s="1623">
        <f>D456</f>
        <v>10000</v>
      </c>
      <c r="H464" s="119" t="s">
        <v>21</v>
      </c>
      <c r="I464" s="336">
        <f>D457</f>
        <v>10</v>
      </c>
      <c r="J464" s="1092" t="s">
        <v>1197</v>
      </c>
      <c r="K464" s="119" t="s">
        <v>21</v>
      </c>
      <c r="L464" s="1624"/>
    </row>
    <row r="465" spans="3:12" s="79" customFormat="1">
      <c r="D465" s="117"/>
      <c r="E465" s="185"/>
      <c r="F465" s="186"/>
      <c r="G465" s="1628">
        <f>SUM(G461:G463)</f>
        <v>623220</v>
      </c>
      <c r="H465" s="1629" t="s">
        <v>165</v>
      </c>
      <c r="I465" s="401"/>
      <c r="J465" s="1620">
        <f>SUM(J461:J463)</f>
        <v>66200</v>
      </c>
      <c r="K465" s="401"/>
      <c r="L465" s="1621" t="s">
        <v>165</v>
      </c>
    </row>
    <row r="466" spans="3:12" s="79" customFormat="1">
      <c r="D466" s="107"/>
      <c r="E466" s="2556"/>
      <c r="F466" s="320"/>
      <c r="G466" s="1623"/>
      <c r="H466" s="119"/>
      <c r="J466" s="1092"/>
      <c r="L466" s="358"/>
    </row>
    <row r="467" spans="3:12" s="79" customFormat="1">
      <c r="D467" s="1611" t="s">
        <v>169</v>
      </c>
      <c r="E467" s="1612"/>
      <c r="F467" s="1613"/>
      <c r="G467" s="1625">
        <f>D448</f>
        <v>153720</v>
      </c>
      <c r="H467" s="1609" t="s">
        <v>74</v>
      </c>
      <c r="I467" s="1209"/>
      <c r="J467" s="1607">
        <f>E448</f>
        <v>16800</v>
      </c>
      <c r="K467" s="1608"/>
      <c r="L467" s="1610" t="s">
        <v>74</v>
      </c>
    </row>
    <row r="468" spans="3:12" s="79" customFormat="1">
      <c r="D468" s="1614" t="s">
        <v>1332</v>
      </c>
      <c r="E468" s="1615"/>
      <c r="F468" s="1616"/>
      <c r="G468" s="1626">
        <f>D453</f>
        <v>200000</v>
      </c>
      <c r="H468" s="1627" t="s">
        <v>1335</v>
      </c>
      <c r="I468" s="812"/>
      <c r="J468" s="1617">
        <f>E453</f>
        <v>20000</v>
      </c>
      <c r="K468" s="1618"/>
      <c r="L468" s="1619" t="s">
        <v>1335</v>
      </c>
    </row>
    <row r="469" spans="3:12" s="79" customFormat="1">
      <c r="D469" s="122"/>
      <c r="E469" s="147"/>
      <c r="F469" s="122"/>
      <c r="G469" s="1092"/>
      <c r="H469" s="119"/>
    </row>
    <row r="470" spans="3:12" s="351" customFormat="1">
      <c r="D470" s="352"/>
      <c r="E470" s="353"/>
      <c r="G470" s="1122"/>
    </row>
    <row r="471" spans="3:12" s="9" customFormat="1">
      <c r="E471" s="34"/>
      <c r="F471" s="34"/>
      <c r="G471" s="572"/>
    </row>
    <row r="472" spans="3:12" s="9" customFormat="1" ht="17">
      <c r="C472" s="121" t="s">
        <v>2246</v>
      </c>
      <c r="E472" s="34"/>
      <c r="G472" s="572"/>
      <c r="H472" s="2765" t="s">
        <v>2240</v>
      </c>
    </row>
    <row r="473" spans="3:12" s="9" customFormat="1" ht="18">
      <c r="C473" s="121"/>
      <c r="D473" s="1658">
        <f>'Overall Assumptions'!$C$6</f>
        <v>100</v>
      </c>
      <c r="E473" s="319" t="s">
        <v>451</v>
      </c>
      <c r="F473" s="108"/>
      <c r="G473" s="572"/>
      <c r="H473" s="3349" t="s">
        <v>2241</v>
      </c>
    </row>
    <row r="474" spans="3:12" s="9" customFormat="1" ht="17">
      <c r="C474" s="121"/>
      <c r="D474" s="403">
        <v>0.1</v>
      </c>
      <c r="E474" s="124" t="s">
        <v>2239</v>
      </c>
      <c r="F474" s="109"/>
      <c r="G474" s="572"/>
      <c r="H474" s="2765" t="s">
        <v>2242</v>
      </c>
    </row>
    <row r="475" spans="3:12" s="9" customFormat="1" ht="18">
      <c r="C475" s="121"/>
      <c r="D475" s="548">
        <f>D473*D474</f>
        <v>10</v>
      </c>
      <c r="E475" s="124" t="s">
        <v>2245</v>
      </c>
      <c r="F475" s="109"/>
      <c r="G475" s="572"/>
      <c r="H475" s="3349" t="s">
        <v>2243</v>
      </c>
    </row>
    <row r="476" spans="3:12" s="9" customFormat="1">
      <c r="C476" s="121"/>
      <c r="D476" s="527">
        <f>SQRT(D475)*4</f>
        <v>12.649110640673518</v>
      </c>
      <c r="E476" s="322" t="s">
        <v>1319</v>
      </c>
      <c r="F476" s="323"/>
      <c r="G476" s="572"/>
    </row>
    <row r="477" spans="3:12" s="9" customFormat="1">
      <c r="C477" s="121"/>
      <c r="E477" s="867" t="s">
        <v>1315</v>
      </c>
      <c r="F477" s="34"/>
    </row>
    <row r="478" spans="3:12" s="9" customFormat="1">
      <c r="C478" s="121"/>
      <c r="E478" s="1604" t="s">
        <v>1316</v>
      </c>
      <c r="F478" s="34"/>
    </row>
    <row r="479" spans="3:12" s="9" customFormat="1">
      <c r="C479" s="121"/>
      <c r="E479" s="9" t="s">
        <v>1317</v>
      </c>
      <c r="F479" s="34"/>
    </row>
    <row r="480" spans="3:12" s="9" customFormat="1">
      <c r="C480" s="121"/>
      <c r="E480" s="9" t="s">
        <v>1318</v>
      </c>
      <c r="F480" s="34"/>
    </row>
    <row r="481" spans="3:25" s="79" customFormat="1">
      <c r="D481" s="34"/>
      <c r="E481" s="76"/>
      <c r="G481" s="1119"/>
      <c r="H481" s="79">
        <f>SQRT(10)</f>
        <v>3.1622776601683795</v>
      </c>
    </row>
    <row r="482" spans="3:25" s="79" customFormat="1">
      <c r="C482" s="233"/>
      <c r="D482" s="693" t="s">
        <v>1291</v>
      </c>
      <c r="E482" s="76"/>
      <c r="G482" s="1119"/>
      <c r="H482" s="129"/>
      <c r="J482" s="34" t="s">
        <v>179</v>
      </c>
      <c r="K482" s="34"/>
      <c r="L482" s="34"/>
      <c r="M482" s="34"/>
      <c r="N482" s="34"/>
    </row>
    <row r="483" spans="3:25" s="79" customFormat="1">
      <c r="D483" s="489" t="s">
        <v>1292</v>
      </c>
      <c r="E483" s="66"/>
      <c r="G483" s="1119"/>
      <c r="J483" s="874">
        <f>'Overall Assumptions'!$C$25</f>
        <v>1.4999999999999999E-2</v>
      </c>
      <c r="K483" s="34" t="s">
        <v>881</v>
      </c>
      <c r="L483" s="34"/>
      <c r="M483" s="34"/>
      <c r="N483" s="34"/>
    </row>
    <row r="484" spans="3:25" s="79" customFormat="1">
      <c r="D484" s="444">
        <v>20</v>
      </c>
      <c r="E484" s="164" t="s">
        <v>1289</v>
      </c>
      <c r="F484" s="161"/>
      <c r="G484" s="1120"/>
      <c r="H484" s="324"/>
      <c r="J484" s="34">
        <v>40</v>
      </c>
      <c r="K484" s="34" t="s">
        <v>886</v>
      </c>
      <c r="L484" s="34"/>
      <c r="M484" s="34"/>
      <c r="N484" s="34"/>
      <c r="O484" s="34"/>
      <c r="P484" s="34"/>
      <c r="Q484" s="34"/>
      <c r="R484" s="34"/>
      <c r="S484" s="34"/>
      <c r="T484" s="34"/>
    </row>
    <row r="485" spans="3:25" s="79" customFormat="1">
      <c r="C485" s="9"/>
      <c r="D485" s="1659">
        <v>1</v>
      </c>
      <c r="E485" s="322" t="s">
        <v>1196</v>
      </c>
      <c r="F485" s="1660"/>
      <c r="G485" s="1121"/>
      <c r="H485" s="288"/>
      <c r="J485" s="34"/>
      <c r="K485" s="34"/>
      <c r="L485" s="34"/>
      <c r="M485" s="34"/>
      <c r="N485" s="34"/>
    </row>
    <row r="486" spans="3:25" s="79" customFormat="1">
      <c r="C486" s="9"/>
      <c r="D486" s="1600"/>
      <c r="E486" s="124"/>
      <c r="F486" s="147"/>
      <c r="G486" s="1121"/>
      <c r="H486" s="288"/>
      <c r="J486" s="34"/>
      <c r="K486" s="871" t="s">
        <v>880</v>
      </c>
      <c r="L486" s="34"/>
      <c r="M486" s="34"/>
      <c r="N486" s="34"/>
      <c r="O486" s="872" t="s">
        <v>892</v>
      </c>
      <c r="T486" s="16"/>
    </row>
    <row r="487" spans="3:25" s="79" customFormat="1">
      <c r="C487" s="9"/>
      <c r="D487" s="1602">
        <v>40</v>
      </c>
      <c r="E487" s="1600" t="s">
        <v>1295</v>
      </c>
      <c r="F487" s="147"/>
      <c r="G487" s="1121"/>
      <c r="H487" s="288"/>
      <c r="J487" s="34">
        <v>2500</v>
      </c>
      <c r="K487" s="34" t="s">
        <v>891</v>
      </c>
      <c r="L487" s="34"/>
      <c r="M487" s="34"/>
      <c r="N487" s="34"/>
      <c r="O487" s="16"/>
      <c r="P487" s="24" t="s">
        <v>889</v>
      </c>
      <c r="Q487" s="24"/>
      <c r="R487" s="24"/>
      <c r="S487" s="24"/>
      <c r="T487" s="16"/>
    </row>
    <row r="488" spans="3:25" s="79" customFormat="1">
      <c r="C488" s="9"/>
      <c r="E488" s="1600"/>
      <c r="F488" s="147"/>
      <c r="G488" s="1121"/>
      <c r="H488" s="288"/>
      <c r="J488" s="16">
        <f>J487/J484</f>
        <v>62.5</v>
      </c>
      <c r="K488" s="34" t="s">
        <v>887</v>
      </c>
      <c r="L488" s="34"/>
      <c r="M488" s="34"/>
      <c r="N488" s="16"/>
      <c r="O488" s="63">
        <v>4500</v>
      </c>
      <c r="P488" s="16" t="s">
        <v>890</v>
      </c>
      <c r="Q488" s="16"/>
      <c r="R488" s="16"/>
      <c r="S488" s="16"/>
      <c r="T488" s="16"/>
    </row>
    <row r="489" spans="3:25" s="79" customFormat="1">
      <c r="C489" s="1601" t="s">
        <v>1290</v>
      </c>
      <c r="D489" s="1689" t="s">
        <v>1304</v>
      </c>
      <c r="E489" s="401"/>
      <c r="F489" s="1688"/>
      <c r="G489" s="1121"/>
      <c r="H489" s="288"/>
      <c r="J489" s="34"/>
      <c r="K489" s="34"/>
      <c r="L489" s="34"/>
      <c r="M489" s="34"/>
      <c r="N489" s="16"/>
      <c r="O489" s="267">
        <f>O488*(1+J483)^8</f>
        <v>5069.2166396788753</v>
      </c>
      <c r="P489" s="34" t="s">
        <v>877</v>
      </c>
      <c r="Q489" s="34"/>
      <c r="R489" s="34"/>
      <c r="S489" s="34"/>
      <c r="T489" s="16"/>
    </row>
    <row r="490" spans="3:25" s="79" customFormat="1">
      <c r="C490" s="1601"/>
      <c r="D490" s="1661">
        <v>2500</v>
      </c>
      <c r="E490" s="1678">
        <v>2500</v>
      </c>
      <c r="F490" s="1662">
        <v>2500</v>
      </c>
      <c r="G490" s="79" t="s">
        <v>426</v>
      </c>
      <c r="H490" s="288"/>
      <c r="J490" s="267">
        <v>5800</v>
      </c>
      <c r="K490" s="105" t="s">
        <v>876</v>
      </c>
      <c r="L490" s="34"/>
      <c r="M490" s="34"/>
      <c r="N490" s="16"/>
      <c r="O490" s="63">
        <v>5000</v>
      </c>
      <c r="P490" s="34" t="s">
        <v>1303</v>
      </c>
      <c r="Q490" s="34"/>
      <c r="R490" s="34"/>
      <c r="S490" s="34"/>
      <c r="T490" s="16"/>
      <c r="W490" s="872" t="s">
        <v>894</v>
      </c>
      <c r="X490" s="34"/>
      <c r="Y490" s="34"/>
    </row>
    <row r="491" spans="3:25" s="79" customFormat="1">
      <c r="C491" s="1601"/>
      <c r="D491" s="875">
        <f>D490/$D487</f>
        <v>62.5</v>
      </c>
      <c r="E491" s="875">
        <f t="shared" ref="E491:F491" si="84">E490/$D487</f>
        <v>62.5</v>
      </c>
      <c r="F491" s="875">
        <f t="shared" si="84"/>
        <v>62.5</v>
      </c>
      <c r="G491" s="79" t="s">
        <v>1296</v>
      </c>
      <c r="H491" s="288"/>
      <c r="J491" s="267">
        <f>J490*(1+J483)^8</f>
        <v>6533.6570022527731</v>
      </c>
      <c r="K491" s="34" t="s">
        <v>877</v>
      </c>
      <c r="L491" s="34"/>
      <c r="M491" s="34"/>
      <c r="N491" s="16"/>
      <c r="O491" s="63">
        <v>3000</v>
      </c>
      <c r="P491" s="16" t="s">
        <v>885</v>
      </c>
      <c r="Q491" s="16"/>
      <c r="R491" s="16"/>
      <c r="S491" s="16"/>
      <c r="T491" s="16"/>
      <c r="W491" s="34"/>
      <c r="X491" s="521" t="s">
        <v>893</v>
      </c>
      <c r="Y491" s="16"/>
    </row>
    <row r="492" spans="3:25" s="79" customFormat="1">
      <c r="C492" s="1601"/>
      <c r="D492" s="1689" t="s">
        <v>1294</v>
      </c>
      <c r="E492" s="593"/>
      <c r="F492" s="1688"/>
      <c r="G492" s="1121"/>
      <c r="H492" s="288"/>
      <c r="J492" s="267">
        <v>7000</v>
      </c>
      <c r="K492" s="34" t="s">
        <v>879</v>
      </c>
      <c r="L492" s="34"/>
      <c r="M492" s="34"/>
      <c r="N492" s="16"/>
      <c r="O492" s="432">
        <f>O491/J484</f>
        <v>75</v>
      </c>
      <c r="P492" s="16" t="s">
        <v>888</v>
      </c>
      <c r="Q492" s="16"/>
      <c r="R492" s="16"/>
      <c r="S492" s="16"/>
      <c r="T492" s="16"/>
      <c r="W492" s="16"/>
      <c r="X492" s="105" t="s">
        <v>901</v>
      </c>
      <c r="Y492" s="16"/>
    </row>
    <row r="493" spans="3:25" s="79" customFormat="1">
      <c r="C493" s="9"/>
      <c r="D493" s="1663" t="s">
        <v>1298</v>
      </c>
      <c r="E493" s="1679" t="s">
        <v>1299</v>
      </c>
      <c r="F493" s="485" t="s">
        <v>889</v>
      </c>
      <c r="G493" s="79" t="s">
        <v>1305</v>
      </c>
      <c r="H493" s="288"/>
      <c r="J493" s="267"/>
      <c r="K493" s="34"/>
      <c r="L493" s="34"/>
      <c r="M493" s="34"/>
      <c r="N493" s="16"/>
      <c r="W493" s="16"/>
      <c r="X493" s="16" t="s">
        <v>895</v>
      </c>
      <c r="Y493" s="16"/>
    </row>
    <row r="494" spans="3:25" s="79" customFormat="1">
      <c r="C494" s="9"/>
      <c r="D494" s="1540" t="s">
        <v>1300</v>
      </c>
      <c r="E494" s="591" t="s">
        <v>1302</v>
      </c>
      <c r="F494" s="1664" t="s">
        <v>1306</v>
      </c>
      <c r="G494" s="79" t="s">
        <v>69</v>
      </c>
      <c r="H494" s="288"/>
      <c r="J494" s="267">
        <v>1000</v>
      </c>
      <c r="K494" s="34" t="s">
        <v>885</v>
      </c>
      <c r="L494" s="34"/>
      <c r="M494" s="34"/>
      <c r="N494" s="16"/>
      <c r="W494" s="16">
        <v>0.9</v>
      </c>
      <c r="X494" s="16" t="s">
        <v>896</v>
      </c>
      <c r="Y494" s="16"/>
    </row>
    <row r="495" spans="3:25" s="79" customFormat="1">
      <c r="C495" s="9"/>
      <c r="D495" s="1665">
        <f>J492</f>
        <v>7000</v>
      </c>
      <c r="E495" s="1680">
        <f>J499</f>
        <v>11000</v>
      </c>
      <c r="F495" s="1666">
        <f>O490</f>
        <v>5000</v>
      </c>
      <c r="G495" s="79" t="s">
        <v>1297</v>
      </c>
      <c r="H495" s="288"/>
      <c r="J495" s="432">
        <f>J494/J484</f>
        <v>25</v>
      </c>
      <c r="K495" s="34" t="s">
        <v>887</v>
      </c>
      <c r="L495" s="16"/>
      <c r="M495" s="16"/>
      <c r="N495" s="16"/>
      <c r="O495" s="16"/>
      <c r="P495" s="872" t="s">
        <v>884</v>
      </c>
      <c r="Q495" s="872"/>
      <c r="R495" s="872"/>
      <c r="S495" s="872"/>
      <c r="W495" s="16">
        <f>W494*52</f>
        <v>46.800000000000004</v>
      </c>
      <c r="X495" s="16" t="s">
        <v>897</v>
      </c>
      <c r="Y495" s="16"/>
    </row>
    <row r="496" spans="3:25" s="79" customFormat="1">
      <c r="C496" s="9"/>
      <c r="D496" s="1667">
        <f>J494</f>
        <v>1000</v>
      </c>
      <c r="E496" s="1078">
        <f>J502</f>
        <v>8500</v>
      </c>
      <c r="F496" s="552">
        <f>O491</f>
        <v>3000</v>
      </c>
      <c r="G496" s="1121" t="s">
        <v>1301</v>
      </c>
      <c r="H496" s="288"/>
      <c r="N496" s="16"/>
      <c r="O496" s="63">
        <v>12500</v>
      </c>
      <c r="P496" s="24" t="s">
        <v>883</v>
      </c>
      <c r="Q496" s="24"/>
      <c r="R496" s="24"/>
      <c r="S496" s="24"/>
      <c r="W496" s="864">
        <f>W495/J503</f>
        <v>0.22023529411764708</v>
      </c>
      <c r="X496" s="16" t="s">
        <v>898</v>
      </c>
      <c r="Y496" s="16"/>
    </row>
    <row r="497" spans="3:25" s="79" customFormat="1">
      <c r="C497" s="9"/>
      <c r="D497" s="535">
        <f>J495</f>
        <v>25</v>
      </c>
      <c r="E497" s="1681">
        <f>J503</f>
        <v>212.5</v>
      </c>
      <c r="F497" s="1668">
        <f>O492</f>
        <v>75</v>
      </c>
      <c r="G497" s="1121" t="s">
        <v>1307</v>
      </c>
      <c r="H497" s="288"/>
      <c r="J497" s="267">
        <v>9600</v>
      </c>
      <c r="K497" s="105" t="s">
        <v>878</v>
      </c>
      <c r="L497" s="34"/>
      <c r="M497" s="16"/>
      <c r="N497" s="16"/>
      <c r="O497" s="267">
        <f>O496*(1+J483)^5</f>
        <v>13466.050048554678</v>
      </c>
      <c r="P497" s="34" t="s">
        <v>877</v>
      </c>
      <c r="Q497" s="34"/>
      <c r="R497" s="34"/>
      <c r="S497" s="34"/>
      <c r="W497" s="825">
        <v>0.2</v>
      </c>
      <c r="X497" s="16" t="s">
        <v>899</v>
      </c>
      <c r="Y497" s="16"/>
    </row>
    <row r="498" spans="3:25" s="79" customFormat="1">
      <c r="C498" s="9"/>
      <c r="D498" s="1245"/>
      <c r="E498" s="1682"/>
      <c r="F498" s="1669"/>
      <c r="G498" s="122" t="s">
        <v>1308</v>
      </c>
      <c r="J498" s="267">
        <f>J497*(1+J483)^8</f>
        <v>10814.328831314935</v>
      </c>
      <c r="K498" s="34" t="s">
        <v>877</v>
      </c>
      <c r="L498" s="34"/>
      <c r="M498" s="16"/>
      <c r="N498" s="16"/>
      <c r="O498" s="63">
        <v>13000</v>
      </c>
      <c r="P498" s="34" t="s">
        <v>882</v>
      </c>
      <c r="Q498" s="34"/>
      <c r="R498" s="34"/>
      <c r="S498" s="34"/>
      <c r="W498" s="16"/>
      <c r="X498" s="16" t="s">
        <v>900</v>
      </c>
      <c r="Y498" s="16"/>
    </row>
    <row r="499" spans="3:25" s="79" customFormat="1">
      <c r="C499" s="1601" t="s">
        <v>1293</v>
      </c>
      <c r="D499" s="1687" t="s">
        <v>1341</v>
      </c>
      <c r="E499" s="865"/>
      <c r="F499" s="1688"/>
      <c r="G499" s="6"/>
      <c r="H499" s="288"/>
      <c r="J499" s="63">
        <v>11000</v>
      </c>
      <c r="K499" s="34" t="s">
        <v>882</v>
      </c>
      <c r="L499" s="16"/>
      <c r="M499" s="16"/>
      <c r="N499" s="16"/>
      <c r="Y499" s="16"/>
    </row>
    <row r="500" spans="3:25" s="79" customFormat="1">
      <c r="C500" s="1601"/>
      <c r="D500" s="1670">
        <v>0.1</v>
      </c>
      <c r="E500" s="1683">
        <v>0.1</v>
      </c>
      <c r="F500" s="1671">
        <v>0.1</v>
      </c>
      <c r="G500" s="6" t="s">
        <v>1311</v>
      </c>
      <c r="H500" s="288"/>
      <c r="J500" s="63"/>
      <c r="K500" s="34"/>
      <c r="L500" s="16"/>
      <c r="M500" s="16"/>
      <c r="N500" s="16"/>
      <c r="Y500" s="16"/>
    </row>
    <row r="501" spans="3:25" s="79" customFormat="1">
      <c r="C501" s="9"/>
      <c r="D501" s="1672">
        <f>D500*D495</f>
        <v>700</v>
      </c>
      <c r="E501" s="1684">
        <f>E500*E495</f>
        <v>1100</v>
      </c>
      <c r="F501" s="1673">
        <f>F500*F495</f>
        <v>500</v>
      </c>
      <c r="G501" s="79" t="s">
        <v>1312</v>
      </c>
      <c r="H501" s="288"/>
      <c r="J501" s="63"/>
      <c r="K501" s="16"/>
      <c r="L501" s="16"/>
      <c r="M501" s="16"/>
      <c r="N501" s="34"/>
      <c r="O501" s="16"/>
      <c r="P501" s="16"/>
      <c r="Q501" s="16"/>
      <c r="R501" s="16"/>
      <c r="S501" s="16"/>
      <c r="T501" s="16"/>
    </row>
    <row r="502" spans="3:25" s="79" customFormat="1">
      <c r="C502" s="9"/>
      <c r="D502" s="1674">
        <v>0.2</v>
      </c>
      <c r="E502" s="1685">
        <v>0.2</v>
      </c>
      <c r="F502" s="1675">
        <v>0.2</v>
      </c>
      <c r="G502" s="1121" t="s">
        <v>1309</v>
      </c>
      <c r="H502" s="288"/>
      <c r="J502" s="63">
        <v>8500</v>
      </c>
      <c r="K502" s="16" t="s">
        <v>885</v>
      </c>
      <c r="L502" s="16"/>
      <c r="M502" s="16"/>
      <c r="N502" s="34"/>
      <c r="Y502" s="16"/>
    </row>
    <row r="503" spans="3:25" s="79" customFormat="1">
      <c r="D503" s="1676">
        <f>D497*D502</f>
        <v>5</v>
      </c>
      <c r="E503" s="1686">
        <f>E497*E502</f>
        <v>42.5</v>
      </c>
      <c r="F503" s="1677">
        <f>F497*F502</f>
        <v>15</v>
      </c>
      <c r="G503" s="1121" t="s">
        <v>1310</v>
      </c>
      <c r="J503" s="432">
        <f>J502/J484</f>
        <v>212.5</v>
      </c>
      <c r="K503" s="16" t="s">
        <v>888</v>
      </c>
      <c r="L503" s="16"/>
      <c r="M503" s="16"/>
      <c r="N503" s="34"/>
      <c r="Y503" s="16"/>
    </row>
    <row r="504" spans="3:25" s="79" customFormat="1">
      <c r="M504" s="16"/>
      <c r="N504" s="34"/>
      <c r="Y504" s="16"/>
    </row>
    <row r="505" spans="3:25" s="79" customFormat="1">
      <c r="M505" s="16"/>
      <c r="N505" s="34"/>
      <c r="Y505" s="16"/>
    </row>
    <row r="506" spans="3:25" s="79" customFormat="1">
      <c r="M506" s="16"/>
      <c r="N506" s="34"/>
      <c r="Y506" s="16"/>
    </row>
    <row r="507" spans="3:25" s="79" customFormat="1" ht="19">
      <c r="C507" s="2953" t="s">
        <v>50</v>
      </c>
      <c r="D507" s="37" t="s">
        <v>81</v>
      </c>
      <c r="E507" s="24"/>
      <c r="F507" s="1"/>
      <c r="G507" s="1100"/>
      <c r="H507" s="286"/>
      <c r="I507" s="286"/>
      <c r="J507" s="289"/>
      <c r="K507" s="216"/>
    </row>
    <row r="508" spans="3:25" s="79" customFormat="1">
      <c r="C508" s="2953"/>
      <c r="D508" s="24" t="s">
        <v>250</v>
      </c>
      <c r="E508" s="16"/>
      <c r="F508" s="1"/>
      <c r="G508" s="1100"/>
      <c r="J508" s="248"/>
      <c r="K508" s="248"/>
      <c r="L508" s="122"/>
    </row>
    <row r="509" spans="3:25" s="79" customFormat="1">
      <c r="C509" s="2953"/>
      <c r="D509" s="160" t="s">
        <v>294</v>
      </c>
      <c r="E509" s="16"/>
      <c r="F509" s="2953"/>
      <c r="G509" s="359"/>
      <c r="J509" s="248"/>
      <c r="K509" s="288"/>
      <c r="L509" s="122"/>
    </row>
    <row r="510" spans="3:25" s="79" customFormat="1">
      <c r="C510" s="2953"/>
      <c r="D510" s="50"/>
      <c r="E510" s="16"/>
      <c r="F510" s="2953"/>
      <c r="G510" s="359"/>
      <c r="J510" s="286"/>
      <c r="K510" s="286"/>
      <c r="L510" s="122"/>
    </row>
    <row r="511" spans="3:25" s="79" customFormat="1">
      <c r="C511" s="2953"/>
      <c r="D511" s="51" t="s">
        <v>82</v>
      </c>
      <c r="E511" s="39"/>
      <c r="F511" s="2953"/>
      <c r="G511" s="359"/>
      <c r="H511" s="212"/>
      <c r="I511" s="212"/>
      <c r="J511" s="216"/>
      <c r="K511" s="216"/>
    </row>
    <row r="512" spans="3:25" s="79" customFormat="1" ht="19">
      <c r="C512" s="2953"/>
      <c r="D512" s="52">
        <f>'Overall Assumptions'!$C$68</f>
        <v>225</v>
      </c>
      <c r="E512" s="53" t="s">
        <v>99</v>
      </c>
      <c r="F512" s="2953"/>
      <c r="G512" s="359"/>
      <c r="J512" s="65"/>
      <c r="K512" s="66"/>
    </row>
    <row r="513" spans="3:11" s="79" customFormat="1" ht="19">
      <c r="C513" s="2953"/>
      <c r="D513" s="54">
        <f>D476</f>
        <v>12.649110640673518</v>
      </c>
      <c r="E513" s="355" t="s">
        <v>1321</v>
      </c>
      <c r="F513" s="2953"/>
      <c r="G513" s="359"/>
      <c r="I513" s="65"/>
      <c r="K513" s="66"/>
    </row>
    <row r="514" spans="3:11" s="79" customFormat="1" ht="19">
      <c r="C514" s="2953"/>
      <c r="D514" s="54"/>
      <c r="E514" s="355"/>
      <c r="F514" s="2953"/>
      <c r="G514" s="359"/>
      <c r="H514" s="122"/>
      <c r="I514" s="978"/>
      <c r="K514" s="66"/>
    </row>
    <row r="515" spans="3:11" s="79" customFormat="1">
      <c r="C515" s="2953"/>
      <c r="D515" s="354">
        <v>2</v>
      </c>
      <c r="E515" s="43" t="s">
        <v>291</v>
      </c>
      <c r="F515" s="2953"/>
      <c r="G515" s="359"/>
      <c r="H515" s="122"/>
      <c r="I515" s="122"/>
      <c r="J515" s="65"/>
      <c r="K515" s="66"/>
    </row>
    <row r="516" spans="3:11" s="79" customFormat="1">
      <c r="C516" s="2953"/>
      <c r="D516" s="506"/>
      <c r="E516" s="43" t="s">
        <v>1326</v>
      </c>
      <c r="F516" s="2953"/>
      <c r="G516" s="359"/>
      <c r="H516" s="122"/>
      <c r="I516" s="122"/>
      <c r="J516" s="65"/>
      <c r="K516" s="66"/>
    </row>
    <row r="517" spans="3:11" s="79" customFormat="1">
      <c r="C517" s="2953"/>
      <c r="D517" s="1603" t="s">
        <v>889</v>
      </c>
      <c r="E517" s="43" t="s">
        <v>1313</v>
      </c>
      <c r="F517" s="2953"/>
      <c r="G517" s="359"/>
      <c r="H517" s="122"/>
      <c r="I517" s="122"/>
      <c r="J517" s="65"/>
      <c r="K517" s="66"/>
    </row>
    <row r="518" spans="3:11" s="79" customFormat="1">
      <c r="C518" s="2953"/>
      <c r="D518" s="295">
        <f>F491</f>
        <v>62.5</v>
      </c>
      <c r="E518" s="43" t="s">
        <v>1338</v>
      </c>
      <c r="F518" s="2953"/>
      <c r="G518" s="359"/>
      <c r="H518" s="122"/>
      <c r="I518" s="122"/>
      <c r="J518" s="65"/>
      <c r="K518" s="66"/>
    </row>
    <row r="519" spans="3:11" s="79" customFormat="1">
      <c r="C519" s="2953"/>
      <c r="D519" s="295">
        <f>F497</f>
        <v>75</v>
      </c>
      <c r="E519" s="43" t="s">
        <v>1339</v>
      </c>
      <c r="F519" s="2953"/>
      <c r="G519" s="359"/>
      <c r="H519" s="122"/>
      <c r="I519" s="122"/>
      <c r="J519" s="65"/>
      <c r="K519" s="66"/>
    </row>
    <row r="520" spans="3:11" s="79" customFormat="1">
      <c r="C520" s="2953"/>
      <c r="D520" s="506"/>
      <c r="E520" s="43"/>
      <c r="F520" s="2953"/>
      <c r="G520" s="359"/>
      <c r="H520" s="122"/>
      <c r="I520" s="122"/>
      <c r="J520" s="65"/>
      <c r="K520" s="66"/>
    </row>
    <row r="521" spans="3:11" s="79" customFormat="1">
      <c r="C521" s="2953"/>
      <c r="D521" s="295">
        <f>F503</f>
        <v>15</v>
      </c>
      <c r="E521" s="43" t="s">
        <v>1314</v>
      </c>
      <c r="F521" s="2953"/>
      <c r="G521" s="359"/>
      <c r="H521" s="122"/>
      <c r="I521" s="122"/>
      <c r="J521" s="65"/>
      <c r="K521" s="66"/>
    </row>
    <row r="522" spans="3:11" s="79" customFormat="1">
      <c r="C522" s="2953"/>
      <c r="D522" s="506"/>
      <c r="E522" s="43"/>
      <c r="F522" s="2953"/>
      <c r="G522" s="359"/>
      <c r="H522" s="122"/>
      <c r="I522" s="122"/>
      <c r="J522" s="65"/>
      <c r="K522" s="66"/>
    </row>
    <row r="523" spans="3:11" s="79" customFormat="1">
      <c r="C523" s="2953"/>
      <c r="D523" s="295">
        <f>F495</f>
        <v>5000</v>
      </c>
      <c r="E523" s="43" t="s">
        <v>1887</v>
      </c>
      <c r="F523" s="2953"/>
      <c r="G523" s="359"/>
      <c r="H523" s="122"/>
      <c r="I523" s="122"/>
      <c r="J523" s="65"/>
      <c r="K523" s="66"/>
    </row>
    <row r="524" spans="3:11" s="79" customFormat="1">
      <c r="C524" s="2953"/>
      <c r="D524" s="295">
        <f>F501</f>
        <v>500</v>
      </c>
      <c r="E524" s="43" t="s">
        <v>1888</v>
      </c>
      <c r="F524" s="2953"/>
      <c r="G524" s="359"/>
      <c r="H524" s="122"/>
      <c r="I524" s="122"/>
      <c r="J524" s="65"/>
      <c r="K524" s="66"/>
    </row>
    <row r="525" spans="3:11" s="79" customFormat="1">
      <c r="C525" s="2953"/>
      <c r="D525" s="506"/>
      <c r="E525" s="43"/>
      <c r="F525" s="2953"/>
      <c r="G525" s="359"/>
      <c r="H525" s="122"/>
      <c r="I525" s="122"/>
      <c r="J525" s="65"/>
      <c r="K525" s="66"/>
    </row>
    <row r="526" spans="3:11" s="79" customFormat="1">
      <c r="C526" s="2953"/>
      <c r="D526" s="54">
        <f>'Overall Assumptions'!$C$10</f>
        <v>0</v>
      </c>
      <c r="E526" s="43" t="s">
        <v>85</v>
      </c>
      <c r="F526" s="2953"/>
      <c r="G526" s="359"/>
      <c r="I526" s="122"/>
      <c r="J526" s="65"/>
      <c r="K526" s="66"/>
    </row>
    <row r="527" spans="3:11" s="79" customFormat="1">
      <c r="C527" s="2953"/>
      <c r="D527" s="54">
        <f>'Overall Assumptions'!$C$90</f>
        <v>80</v>
      </c>
      <c r="E527" s="43" t="s">
        <v>86</v>
      </c>
      <c r="F527" s="2953"/>
      <c r="G527" s="359"/>
      <c r="J527" s="65"/>
      <c r="K527" s="66"/>
    </row>
    <row r="528" spans="3:11" s="79" customFormat="1">
      <c r="C528" s="2953"/>
      <c r="D528" s="56">
        <f>'Overall Assumptions'!$C$81</f>
        <v>210</v>
      </c>
      <c r="E528" s="45" t="s">
        <v>87</v>
      </c>
      <c r="F528" s="2953"/>
      <c r="G528" s="359"/>
      <c r="J528" s="65"/>
      <c r="K528" s="66"/>
    </row>
    <row r="529" spans="3:11" s="79" customFormat="1">
      <c r="C529" s="2953"/>
      <c r="D529" s="57"/>
      <c r="E529" s="16"/>
      <c r="F529" s="2953"/>
      <c r="G529" s="359"/>
      <c r="J529" s="65"/>
      <c r="K529" s="66"/>
    </row>
    <row r="530" spans="3:11" s="79" customFormat="1">
      <c r="C530" s="2953"/>
      <c r="D530" s="57"/>
      <c r="E530" s="16"/>
      <c r="F530" s="2953"/>
      <c r="G530" s="359"/>
      <c r="J530" s="65"/>
      <c r="K530" s="66"/>
    </row>
    <row r="531" spans="3:11" s="79" customFormat="1">
      <c r="C531" s="2953"/>
      <c r="D531" s="57" t="s">
        <v>1322</v>
      </c>
      <c r="E531" s="124" t="s">
        <v>901</v>
      </c>
      <c r="F531" s="2953"/>
      <c r="G531" s="359"/>
      <c r="J531" s="65"/>
      <c r="K531" s="66"/>
    </row>
    <row r="532" spans="3:11" s="79" customFormat="1">
      <c r="C532" s="21"/>
      <c r="D532" s="296">
        <f>2*D526/D527/7.5</f>
        <v>0</v>
      </c>
      <c r="E532" s="79">
        <f>2*D526/D527/7.5</f>
        <v>0</v>
      </c>
      <c r="F532" s="59" t="s">
        <v>95</v>
      </c>
      <c r="G532" s="2953"/>
      <c r="J532" s="129"/>
      <c r="K532" s="76"/>
    </row>
    <row r="533" spans="3:11" s="79" customFormat="1">
      <c r="C533" s="21"/>
      <c r="D533" s="296"/>
      <c r="F533" s="60" t="s">
        <v>100</v>
      </c>
      <c r="G533" s="2953"/>
      <c r="J533" s="65"/>
      <c r="K533" s="66"/>
    </row>
    <row r="534" spans="3:11" s="79" customFormat="1">
      <c r="C534" s="21"/>
      <c r="D534" s="296">
        <f>SUM(D518:D519)*D513/7.5</f>
        <v>231.90036174568115</v>
      </c>
      <c r="E534" s="79">
        <f>D521*D513/7.5</f>
        <v>25.298221281347036</v>
      </c>
      <c r="F534" s="124" t="s">
        <v>1323</v>
      </c>
      <c r="G534" s="2953"/>
    </row>
    <row r="535" spans="3:11" s="79" customFormat="1">
      <c r="C535" s="21"/>
      <c r="D535" s="297"/>
      <c r="F535" s="59"/>
    </row>
    <row r="536" spans="3:11" s="79" customFormat="1" ht="28">
      <c r="C536" s="21"/>
      <c r="D536" s="296">
        <f>D538/$D515</f>
        <v>115.95018087284058</v>
      </c>
      <c r="E536" s="296">
        <f>E538/$D515</f>
        <v>12.649110640673518</v>
      </c>
      <c r="F536" s="16" t="s">
        <v>1327</v>
      </c>
      <c r="G536" s="19"/>
    </row>
    <row r="537" spans="3:11" s="122" customFormat="1">
      <c r="C537" s="9"/>
      <c r="D537" s="105"/>
      <c r="E537" s="105"/>
      <c r="F537" s="34"/>
      <c r="G537" s="9"/>
    </row>
    <row r="538" spans="3:11" s="79" customFormat="1">
      <c r="C538" s="2953"/>
      <c r="D538" s="77">
        <f>D532+D534</f>
        <v>231.90036174568115</v>
      </c>
      <c r="E538" s="77">
        <f>E532+E534</f>
        <v>25.298221281347036</v>
      </c>
      <c r="F538" s="16" t="s">
        <v>133</v>
      </c>
      <c r="G538" s="2953"/>
    </row>
    <row r="539" spans="3:11" s="79" customFormat="1">
      <c r="C539" s="2953"/>
      <c r="D539" s="77"/>
      <c r="F539" s="16"/>
      <c r="G539" s="2953"/>
    </row>
    <row r="540" spans="3:11" s="79" customFormat="1">
      <c r="C540" s="21"/>
      <c r="D540" s="64">
        <f>D538*$D512</f>
        <v>52177.581392778258</v>
      </c>
      <c r="E540" s="64">
        <f>E538*$D512</f>
        <v>5692.0997883030832</v>
      </c>
      <c r="F540" s="39" t="s">
        <v>486</v>
      </c>
      <c r="G540" s="2953"/>
      <c r="H540" s="276"/>
      <c r="I540" s="276"/>
    </row>
    <row r="541" spans="3:11" s="79" customFormat="1">
      <c r="C541" s="21"/>
      <c r="G541" s="1119"/>
      <c r="H541" s="119"/>
      <c r="I541" s="119"/>
    </row>
    <row r="542" spans="3:11" s="79" customFormat="1">
      <c r="C542" s="21"/>
      <c r="G542" s="1119"/>
      <c r="H542" s="119"/>
      <c r="I542" s="119"/>
    </row>
    <row r="543" spans="3:11" s="79" customFormat="1" ht="19">
      <c r="C543" s="2" t="s">
        <v>132</v>
      </c>
      <c r="D543" s="37" t="s">
        <v>89</v>
      </c>
      <c r="E543" s="16"/>
      <c r="F543" s="2953"/>
      <c r="G543" s="359"/>
      <c r="H543" s="2953"/>
      <c r="I543" s="2953"/>
    </row>
    <row r="544" spans="3:11" s="79" customFormat="1">
      <c r="C544" s="2953" t="s">
        <v>54</v>
      </c>
      <c r="D544" s="160" t="s">
        <v>296</v>
      </c>
      <c r="E544" s="16"/>
      <c r="F544" s="2953"/>
      <c r="G544" s="359"/>
      <c r="H544" s="2953"/>
      <c r="I544" s="2953"/>
    </row>
    <row r="545" spans="3:9" s="79" customFormat="1">
      <c r="C545" s="2953"/>
      <c r="D545" s="160"/>
      <c r="E545" s="16"/>
      <c r="F545" s="2953"/>
      <c r="G545" s="359"/>
      <c r="H545" s="2953"/>
      <c r="I545" s="2953"/>
    </row>
    <row r="546" spans="3:9" s="79" customFormat="1">
      <c r="C546" s="2953"/>
      <c r="D546" s="16"/>
      <c r="E546" s="16"/>
      <c r="F546" s="2953"/>
      <c r="G546" s="359"/>
      <c r="H546" s="2953"/>
      <c r="I546" s="2953"/>
    </row>
    <row r="547" spans="3:9" s="79" customFormat="1">
      <c r="C547" s="2953"/>
      <c r="D547" s="67" t="s">
        <v>91</v>
      </c>
      <c r="E547" s="41"/>
      <c r="F547" s="2953"/>
      <c r="G547" s="359"/>
      <c r="H547" s="2953"/>
      <c r="I547" s="2953"/>
    </row>
    <row r="548" spans="3:9" s="79" customFormat="1">
      <c r="C548" s="2953"/>
      <c r="D548" s="52">
        <f>'Overall Assumptions'!$C$93</f>
        <v>285</v>
      </c>
      <c r="E548" s="41" t="s">
        <v>93</v>
      </c>
      <c r="F548" s="2953"/>
      <c r="G548" s="359"/>
      <c r="H548" s="2953"/>
      <c r="I548" s="2953"/>
    </row>
    <row r="549" spans="3:9" s="79" customFormat="1">
      <c r="C549" s="2953"/>
      <c r="D549" s="54"/>
      <c r="E549" s="43"/>
      <c r="F549" s="2953"/>
      <c r="G549" s="359"/>
      <c r="H549" s="2953"/>
      <c r="I549" s="2953"/>
    </row>
    <row r="550" spans="3:9" s="79" customFormat="1">
      <c r="C550" s="2953"/>
      <c r="D550" s="54"/>
      <c r="E550" s="43"/>
      <c r="F550" s="2953"/>
      <c r="G550" s="359"/>
      <c r="H550" s="2953"/>
      <c r="I550" s="2953"/>
    </row>
    <row r="551" spans="3:9" s="79" customFormat="1">
      <c r="C551" s="2953"/>
      <c r="D551" s="56"/>
      <c r="E551" s="45"/>
      <c r="F551" s="2953"/>
      <c r="G551" s="359"/>
      <c r="H551" s="2953"/>
      <c r="I551" s="2953"/>
    </row>
    <row r="552" spans="3:9" s="79" customFormat="1">
      <c r="C552" s="2953"/>
      <c r="D552" s="57" t="s">
        <v>1322</v>
      </c>
      <c r="E552" s="124" t="s">
        <v>901</v>
      </c>
      <c r="F552" s="2953"/>
      <c r="G552" s="359"/>
      <c r="H552" s="2953"/>
      <c r="I552" s="2953"/>
    </row>
    <row r="553" spans="3:9" s="79" customFormat="1">
      <c r="C553" s="2953"/>
      <c r="D553" s="46">
        <f>D532</f>
        <v>0</v>
      </c>
      <c r="E553" s="46">
        <f>E532</f>
        <v>0</v>
      </c>
      <c r="F553" s="59" t="s">
        <v>97</v>
      </c>
      <c r="G553" s="359"/>
      <c r="H553" s="2953"/>
      <c r="I553" s="2953"/>
    </row>
    <row r="554" spans="3:9" s="79" customFormat="1">
      <c r="C554" s="2953"/>
      <c r="D554" s="46">
        <f>D536</f>
        <v>115.95018087284058</v>
      </c>
      <c r="E554" s="46">
        <f>E536</f>
        <v>12.649110640673518</v>
      </c>
      <c r="F554" s="59" t="s">
        <v>98</v>
      </c>
      <c r="G554" s="359"/>
      <c r="H554" s="2953"/>
      <c r="I554" s="2953"/>
    </row>
    <row r="555" spans="3:9" s="79" customFormat="1">
      <c r="C555" s="2953"/>
      <c r="D555" s="46"/>
      <c r="E555" s="46"/>
      <c r="F555" s="59"/>
      <c r="G555" s="359"/>
      <c r="H555" s="2953"/>
      <c r="I555" s="2953"/>
    </row>
    <row r="556" spans="3:9" s="79" customFormat="1">
      <c r="C556" s="2953"/>
      <c r="D556" s="46">
        <f>SUM(D553:D555)</f>
        <v>115.95018087284058</v>
      </c>
      <c r="E556" s="46">
        <f>SUM(E553:E555)</f>
        <v>12.649110640673518</v>
      </c>
      <c r="F556" s="59" t="s">
        <v>983</v>
      </c>
      <c r="G556" s="359"/>
      <c r="H556" s="2953"/>
      <c r="I556" s="2953"/>
    </row>
    <row r="557" spans="3:9" s="79" customFormat="1">
      <c r="C557" s="2953"/>
      <c r="D557" s="63"/>
      <c r="F557" s="16"/>
      <c r="G557" s="359"/>
      <c r="H557" s="2953"/>
      <c r="I557" s="2953"/>
    </row>
    <row r="558" spans="3:9" s="79" customFormat="1">
      <c r="C558" s="2953"/>
      <c r="D558" s="63"/>
      <c r="F558" s="16"/>
      <c r="G558" s="359"/>
      <c r="H558" s="2953"/>
      <c r="I558" s="2953"/>
    </row>
    <row r="559" spans="3:9" s="79" customFormat="1">
      <c r="C559" s="2953"/>
      <c r="D559" s="68">
        <f>D556*$D548</f>
        <v>33045.801548759562</v>
      </c>
      <c r="E559" s="68">
        <f>E556*$D548</f>
        <v>3604.9965325919525</v>
      </c>
      <c r="F559" s="47" t="s">
        <v>53</v>
      </c>
      <c r="G559" s="359"/>
      <c r="H559" s="2953"/>
      <c r="I559" s="2953"/>
    </row>
    <row r="560" spans="3:9" s="79" customFormat="1">
      <c r="G560" s="1119"/>
    </row>
    <row r="561" spans="3:25" s="79" customFormat="1">
      <c r="D561" s="2953">
        <f>ROUNDUP(D562/21,0)</f>
        <v>6</v>
      </c>
      <c r="E561" s="2953">
        <f>ROUNDUP(E562/21,0)</f>
        <v>1</v>
      </c>
      <c r="F561" s="359" t="s">
        <v>739</v>
      </c>
    </row>
    <row r="562" spans="3:25" s="79" customFormat="1">
      <c r="D562" s="532">
        <f>D556</f>
        <v>115.95018087284058</v>
      </c>
      <c r="E562" s="532">
        <f>E556</f>
        <v>12.649110640673518</v>
      </c>
      <c r="F562" s="359" t="s">
        <v>793</v>
      </c>
    </row>
    <row r="563" spans="3:25" s="79" customFormat="1">
      <c r="G563" s="1119"/>
    </row>
    <row r="564" spans="3:25" s="79" customFormat="1">
      <c r="C564" s="225" t="s">
        <v>70</v>
      </c>
      <c r="D564" s="230"/>
      <c r="E564" s="224" t="s">
        <v>156</v>
      </c>
      <c r="F564" s="212"/>
      <c r="G564" s="1108"/>
      <c r="H564" s="212"/>
      <c r="I564" s="119"/>
    </row>
    <row r="565" spans="3:25" s="79" customFormat="1">
      <c r="C565" s="212"/>
      <c r="D565" s="230"/>
      <c r="E565" s="224"/>
      <c r="F565" s="212"/>
      <c r="G565" s="1108"/>
      <c r="H565" s="212"/>
      <c r="I565" s="119"/>
    </row>
    <row r="566" spans="3:25" s="79" customFormat="1">
      <c r="C566" s="212"/>
      <c r="D566" s="57" t="s">
        <v>1322</v>
      </c>
      <c r="E566" s="124" t="s">
        <v>901</v>
      </c>
      <c r="F566" s="212"/>
      <c r="G566" s="1108"/>
      <c r="H566" s="212"/>
      <c r="I566" s="119"/>
    </row>
    <row r="567" spans="3:25" s="79" customFormat="1">
      <c r="C567" s="212"/>
      <c r="D567" s="222">
        <f>D536</f>
        <v>115.95018087284058</v>
      </c>
      <c r="E567" s="222">
        <f>E536</f>
        <v>12.649110640673518</v>
      </c>
      <c r="F567" s="213" t="s">
        <v>157</v>
      </c>
      <c r="G567" s="1108"/>
      <c r="H567" s="212"/>
      <c r="I567" s="119"/>
    </row>
    <row r="568" spans="3:25" s="79" customFormat="1">
      <c r="C568" s="212"/>
      <c r="D568" s="229">
        <f>FLOOR(D567,1)</f>
        <v>115</v>
      </c>
      <c r="E568" s="229">
        <f>FLOOR(E567,1)</f>
        <v>12</v>
      </c>
      <c r="F568" s="213" t="s">
        <v>73</v>
      </c>
      <c r="G568" s="1108"/>
      <c r="H568" s="212"/>
      <c r="I568" s="119"/>
    </row>
    <row r="569" spans="3:25" s="79" customFormat="1">
      <c r="C569" s="212"/>
      <c r="D569" s="228">
        <f>D568*$D515</f>
        <v>230</v>
      </c>
      <c r="E569" s="228">
        <f>E568*$D515</f>
        <v>24</v>
      </c>
      <c r="F569" s="214" t="s">
        <v>175</v>
      </c>
      <c r="G569" s="1108"/>
      <c r="H569" s="212"/>
      <c r="I569" s="119"/>
    </row>
    <row r="570" spans="3:25" s="79" customFormat="1">
      <c r="C570" s="212"/>
      <c r="D570" s="227"/>
      <c r="F570" s="214" t="s">
        <v>88</v>
      </c>
      <c r="G570" s="1108"/>
      <c r="H570" s="212"/>
    </row>
    <row r="571" spans="3:25" s="79" customFormat="1">
      <c r="C571" s="212"/>
      <c r="D571" s="226">
        <f>D569*$D528</f>
        <v>48300</v>
      </c>
      <c r="E571" s="226">
        <f>E569*$D528</f>
        <v>5040</v>
      </c>
      <c r="F571" s="221" t="s">
        <v>74</v>
      </c>
      <c r="G571" s="1108"/>
      <c r="H571" s="212"/>
      <c r="J571" s="276"/>
      <c r="K571" s="276"/>
      <c r="L571" s="276"/>
      <c r="M571" s="276"/>
    </row>
    <row r="572" spans="3:25" s="79" customFormat="1">
      <c r="D572" s="282"/>
      <c r="E572" s="76"/>
      <c r="G572" s="1119"/>
      <c r="J572" s="122"/>
      <c r="K572" s="136"/>
      <c r="L572" s="119"/>
      <c r="M572" s="119"/>
    </row>
    <row r="573" spans="3:25" s="79" customFormat="1">
      <c r="C573" s="79" t="s">
        <v>4</v>
      </c>
      <c r="D573" s="57" t="s">
        <v>1322</v>
      </c>
      <c r="E573" s="124" t="s">
        <v>901</v>
      </c>
      <c r="M573" s="16"/>
      <c r="N573" s="34"/>
      <c r="Y573" s="16"/>
    </row>
    <row r="574" spans="3:25" s="79" customFormat="1">
      <c r="D574" s="79">
        <f>$D476</f>
        <v>12.649110640673518</v>
      </c>
      <c r="E574" s="79">
        <f>$D476</f>
        <v>12.649110640673518</v>
      </c>
      <c r="F574" s="79" t="s">
        <v>1324</v>
      </c>
      <c r="M574" s="16"/>
      <c r="N574" s="34"/>
      <c r="Y574" s="16"/>
    </row>
    <row r="575" spans="3:25" s="79" customFormat="1">
      <c r="D575" s="129">
        <f>D523</f>
        <v>5000</v>
      </c>
      <c r="E575" s="129">
        <f>D524</f>
        <v>500</v>
      </c>
      <c r="F575" s="79" t="s">
        <v>1325</v>
      </c>
      <c r="M575" s="16"/>
      <c r="N575" s="34"/>
      <c r="Y575" s="16"/>
    </row>
    <row r="576" spans="3:25" s="79" customFormat="1">
      <c r="D576" s="1606">
        <f>D574*D575</f>
        <v>63245.553203367592</v>
      </c>
      <c r="E576" s="1597">
        <f>E574*E575</f>
        <v>6324.555320336759</v>
      </c>
      <c r="F576" s="274" t="s">
        <v>1330</v>
      </c>
      <c r="M576" s="16"/>
      <c r="N576" s="34"/>
      <c r="Y576" s="16"/>
    </row>
    <row r="577" spans="3:25" s="79" customFormat="1">
      <c r="M577" s="16"/>
      <c r="N577" s="34"/>
      <c r="Y577" s="16"/>
    </row>
    <row r="578" spans="3:25" s="79" customFormat="1">
      <c r="M578" s="16"/>
      <c r="N578" s="34"/>
      <c r="Y578" s="16"/>
    </row>
    <row r="579" spans="3:25" s="79" customFormat="1">
      <c r="C579" s="79" t="s">
        <v>21</v>
      </c>
      <c r="D579" s="781">
        <v>10000</v>
      </c>
      <c r="E579" s="401"/>
      <c r="F579" s="118" t="s">
        <v>1336</v>
      </c>
      <c r="M579" s="16"/>
      <c r="N579" s="34"/>
      <c r="Y579" s="16"/>
    </row>
    <row r="580" spans="3:25" s="79" customFormat="1">
      <c r="D580" s="1740">
        <v>10</v>
      </c>
      <c r="E580" s="284"/>
      <c r="F580" s="78" t="s">
        <v>1356</v>
      </c>
      <c r="G580" s="1119"/>
      <c r="J580" s="122"/>
      <c r="K580" s="136"/>
      <c r="L580" s="119"/>
      <c r="M580" s="119"/>
    </row>
    <row r="581" spans="3:25" s="79" customFormat="1">
      <c r="D581" s="283"/>
      <c r="E581" s="76" t="s">
        <v>2368</v>
      </c>
      <c r="F581" s="122" t="s">
        <v>1195</v>
      </c>
      <c r="G581" s="1119" t="s">
        <v>1328</v>
      </c>
      <c r="I581" s="79" t="s">
        <v>1329</v>
      </c>
      <c r="J581" s="122"/>
      <c r="K581" s="136"/>
      <c r="L581" s="119"/>
      <c r="M581" s="119"/>
    </row>
    <row r="582" spans="3:25" s="79" customFormat="1">
      <c r="D582" s="143" t="s">
        <v>172</v>
      </c>
      <c r="E582" s="144" t="s">
        <v>155</v>
      </c>
      <c r="F582" s="144" t="s">
        <v>155</v>
      </c>
      <c r="G582" s="1622" t="s">
        <v>1333</v>
      </c>
      <c r="H582" s="144" t="s">
        <v>69</v>
      </c>
      <c r="I582" s="144" t="s">
        <v>391</v>
      </c>
      <c r="J582" s="144" t="s">
        <v>1202</v>
      </c>
      <c r="K582" s="144" t="s">
        <v>69</v>
      </c>
      <c r="L582" s="619" t="s">
        <v>391</v>
      </c>
    </row>
    <row r="583" spans="3:25" s="79" customFormat="1">
      <c r="D583" s="135" t="s">
        <v>3</v>
      </c>
      <c r="E583" s="136">
        <f>D538</f>
        <v>231.90036174568115</v>
      </c>
      <c r="F583" s="136">
        <f>E538</f>
        <v>25.298221281347036</v>
      </c>
      <c r="G583" s="1623">
        <f>D540</f>
        <v>52177.581392778258</v>
      </c>
      <c r="H583" s="119" t="s">
        <v>486</v>
      </c>
      <c r="I583" s="79">
        <f>D484</f>
        <v>20</v>
      </c>
      <c r="J583" s="1092">
        <f>E540</f>
        <v>5692.0997883030832</v>
      </c>
      <c r="K583" s="119" t="s">
        <v>486</v>
      </c>
      <c r="L583" s="1624">
        <f>D485</f>
        <v>1</v>
      </c>
    </row>
    <row r="584" spans="3:25" s="79" customFormat="1">
      <c r="D584" s="135" t="s">
        <v>132</v>
      </c>
      <c r="E584" s="136">
        <f>D556</f>
        <v>115.95018087284058</v>
      </c>
      <c r="F584" s="136">
        <f>E556</f>
        <v>12.649110640673518</v>
      </c>
      <c r="G584" s="1623">
        <f>D559</f>
        <v>33045.801548759562</v>
      </c>
      <c r="H584" s="119" t="s">
        <v>53</v>
      </c>
      <c r="I584" s="79">
        <f>I583</f>
        <v>20</v>
      </c>
      <c r="J584" s="1092">
        <f>E559</f>
        <v>3604.9965325919525</v>
      </c>
      <c r="K584" s="119" t="s">
        <v>53</v>
      </c>
      <c r="L584" s="1624">
        <f>L583</f>
        <v>1</v>
      </c>
    </row>
    <row r="585" spans="3:25" s="79" customFormat="1">
      <c r="D585" s="135" t="s">
        <v>1331</v>
      </c>
      <c r="E585" s="136">
        <f>D569</f>
        <v>230</v>
      </c>
      <c r="F585" s="136">
        <f>E569</f>
        <v>24</v>
      </c>
      <c r="G585" s="1623">
        <f>SUM(G589:G590)</f>
        <v>111545.5532033676</v>
      </c>
      <c r="H585" s="119" t="s">
        <v>1334</v>
      </c>
      <c r="I585" s="79">
        <f>I584</f>
        <v>20</v>
      </c>
      <c r="J585" s="1092">
        <f>SUM(J589:J590)</f>
        <v>11364.55532033676</v>
      </c>
      <c r="K585" s="119" t="s">
        <v>1334</v>
      </c>
      <c r="L585" s="1624">
        <f>L584</f>
        <v>1</v>
      </c>
    </row>
    <row r="586" spans="3:25" s="79" customFormat="1">
      <c r="D586" s="135" t="s">
        <v>21</v>
      </c>
      <c r="E586" s="136"/>
      <c r="F586" s="141"/>
      <c r="G586" s="1623">
        <f>D579</f>
        <v>10000</v>
      </c>
      <c r="H586" s="119" t="s">
        <v>21</v>
      </c>
      <c r="I586" s="336">
        <f>D580</f>
        <v>10</v>
      </c>
      <c r="J586" s="1092" t="s">
        <v>1197</v>
      </c>
      <c r="K586" s="119" t="s">
        <v>21</v>
      </c>
      <c r="L586" s="1624"/>
    </row>
    <row r="587" spans="3:25" s="79" customFormat="1">
      <c r="D587" s="117"/>
      <c r="E587" s="185"/>
      <c r="F587" s="186"/>
      <c r="G587" s="1628">
        <f>SUM(G583:G585)</f>
        <v>196768.93614490543</v>
      </c>
      <c r="H587" s="1629" t="s">
        <v>165</v>
      </c>
      <c r="I587" s="401"/>
      <c r="J587" s="1620">
        <f>SUM(J583:J585)</f>
        <v>20661.651641231794</v>
      </c>
      <c r="K587" s="401"/>
      <c r="L587" s="1621" t="s">
        <v>165</v>
      </c>
    </row>
    <row r="588" spans="3:25" s="79" customFormat="1">
      <c r="D588" s="107"/>
      <c r="E588" s="2556"/>
      <c r="F588" s="320"/>
      <c r="G588" s="1623"/>
      <c r="H588" s="119"/>
      <c r="J588" s="1092"/>
      <c r="L588" s="358"/>
    </row>
    <row r="589" spans="3:25" s="79" customFormat="1">
      <c r="D589" s="1611" t="s">
        <v>169</v>
      </c>
      <c r="E589" s="1612"/>
      <c r="F589" s="1613"/>
      <c r="G589" s="1625">
        <f>D571</f>
        <v>48300</v>
      </c>
      <c r="H589" s="1609" t="s">
        <v>74</v>
      </c>
      <c r="I589" s="1209"/>
      <c r="J589" s="1607">
        <f>E571</f>
        <v>5040</v>
      </c>
      <c r="K589" s="1608"/>
      <c r="L589" s="1610" t="s">
        <v>74</v>
      </c>
    </row>
    <row r="590" spans="3:25" s="79" customFormat="1">
      <c r="D590" s="1614" t="s">
        <v>1332</v>
      </c>
      <c r="E590" s="1615"/>
      <c r="F590" s="1616"/>
      <c r="G590" s="1626">
        <f>D576</f>
        <v>63245.553203367592</v>
      </c>
      <c r="H590" s="1627" t="s">
        <v>1335</v>
      </c>
      <c r="I590" s="812"/>
      <c r="J590" s="1617">
        <f>E576</f>
        <v>6324.555320336759</v>
      </c>
      <c r="K590" s="1618"/>
      <c r="L590" s="1619" t="s">
        <v>1335</v>
      </c>
    </row>
    <row r="591" spans="3:25" s="79" customFormat="1">
      <c r="D591" s="122"/>
      <c r="E591" s="147"/>
      <c r="F591" s="122"/>
      <c r="G591" s="1092"/>
      <c r="H591" s="119"/>
    </row>
    <row r="592" spans="3:25" s="351" customFormat="1">
      <c r="D592" s="352"/>
      <c r="E592" s="353"/>
      <c r="G592" s="1122"/>
    </row>
    <row r="593" spans="3:20" s="7" customFormat="1">
      <c r="D593" s="69"/>
      <c r="E593" s="36"/>
      <c r="G593" s="1089"/>
    </row>
    <row r="594" spans="3:20" s="7" customFormat="1">
      <c r="D594" s="69"/>
      <c r="E594" s="36"/>
      <c r="G594" s="1089"/>
    </row>
    <row r="595" spans="3:20" s="9" customFormat="1">
      <c r="E595" s="34"/>
      <c r="F595" s="34"/>
      <c r="G595" s="572"/>
    </row>
    <row r="596" spans="3:20" s="9" customFormat="1">
      <c r="C596" s="121" t="s">
        <v>2262</v>
      </c>
      <c r="E596" s="34"/>
      <c r="G596" s="572"/>
    </row>
    <row r="597" spans="3:20" s="9" customFormat="1">
      <c r="C597" s="121"/>
      <c r="D597" s="1658">
        <f>'Overall Assumptions'!$C$6</f>
        <v>100</v>
      </c>
      <c r="E597" s="319" t="s">
        <v>451</v>
      </c>
      <c r="F597" s="108"/>
      <c r="G597" s="572"/>
    </row>
    <row r="598" spans="3:20" s="9" customFormat="1">
      <c r="C598" s="121"/>
      <c r="D598" s="548">
        <v>2</v>
      </c>
      <c r="E598" s="124" t="s">
        <v>2229</v>
      </c>
      <c r="F598" s="109"/>
      <c r="G598" s="572"/>
    </row>
    <row r="599" spans="3:20" s="9" customFormat="1">
      <c r="C599" s="121"/>
      <c r="D599" s="548">
        <v>4</v>
      </c>
      <c r="E599" s="124" t="s">
        <v>2230</v>
      </c>
      <c r="F599" s="109"/>
      <c r="G599" s="572"/>
    </row>
    <row r="600" spans="3:20" s="9" customFormat="1">
      <c r="C600" s="121"/>
      <c r="D600" s="137">
        <f>D598*D599</f>
        <v>8</v>
      </c>
      <c r="E600" s="322" t="s">
        <v>1319</v>
      </c>
      <c r="F600" s="323"/>
      <c r="G600" s="572"/>
    </row>
    <row r="601" spans="3:20" s="9" customFormat="1">
      <c r="C601" s="121"/>
      <c r="E601" s="160" t="s">
        <v>2233</v>
      </c>
      <c r="F601" s="34"/>
    </row>
    <row r="602" spans="3:20" s="9" customFormat="1">
      <c r="C602" s="121"/>
      <c r="E602" s="160" t="s">
        <v>2231</v>
      </c>
      <c r="F602" s="34"/>
    </row>
    <row r="603" spans="3:20" s="9" customFormat="1">
      <c r="C603" s="121"/>
      <c r="E603" s="160" t="s">
        <v>2232</v>
      </c>
      <c r="F603" s="34"/>
    </row>
    <row r="604" spans="3:20" s="9" customFormat="1">
      <c r="C604" s="121"/>
      <c r="F604" s="34"/>
    </row>
    <row r="605" spans="3:20" s="79" customFormat="1">
      <c r="D605" s="34"/>
      <c r="E605" s="76"/>
      <c r="G605" s="1119"/>
    </row>
    <row r="606" spans="3:20" s="79" customFormat="1">
      <c r="C606" s="233"/>
      <c r="D606" s="693" t="s">
        <v>1291</v>
      </c>
      <c r="E606" s="76"/>
      <c r="G606" s="1119"/>
      <c r="H606" s="129"/>
      <c r="J606" s="34" t="s">
        <v>179</v>
      </c>
      <c r="K606" s="34"/>
      <c r="L606" s="34"/>
      <c r="M606" s="34"/>
      <c r="N606" s="34"/>
    </row>
    <row r="607" spans="3:20" s="79" customFormat="1">
      <c r="D607" s="489" t="s">
        <v>1292</v>
      </c>
      <c r="E607" s="66"/>
      <c r="G607" s="1119"/>
      <c r="J607" s="874">
        <f>'Overall Assumptions'!$C$25</f>
        <v>1.4999999999999999E-2</v>
      </c>
      <c r="K607" s="34" t="s">
        <v>881</v>
      </c>
      <c r="L607" s="34"/>
      <c r="M607" s="34"/>
      <c r="N607" s="34"/>
    </row>
    <row r="608" spans="3:20" s="79" customFormat="1">
      <c r="D608" s="444">
        <v>20</v>
      </c>
      <c r="E608" s="164" t="s">
        <v>1289</v>
      </c>
      <c r="F608" s="161"/>
      <c r="G608" s="1120"/>
      <c r="H608" s="324"/>
      <c r="J608" s="34">
        <v>40</v>
      </c>
      <c r="K608" s="34" t="s">
        <v>886</v>
      </c>
      <c r="L608" s="34"/>
      <c r="M608" s="34"/>
      <c r="N608" s="34"/>
      <c r="O608" s="34"/>
      <c r="P608" s="34"/>
      <c r="Q608" s="34"/>
      <c r="R608" s="34"/>
      <c r="S608" s="34"/>
      <c r="T608" s="34"/>
    </row>
    <row r="609" spans="3:25" s="79" customFormat="1">
      <c r="C609" s="9"/>
      <c r="D609" s="1659">
        <v>1</v>
      </c>
      <c r="E609" s="322" t="s">
        <v>1196</v>
      </c>
      <c r="F609" s="1660"/>
      <c r="G609" s="1121"/>
      <c r="H609" s="288"/>
      <c r="J609" s="34"/>
      <c r="K609" s="34"/>
      <c r="L609" s="34"/>
      <c r="M609" s="34"/>
      <c r="N609" s="34"/>
    </row>
    <row r="610" spans="3:25" s="79" customFormat="1">
      <c r="C610" s="9"/>
      <c r="D610" s="1600"/>
      <c r="E610" s="124"/>
      <c r="F610" s="147"/>
      <c r="G610" s="1121"/>
      <c r="H610" s="288"/>
      <c r="J610" s="34"/>
      <c r="K610" s="871" t="s">
        <v>880</v>
      </c>
      <c r="L610" s="34"/>
      <c r="M610" s="34"/>
      <c r="N610" s="34"/>
      <c r="O610" s="872" t="s">
        <v>892</v>
      </c>
      <c r="T610" s="16"/>
    </row>
    <row r="611" spans="3:25" s="79" customFormat="1">
      <c r="C611" s="9"/>
      <c r="D611" s="1602">
        <v>40</v>
      </c>
      <c r="E611" s="1600" t="s">
        <v>1295</v>
      </c>
      <c r="F611" s="147"/>
      <c r="G611" s="1121"/>
      <c r="H611" s="288"/>
      <c r="J611" s="34">
        <v>2500</v>
      </c>
      <c r="K611" s="34" t="s">
        <v>891</v>
      </c>
      <c r="L611" s="34"/>
      <c r="M611" s="34"/>
      <c r="N611" s="34"/>
      <c r="O611" s="16"/>
      <c r="P611" s="24" t="s">
        <v>889</v>
      </c>
      <c r="Q611" s="24"/>
      <c r="R611" s="24"/>
      <c r="S611" s="24"/>
      <c r="T611" s="16"/>
    </row>
    <row r="612" spans="3:25" s="79" customFormat="1">
      <c r="C612" s="9"/>
      <c r="E612" s="1600"/>
      <c r="F612" s="147"/>
      <c r="G612" s="1121"/>
      <c r="H612" s="288"/>
      <c r="J612" s="16">
        <f>J611/J608</f>
        <v>62.5</v>
      </c>
      <c r="K612" s="34" t="s">
        <v>887</v>
      </c>
      <c r="L612" s="34"/>
      <c r="M612" s="34"/>
      <c r="N612" s="16"/>
      <c r="O612" s="63">
        <v>4500</v>
      </c>
      <c r="P612" s="16" t="s">
        <v>890</v>
      </c>
      <c r="Q612" s="16"/>
      <c r="R612" s="16"/>
      <c r="S612" s="16"/>
      <c r="T612" s="16"/>
    </row>
    <row r="613" spans="3:25" s="79" customFormat="1">
      <c r="C613" s="1601" t="s">
        <v>1290</v>
      </c>
      <c r="D613" s="1689" t="s">
        <v>1304</v>
      </c>
      <c r="E613" s="401"/>
      <c r="F613" s="1688"/>
      <c r="G613" s="1121"/>
      <c r="H613" s="288"/>
      <c r="J613" s="34"/>
      <c r="K613" s="34"/>
      <c r="L613" s="34"/>
      <c r="M613" s="34"/>
      <c r="N613" s="16"/>
      <c r="O613" s="267">
        <f>O612*(1+J607)^8</f>
        <v>5069.2166396788753</v>
      </c>
      <c r="P613" s="34" t="s">
        <v>877</v>
      </c>
      <c r="Q613" s="34"/>
      <c r="R613" s="34"/>
      <c r="S613" s="34"/>
      <c r="T613" s="16"/>
    </row>
    <row r="614" spans="3:25" s="79" customFormat="1">
      <c r="C614" s="1601"/>
      <c r="D614" s="1661">
        <v>2500</v>
      </c>
      <c r="E614" s="1678">
        <v>2500</v>
      </c>
      <c r="F614" s="1662">
        <v>2500</v>
      </c>
      <c r="G614" s="79" t="s">
        <v>426</v>
      </c>
      <c r="H614" s="288"/>
      <c r="J614" s="267">
        <v>5800</v>
      </c>
      <c r="K614" s="105" t="s">
        <v>876</v>
      </c>
      <c r="L614" s="34"/>
      <c r="M614" s="34"/>
      <c r="N614" s="16"/>
      <c r="O614" s="63">
        <v>5000</v>
      </c>
      <c r="P614" s="34" t="s">
        <v>1303</v>
      </c>
      <c r="Q614" s="34"/>
      <c r="R614" s="34"/>
      <c r="S614" s="34"/>
      <c r="T614" s="16"/>
      <c r="W614" s="872" t="s">
        <v>894</v>
      </c>
      <c r="X614" s="34"/>
      <c r="Y614" s="34"/>
    </row>
    <row r="615" spans="3:25" s="79" customFormat="1">
      <c r="C615" s="1601"/>
      <c r="D615" s="875">
        <f>D614/$D611</f>
        <v>62.5</v>
      </c>
      <c r="E615" s="875">
        <f t="shared" ref="E615" si="85">E614/$D611</f>
        <v>62.5</v>
      </c>
      <c r="F615" s="875">
        <f>F614/$D611</f>
        <v>62.5</v>
      </c>
      <c r="G615" s="79" t="s">
        <v>1296</v>
      </c>
      <c r="H615" s="288"/>
      <c r="J615" s="267">
        <f>J614*(1+J607)^8</f>
        <v>6533.6570022527731</v>
      </c>
      <c r="K615" s="34" t="s">
        <v>877</v>
      </c>
      <c r="L615" s="34"/>
      <c r="M615" s="34"/>
      <c r="N615" s="16"/>
      <c r="O615" s="63">
        <v>3000</v>
      </c>
      <c r="P615" s="16" t="s">
        <v>885</v>
      </c>
      <c r="Q615" s="16"/>
      <c r="R615" s="16"/>
      <c r="S615" s="16"/>
      <c r="T615" s="16"/>
      <c r="W615" s="34"/>
      <c r="X615" s="521" t="s">
        <v>893</v>
      </c>
      <c r="Y615" s="16"/>
    </row>
    <row r="616" spans="3:25" s="79" customFormat="1">
      <c r="C616" s="1601"/>
      <c r="D616" s="1689" t="s">
        <v>1294</v>
      </c>
      <c r="E616" s="593"/>
      <c r="F616" s="1688"/>
      <c r="G616" s="1121"/>
      <c r="H616" s="288"/>
      <c r="J616" s="267">
        <v>7000</v>
      </c>
      <c r="K616" s="34" t="s">
        <v>879</v>
      </c>
      <c r="L616" s="34"/>
      <c r="M616" s="34"/>
      <c r="N616" s="16"/>
      <c r="O616" s="432">
        <f>O615/J608</f>
        <v>75</v>
      </c>
      <c r="P616" s="16" t="s">
        <v>888</v>
      </c>
      <c r="Q616" s="16"/>
      <c r="R616" s="16"/>
      <c r="S616" s="16"/>
      <c r="T616" s="16"/>
      <c r="W616" s="16"/>
      <c r="X616" s="105" t="s">
        <v>901</v>
      </c>
      <c r="Y616" s="16"/>
    </row>
    <row r="617" spans="3:25" s="79" customFormat="1">
      <c r="C617" s="9"/>
      <c r="D617" s="1663" t="s">
        <v>1298</v>
      </c>
      <c r="E617" s="1679" t="s">
        <v>1299</v>
      </c>
      <c r="F617" s="485" t="s">
        <v>889</v>
      </c>
      <c r="G617" s="79" t="s">
        <v>1305</v>
      </c>
      <c r="H617" s="288"/>
      <c r="J617" s="267"/>
      <c r="K617" s="34"/>
      <c r="L617" s="34"/>
      <c r="M617" s="34"/>
      <c r="N617" s="16"/>
      <c r="W617" s="16"/>
      <c r="X617" s="16" t="s">
        <v>895</v>
      </c>
      <c r="Y617" s="16"/>
    </row>
    <row r="618" spans="3:25" s="79" customFormat="1">
      <c r="C618" s="9"/>
      <c r="D618" s="1540" t="s">
        <v>1300</v>
      </c>
      <c r="E618" s="591" t="s">
        <v>1302</v>
      </c>
      <c r="F618" s="1664" t="s">
        <v>1306</v>
      </c>
      <c r="G618" s="79" t="s">
        <v>69</v>
      </c>
      <c r="H618" s="288"/>
      <c r="J618" s="267">
        <v>1000</v>
      </c>
      <c r="K618" s="34" t="s">
        <v>885</v>
      </c>
      <c r="L618" s="34"/>
      <c r="M618" s="34"/>
      <c r="N618" s="16"/>
      <c r="W618" s="16">
        <v>0.9</v>
      </c>
      <c r="X618" s="16" t="s">
        <v>896</v>
      </c>
      <c r="Y618" s="16"/>
    </row>
    <row r="619" spans="3:25" s="79" customFormat="1">
      <c r="C619" s="9"/>
      <c r="D619" s="1665">
        <f>J616</f>
        <v>7000</v>
      </c>
      <c r="E619" s="1680">
        <f>J623</f>
        <v>11000</v>
      </c>
      <c r="F619" s="1666">
        <f>O614</f>
        <v>5000</v>
      </c>
      <c r="G619" s="79" t="s">
        <v>1297</v>
      </c>
      <c r="H619" s="288"/>
      <c r="J619" s="432">
        <f>J618/J608</f>
        <v>25</v>
      </c>
      <c r="K619" s="34" t="s">
        <v>887</v>
      </c>
      <c r="L619" s="16"/>
      <c r="M619" s="16"/>
      <c r="N619" s="16"/>
      <c r="O619" s="16"/>
      <c r="P619" s="872" t="s">
        <v>884</v>
      </c>
      <c r="Q619" s="872"/>
      <c r="R619" s="872"/>
      <c r="S619" s="872"/>
      <c r="W619" s="16">
        <f>W618*52</f>
        <v>46.800000000000004</v>
      </c>
      <c r="X619" s="16" t="s">
        <v>897</v>
      </c>
      <c r="Y619" s="16"/>
    </row>
    <row r="620" spans="3:25" s="79" customFormat="1">
      <c r="C620" s="9"/>
      <c r="D620" s="1667">
        <f>J618</f>
        <v>1000</v>
      </c>
      <c r="E620" s="1078">
        <f>J626</f>
        <v>8500</v>
      </c>
      <c r="F620" s="552">
        <f>O615</f>
        <v>3000</v>
      </c>
      <c r="G620" s="1121" t="s">
        <v>1301</v>
      </c>
      <c r="H620" s="288"/>
      <c r="N620" s="16"/>
      <c r="O620" s="63">
        <v>12500</v>
      </c>
      <c r="P620" s="24" t="s">
        <v>883</v>
      </c>
      <c r="Q620" s="24"/>
      <c r="R620" s="24"/>
      <c r="S620" s="24"/>
      <c r="W620" s="864">
        <f>W619/J627</f>
        <v>0.22023529411764708</v>
      </c>
      <c r="X620" s="16" t="s">
        <v>898</v>
      </c>
      <c r="Y620" s="16"/>
    </row>
    <row r="621" spans="3:25" s="79" customFormat="1">
      <c r="C621" s="9"/>
      <c r="D621" s="535">
        <f>J619</f>
        <v>25</v>
      </c>
      <c r="E621" s="1681">
        <f>J627</f>
        <v>212.5</v>
      </c>
      <c r="F621" s="1668">
        <f>O616</f>
        <v>75</v>
      </c>
      <c r="G621" s="1121" t="s">
        <v>1307</v>
      </c>
      <c r="H621" s="288"/>
      <c r="J621" s="267">
        <v>9600</v>
      </c>
      <c r="K621" s="105" t="s">
        <v>878</v>
      </c>
      <c r="L621" s="34"/>
      <c r="M621" s="16"/>
      <c r="N621" s="16"/>
      <c r="O621" s="267">
        <f>O620*(1+J607)^5</f>
        <v>13466.050048554678</v>
      </c>
      <c r="P621" s="34" t="s">
        <v>877</v>
      </c>
      <c r="Q621" s="34"/>
      <c r="R621" s="34"/>
      <c r="S621" s="34"/>
      <c r="W621" s="825">
        <v>0.2</v>
      </c>
      <c r="X621" s="16" t="s">
        <v>899</v>
      </c>
      <c r="Y621" s="16"/>
    </row>
    <row r="622" spans="3:25" s="79" customFormat="1">
      <c r="C622" s="9"/>
      <c r="D622" s="1245"/>
      <c r="E622" s="1682"/>
      <c r="F622" s="1669"/>
      <c r="G622" s="122" t="s">
        <v>1308</v>
      </c>
      <c r="J622" s="267">
        <f>J621*(1+J607)^8</f>
        <v>10814.328831314935</v>
      </c>
      <c r="K622" s="34" t="s">
        <v>877</v>
      </c>
      <c r="L622" s="34"/>
      <c r="M622" s="16"/>
      <c r="N622" s="16"/>
      <c r="O622" s="63">
        <v>13000</v>
      </c>
      <c r="P622" s="34" t="s">
        <v>882</v>
      </c>
      <c r="Q622" s="34"/>
      <c r="R622" s="34"/>
      <c r="S622" s="34"/>
      <c r="W622" s="16"/>
      <c r="X622" s="16" t="s">
        <v>900</v>
      </c>
      <c r="Y622" s="16"/>
    </row>
    <row r="623" spans="3:25" s="79" customFormat="1">
      <c r="C623" s="1601" t="s">
        <v>1293</v>
      </c>
      <c r="D623" s="1687" t="s">
        <v>1341</v>
      </c>
      <c r="E623" s="865"/>
      <c r="F623" s="1688"/>
      <c r="G623" s="6"/>
      <c r="H623" s="288"/>
      <c r="J623" s="63">
        <v>11000</v>
      </c>
      <c r="K623" s="34" t="s">
        <v>882</v>
      </c>
      <c r="L623" s="16"/>
      <c r="M623" s="16"/>
      <c r="N623" s="16"/>
      <c r="Y623" s="16"/>
    </row>
    <row r="624" spans="3:25" s="79" customFormat="1">
      <c r="C624" s="1601"/>
      <c r="D624" s="1670">
        <v>0.1</v>
      </c>
      <c r="E624" s="1683">
        <v>0.1</v>
      </c>
      <c r="F624" s="1671">
        <v>0.1</v>
      </c>
      <c r="G624" s="6" t="s">
        <v>1311</v>
      </c>
      <c r="H624" s="288"/>
      <c r="J624" s="63"/>
      <c r="K624" s="34"/>
      <c r="L624" s="16"/>
      <c r="M624" s="16"/>
      <c r="N624" s="16"/>
      <c r="Y624" s="16"/>
    </row>
    <row r="625" spans="3:25" s="79" customFormat="1">
      <c r="C625" s="9"/>
      <c r="D625" s="1672">
        <f>D624*D619</f>
        <v>700</v>
      </c>
      <c r="E625" s="1684">
        <f>E624*E619</f>
        <v>1100</v>
      </c>
      <c r="F625" s="1673">
        <f>F624*F619</f>
        <v>500</v>
      </c>
      <c r="G625" s="79" t="s">
        <v>1312</v>
      </c>
      <c r="H625" s="288"/>
      <c r="J625" s="63"/>
      <c r="K625" s="16"/>
      <c r="L625" s="16"/>
      <c r="M625" s="16"/>
      <c r="N625" s="34"/>
      <c r="O625" s="16"/>
      <c r="P625" s="16"/>
      <c r="Q625" s="16"/>
      <c r="R625" s="16"/>
      <c r="S625" s="16"/>
      <c r="T625" s="16"/>
    </row>
    <row r="626" spans="3:25" s="79" customFormat="1">
      <c r="C626" s="9"/>
      <c r="D626" s="1674">
        <v>0.2</v>
      </c>
      <c r="E626" s="1685">
        <v>0.2</v>
      </c>
      <c r="F626" s="1675">
        <v>0.2</v>
      </c>
      <c r="G626" s="1121" t="s">
        <v>1309</v>
      </c>
      <c r="H626" s="288"/>
      <c r="J626" s="63">
        <v>8500</v>
      </c>
      <c r="K626" s="16" t="s">
        <v>885</v>
      </c>
      <c r="L626" s="16"/>
      <c r="M626" s="16"/>
      <c r="N626" s="34"/>
      <c r="Y626" s="16"/>
    </row>
    <row r="627" spans="3:25" s="79" customFormat="1">
      <c r="D627" s="1676">
        <f>D621*D626</f>
        <v>5</v>
      </c>
      <c r="E627" s="1686">
        <f>E621*E626</f>
        <v>42.5</v>
      </c>
      <c r="F627" s="1677">
        <f>F621*F626</f>
        <v>15</v>
      </c>
      <c r="G627" s="1121" t="s">
        <v>1310</v>
      </c>
      <c r="J627" s="432">
        <f>J626/J608</f>
        <v>212.5</v>
      </c>
      <c r="K627" s="16" t="s">
        <v>888</v>
      </c>
      <c r="L627" s="16"/>
      <c r="M627" s="16"/>
      <c r="N627" s="34"/>
      <c r="Y627" s="16"/>
    </row>
    <row r="628" spans="3:25" s="79" customFormat="1">
      <c r="M628" s="16"/>
      <c r="N628" s="34"/>
      <c r="Y628" s="16"/>
    </row>
    <row r="629" spans="3:25" s="79" customFormat="1">
      <c r="M629" s="16"/>
      <c r="N629" s="34"/>
      <c r="Y629" s="16"/>
    </row>
    <row r="630" spans="3:25" s="79" customFormat="1">
      <c r="M630" s="16"/>
      <c r="N630" s="34"/>
      <c r="Y630" s="16"/>
    </row>
    <row r="631" spans="3:25" s="79" customFormat="1" ht="19">
      <c r="C631" s="2953" t="s">
        <v>50</v>
      </c>
      <c r="D631" s="37" t="s">
        <v>81</v>
      </c>
      <c r="E631" s="24"/>
      <c r="F631" s="1"/>
      <c r="G631" s="1100"/>
      <c r="H631" s="286"/>
      <c r="I631" s="286"/>
      <c r="J631" s="289"/>
      <c r="K631" s="216"/>
    </row>
    <row r="632" spans="3:25" s="79" customFormat="1">
      <c r="C632" s="2953"/>
      <c r="D632" s="24" t="s">
        <v>250</v>
      </c>
      <c r="E632" s="16"/>
      <c r="F632" s="1"/>
      <c r="G632" s="1100"/>
      <c r="J632" s="248"/>
      <c r="K632" s="248"/>
      <c r="L632" s="122"/>
    </row>
    <row r="633" spans="3:25" s="79" customFormat="1">
      <c r="C633" s="2953"/>
      <c r="D633" s="160" t="s">
        <v>294</v>
      </c>
      <c r="E633" s="16"/>
      <c r="F633" s="2953"/>
      <c r="G633" s="359"/>
      <c r="J633" s="248"/>
      <c r="K633" s="288"/>
      <c r="L633" s="122"/>
    </row>
    <row r="634" spans="3:25" s="79" customFormat="1">
      <c r="C634" s="2953"/>
      <c r="D634" s="50"/>
      <c r="E634" s="16"/>
      <c r="F634" s="2953"/>
      <c r="G634" s="359"/>
      <c r="J634" s="286"/>
      <c r="K634" s="286"/>
      <c r="L634" s="122"/>
    </row>
    <row r="635" spans="3:25" s="79" customFormat="1">
      <c r="C635" s="2953"/>
      <c r="D635" s="51" t="s">
        <v>82</v>
      </c>
      <c r="E635" s="39"/>
      <c r="F635" s="2953"/>
      <c r="G635" s="359"/>
      <c r="H635" s="212"/>
      <c r="I635" s="212"/>
      <c r="J635" s="216"/>
      <c r="K635" s="216"/>
    </row>
    <row r="636" spans="3:25" s="79" customFormat="1" ht="19">
      <c r="C636" s="2953"/>
      <c r="D636" s="52">
        <f>'Overall Assumptions'!$C$68</f>
        <v>225</v>
      </c>
      <c r="E636" s="53" t="s">
        <v>99</v>
      </c>
      <c r="F636" s="2953"/>
      <c r="G636" s="359"/>
      <c r="J636" s="65"/>
      <c r="K636" s="66"/>
    </row>
    <row r="637" spans="3:25" s="79" customFormat="1" ht="19">
      <c r="C637" s="2953"/>
      <c r="D637" s="54">
        <f>D600</f>
        <v>8</v>
      </c>
      <c r="E637" s="355" t="s">
        <v>1321</v>
      </c>
      <c r="F637" s="2953"/>
      <c r="G637" s="359"/>
      <c r="I637" s="65"/>
      <c r="K637" s="66"/>
    </row>
    <row r="638" spans="3:25" s="79" customFormat="1" ht="19">
      <c r="C638" s="2953"/>
      <c r="D638" s="54"/>
      <c r="E638" s="355"/>
      <c r="F638" s="2953"/>
      <c r="G638" s="359"/>
      <c r="H638" s="122"/>
      <c r="I638" s="978"/>
      <c r="K638" s="66"/>
    </row>
    <row r="639" spans="3:25" s="79" customFormat="1">
      <c r="C639" s="2953"/>
      <c r="D639" s="354">
        <v>2</v>
      </c>
      <c r="E639" s="43" t="s">
        <v>291</v>
      </c>
      <c r="F639" s="2953"/>
      <c r="G639" s="359"/>
      <c r="H639" s="122"/>
      <c r="I639" s="122"/>
      <c r="J639" s="65"/>
      <c r="K639" s="66"/>
    </row>
    <row r="640" spans="3:25" s="79" customFormat="1">
      <c r="C640" s="2953"/>
      <c r="D640" s="506"/>
      <c r="E640" s="43" t="s">
        <v>1326</v>
      </c>
      <c r="F640" s="2953"/>
      <c r="G640" s="359"/>
      <c r="H640" s="122"/>
      <c r="I640" s="122"/>
      <c r="J640" s="65"/>
      <c r="K640" s="66"/>
    </row>
    <row r="641" spans="3:11" s="79" customFormat="1">
      <c r="C641" s="2953"/>
      <c r="D641" s="1603" t="s">
        <v>889</v>
      </c>
      <c r="E641" s="43" t="s">
        <v>1313</v>
      </c>
      <c r="F641" s="2953"/>
      <c r="G641" s="359"/>
      <c r="H641" s="122"/>
      <c r="I641" s="122"/>
      <c r="J641" s="65"/>
      <c r="K641" s="66"/>
    </row>
    <row r="642" spans="3:11" s="79" customFormat="1">
      <c r="C642" s="2953"/>
      <c r="D642" s="295">
        <f>F615</f>
        <v>62.5</v>
      </c>
      <c r="E642" s="43" t="s">
        <v>1338</v>
      </c>
      <c r="F642" s="2953"/>
      <c r="G642" s="359"/>
      <c r="H642" s="122"/>
      <c r="I642" s="122"/>
      <c r="J642" s="65"/>
      <c r="K642" s="66"/>
    </row>
    <row r="643" spans="3:11" s="79" customFormat="1">
      <c r="C643" s="2953"/>
      <c r="D643" s="295">
        <f>F621</f>
        <v>75</v>
      </c>
      <c r="E643" s="43" t="s">
        <v>1339</v>
      </c>
      <c r="F643" s="2953"/>
      <c r="G643" s="359"/>
      <c r="H643" s="122"/>
      <c r="I643" s="122"/>
      <c r="J643" s="65"/>
      <c r="K643" s="66"/>
    </row>
    <row r="644" spans="3:11" s="79" customFormat="1">
      <c r="C644" s="2953"/>
      <c r="D644" s="506"/>
      <c r="E644" s="43"/>
      <c r="F644" s="2953"/>
      <c r="G644" s="359"/>
      <c r="H644" s="122"/>
      <c r="I644" s="122"/>
      <c r="J644" s="65"/>
      <c r="K644" s="66"/>
    </row>
    <row r="645" spans="3:11" s="79" customFormat="1">
      <c r="C645" s="2953"/>
      <c r="D645" s="295">
        <f>F627</f>
        <v>15</v>
      </c>
      <c r="E645" s="43" t="s">
        <v>1314</v>
      </c>
      <c r="F645" s="2953"/>
      <c r="G645" s="359"/>
      <c r="H645" s="122"/>
      <c r="I645" s="122"/>
      <c r="J645" s="65"/>
      <c r="K645" s="66"/>
    </row>
    <row r="646" spans="3:11" s="79" customFormat="1">
      <c r="C646" s="2953"/>
      <c r="D646" s="506"/>
      <c r="E646" s="43"/>
      <c r="F646" s="2953"/>
      <c r="G646" s="359"/>
      <c r="H646" s="122"/>
      <c r="I646" s="122"/>
      <c r="J646" s="65"/>
      <c r="K646" s="66"/>
    </row>
    <row r="647" spans="3:11" s="79" customFormat="1">
      <c r="C647" s="2953"/>
      <c r="D647" s="295">
        <f>F619</f>
        <v>5000</v>
      </c>
      <c r="E647" s="43" t="s">
        <v>1887</v>
      </c>
      <c r="F647" s="2953"/>
      <c r="G647" s="359"/>
      <c r="H647" s="122"/>
      <c r="I647" s="122"/>
      <c r="J647" s="65"/>
      <c r="K647" s="66"/>
    </row>
    <row r="648" spans="3:11" s="79" customFormat="1">
      <c r="C648" s="2953"/>
      <c r="D648" s="295">
        <f>F625</f>
        <v>500</v>
      </c>
      <c r="E648" s="43" t="s">
        <v>1888</v>
      </c>
      <c r="F648" s="2953"/>
      <c r="G648" s="359"/>
      <c r="H648" s="122"/>
      <c r="I648" s="122"/>
      <c r="J648" s="65"/>
      <c r="K648" s="66"/>
    </row>
    <row r="649" spans="3:11" s="79" customFormat="1">
      <c r="C649" s="2953"/>
      <c r="D649" s="506"/>
      <c r="E649" s="43"/>
      <c r="F649" s="2953"/>
      <c r="G649" s="359"/>
      <c r="H649" s="122"/>
      <c r="I649" s="122"/>
      <c r="J649" s="65"/>
      <c r="K649" s="66"/>
    </row>
    <row r="650" spans="3:11" s="79" customFormat="1">
      <c r="C650" s="2953"/>
      <c r="D650" s="54">
        <f>'Overall Assumptions'!$C$10</f>
        <v>0</v>
      </c>
      <c r="E650" s="43" t="s">
        <v>85</v>
      </c>
      <c r="F650" s="2953"/>
      <c r="G650" s="359"/>
      <c r="I650" s="122"/>
      <c r="J650" s="65"/>
      <c r="K650" s="66"/>
    </row>
    <row r="651" spans="3:11" s="79" customFormat="1">
      <c r="C651" s="2953"/>
      <c r="D651" s="54">
        <f>'Overall Assumptions'!$C$90</f>
        <v>80</v>
      </c>
      <c r="E651" s="43" t="s">
        <v>86</v>
      </c>
      <c r="F651" s="2953"/>
      <c r="G651" s="359"/>
      <c r="J651" s="65"/>
      <c r="K651" s="66"/>
    </row>
    <row r="652" spans="3:11" s="79" customFormat="1">
      <c r="C652" s="2953"/>
      <c r="D652" s="56">
        <f>'Overall Assumptions'!$C$81</f>
        <v>210</v>
      </c>
      <c r="E652" s="45" t="s">
        <v>87</v>
      </c>
      <c r="F652" s="2953"/>
      <c r="G652" s="359"/>
      <c r="J652" s="65"/>
      <c r="K652" s="66"/>
    </row>
    <row r="653" spans="3:11" s="79" customFormat="1">
      <c r="C653" s="2953"/>
      <c r="D653" s="57"/>
      <c r="E653" s="16"/>
      <c r="F653" s="2953"/>
      <c r="G653" s="359"/>
      <c r="J653" s="65"/>
      <c r="K653" s="66"/>
    </row>
    <row r="654" spans="3:11" s="79" customFormat="1">
      <c r="C654" s="2953"/>
      <c r="D654" s="57"/>
      <c r="E654" s="16"/>
      <c r="F654" s="2953"/>
      <c r="G654" s="359"/>
      <c r="J654" s="65"/>
      <c r="K654" s="66"/>
    </row>
    <row r="655" spans="3:11" s="79" customFormat="1">
      <c r="C655" s="2953"/>
      <c r="D655" s="57" t="s">
        <v>1322</v>
      </c>
      <c r="E655" s="124" t="s">
        <v>901</v>
      </c>
      <c r="F655" s="2953"/>
      <c r="G655" s="359"/>
      <c r="J655" s="65"/>
      <c r="K655" s="66"/>
    </row>
    <row r="656" spans="3:11" s="79" customFormat="1">
      <c r="C656" s="21"/>
      <c r="D656" s="296">
        <f>2*D650/D651/7.5</f>
        <v>0</v>
      </c>
      <c r="E656" s="79">
        <f>2*D650/D651/7.5</f>
        <v>0</v>
      </c>
      <c r="F656" s="59" t="s">
        <v>95</v>
      </c>
      <c r="G656" s="2953"/>
      <c r="J656" s="129"/>
      <c r="K656" s="76"/>
    </row>
    <row r="657" spans="3:11" s="79" customFormat="1">
      <c r="C657" s="21"/>
      <c r="D657" s="296"/>
      <c r="F657" s="60" t="s">
        <v>100</v>
      </c>
      <c r="G657" s="2953"/>
      <c r="J657" s="65"/>
      <c r="K657" s="66"/>
    </row>
    <row r="658" spans="3:11" s="79" customFormat="1">
      <c r="C658" s="21"/>
      <c r="D658" s="296">
        <f>SUM(D642:D643)*D637/7.5</f>
        <v>146.66666666666666</v>
      </c>
      <c r="E658" s="79">
        <f>D645*D637/7.5</f>
        <v>16</v>
      </c>
      <c r="F658" s="124" t="s">
        <v>1323</v>
      </c>
      <c r="G658" s="2953"/>
    </row>
    <row r="659" spans="3:11" s="79" customFormat="1">
      <c r="C659" s="21"/>
      <c r="D659" s="297"/>
      <c r="F659" s="59"/>
    </row>
    <row r="660" spans="3:11" s="79" customFormat="1" ht="28">
      <c r="C660" s="21"/>
      <c r="D660" s="296">
        <f>D662/$D639</f>
        <v>73.333333333333329</v>
      </c>
      <c r="E660" s="296">
        <f>E662/$D639</f>
        <v>8</v>
      </c>
      <c r="F660" s="16" t="s">
        <v>2234</v>
      </c>
      <c r="G660" s="19"/>
    </row>
    <row r="661" spans="3:11" s="122" customFormat="1">
      <c r="C661" s="9"/>
      <c r="D661" s="105"/>
      <c r="E661" s="105"/>
      <c r="F661" s="34"/>
      <c r="G661" s="9"/>
    </row>
    <row r="662" spans="3:11" s="79" customFormat="1">
      <c r="C662" s="2953"/>
      <c r="D662" s="77">
        <f>D656+D658</f>
        <v>146.66666666666666</v>
      </c>
      <c r="E662" s="77">
        <f>E656+E658</f>
        <v>16</v>
      </c>
      <c r="F662" s="16" t="s">
        <v>133</v>
      </c>
      <c r="G662" s="2953"/>
    </row>
    <row r="663" spans="3:11" s="79" customFormat="1">
      <c r="C663" s="2953"/>
      <c r="D663" s="77"/>
      <c r="F663" s="16"/>
      <c r="G663" s="2953"/>
    </row>
    <row r="664" spans="3:11" s="79" customFormat="1">
      <c r="C664" s="21"/>
      <c r="D664" s="64">
        <f>D662*$D636</f>
        <v>33000</v>
      </c>
      <c r="E664" s="64">
        <f>E662*$D636</f>
        <v>3600</v>
      </c>
      <c r="F664" s="39" t="s">
        <v>486</v>
      </c>
      <c r="G664" s="2953"/>
      <c r="H664" s="276"/>
      <c r="I664" s="276"/>
    </row>
    <row r="665" spans="3:11" s="79" customFormat="1">
      <c r="C665" s="21"/>
      <c r="G665" s="1119"/>
      <c r="H665" s="119"/>
      <c r="I665" s="119"/>
    </row>
    <row r="666" spans="3:11" s="79" customFormat="1">
      <c r="C666" s="21"/>
      <c r="G666" s="1119"/>
      <c r="H666" s="119"/>
      <c r="I666" s="119"/>
    </row>
    <row r="667" spans="3:11" s="79" customFormat="1" ht="19">
      <c r="C667" s="2" t="s">
        <v>132</v>
      </c>
      <c r="D667" s="37" t="s">
        <v>89</v>
      </c>
      <c r="E667" s="16"/>
      <c r="F667" s="2953"/>
      <c r="G667" s="359"/>
      <c r="H667" s="2953"/>
      <c r="I667" s="2953"/>
    </row>
    <row r="668" spans="3:11" s="79" customFormat="1">
      <c r="C668" s="2953" t="s">
        <v>54</v>
      </c>
      <c r="D668" s="160" t="s">
        <v>296</v>
      </c>
      <c r="E668" s="16"/>
      <c r="F668" s="2953"/>
      <c r="G668" s="359"/>
      <c r="H668" s="2953"/>
      <c r="I668" s="2953"/>
    </row>
    <row r="669" spans="3:11" s="79" customFormat="1">
      <c r="C669" s="2953"/>
      <c r="D669" s="160"/>
      <c r="E669" s="16"/>
      <c r="F669" s="2953"/>
      <c r="G669" s="359"/>
      <c r="H669" s="2953"/>
      <c r="I669" s="2953"/>
    </row>
    <row r="670" spans="3:11" s="79" customFormat="1">
      <c r="C670" s="2953"/>
      <c r="D670" s="16"/>
      <c r="E670" s="16"/>
      <c r="F670" s="2953"/>
      <c r="G670" s="359"/>
      <c r="H670" s="2953"/>
      <c r="I670" s="2953"/>
    </row>
    <row r="671" spans="3:11" s="79" customFormat="1">
      <c r="C671" s="2953"/>
      <c r="D671" s="67" t="s">
        <v>91</v>
      </c>
      <c r="E671" s="41"/>
      <c r="F671" s="2953"/>
      <c r="G671" s="359"/>
      <c r="H671" s="2953"/>
      <c r="I671" s="2953"/>
    </row>
    <row r="672" spans="3:11" s="79" customFormat="1">
      <c r="C672" s="2953"/>
      <c r="D672" s="52">
        <f>'Overall Assumptions'!$C$93</f>
        <v>285</v>
      </c>
      <c r="E672" s="41" t="s">
        <v>93</v>
      </c>
      <c r="F672" s="2953"/>
      <c r="G672" s="359"/>
      <c r="H672" s="2953"/>
      <c r="I672" s="2953"/>
    </row>
    <row r="673" spans="3:9" s="79" customFormat="1">
      <c r="C673" s="2953"/>
      <c r="D673" s="54"/>
      <c r="E673" s="43"/>
      <c r="F673" s="2953"/>
      <c r="G673" s="359"/>
      <c r="H673" s="2953"/>
      <c r="I673" s="2953"/>
    </row>
    <row r="674" spans="3:9" s="79" customFormat="1">
      <c r="C674" s="2953"/>
      <c r="D674" s="54"/>
      <c r="E674" s="43"/>
      <c r="F674" s="2953"/>
      <c r="G674" s="359"/>
      <c r="H674" s="2953"/>
      <c r="I674" s="2953"/>
    </row>
    <row r="675" spans="3:9" s="79" customFormat="1">
      <c r="C675" s="2953"/>
      <c r="D675" s="56"/>
      <c r="E675" s="45"/>
      <c r="F675" s="2953"/>
      <c r="G675" s="359"/>
      <c r="H675" s="2953"/>
      <c r="I675" s="2953"/>
    </row>
    <row r="676" spans="3:9" s="79" customFormat="1">
      <c r="C676" s="2953"/>
      <c r="D676" s="57" t="s">
        <v>1322</v>
      </c>
      <c r="E676" s="124" t="s">
        <v>901</v>
      </c>
      <c r="F676" s="2953"/>
      <c r="G676" s="359"/>
      <c r="H676" s="2953"/>
      <c r="I676" s="2953"/>
    </row>
    <row r="677" spans="3:9" s="79" customFormat="1">
      <c r="C677" s="2953"/>
      <c r="D677" s="46">
        <f>D656</f>
        <v>0</v>
      </c>
      <c r="E677" s="46">
        <f>E656</f>
        <v>0</v>
      </c>
      <c r="F677" s="59" t="s">
        <v>97</v>
      </c>
      <c r="G677" s="359"/>
      <c r="H677" s="2953"/>
      <c r="I677" s="2953"/>
    </row>
    <row r="678" spans="3:9" s="79" customFormat="1">
      <c r="C678" s="2953"/>
      <c r="D678" s="46">
        <f>D660</f>
        <v>73.333333333333329</v>
      </c>
      <c r="E678" s="46">
        <f>E660</f>
        <v>8</v>
      </c>
      <c r="F678" s="59" t="s">
        <v>98</v>
      </c>
      <c r="G678" s="359"/>
      <c r="H678" s="2953"/>
      <c r="I678" s="2953"/>
    </row>
    <row r="679" spans="3:9" s="79" customFormat="1">
      <c r="C679" s="2953"/>
      <c r="D679" s="46"/>
      <c r="E679" s="46"/>
      <c r="F679" s="59"/>
      <c r="G679" s="359"/>
      <c r="H679" s="2953"/>
      <c r="I679" s="2953"/>
    </row>
    <row r="680" spans="3:9" s="79" customFormat="1">
      <c r="C680" s="2953"/>
      <c r="D680" s="46">
        <f>SUM(D677:D679)</f>
        <v>73.333333333333329</v>
      </c>
      <c r="E680" s="46">
        <f>SUM(E677:E679)</f>
        <v>8</v>
      </c>
      <c r="F680" s="59" t="s">
        <v>983</v>
      </c>
      <c r="G680" s="359"/>
      <c r="H680" s="2953"/>
      <c r="I680" s="2953"/>
    </row>
    <row r="681" spans="3:9" s="79" customFormat="1">
      <c r="C681" s="2953"/>
      <c r="D681" s="63"/>
      <c r="F681" s="16"/>
      <c r="G681" s="359"/>
      <c r="H681" s="2953"/>
      <c r="I681" s="2953"/>
    </row>
    <row r="682" spans="3:9" s="79" customFormat="1">
      <c r="C682" s="2953"/>
      <c r="D682" s="63"/>
      <c r="F682" s="16"/>
      <c r="G682" s="359"/>
      <c r="H682" s="2953"/>
      <c r="I682" s="2953"/>
    </row>
    <row r="683" spans="3:9" s="79" customFormat="1">
      <c r="C683" s="2953"/>
      <c r="D683" s="68">
        <f>D680*$D672</f>
        <v>20900</v>
      </c>
      <c r="E683" s="68">
        <f>E680*$D672</f>
        <v>2280</v>
      </c>
      <c r="F683" s="47" t="s">
        <v>53</v>
      </c>
      <c r="G683" s="359"/>
      <c r="H683" s="2953"/>
      <c r="I683" s="2953"/>
    </row>
    <row r="684" spans="3:9" s="79" customFormat="1">
      <c r="G684" s="1119"/>
    </row>
    <row r="685" spans="3:9" s="79" customFormat="1">
      <c r="D685" s="2953">
        <f>ROUNDUP(D686/21,0)</f>
        <v>4</v>
      </c>
      <c r="E685" s="2953">
        <f>ROUNDUP(E686/21,0)</f>
        <v>1</v>
      </c>
      <c r="F685" s="359" t="s">
        <v>739</v>
      </c>
    </row>
    <row r="686" spans="3:9" s="79" customFormat="1">
      <c r="D686" s="532">
        <f>D680</f>
        <v>73.333333333333329</v>
      </c>
      <c r="E686" s="532">
        <f>E680</f>
        <v>8</v>
      </c>
      <c r="F686" s="359" t="s">
        <v>793</v>
      </c>
    </row>
    <row r="687" spans="3:9" s="79" customFormat="1">
      <c r="G687" s="1119"/>
    </row>
    <row r="688" spans="3:9" s="79" customFormat="1">
      <c r="C688" s="225" t="s">
        <v>70</v>
      </c>
      <c r="D688" s="230"/>
      <c r="E688" s="224" t="s">
        <v>156</v>
      </c>
      <c r="F688" s="212"/>
      <c r="G688" s="1108"/>
      <c r="H688" s="212"/>
      <c r="I688" s="119"/>
    </row>
    <row r="689" spans="3:25" s="79" customFormat="1">
      <c r="C689" s="212"/>
      <c r="D689" s="230"/>
      <c r="E689" s="224"/>
      <c r="F689" s="212"/>
      <c r="G689" s="1108"/>
      <c r="H689" s="212"/>
      <c r="I689" s="119"/>
    </row>
    <row r="690" spans="3:25" s="79" customFormat="1">
      <c r="C690" s="212"/>
      <c r="D690" s="57" t="s">
        <v>1322</v>
      </c>
      <c r="E690" s="124" t="s">
        <v>901</v>
      </c>
      <c r="F690" s="212"/>
      <c r="G690" s="1108"/>
      <c r="H690" s="212"/>
      <c r="I690" s="119"/>
    </row>
    <row r="691" spans="3:25" s="79" customFormat="1">
      <c r="C691" s="212"/>
      <c r="D691" s="222">
        <f>D660</f>
        <v>73.333333333333329</v>
      </c>
      <c r="E691" s="222">
        <f>E660</f>
        <v>8</v>
      </c>
      <c r="F691" s="213" t="s">
        <v>157</v>
      </c>
      <c r="G691" s="1108"/>
      <c r="H691" s="212"/>
      <c r="I691" s="119"/>
    </row>
    <row r="692" spans="3:25" s="79" customFormat="1">
      <c r="C692" s="212"/>
      <c r="D692" s="229">
        <f>FLOOR(D691,1)</f>
        <v>73</v>
      </c>
      <c r="E692" s="229">
        <f>FLOOR(E691,1)</f>
        <v>8</v>
      </c>
      <c r="F692" s="213" t="s">
        <v>73</v>
      </c>
      <c r="G692" s="1108"/>
      <c r="H692" s="212"/>
      <c r="I692" s="119"/>
    </row>
    <row r="693" spans="3:25" s="79" customFormat="1">
      <c r="C693" s="212"/>
      <c r="D693" s="228">
        <f>D692*$D639</f>
        <v>146</v>
      </c>
      <c r="E693" s="228">
        <f>E692*$D639</f>
        <v>16</v>
      </c>
      <c r="F693" s="214" t="s">
        <v>175</v>
      </c>
      <c r="G693" s="1108"/>
      <c r="H693" s="212"/>
      <c r="I693" s="119"/>
    </row>
    <row r="694" spans="3:25" s="79" customFormat="1">
      <c r="C694" s="212"/>
      <c r="D694" s="227"/>
      <c r="F694" s="214" t="s">
        <v>88</v>
      </c>
      <c r="G694" s="1108"/>
      <c r="H694" s="212"/>
    </row>
    <row r="695" spans="3:25" s="79" customFormat="1">
      <c r="C695" s="212"/>
      <c r="D695" s="226">
        <f>D693*$D652</f>
        <v>30660</v>
      </c>
      <c r="E695" s="226">
        <f>E693*$D652</f>
        <v>3360</v>
      </c>
      <c r="F695" s="221" t="s">
        <v>74</v>
      </c>
      <c r="G695" s="1108"/>
      <c r="H695" s="212"/>
      <c r="J695" s="276"/>
      <c r="K695" s="276"/>
      <c r="L695" s="276"/>
      <c r="M695" s="276"/>
    </row>
    <row r="696" spans="3:25" s="79" customFormat="1">
      <c r="D696" s="282"/>
      <c r="E696" s="76"/>
      <c r="G696" s="1119"/>
      <c r="J696" s="122"/>
      <c r="K696" s="136"/>
      <c r="L696" s="119"/>
      <c r="M696" s="119"/>
    </row>
    <row r="697" spans="3:25" s="79" customFormat="1">
      <c r="C697" s="79" t="s">
        <v>4</v>
      </c>
      <c r="D697" s="57" t="s">
        <v>1322</v>
      </c>
      <c r="E697" s="124" t="s">
        <v>901</v>
      </c>
      <c r="M697" s="16"/>
      <c r="N697" s="34"/>
      <c r="Y697" s="16"/>
    </row>
    <row r="698" spans="3:25" s="79" customFormat="1">
      <c r="D698" s="79">
        <f>$D600</f>
        <v>8</v>
      </c>
      <c r="E698" s="79">
        <f>$D600</f>
        <v>8</v>
      </c>
      <c r="F698" s="79" t="s">
        <v>1324</v>
      </c>
      <c r="M698" s="16"/>
      <c r="N698" s="34"/>
      <c r="Y698" s="16"/>
    </row>
    <row r="699" spans="3:25" s="79" customFormat="1">
      <c r="D699" s="129">
        <f>D647</f>
        <v>5000</v>
      </c>
      <c r="E699" s="129">
        <f>D648</f>
        <v>500</v>
      </c>
      <c r="F699" s="79" t="s">
        <v>1325</v>
      </c>
      <c r="M699" s="16"/>
      <c r="N699" s="34"/>
      <c r="Y699" s="16"/>
    </row>
    <row r="700" spans="3:25" s="79" customFormat="1">
      <c r="D700" s="1606">
        <f>D698*D699</f>
        <v>40000</v>
      </c>
      <c r="E700" s="1597">
        <f>E698*E699</f>
        <v>4000</v>
      </c>
      <c r="F700" s="274" t="s">
        <v>1330</v>
      </c>
      <c r="M700" s="16"/>
      <c r="N700" s="34"/>
      <c r="Y700" s="16"/>
    </row>
    <row r="701" spans="3:25" s="79" customFormat="1">
      <c r="M701" s="16"/>
      <c r="N701" s="34"/>
      <c r="Y701" s="16"/>
    </row>
    <row r="702" spans="3:25" s="79" customFormat="1">
      <c r="M702" s="16"/>
      <c r="N702" s="34"/>
      <c r="Y702" s="16"/>
    </row>
    <row r="703" spans="3:25" s="79" customFormat="1">
      <c r="C703" s="79" t="s">
        <v>21</v>
      </c>
      <c r="D703" s="781">
        <v>10000</v>
      </c>
      <c r="E703" s="401"/>
      <c r="F703" s="118" t="s">
        <v>1336</v>
      </c>
      <c r="M703" s="16"/>
      <c r="N703" s="34"/>
      <c r="Y703" s="16"/>
    </row>
    <row r="704" spans="3:25" s="79" customFormat="1">
      <c r="D704" s="1740">
        <v>10</v>
      </c>
      <c r="E704" s="284"/>
      <c r="F704" s="78" t="s">
        <v>1356</v>
      </c>
      <c r="G704" s="1119"/>
      <c r="J704" s="122"/>
      <c r="K704" s="136"/>
      <c r="L704" s="119"/>
      <c r="M704" s="119"/>
    </row>
    <row r="705" spans="3:13" s="79" customFormat="1">
      <c r="D705" s="283"/>
      <c r="E705" s="76" t="s">
        <v>2368</v>
      </c>
      <c r="F705" s="122" t="s">
        <v>1195</v>
      </c>
      <c r="G705" s="1119" t="s">
        <v>1328</v>
      </c>
      <c r="I705" s="79" t="s">
        <v>1329</v>
      </c>
      <c r="J705" s="122"/>
      <c r="K705" s="136"/>
      <c r="L705" s="119"/>
      <c r="M705" s="119"/>
    </row>
    <row r="706" spans="3:13" s="79" customFormat="1">
      <c r="D706" s="143" t="s">
        <v>172</v>
      </c>
      <c r="E706" s="144" t="s">
        <v>155</v>
      </c>
      <c r="F706" s="144" t="s">
        <v>155</v>
      </c>
      <c r="G706" s="1622" t="s">
        <v>1333</v>
      </c>
      <c r="H706" s="144" t="s">
        <v>69</v>
      </c>
      <c r="I706" s="144" t="s">
        <v>391</v>
      </c>
      <c r="J706" s="144" t="s">
        <v>1202</v>
      </c>
      <c r="K706" s="144" t="s">
        <v>69</v>
      </c>
      <c r="L706" s="619" t="s">
        <v>391</v>
      </c>
    </row>
    <row r="707" spans="3:13" s="79" customFormat="1">
      <c r="D707" s="135" t="s">
        <v>3</v>
      </c>
      <c r="E707" s="136">
        <f>D662</f>
        <v>146.66666666666666</v>
      </c>
      <c r="F707" s="136">
        <f>E662</f>
        <v>16</v>
      </c>
      <c r="G707" s="1623">
        <f>D664</f>
        <v>33000</v>
      </c>
      <c r="H707" s="119" t="s">
        <v>486</v>
      </c>
      <c r="I707" s="79">
        <f>D608</f>
        <v>20</v>
      </c>
      <c r="J707" s="1092">
        <f>E664</f>
        <v>3600</v>
      </c>
      <c r="K707" s="119" t="s">
        <v>486</v>
      </c>
      <c r="L707" s="1624">
        <f>D609</f>
        <v>1</v>
      </c>
    </row>
    <row r="708" spans="3:13" s="79" customFormat="1">
      <c r="D708" s="135" t="s">
        <v>132</v>
      </c>
      <c r="E708" s="136">
        <f>D680</f>
        <v>73.333333333333329</v>
      </c>
      <c r="F708" s="136">
        <f>E680</f>
        <v>8</v>
      </c>
      <c r="G708" s="1623">
        <f>D683</f>
        <v>20900</v>
      </c>
      <c r="H708" s="119" t="s">
        <v>53</v>
      </c>
      <c r="I708" s="79">
        <f>I707</f>
        <v>20</v>
      </c>
      <c r="J708" s="1092">
        <f>E683</f>
        <v>2280</v>
      </c>
      <c r="K708" s="119" t="s">
        <v>53</v>
      </c>
      <c r="L708" s="1624">
        <f>L707</f>
        <v>1</v>
      </c>
    </row>
    <row r="709" spans="3:13" s="79" customFormat="1">
      <c r="D709" s="135" t="s">
        <v>1331</v>
      </c>
      <c r="E709" s="136">
        <f>D693</f>
        <v>146</v>
      </c>
      <c r="F709" s="136">
        <f>E693</f>
        <v>16</v>
      </c>
      <c r="G709" s="1623">
        <f>SUM(G713:G714)</f>
        <v>70660</v>
      </c>
      <c r="H709" s="119" t="s">
        <v>1334</v>
      </c>
      <c r="I709" s="79">
        <f>I708</f>
        <v>20</v>
      </c>
      <c r="J709" s="1092">
        <f>SUM(J713:J714)</f>
        <v>7360</v>
      </c>
      <c r="K709" s="119" t="s">
        <v>1334</v>
      </c>
      <c r="L709" s="1624">
        <f>L708</f>
        <v>1</v>
      </c>
    </row>
    <row r="710" spans="3:13" s="79" customFormat="1">
      <c r="D710" s="135" t="s">
        <v>21</v>
      </c>
      <c r="E710" s="136"/>
      <c r="F710" s="141"/>
      <c r="G710" s="1623">
        <f>D703</f>
        <v>10000</v>
      </c>
      <c r="H710" s="119" t="s">
        <v>21</v>
      </c>
      <c r="I710" s="336">
        <f>D704</f>
        <v>10</v>
      </c>
      <c r="J710" s="1092" t="s">
        <v>1197</v>
      </c>
      <c r="K710" s="119" t="s">
        <v>21</v>
      </c>
      <c r="L710" s="1624"/>
    </row>
    <row r="711" spans="3:13" s="79" customFormat="1">
      <c r="D711" s="117"/>
      <c r="E711" s="185"/>
      <c r="F711" s="186"/>
      <c r="G711" s="1628">
        <f>SUM(G707:G709)</f>
        <v>124560</v>
      </c>
      <c r="H711" s="1629" t="s">
        <v>165</v>
      </c>
      <c r="I711" s="401"/>
      <c r="J711" s="1620">
        <f>SUM(J707:J709)</f>
        <v>13240</v>
      </c>
      <c r="K711" s="401"/>
      <c r="L711" s="1621" t="s">
        <v>165</v>
      </c>
    </row>
    <row r="712" spans="3:13" s="79" customFormat="1">
      <c r="D712" s="107"/>
      <c r="E712" s="2556"/>
      <c r="F712" s="320"/>
      <c r="G712" s="1623"/>
      <c r="H712" s="119"/>
      <c r="J712" s="1092"/>
      <c r="L712" s="358"/>
    </row>
    <row r="713" spans="3:13" s="79" customFormat="1">
      <c r="D713" s="1611" t="s">
        <v>169</v>
      </c>
      <c r="E713" s="1612"/>
      <c r="F713" s="1613"/>
      <c r="G713" s="1625">
        <f>D695</f>
        <v>30660</v>
      </c>
      <c r="H713" s="1609" t="s">
        <v>74</v>
      </c>
      <c r="I713" s="1209"/>
      <c r="J713" s="1607">
        <f>E695</f>
        <v>3360</v>
      </c>
      <c r="K713" s="1608"/>
      <c r="L713" s="1610" t="s">
        <v>74</v>
      </c>
    </row>
    <row r="714" spans="3:13" s="79" customFormat="1">
      <c r="D714" s="1614" t="s">
        <v>1332</v>
      </c>
      <c r="E714" s="1615"/>
      <c r="F714" s="1616"/>
      <c r="G714" s="1626">
        <f>D700</f>
        <v>40000</v>
      </c>
      <c r="H714" s="1627" t="s">
        <v>1335</v>
      </c>
      <c r="I714" s="812"/>
      <c r="J714" s="1617">
        <f>E700</f>
        <v>4000</v>
      </c>
      <c r="K714" s="1618"/>
      <c r="L714" s="1619" t="s">
        <v>1335</v>
      </c>
    </row>
    <row r="715" spans="3:13" s="79" customFormat="1">
      <c r="D715" s="122"/>
      <c r="E715" s="147"/>
      <c r="F715" s="122"/>
      <c r="G715" s="1092"/>
      <c r="H715" s="119"/>
    </row>
    <row r="716" spans="3:13" s="351" customFormat="1">
      <c r="D716" s="352"/>
      <c r="E716" s="353"/>
      <c r="G716" s="1122"/>
    </row>
    <row r="717" spans="3:13">
      <c r="D717" s="432"/>
      <c r="E717" s="24"/>
    </row>
    <row r="718" spans="3:13" s="7" customFormat="1">
      <c r="D718" s="35"/>
      <c r="E718" s="36"/>
      <c r="G718" s="1089"/>
    </row>
    <row r="719" spans="3:13">
      <c r="C719" t="s">
        <v>1002</v>
      </c>
    </row>
    <row r="721" spans="4:12">
      <c r="D721" s="66" t="s">
        <v>1004</v>
      </c>
      <c r="E721" s="76"/>
      <c r="F721" s="79"/>
      <c r="G721" s="1119"/>
    </row>
    <row r="722" spans="4:12">
      <c r="D722" s="329"/>
      <c r="E722" s="76"/>
      <c r="F722" s="79"/>
      <c r="G722" s="1119"/>
    </row>
    <row r="723" spans="4:12">
      <c r="D723" s="117" t="s">
        <v>91</v>
      </c>
      <c r="E723" s="118"/>
      <c r="F723" s="9"/>
      <c r="G723" s="1119"/>
    </row>
    <row r="724" spans="4:12">
      <c r="D724" s="114">
        <v>0.3</v>
      </c>
      <c r="E724" s="115" t="s">
        <v>262</v>
      </c>
      <c r="F724" s="9"/>
      <c r="G724" s="1119"/>
    </row>
    <row r="725" spans="4:12">
      <c r="D725" s="472">
        <v>1</v>
      </c>
      <c r="E725" s="97" t="s">
        <v>260</v>
      </c>
      <c r="F725" s="9"/>
      <c r="G725" s="1119"/>
    </row>
    <row r="726" spans="4:12">
      <c r="D726" s="825"/>
      <c r="E726" s="825"/>
      <c r="H726" s="1" t="s">
        <v>788</v>
      </c>
      <c r="I726" s="1" t="s">
        <v>779</v>
      </c>
      <c r="J726" s="1" t="s">
        <v>789</v>
      </c>
    </row>
    <row r="727" spans="4:12">
      <c r="D727" s="617" t="str">
        <f t="shared" ref="D727:K730" si="86">D233</f>
        <v>Component</v>
      </c>
      <c r="E727" s="618" t="str">
        <f t="shared" si="86"/>
        <v>Days</v>
      </c>
      <c r="F727" s="618" t="str">
        <f t="shared" si="86"/>
        <v>Days</v>
      </c>
      <c r="G727" s="1103" t="str">
        <f t="shared" si="86"/>
        <v>Days</v>
      </c>
      <c r="H727" s="618" t="str">
        <f t="shared" si="86"/>
        <v>Cost</v>
      </c>
      <c r="I727" s="618" t="str">
        <f t="shared" si="86"/>
        <v>Cost</v>
      </c>
      <c r="J727" s="618" t="str">
        <f t="shared" si="86"/>
        <v>Cost</v>
      </c>
      <c r="K727" s="619" t="str">
        <f t="shared" si="86"/>
        <v>Description</v>
      </c>
    </row>
    <row r="728" spans="4:12">
      <c r="D728" s="404" t="str">
        <f t="shared" si="86"/>
        <v>Labour</v>
      </c>
      <c r="E728" s="90">
        <f t="shared" si="86"/>
        <v>6.2541106128550075</v>
      </c>
      <c r="F728" s="90">
        <f t="shared" ref="F728:G728" si="87">F234</f>
        <v>7.449925261584454</v>
      </c>
      <c r="G728" s="90">
        <f t="shared" si="87"/>
        <v>9.8415545590433489</v>
      </c>
      <c r="H728" s="432">
        <f t="shared" si="86"/>
        <v>1407.1748878923768</v>
      </c>
      <c r="I728" s="432">
        <f t="shared" si="86"/>
        <v>1676.2331838565024</v>
      </c>
      <c r="J728" s="432">
        <f t="shared" si="86"/>
        <v>2214.3497757847535</v>
      </c>
      <c r="K728" s="830" t="str">
        <f t="shared" si="86"/>
        <v>Cost for labour</v>
      </c>
      <c r="L728">
        <v>1</v>
      </c>
    </row>
    <row r="729" spans="4:12">
      <c r="D729" s="404" t="str">
        <f t="shared" si="86"/>
        <v>transport</v>
      </c>
      <c r="E729" s="90">
        <f t="shared" si="86"/>
        <v>3.1270553064275037</v>
      </c>
      <c r="F729" s="90">
        <f t="shared" ref="F729:G729" si="88">F235</f>
        <v>3.724962630792227</v>
      </c>
      <c r="G729" s="90">
        <f t="shared" si="88"/>
        <v>4.9207772795216744</v>
      </c>
      <c r="H729" s="432">
        <f t="shared" si="86"/>
        <v>891.21076233183862</v>
      </c>
      <c r="I729" s="432">
        <f t="shared" si="86"/>
        <v>1061.6143497757848</v>
      </c>
      <c r="J729" s="432">
        <f t="shared" si="86"/>
        <v>1402.4215246636772</v>
      </c>
      <c r="K729" s="830" t="str">
        <f t="shared" si="86"/>
        <v>Cost for ute hire for the whole activity</v>
      </c>
      <c r="L729">
        <v>1</v>
      </c>
    </row>
    <row r="730" spans="4:12">
      <c r="D730" s="404" t="str">
        <f t="shared" si="86"/>
        <v>Consumables (Accomodation)</v>
      </c>
      <c r="E730" s="90">
        <f t="shared" si="86"/>
        <v>6</v>
      </c>
      <c r="F730" s="90">
        <f t="shared" ref="F730:G730" si="89">F236</f>
        <v>6</v>
      </c>
      <c r="G730" s="90">
        <f t="shared" si="89"/>
        <v>8</v>
      </c>
      <c r="H730" s="432">
        <f t="shared" si="86"/>
        <v>1260</v>
      </c>
      <c r="I730" s="432">
        <f t="shared" si="86"/>
        <v>1260</v>
      </c>
      <c r="J730" s="432">
        <f t="shared" si="86"/>
        <v>1680</v>
      </c>
      <c r="K730" s="830" t="str">
        <f t="shared" si="86"/>
        <v>Accomodation + Food Cost</v>
      </c>
      <c r="L730">
        <v>1</v>
      </c>
    </row>
    <row r="731" spans="4:12">
      <c r="D731" s="404"/>
      <c r="E731" s="90"/>
      <c r="F731" s="531"/>
      <c r="H731" s="432"/>
      <c r="I731" s="259"/>
      <c r="J731" s="259"/>
      <c r="K731" s="830"/>
      <c r="L731" s="558"/>
    </row>
    <row r="732" spans="4:12">
      <c r="D732" s="404"/>
      <c r="E732" s="90"/>
      <c r="F732" s="531"/>
      <c r="H732" s="432"/>
      <c r="I732" s="259"/>
      <c r="J732" s="259"/>
      <c r="K732" s="830"/>
    </row>
    <row r="733" spans="4:12">
      <c r="D733" s="405"/>
      <c r="E733" s="439"/>
      <c r="F733" s="439"/>
      <c r="G733" s="1098"/>
      <c r="H733" s="622">
        <f>SUM(H728:H732)</f>
        <v>3558.3856502242152</v>
      </c>
      <c r="I733" s="622">
        <f>SUM(I728:I732)</f>
        <v>3997.8475336322872</v>
      </c>
      <c r="J733" s="622">
        <f>SUM(J728:J732)</f>
        <v>5296.7713004484303</v>
      </c>
      <c r="K733" s="623" t="s">
        <v>165</v>
      </c>
    </row>
    <row r="734" spans="4:12">
      <c r="D734"/>
      <c r="E734"/>
      <c r="F734" s="432"/>
      <c r="G734" s="1099"/>
    </row>
    <row r="735" spans="4:12">
      <c r="D735"/>
      <c r="E735"/>
      <c r="F735" s="432"/>
      <c r="G735" s="1099"/>
    </row>
    <row r="737" spans="3:7" s="7" customFormat="1">
      <c r="D737" s="35"/>
      <c r="E737" s="36"/>
      <c r="G737" s="1089"/>
    </row>
    <row r="738" spans="3:7" s="9" customFormat="1">
      <c r="D738" s="105"/>
      <c r="E738" s="34"/>
      <c r="G738" s="572"/>
    </row>
    <row r="739" spans="3:7" s="9" customFormat="1">
      <c r="C739" s="120" t="s">
        <v>247</v>
      </c>
      <c r="D739" s="105"/>
      <c r="E739" s="34"/>
      <c r="G739" s="572"/>
    </row>
    <row r="740" spans="3:7" s="9" customFormat="1">
      <c r="D740" s="34" t="s">
        <v>258</v>
      </c>
      <c r="E740" s="34"/>
      <c r="G740" s="572"/>
    </row>
    <row r="741" spans="3:7" s="9" customFormat="1">
      <c r="D741" s="38" t="s">
        <v>91</v>
      </c>
      <c r="E741" s="39"/>
      <c r="F741" s="105"/>
      <c r="G741" s="572"/>
    </row>
    <row r="742" spans="3:7" s="9" customFormat="1">
      <c r="D742" s="402"/>
      <c r="E742" s="161"/>
      <c r="G742" s="572"/>
    </row>
    <row r="743" spans="3:7" s="9" customFormat="1">
      <c r="D743" s="332">
        <f>'Overall Assumptions'!$C$125</f>
        <v>3</v>
      </c>
      <c r="E743" s="131" t="str">
        <f>'Overall Assumptions'!$D$115</f>
        <v>weeks</v>
      </c>
      <c r="G743" s="572"/>
    </row>
    <row r="744" spans="3:7" s="9" customFormat="1">
      <c r="C744" s="105"/>
      <c r="D744" s="332">
        <f>D743*5</f>
        <v>15</v>
      </c>
      <c r="E744" s="43" t="str">
        <f>'Overall Assumptions'!$D$116</f>
        <v>days</v>
      </c>
      <c r="G744" s="572"/>
    </row>
    <row r="745" spans="3:7" s="9" customFormat="1">
      <c r="C745" s="105"/>
      <c r="D745" s="332"/>
      <c r="E745" s="43"/>
      <c r="G745" s="572"/>
    </row>
    <row r="746" spans="3:7" s="9" customFormat="1">
      <c r="C746" s="105"/>
      <c r="D746" s="268">
        <v>1</v>
      </c>
      <c r="E746" s="43" t="s">
        <v>259</v>
      </c>
      <c r="G746" s="572"/>
    </row>
    <row r="747" spans="3:7" s="9" customFormat="1">
      <c r="C747" s="105"/>
      <c r="D747" s="332"/>
      <c r="E747" s="43"/>
      <c r="G747" s="572"/>
    </row>
    <row r="748" spans="3:7" s="9" customFormat="1">
      <c r="C748" s="105"/>
      <c r="D748" s="332"/>
      <c r="E748" s="246"/>
      <c r="G748" s="572"/>
    </row>
    <row r="749" spans="3:7" s="9" customFormat="1">
      <c r="D749" s="614">
        <f>'Overall Assumptions'!$C$68</f>
        <v>225</v>
      </c>
      <c r="E749" s="246" t="str">
        <f>'Overall Assumptions'!$B$67</f>
        <v>Labour 1- APS Low (Entry lvl)</v>
      </c>
      <c r="G749" s="572"/>
    </row>
    <row r="750" spans="3:7" s="9" customFormat="1">
      <c r="D750" s="399">
        <f>'Overall Assumptions'!$C$72</f>
        <v>337.5</v>
      </c>
      <c r="E750" s="530" t="str">
        <f>'Overall Assumptions'!$B$71</f>
        <v>Labour 2 - APS High (Experienced)</v>
      </c>
      <c r="G750" s="572"/>
    </row>
    <row r="751" spans="3:7" s="9" customFormat="1">
      <c r="D751" s="112">
        <f>'Overall Assumptions'!$C$76</f>
        <v>487.5</v>
      </c>
      <c r="E751" s="45" t="str">
        <f>'Overall Assumptions'!$B$75</f>
        <v>Labour 3 - EL (Management)</v>
      </c>
      <c r="G751" s="572"/>
    </row>
    <row r="752" spans="3:7" s="9" customFormat="1">
      <c r="D752" s="33"/>
      <c r="E752" s="34"/>
      <c r="G752" s="572"/>
    </row>
    <row r="753" spans="3:10">
      <c r="C753" s="9"/>
      <c r="D753" s="247"/>
      <c r="E753" s="33"/>
      <c r="F753" s="9"/>
      <c r="G753" s="572"/>
      <c r="H753" s="9"/>
      <c r="I753" s="9"/>
      <c r="J753" s="9"/>
    </row>
    <row r="754" spans="3:10">
      <c r="C754" s="9"/>
      <c r="D754" s="33"/>
      <c r="E754" s="34"/>
      <c r="F754" s="9"/>
      <c r="G754" s="572"/>
      <c r="H754" s="9"/>
      <c r="I754" s="9"/>
      <c r="J754" s="9"/>
    </row>
    <row r="755" spans="3:10">
      <c r="C755" s="9"/>
      <c r="D755" s="33"/>
      <c r="E755" s="34"/>
      <c r="F755" s="9"/>
      <c r="G755" s="572"/>
      <c r="H755" s="9"/>
      <c r="I755" s="9"/>
      <c r="J755" s="9"/>
    </row>
    <row r="756" spans="3:10">
      <c r="C756" s="9"/>
      <c r="D756" s="33"/>
      <c r="E756" s="34"/>
      <c r="F756" s="9"/>
      <c r="G756" s="572"/>
      <c r="H756" s="9"/>
      <c r="I756" s="9"/>
      <c r="J756" s="9"/>
    </row>
    <row r="757" spans="3:10">
      <c r="C757" s="9"/>
      <c r="D757" s="175"/>
      <c r="E757" s="164" t="s">
        <v>155</v>
      </c>
      <c r="F757" s="255" t="s">
        <v>166</v>
      </c>
      <c r="G757" s="1090" t="s">
        <v>69</v>
      </c>
      <c r="H757" s="161"/>
      <c r="I757" s="9"/>
      <c r="J757" s="9"/>
    </row>
    <row r="758" spans="3:10">
      <c r="C758" s="9"/>
      <c r="D758" s="405" t="s">
        <v>3</v>
      </c>
      <c r="E758" s="615">
        <f>D744</f>
        <v>15</v>
      </c>
      <c r="F758" s="321">
        <f>D744*D750</f>
        <v>5062.5</v>
      </c>
      <c r="G758" s="1091" t="s">
        <v>182</v>
      </c>
      <c r="H758" s="162"/>
      <c r="I758" s="9"/>
      <c r="J758" s="9"/>
    </row>
    <row r="759" spans="3:10">
      <c r="H759" s="9"/>
    </row>
    <row r="762" spans="3:10" s="182" customFormat="1">
      <c r="D762" s="183"/>
      <c r="E762" s="184"/>
      <c r="G762" s="1131"/>
    </row>
    <row r="763" spans="3:10">
      <c r="C763" s="1"/>
    </row>
    <row r="764" spans="3:10">
      <c r="C764" s="199"/>
      <c r="D764" s="200"/>
    </row>
    <row r="765" spans="3:10">
      <c r="C765" s="201"/>
      <c r="D765" s="202"/>
    </row>
    <row r="767" spans="3:10">
      <c r="C767" s="198"/>
    </row>
    <row r="769" spans="1:42">
      <c r="C769" s="160"/>
    </row>
    <row r="772" spans="1:42" s="359" customFormat="1">
      <c r="A772"/>
      <c r="B772"/>
      <c r="C772"/>
      <c r="D772" s="1081"/>
      <c r="E772" s="16"/>
      <c r="F772"/>
      <c r="H772"/>
      <c r="I772"/>
      <c r="J772"/>
      <c r="K772"/>
      <c r="L772"/>
      <c r="M772"/>
      <c r="N772"/>
      <c r="O772"/>
      <c r="P772"/>
      <c r="Q772" s="2791"/>
      <c r="R772" s="2791"/>
      <c r="S772" s="2791"/>
      <c r="T772"/>
      <c r="U772"/>
      <c r="V772"/>
      <c r="W772"/>
      <c r="X772"/>
      <c r="Y772"/>
      <c r="Z772"/>
      <c r="AA772"/>
      <c r="AB772"/>
      <c r="AC772"/>
      <c r="AD772"/>
      <c r="AE772"/>
      <c r="AF772"/>
      <c r="AG772"/>
      <c r="AH772"/>
      <c r="AI772"/>
      <c r="AJ772"/>
      <c r="AK772"/>
      <c r="AL772"/>
      <c r="AM772"/>
      <c r="AN772"/>
      <c r="AO772"/>
      <c r="AP772"/>
    </row>
    <row r="773" spans="1:42" s="359" customFormat="1">
      <c r="A773"/>
      <c r="B773"/>
      <c r="C773"/>
      <c r="D773" s="58"/>
      <c r="E773" s="16"/>
      <c r="F773"/>
      <c r="H773"/>
      <c r="I773"/>
      <c r="J773"/>
      <c r="K773"/>
      <c r="L773"/>
      <c r="M773"/>
      <c r="N773"/>
      <c r="O773"/>
      <c r="P773"/>
      <c r="Q773" s="2791"/>
      <c r="R773" s="2791"/>
      <c r="S773" s="2791"/>
      <c r="T773"/>
      <c r="U773"/>
      <c r="V773"/>
      <c r="W773"/>
      <c r="X773"/>
      <c r="Y773"/>
      <c r="Z773"/>
      <c r="AA773"/>
      <c r="AB773"/>
      <c r="AC773"/>
      <c r="AD773"/>
      <c r="AE773"/>
      <c r="AF773"/>
      <c r="AG773"/>
      <c r="AH773"/>
      <c r="AI773"/>
      <c r="AJ773"/>
      <c r="AK773"/>
      <c r="AL773"/>
      <c r="AM773"/>
      <c r="AN773"/>
      <c r="AO773"/>
      <c r="AP773"/>
    </row>
    <row r="775" spans="1:42" s="359" customFormat="1">
      <c r="A775"/>
      <c r="B775"/>
      <c r="C775" s="90"/>
      <c r="D775"/>
      <c r="E775" s="16"/>
      <c r="F775"/>
      <c r="H775"/>
      <c r="I775"/>
      <c r="J775"/>
      <c r="K775"/>
      <c r="L775"/>
      <c r="M775"/>
      <c r="N775"/>
      <c r="O775"/>
      <c r="P775"/>
      <c r="Q775" s="2791"/>
      <c r="R775" s="2791"/>
      <c r="S775" s="2791"/>
      <c r="T775"/>
      <c r="U775"/>
      <c r="V775"/>
      <c r="W775"/>
      <c r="X775"/>
      <c r="Y775"/>
      <c r="Z775"/>
      <c r="AA775"/>
      <c r="AB775"/>
      <c r="AC775"/>
      <c r="AD775"/>
      <c r="AE775"/>
      <c r="AF775"/>
      <c r="AG775"/>
      <c r="AH775"/>
      <c r="AI775"/>
      <c r="AJ775"/>
      <c r="AK775"/>
      <c r="AL775"/>
      <c r="AM775"/>
      <c r="AN775"/>
      <c r="AO775"/>
      <c r="AP775"/>
    </row>
    <row r="776" spans="1:42" s="359" customFormat="1" ht="24" customHeight="1">
      <c r="A776"/>
      <c r="B776"/>
      <c r="C776" s="436"/>
      <c r="D776" s="24"/>
      <c r="E776" s="16"/>
      <c r="F776"/>
      <c r="H776"/>
      <c r="I776"/>
      <c r="J776"/>
      <c r="K776"/>
      <c r="L776"/>
      <c r="M776"/>
      <c r="N776"/>
      <c r="O776"/>
      <c r="P776"/>
      <c r="Q776" s="2791"/>
      <c r="R776" s="2791"/>
      <c r="S776" s="2791"/>
      <c r="T776"/>
      <c r="U776"/>
      <c r="V776"/>
      <c r="W776"/>
      <c r="X776"/>
      <c r="Y776"/>
      <c r="Z776"/>
      <c r="AA776"/>
      <c r="AB776"/>
      <c r="AC776"/>
      <c r="AD776"/>
      <c r="AE776"/>
      <c r="AF776"/>
      <c r="AG776"/>
      <c r="AH776"/>
      <c r="AI776"/>
      <c r="AJ776"/>
      <c r="AK776"/>
      <c r="AL776"/>
      <c r="AM776"/>
      <c r="AN776"/>
      <c r="AO776"/>
      <c r="AP776"/>
    </row>
    <row r="777" spans="1:42" s="359" customFormat="1">
      <c r="A777"/>
      <c r="B777"/>
      <c r="C777"/>
      <c r="D777" s="58"/>
      <c r="E777" s="16"/>
      <c r="F777"/>
      <c r="H777"/>
      <c r="I777"/>
      <c r="J777"/>
      <c r="K777"/>
      <c r="L777"/>
      <c r="M777"/>
      <c r="N777"/>
      <c r="O777"/>
      <c r="P777"/>
      <c r="Q777" s="2791"/>
      <c r="R777" s="2791"/>
      <c r="S777" s="2791"/>
      <c r="T777"/>
      <c r="U777"/>
      <c r="V777"/>
      <c r="W777"/>
      <c r="X777"/>
      <c r="Y777"/>
      <c r="Z777"/>
      <c r="AA777"/>
      <c r="AB777"/>
      <c r="AC777"/>
      <c r="AD777"/>
      <c r="AE777"/>
      <c r="AF777"/>
      <c r="AG777"/>
      <c r="AH777"/>
      <c r="AI777"/>
      <c r="AJ777"/>
      <c r="AK777"/>
      <c r="AL777"/>
      <c r="AM777"/>
      <c r="AN777"/>
      <c r="AO777"/>
      <c r="AP777"/>
    </row>
    <row r="778" spans="1:42" s="359" customFormat="1">
      <c r="A778"/>
      <c r="B778"/>
      <c r="C778"/>
      <c r="D778" s="58"/>
      <c r="E778" s="16"/>
      <c r="F778"/>
      <c r="H778"/>
      <c r="I778"/>
      <c r="J778"/>
      <c r="K778"/>
      <c r="L778"/>
      <c r="M778"/>
      <c r="N778"/>
      <c r="O778"/>
      <c r="P778"/>
      <c r="Q778" s="2791"/>
      <c r="R778" s="2791"/>
      <c r="S778" s="2791"/>
      <c r="T778"/>
      <c r="U778"/>
      <c r="V778"/>
      <c r="W778"/>
      <c r="X778"/>
      <c r="Y778"/>
      <c r="Z778"/>
      <c r="AA778"/>
      <c r="AB778"/>
      <c r="AC778"/>
      <c r="AD778"/>
      <c r="AE778"/>
      <c r="AF778"/>
      <c r="AG778"/>
      <c r="AH778"/>
      <c r="AI778"/>
      <c r="AJ778"/>
      <c r="AK778"/>
      <c r="AL778"/>
      <c r="AM778"/>
      <c r="AN778"/>
      <c r="AO778"/>
      <c r="AP778"/>
    </row>
    <row r="779" spans="1:42" s="359" customFormat="1">
      <c r="A779"/>
      <c r="B779"/>
      <c r="C779" s="204"/>
      <c r="D779" s="24"/>
      <c r="E779" s="16"/>
      <c r="F779"/>
      <c r="H779"/>
      <c r="I779"/>
      <c r="J779"/>
      <c r="K779"/>
      <c r="L779"/>
      <c r="M779"/>
      <c r="N779"/>
      <c r="O779"/>
      <c r="P779"/>
      <c r="Q779" s="2791"/>
      <c r="R779" s="2791"/>
      <c r="S779" s="2791"/>
      <c r="T779"/>
      <c r="U779"/>
      <c r="V779"/>
      <c r="W779"/>
      <c r="X779"/>
      <c r="Y779"/>
      <c r="Z779"/>
      <c r="AA779"/>
      <c r="AB779"/>
      <c r="AC779"/>
      <c r="AD779"/>
      <c r="AE779"/>
      <c r="AF779"/>
      <c r="AG779"/>
      <c r="AH779"/>
      <c r="AI779"/>
      <c r="AJ779"/>
      <c r="AK779"/>
      <c r="AL779"/>
      <c r="AM779"/>
      <c r="AN779"/>
      <c r="AO779"/>
      <c r="AP779"/>
    </row>
    <row r="781" spans="1:42" s="359" customFormat="1">
      <c r="A781"/>
      <c r="B781"/>
      <c r="C781" s="206"/>
      <c r="D781" s="24"/>
      <c r="E781" s="16"/>
      <c r="F781" s="2"/>
      <c r="H781"/>
      <c r="I781"/>
      <c r="J781"/>
      <c r="K781"/>
      <c r="L781"/>
      <c r="M781"/>
      <c r="N781"/>
      <c r="O781"/>
      <c r="P781"/>
      <c r="Q781" s="2791"/>
      <c r="R781" s="2791"/>
      <c r="S781" s="2791"/>
      <c r="T781"/>
      <c r="U781"/>
      <c r="V781"/>
      <c r="W781"/>
      <c r="X781"/>
      <c r="Y781"/>
      <c r="Z781"/>
      <c r="AA781"/>
      <c r="AB781"/>
      <c r="AC781"/>
      <c r="AD781"/>
      <c r="AE781"/>
      <c r="AF781"/>
      <c r="AG781"/>
      <c r="AH781"/>
      <c r="AI781"/>
      <c r="AJ781"/>
      <c r="AK781"/>
      <c r="AL781"/>
      <c r="AM781"/>
      <c r="AN781"/>
      <c r="AO781"/>
      <c r="AP781"/>
    </row>
    <row r="782" spans="1:42" s="359" customFormat="1" ht="15" customHeight="1">
      <c r="A782"/>
      <c r="B782"/>
      <c r="C782" s="2"/>
      <c r="D782" s="207"/>
      <c r="E782" s="16"/>
      <c r="F782" s="2"/>
      <c r="H782"/>
      <c r="I782"/>
      <c r="J782"/>
      <c r="K782"/>
      <c r="L782"/>
      <c r="M782"/>
      <c r="N782"/>
      <c r="O782"/>
      <c r="P782"/>
      <c r="Q782" s="2791"/>
      <c r="R782" s="2791"/>
      <c r="S782" s="2791"/>
      <c r="T782"/>
      <c r="U782"/>
      <c r="V782"/>
      <c r="W782"/>
      <c r="X782"/>
      <c r="Y782"/>
      <c r="Z782"/>
      <c r="AA782"/>
      <c r="AB782"/>
      <c r="AC782"/>
      <c r="AD782"/>
      <c r="AE782"/>
      <c r="AF782"/>
      <c r="AG782"/>
      <c r="AH782"/>
      <c r="AI782"/>
      <c r="AJ782"/>
      <c r="AK782"/>
      <c r="AL782"/>
      <c r="AM782"/>
      <c r="AN782"/>
      <c r="AO782"/>
      <c r="AP782"/>
    </row>
    <row r="783" spans="1:42" s="359" customFormat="1" ht="15" customHeight="1">
      <c r="A783"/>
      <c r="B783"/>
      <c r="C783" s="2"/>
      <c r="D783" s="207"/>
      <c r="E783" s="16"/>
      <c r="F783" s="2"/>
      <c r="H783"/>
      <c r="I783"/>
      <c r="J783"/>
      <c r="K783"/>
      <c r="L783"/>
      <c r="M783"/>
      <c r="N783"/>
      <c r="O783"/>
      <c r="P783"/>
      <c r="Q783" s="2791"/>
      <c r="R783" s="2791"/>
      <c r="S783" s="2791"/>
      <c r="T783"/>
      <c r="U783"/>
      <c r="V783"/>
      <c r="W783"/>
      <c r="X783"/>
      <c r="Y783"/>
      <c r="Z783"/>
      <c r="AA783"/>
      <c r="AB783"/>
      <c r="AC783"/>
      <c r="AD783"/>
      <c r="AE783"/>
      <c r="AF783"/>
      <c r="AG783"/>
      <c r="AH783"/>
      <c r="AI783"/>
      <c r="AJ783"/>
      <c r="AK783"/>
      <c r="AL783"/>
      <c r="AM783"/>
      <c r="AN783"/>
      <c r="AO783"/>
      <c r="AP783"/>
    </row>
    <row r="784" spans="1:42" s="359" customFormat="1" ht="15" customHeight="1">
      <c r="A784"/>
      <c r="B784"/>
      <c r="C784" s="2"/>
      <c r="D784" s="207"/>
      <c r="E784" s="16"/>
      <c r="F784" s="2"/>
      <c r="H784"/>
      <c r="I784"/>
      <c r="J784"/>
      <c r="K784"/>
      <c r="L784"/>
      <c r="M784"/>
      <c r="N784"/>
      <c r="O784"/>
      <c r="P784"/>
      <c r="Q784" s="2791"/>
      <c r="R784" s="2791"/>
      <c r="S784" s="2791"/>
      <c r="T784"/>
      <c r="U784"/>
      <c r="V784"/>
      <c r="W784"/>
      <c r="X784"/>
      <c r="Y784"/>
      <c r="Z784"/>
      <c r="AA784"/>
      <c r="AB784"/>
      <c r="AC784"/>
      <c r="AD784"/>
      <c r="AE784"/>
      <c r="AF784"/>
      <c r="AG784"/>
      <c r="AH784"/>
      <c r="AI784"/>
      <c r="AJ784"/>
      <c r="AK784"/>
      <c r="AL784"/>
      <c r="AM784"/>
      <c r="AN784"/>
      <c r="AO784"/>
      <c r="AP784"/>
    </row>
    <row r="785" spans="1:42" s="359" customFormat="1" ht="15" customHeight="1">
      <c r="A785"/>
      <c r="B785"/>
      <c r="C785" s="2"/>
      <c r="D785" s="207"/>
      <c r="E785" s="16"/>
      <c r="F785" s="2"/>
      <c r="H785"/>
      <c r="I785"/>
      <c r="J785"/>
      <c r="K785"/>
      <c r="L785"/>
      <c r="M785"/>
      <c r="N785"/>
      <c r="O785"/>
      <c r="P785"/>
      <c r="Q785" s="2791"/>
      <c r="R785" s="2791"/>
      <c r="S785" s="2791"/>
      <c r="T785"/>
      <c r="U785"/>
      <c r="V785"/>
      <c r="W785"/>
      <c r="X785"/>
      <c r="Y785"/>
      <c r="Z785"/>
      <c r="AA785"/>
      <c r="AB785"/>
      <c r="AC785"/>
      <c r="AD785"/>
      <c r="AE785"/>
      <c r="AF785"/>
      <c r="AG785"/>
      <c r="AH785"/>
      <c r="AI785"/>
      <c r="AJ785"/>
      <c r="AK785"/>
      <c r="AL785"/>
      <c r="AM785"/>
      <c r="AN785"/>
      <c r="AO785"/>
      <c r="AP785"/>
    </row>
    <row r="786" spans="1:42" s="359" customFormat="1" ht="15" customHeight="1">
      <c r="A786"/>
      <c r="B786"/>
      <c r="C786" s="206"/>
      <c r="D786" s="207"/>
      <c r="E786" s="16"/>
      <c r="F786" s="2"/>
      <c r="H786"/>
      <c r="I786"/>
      <c r="J786"/>
      <c r="K786"/>
      <c r="L786"/>
      <c r="M786"/>
      <c r="N786"/>
      <c r="O786"/>
      <c r="P786"/>
      <c r="Q786" s="2791"/>
      <c r="R786" s="2791"/>
      <c r="S786" s="2791"/>
      <c r="T786"/>
      <c r="U786"/>
      <c r="V786"/>
      <c r="W786"/>
      <c r="X786"/>
      <c r="Y786"/>
      <c r="Z786"/>
      <c r="AA786"/>
      <c r="AB786"/>
      <c r="AC786"/>
      <c r="AD786"/>
      <c r="AE786"/>
      <c r="AF786"/>
      <c r="AG786"/>
      <c r="AH786"/>
      <c r="AI786"/>
      <c r="AJ786"/>
      <c r="AK786"/>
      <c r="AL786"/>
      <c r="AM786"/>
      <c r="AN786"/>
      <c r="AO786"/>
      <c r="AP786"/>
    </row>
    <row r="787" spans="1:42" s="359" customFormat="1" ht="15" customHeight="1">
      <c r="A787"/>
      <c r="B787"/>
      <c r="C787"/>
      <c r="D787" s="207"/>
      <c r="E787" s="16"/>
      <c r="F787"/>
      <c r="H787"/>
      <c r="I787"/>
      <c r="J787"/>
      <c r="K787"/>
      <c r="L787"/>
      <c r="M787"/>
      <c r="N787"/>
      <c r="O787"/>
      <c r="P787"/>
      <c r="Q787" s="2791"/>
      <c r="R787" s="2791"/>
      <c r="S787" s="2791"/>
      <c r="T787"/>
      <c r="U787"/>
      <c r="V787"/>
      <c r="W787"/>
      <c r="X787"/>
      <c r="Y787"/>
      <c r="Z787"/>
      <c r="AA787"/>
      <c r="AB787"/>
      <c r="AC787"/>
      <c r="AD787"/>
      <c r="AE787"/>
      <c r="AF787"/>
      <c r="AG787"/>
      <c r="AH787"/>
      <c r="AI787"/>
      <c r="AJ787"/>
      <c r="AK787"/>
      <c r="AL787"/>
      <c r="AM787"/>
      <c r="AN787"/>
      <c r="AO787"/>
      <c r="AP787"/>
    </row>
    <row r="788" spans="1:42" ht="15" customHeight="1">
      <c r="D788" s="207"/>
      <c r="E788" s="2"/>
      <c r="F788" s="2"/>
    </row>
    <row r="789" spans="1:42" ht="15" customHeight="1">
      <c r="D789" s="207"/>
      <c r="F789" s="2"/>
    </row>
    <row r="790" spans="1:42" ht="15" customHeight="1">
      <c r="D790" s="207"/>
      <c r="F790" s="2"/>
    </row>
    <row r="791" spans="1:42" ht="15" customHeight="1">
      <c r="D791" s="207"/>
    </row>
    <row r="792" spans="1:42" ht="15" customHeight="1">
      <c r="D792" s="207"/>
    </row>
    <row r="793" spans="1:42" ht="15" customHeight="1">
      <c r="D793" s="57"/>
    </row>
    <row r="794" spans="1:42">
      <c r="D794" s="16"/>
    </row>
    <row r="795" spans="1:42">
      <c r="C795" s="206"/>
      <c r="D795" s="208"/>
      <c r="E795" s="6"/>
    </row>
    <row r="796" spans="1:42">
      <c r="D796" s="207"/>
    </row>
    <row r="797" spans="1:42">
      <c r="D797" s="207"/>
      <c r="F797" s="2"/>
    </row>
    <row r="798" spans="1:42">
      <c r="D798" s="207"/>
      <c r="F798" s="2"/>
    </row>
    <row r="799" spans="1:42">
      <c r="D799" s="156"/>
      <c r="F799" s="2"/>
    </row>
    <row r="800" spans="1:42">
      <c r="C800" s="206"/>
      <c r="F800" s="2"/>
    </row>
    <row r="801" spans="3:10">
      <c r="C801" s="206"/>
      <c r="D801" s="207"/>
      <c r="F801" s="2"/>
    </row>
    <row r="802" spans="3:10">
      <c r="D802" s="207"/>
      <c r="G802" s="99"/>
    </row>
    <row r="803" spans="3:10">
      <c r="D803" s="16"/>
      <c r="G803" s="99"/>
      <c r="H803" s="16"/>
    </row>
    <row r="804" spans="3:10">
      <c r="D804" s="207"/>
      <c r="G804" s="1132"/>
    </row>
    <row r="805" spans="3:10">
      <c r="D805" s="207"/>
      <c r="G805" s="1133"/>
    </row>
    <row r="806" spans="3:10">
      <c r="G806" s="99"/>
    </row>
    <row r="807" spans="3:10">
      <c r="D807" s="57"/>
      <c r="G807" s="1102"/>
      <c r="H807" s="16"/>
    </row>
    <row r="808" spans="3:10">
      <c r="G808" s="1102"/>
      <c r="H808" s="16"/>
    </row>
    <row r="809" spans="3:10">
      <c r="D809" s="156"/>
      <c r="J809" s="16"/>
    </row>
    <row r="810" spans="3:10">
      <c r="D810" s="156"/>
      <c r="J810" s="16"/>
    </row>
    <row r="812" spans="3:10">
      <c r="D812" s="16"/>
    </row>
    <row r="813" spans="3:10">
      <c r="D813" s="16"/>
    </row>
    <row r="814" spans="3:10">
      <c r="D814" s="16"/>
    </row>
    <row r="815" spans="3:10">
      <c r="D815" s="16"/>
    </row>
    <row r="818" spans="2:42" s="24" customFormat="1">
      <c r="B818"/>
      <c r="C818" s="206"/>
      <c r="E818" s="16"/>
      <c r="F818"/>
      <c r="G818" s="359"/>
      <c r="H818"/>
      <c r="I818"/>
      <c r="J818"/>
      <c r="K818"/>
      <c r="L818"/>
      <c r="M818"/>
      <c r="N818"/>
      <c r="O818"/>
      <c r="P818"/>
      <c r="Q818" s="2791"/>
      <c r="R818" s="2791"/>
      <c r="S818" s="2791"/>
      <c r="T818"/>
      <c r="U818"/>
      <c r="V818"/>
      <c r="W818"/>
      <c r="X818"/>
      <c r="Y818"/>
      <c r="Z818"/>
      <c r="AA818"/>
      <c r="AB818"/>
      <c r="AC818"/>
      <c r="AD818"/>
      <c r="AE818"/>
      <c r="AF818"/>
      <c r="AG818"/>
      <c r="AH818"/>
      <c r="AI818"/>
      <c r="AJ818"/>
      <c r="AK818"/>
      <c r="AL818"/>
      <c r="AM818"/>
      <c r="AN818"/>
      <c r="AO818"/>
      <c r="AP818"/>
    </row>
    <row r="819" spans="2:42" s="24" customFormat="1">
      <c r="B819"/>
      <c r="C819" s="206"/>
      <c r="E819" s="16"/>
      <c r="F819"/>
      <c r="G819" s="359"/>
      <c r="H819"/>
      <c r="I819"/>
      <c r="J819"/>
      <c r="K819"/>
      <c r="L819"/>
      <c r="M819"/>
      <c r="N819"/>
      <c r="O819"/>
      <c r="P819"/>
      <c r="Q819" s="2791"/>
      <c r="R819" s="2791"/>
      <c r="S819" s="2791"/>
      <c r="T819"/>
      <c r="U819"/>
      <c r="V819"/>
      <c r="W819"/>
      <c r="X819"/>
      <c r="Y819"/>
      <c r="Z819"/>
      <c r="AA819"/>
      <c r="AB819"/>
      <c r="AC819"/>
      <c r="AD819"/>
      <c r="AE819"/>
      <c r="AF819"/>
      <c r="AG819"/>
      <c r="AH819"/>
      <c r="AI819"/>
      <c r="AJ819"/>
      <c r="AK819"/>
      <c r="AL819"/>
      <c r="AM819"/>
      <c r="AN819"/>
      <c r="AO819"/>
      <c r="AP819"/>
    </row>
    <row r="820" spans="2:42" s="24" customFormat="1">
      <c r="B820"/>
      <c r="C820" s="206"/>
      <c r="E820" s="16"/>
      <c r="F820"/>
      <c r="G820" s="359"/>
      <c r="H820"/>
      <c r="I820"/>
      <c r="J820"/>
      <c r="K820"/>
      <c r="L820"/>
      <c r="M820"/>
      <c r="N820"/>
      <c r="O820"/>
      <c r="P820"/>
      <c r="Q820" s="2791"/>
      <c r="R820" s="2791"/>
      <c r="S820" s="2791"/>
      <c r="T820"/>
      <c r="U820"/>
      <c r="V820"/>
      <c r="W820"/>
      <c r="X820"/>
      <c r="Y820"/>
      <c r="Z820"/>
      <c r="AA820"/>
      <c r="AB820"/>
      <c r="AC820"/>
      <c r="AD820"/>
      <c r="AE820"/>
      <c r="AF820"/>
      <c r="AG820"/>
      <c r="AH820"/>
      <c r="AI820"/>
      <c r="AJ820"/>
      <c r="AK820"/>
      <c r="AL820"/>
      <c r="AM820"/>
      <c r="AN820"/>
      <c r="AO820"/>
      <c r="AP820"/>
    </row>
    <row r="821" spans="2:42" s="24" customFormat="1">
      <c r="B821"/>
      <c r="C821" s="206"/>
      <c r="E821" s="16"/>
      <c r="F821"/>
      <c r="G821" s="359"/>
      <c r="H821"/>
      <c r="I821"/>
      <c r="J821"/>
      <c r="K821"/>
      <c r="L821"/>
      <c r="M821"/>
      <c r="N821"/>
      <c r="O821"/>
      <c r="P821"/>
      <c r="Q821" s="2791"/>
      <c r="R821" s="2791"/>
      <c r="S821" s="2791"/>
      <c r="T821"/>
      <c r="U821"/>
      <c r="V821"/>
      <c r="W821"/>
      <c r="X821"/>
      <c r="Y821"/>
      <c r="Z821"/>
      <c r="AA821"/>
      <c r="AB821"/>
      <c r="AC821"/>
      <c r="AD821"/>
      <c r="AE821"/>
      <c r="AF821"/>
      <c r="AG821"/>
      <c r="AH821"/>
      <c r="AI821"/>
      <c r="AJ821"/>
      <c r="AK821"/>
      <c r="AL821"/>
      <c r="AM821"/>
      <c r="AN821"/>
      <c r="AO821"/>
      <c r="AP821"/>
    </row>
    <row r="822" spans="2:42" s="24" customFormat="1">
      <c r="B822"/>
      <c r="C822" s="206"/>
      <c r="E822" s="16"/>
      <c r="F822"/>
      <c r="G822" s="359"/>
      <c r="H822"/>
      <c r="I822"/>
      <c r="J822"/>
      <c r="K822"/>
      <c r="L822"/>
      <c r="M822"/>
      <c r="N822"/>
      <c r="O822"/>
      <c r="P822"/>
      <c r="Q822" s="2791"/>
      <c r="R822" s="2791"/>
      <c r="S822" s="2791"/>
      <c r="T822"/>
      <c r="U822"/>
      <c r="V822"/>
      <c r="W822"/>
      <c r="X822"/>
      <c r="Y822"/>
      <c r="Z822"/>
      <c r="AA822"/>
      <c r="AB822"/>
      <c r="AC822"/>
      <c r="AD822"/>
      <c r="AE822"/>
      <c r="AF822"/>
      <c r="AG822"/>
      <c r="AH822"/>
      <c r="AI822"/>
      <c r="AJ822"/>
      <c r="AK822"/>
      <c r="AL822"/>
      <c r="AM822"/>
      <c r="AN822"/>
      <c r="AO822"/>
      <c r="AP822"/>
    </row>
    <row r="823" spans="2:42" s="24" customFormat="1">
      <c r="B823"/>
      <c r="C823" s="206"/>
      <c r="E823" s="16"/>
      <c r="F823"/>
      <c r="G823" s="359"/>
      <c r="H823"/>
      <c r="I823"/>
      <c r="J823"/>
      <c r="K823"/>
      <c r="L823"/>
      <c r="M823"/>
      <c r="N823"/>
      <c r="O823"/>
      <c r="P823"/>
      <c r="Q823" s="2791"/>
      <c r="R823" s="2791"/>
      <c r="S823" s="2791"/>
      <c r="T823"/>
      <c r="U823"/>
      <c r="V823"/>
      <c r="W823"/>
      <c r="X823"/>
      <c r="Y823"/>
      <c r="Z823"/>
      <c r="AA823"/>
      <c r="AB823"/>
      <c r="AC823"/>
      <c r="AD823"/>
      <c r="AE823"/>
      <c r="AF823"/>
      <c r="AG823"/>
      <c r="AH823"/>
      <c r="AI823"/>
      <c r="AJ823"/>
      <c r="AK823"/>
      <c r="AL823"/>
      <c r="AM823"/>
      <c r="AN823"/>
      <c r="AO823"/>
      <c r="AP823"/>
    </row>
    <row r="824" spans="2:42" s="24" customFormat="1">
      <c r="B824"/>
      <c r="C824" s="206"/>
      <c r="E824" s="16"/>
      <c r="F824"/>
      <c r="G824" s="359"/>
      <c r="H824"/>
      <c r="I824"/>
      <c r="J824"/>
      <c r="K824"/>
      <c r="L824"/>
      <c r="M824"/>
      <c r="N824"/>
      <c r="O824"/>
      <c r="P824"/>
      <c r="Q824" s="2791"/>
      <c r="R824" s="2791"/>
      <c r="S824" s="2791"/>
      <c r="T824"/>
      <c r="U824"/>
      <c r="V824"/>
      <c r="W824"/>
      <c r="X824"/>
      <c r="Y824"/>
      <c r="Z824"/>
      <c r="AA824"/>
      <c r="AB824"/>
      <c r="AC824"/>
      <c r="AD824"/>
      <c r="AE824"/>
      <c r="AF824"/>
      <c r="AG824"/>
      <c r="AH824"/>
      <c r="AI824"/>
      <c r="AJ824"/>
      <c r="AK824"/>
      <c r="AL824"/>
      <c r="AM824"/>
      <c r="AN824"/>
      <c r="AO824"/>
      <c r="AP824"/>
    </row>
  </sheetData>
  <mergeCells count="64">
    <mergeCell ref="D87:D90"/>
    <mergeCell ref="V21:V22"/>
    <mergeCell ref="D27:D30"/>
    <mergeCell ref="D31:D34"/>
    <mergeCell ref="R21:R22"/>
    <mergeCell ref="S21:S22"/>
    <mergeCell ref="D67:D70"/>
    <mergeCell ref="C23:C26"/>
    <mergeCell ref="D23:D26"/>
    <mergeCell ref="AJ21:AJ22"/>
    <mergeCell ref="X21:X22"/>
    <mergeCell ref="C83:C86"/>
    <mergeCell ref="D83:D86"/>
    <mergeCell ref="D35:D38"/>
    <mergeCell ref="C51:C54"/>
    <mergeCell ref="C55:C58"/>
    <mergeCell ref="C75:C78"/>
    <mergeCell ref="D75:D78"/>
    <mergeCell ref="D51:D54"/>
    <mergeCell ref="C79:C82"/>
    <mergeCell ref="D79:D82"/>
    <mergeCell ref="D55:D58"/>
    <mergeCell ref="C67:C70"/>
    <mergeCell ref="AH19:AK20"/>
    <mergeCell ref="C21:C22"/>
    <mergeCell ref="D21:D22"/>
    <mergeCell ref="E21:E22"/>
    <mergeCell ref="F21:G21"/>
    <mergeCell ref="H21:I21"/>
    <mergeCell ref="L21:M21"/>
    <mergeCell ref="N21:N22"/>
    <mergeCell ref="O21:O22"/>
    <mergeCell ref="AK21:AK22"/>
    <mergeCell ref="AA21:AA22"/>
    <mergeCell ref="AB21:AB22"/>
    <mergeCell ref="AD21:AD22"/>
    <mergeCell ref="AE21:AE22"/>
    <mergeCell ref="W21:W22"/>
    <mergeCell ref="Z21:Z22"/>
    <mergeCell ref="AC6:AC9"/>
    <mergeCell ref="AF6:AF9"/>
    <mergeCell ref="B17:K20"/>
    <mergeCell ref="L17:P18"/>
    <mergeCell ref="U17:AC18"/>
    <mergeCell ref="L19:P20"/>
    <mergeCell ref="U19:U20"/>
    <mergeCell ref="V19:Z20"/>
    <mergeCell ref="AA19:AB20"/>
    <mergeCell ref="AC19:AC22"/>
    <mergeCell ref="Y21:Y22"/>
    <mergeCell ref="AD19:AE20"/>
    <mergeCell ref="P21:P22"/>
    <mergeCell ref="U21:U22"/>
    <mergeCell ref="Q17:S20"/>
    <mergeCell ref="Q21:Q22"/>
    <mergeCell ref="C71:C74"/>
    <mergeCell ref="D71:D74"/>
    <mergeCell ref="D39:D42"/>
    <mergeCell ref="D43:D46"/>
    <mergeCell ref="D47:D50"/>
    <mergeCell ref="C59:C62"/>
    <mergeCell ref="D59:D62"/>
    <mergeCell ref="C63:C66"/>
    <mergeCell ref="D63:D66"/>
  </mergeCells>
  <hyperlinks>
    <hyperlink ref="X368" r:id="rId1" xr:uid="{00000000-0004-0000-2A00-000000000000}"/>
    <hyperlink ref="X615" r:id="rId2" xr:uid="{00000000-0004-0000-2A00-000001000000}"/>
    <hyperlink ref="K265" r:id="rId3" xr:uid="{00000000-0004-0000-2A00-000002000000}"/>
    <hyperlink ref="H267" r:id="rId4" display="https://www.researchgate.net/profile/Peter_Caley/publication/248882734_Population_Dynamics_of_Feral_Pigs_Sus_Scrofa_in_a_Tropical_Riverine_Habitat_Complex/links/598913480f7e9b6c8539fdde/Population-Dynamics-of-Feral-Pigs-Sus-Scrofa-in-a-Tropical-Riverine-Habitat-Complex.pdf" xr:uid="{00000000-0004-0000-2A00-000003000000}"/>
    <hyperlink ref="X491" r:id="rId5" xr:uid="{00000000-0004-0000-2A00-000004000000}"/>
    <hyperlink ref="J333" r:id="rId6" xr:uid="{00000000-0004-0000-2A00-000005000000}"/>
  </hyperlinks>
  <pageMargins left="0.7" right="0.7" top="0.75" bottom="0.75" header="0.3" footer="0.3"/>
  <pageSetup paperSize="9" orientation="portrait" horizontalDpi="0" verticalDpi="0"/>
  <drawing r:id="rId7"/>
  <legacyDrawing r:id="rId8"/>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B1:AC76"/>
  <sheetViews>
    <sheetView showGridLines="0" zoomScaleNormal="100" workbookViewId="0">
      <selection activeCell="H36" sqref="H36"/>
    </sheetView>
  </sheetViews>
  <sheetFormatPr baseColWidth="10" defaultColWidth="11" defaultRowHeight="16" outlineLevelRow="1"/>
  <cols>
    <col min="1" max="1" width="4.6640625" customWidth="1"/>
    <col min="2" max="2" width="17.5" customWidth="1"/>
    <col min="3" max="3" width="29" customWidth="1"/>
    <col min="4" max="4" width="16.83203125" customWidth="1"/>
    <col min="5" max="5" width="13.33203125" customWidth="1"/>
    <col min="6" max="7" width="14.33203125" customWidth="1"/>
    <col min="8" max="8" width="18.1640625" customWidth="1"/>
    <col min="9" max="11" width="18.1640625" style="2953" customWidth="1"/>
    <col min="12" max="12" width="16.6640625" customWidth="1"/>
    <col min="13" max="13" width="14.33203125" customWidth="1"/>
    <col min="14" max="15" width="11.83203125" customWidth="1"/>
    <col min="16" max="18" width="20.6640625" style="2953" customWidth="1"/>
    <col min="19" max="19" width="11.83203125" customWidth="1"/>
    <col min="20" max="20" width="12.1640625" customWidth="1"/>
    <col min="21" max="24" width="13.5" customWidth="1"/>
  </cols>
  <sheetData>
    <row r="1" spans="2:28">
      <c r="B1" s="8" t="s">
        <v>1035</v>
      </c>
    </row>
    <row r="3" spans="2:28">
      <c r="B3" s="8" t="s">
        <v>844</v>
      </c>
      <c r="G3" s="692"/>
      <c r="H3" s="692"/>
      <c r="I3" s="692"/>
      <c r="J3" s="692"/>
      <c r="K3" s="692"/>
      <c r="L3" s="692"/>
      <c r="M3" s="692"/>
    </row>
    <row r="4" spans="2:28" ht="17" thickBot="1">
      <c r="B4" t="s">
        <v>839</v>
      </c>
      <c r="C4" t="s">
        <v>845</v>
      </c>
      <c r="D4" s="1"/>
      <c r="E4" s="1"/>
      <c r="F4" s="1"/>
      <c r="G4" s="1"/>
      <c r="H4" s="1"/>
      <c r="I4" s="1"/>
      <c r="J4" s="1"/>
      <c r="K4" s="1"/>
    </row>
    <row r="5" spans="2:28">
      <c r="C5" s="804" t="s">
        <v>838</v>
      </c>
      <c r="D5" s="805"/>
      <c r="E5" s="805"/>
      <c r="F5" s="805"/>
      <c r="G5" s="805"/>
      <c r="H5" s="805"/>
      <c r="I5" s="79"/>
      <c r="J5" s="79"/>
      <c r="K5" s="79"/>
    </row>
    <row r="6" spans="2:28">
      <c r="C6" s="807"/>
      <c r="D6" t="s">
        <v>2175</v>
      </c>
      <c r="H6" s="79"/>
      <c r="I6" s="79"/>
      <c r="J6" s="79"/>
      <c r="K6" s="79"/>
    </row>
    <row r="7" spans="2:28">
      <c r="C7" s="807" t="s">
        <v>827</v>
      </c>
      <c r="D7" s="2791" t="s">
        <v>2371</v>
      </c>
      <c r="H7" s="79"/>
      <c r="I7" s="79"/>
      <c r="J7" s="79"/>
      <c r="K7" s="79"/>
    </row>
    <row r="8" spans="2:28">
      <c r="C8" s="807"/>
      <c r="H8" s="79"/>
      <c r="I8" s="79"/>
      <c r="J8" s="79"/>
      <c r="K8" s="79"/>
    </row>
    <row r="9" spans="2:28">
      <c r="C9" s="807"/>
      <c r="H9" s="79"/>
      <c r="I9" s="79"/>
      <c r="J9" s="79"/>
      <c r="K9" s="79"/>
    </row>
    <row r="10" spans="2:28">
      <c r="C10" s="807"/>
      <c r="H10" s="79"/>
      <c r="I10" s="79"/>
      <c r="J10" s="79"/>
      <c r="K10" s="79"/>
    </row>
    <row r="11" spans="2:28" ht="17" thickBot="1">
      <c r="C11" s="808"/>
      <c r="D11" s="574"/>
      <c r="E11" s="574"/>
      <c r="F11" s="574"/>
      <c r="G11" s="574"/>
      <c r="H11" s="574"/>
      <c r="I11" s="79"/>
      <c r="J11" s="79"/>
      <c r="K11" s="79"/>
      <c r="AB11" s="587">
        <v>0</v>
      </c>
    </row>
    <row r="12" spans="2:28">
      <c r="C12" s="360" t="s">
        <v>851</v>
      </c>
      <c r="AB12" s="587"/>
    </row>
    <row r="13" spans="2:28">
      <c r="AB13" s="587"/>
    </row>
    <row r="14" spans="2:28">
      <c r="B14" t="s">
        <v>942</v>
      </c>
      <c r="C14" s="359" t="s">
        <v>848</v>
      </c>
      <c r="AB14" s="587"/>
    </row>
    <row r="16" spans="2:28">
      <c r="B16" s="8" t="s">
        <v>730</v>
      </c>
    </row>
    <row r="17" spans="2:13" ht="17">
      <c r="B17" s="3" t="s">
        <v>847</v>
      </c>
      <c r="G17" s="562"/>
      <c r="H17" s="562"/>
      <c r="I17" s="562"/>
      <c r="J17" s="562"/>
      <c r="K17" s="562"/>
      <c r="L17" s="562"/>
      <c r="M17" s="562"/>
    </row>
    <row r="18" spans="2:13" ht="17">
      <c r="C18" t="s">
        <v>1866</v>
      </c>
      <c r="G18" s="562"/>
      <c r="H18" s="562"/>
      <c r="I18" s="562"/>
      <c r="J18" s="562"/>
      <c r="K18" s="562"/>
      <c r="L18" s="562"/>
      <c r="M18" s="562"/>
    </row>
    <row r="19" spans="2:13">
      <c r="G19" s="692"/>
      <c r="H19" s="692"/>
      <c r="I19" s="692"/>
      <c r="J19" s="692"/>
      <c r="K19" s="692"/>
      <c r="L19" s="692"/>
      <c r="M19" s="692"/>
    </row>
    <row r="20" spans="2:13">
      <c r="C20" s="1" t="s">
        <v>1896</v>
      </c>
      <c r="G20" s="692"/>
      <c r="H20" s="692"/>
      <c r="I20" s="692"/>
      <c r="J20" s="692"/>
      <c r="K20" s="692"/>
      <c r="L20" s="692"/>
      <c r="M20" s="692"/>
    </row>
    <row r="21" spans="2:13" ht="17">
      <c r="C21" t="s">
        <v>843</v>
      </c>
      <c r="G21" s="562"/>
      <c r="H21" s="562"/>
      <c r="I21" s="562"/>
      <c r="J21" s="562"/>
      <c r="K21" s="562"/>
      <c r="L21" s="562"/>
      <c r="M21" s="562"/>
    </row>
    <row r="22" spans="2:13" ht="17">
      <c r="C22" t="s">
        <v>867</v>
      </c>
      <c r="D22" s="31"/>
      <c r="G22" s="562"/>
      <c r="H22" s="562"/>
      <c r="I22" s="562"/>
      <c r="J22" s="562"/>
      <c r="K22" s="562"/>
      <c r="L22" s="562"/>
      <c r="M22" s="562"/>
    </row>
    <row r="23" spans="2:13" ht="17">
      <c r="D23" s="31"/>
      <c r="G23" s="562"/>
      <c r="H23" s="562"/>
      <c r="I23" s="562"/>
      <c r="J23" s="562"/>
      <c r="K23" s="562"/>
      <c r="L23" s="562"/>
      <c r="M23" s="562"/>
    </row>
    <row r="24" spans="2:13" ht="17">
      <c r="D24" s="31"/>
      <c r="G24" s="562"/>
      <c r="H24" s="562"/>
      <c r="I24" s="562"/>
      <c r="J24" s="562"/>
      <c r="K24" s="562"/>
      <c r="L24" s="562"/>
      <c r="M24" s="562"/>
    </row>
    <row r="25" spans="2:13" ht="17">
      <c r="D25" s="31"/>
      <c r="G25" s="562"/>
      <c r="H25" s="562"/>
      <c r="I25" s="562"/>
      <c r="J25" s="562"/>
      <c r="K25" s="562"/>
      <c r="L25" s="562"/>
      <c r="M25" s="562"/>
    </row>
    <row r="26" spans="2:13" ht="17">
      <c r="B26" s="3" t="s">
        <v>846</v>
      </c>
      <c r="G26" s="562"/>
      <c r="H26" s="562"/>
      <c r="I26" s="562"/>
      <c r="J26" s="562"/>
      <c r="K26" s="562"/>
      <c r="L26" s="562"/>
      <c r="M26" s="562"/>
    </row>
    <row r="27" spans="2:13" ht="17">
      <c r="G27" s="562"/>
      <c r="H27" s="562"/>
      <c r="I27" s="562"/>
      <c r="J27" s="562"/>
      <c r="K27" s="562"/>
      <c r="L27" s="562"/>
      <c r="M27" s="562"/>
    </row>
    <row r="28" spans="2:13" ht="17">
      <c r="C28" s="693" t="s">
        <v>2288</v>
      </c>
      <c r="D28" s="31"/>
      <c r="G28" s="562"/>
      <c r="H28" s="562"/>
      <c r="I28" s="562"/>
      <c r="J28" s="562"/>
      <c r="K28" s="562"/>
      <c r="L28" s="562"/>
      <c r="M28" s="562"/>
    </row>
    <row r="29" spans="2:13">
      <c r="C29" s="693" t="s">
        <v>2282</v>
      </c>
      <c r="E29" s="3629" t="s">
        <v>2521</v>
      </c>
      <c r="G29" s="692"/>
      <c r="H29" s="692"/>
      <c r="I29" s="692"/>
      <c r="J29" s="692"/>
      <c r="K29" s="692"/>
      <c r="L29" s="692"/>
      <c r="M29" s="692"/>
    </row>
    <row r="30" spans="2:13" ht="17">
      <c r="C30" t="s">
        <v>2283</v>
      </c>
      <c r="G30" s="562"/>
      <c r="H30" s="562"/>
      <c r="I30" s="562"/>
      <c r="J30" s="562"/>
      <c r="K30" s="562"/>
      <c r="L30" s="562"/>
      <c r="M30" s="562"/>
    </row>
    <row r="31" spans="2:13">
      <c r="C31" t="s">
        <v>2284</v>
      </c>
      <c r="G31" s="692"/>
      <c r="H31" s="692"/>
      <c r="I31" s="692"/>
      <c r="J31" s="692"/>
      <c r="K31" s="692"/>
      <c r="L31" s="692"/>
      <c r="M31" s="692"/>
    </row>
    <row r="32" spans="2:13">
      <c r="C32" t="s">
        <v>836</v>
      </c>
      <c r="G32" s="692"/>
      <c r="H32" s="692"/>
      <c r="I32" s="692"/>
      <c r="J32" s="692"/>
      <c r="K32" s="692"/>
      <c r="L32" s="692"/>
      <c r="M32" s="692"/>
    </row>
    <row r="33" spans="2:29">
      <c r="D33" t="s">
        <v>2370</v>
      </c>
      <c r="G33" s="692"/>
      <c r="H33" s="692"/>
      <c r="I33" s="692"/>
      <c r="J33" s="692"/>
      <c r="K33" s="692"/>
      <c r="L33" s="692"/>
      <c r="M33" s="692"/>
    </row>
    <row r="34" spans="2:29">
      <c r="C34" t="s">
        <v>835</v>
      </c>
      <c r="H34" s="692"/>
      <c r="I34" s="692"/>
      <c r="J34" s="692"/>
      <c r="K34" s="692"/>
      <c r="L34" s="692"/>
      <c r="M34" s="692"/>
      <c r="N34" s="692"/>
      <c r="O34" s="692"/>
      <c r="P34" s="692"/>
      <c r="Q34" s="692"/>
      <c r="R34" s="692"/>
    </row>
    <row r="35" spans="2:29">
      <c r="D35" t="s">
        <v>834</v>
      </c>
      <c r="H35" s="692"/>
      <c r="I35" s="692"/>
      <c r="J35" s="692"/>
      <c r="K35" s="692"/>
      <c r="L35" s="692"/>
      <c r="M35" s="692"/>
      <c r="N35" s="692"/>
      <c r="O35" s="692"/>
      <c r="P35" s="692"/>
      <c r="Q35" s="692"/>
      <c r="R35" s="692"/>
    </row>
    <row r="36" spans="2:29">
      <c r="G36" s="692"/>
      <c r="H36" s="692"/>
      <c r="I36" s="692"/>
      <c r="J36" s="692"/>
      <c r="K36" s="692"/>
      <c r="L36" s="692"/>
      <c r="M36" s="692"/>
    </row>
    <row r="37" spans="2:29">
      <c r="B37" s="1"/>
      <c r="C37" s="360"/>
      <c r="AB37" s="587"/>
    </row>
    <row r="38" spans="2:29">
      <c r="B38" s="8" t="s">
        <v>1036</v>
      </c>
      <c r="C38" s="100"/>
      <c r="F38" s="3881"/>
      <c r="G38" s="3881"/>
      <c r="H38" s="3881"/>
      <c r="I38" s="3408"/>
      <c r="J38" s="3408"/>
      <c r="K38" s="3408"/>
      <c r="M38" s="1" t="s">
        <v>1430</v>
      </c>
      <c r="N38" s="1"/>
      <c r="O38" s="1"/>
      <c r="P38" s="1"/>
      <c r="Q38" s="1"/>
      <c r="R38" s="1"/>
      <c r="AB38" s="587"/>
    </row>
    <row r="39" spans="2:29">
      <c r="B39" t="s">
        <v>841</v>
      </c>
      <c r="T39" t="s">
        <v>1053</v>
      </c>
      <c r="AB39" s="587"/>
    </row>
    <row r="40" spans="2:29">
      <c r="C40" t="s">
        <v>829</v>
      </c>
      <c r="M40" s="259">
        <f>'Overall Assumptions'!$C$179</f>
        <v>208.4</v>
      </c>
      <c r="AB40" s="587"/>
    </row>
    <row r="41" spans="2:29">
      <c r="C41" s="360" t="s">
        <v>1052</v>
      </c>
      <c r="D41" s="1"/>
      <c r="E41" s="1"/>
      <c r="M41" s="3882"/>
      <c r="N41" s="3882"/>
      <c r="O41" s="3882"/>
      <c r="P41" s="3409"/>
      <c r="Q41" s="3409"/>
      <c r="R41" s="3409"/>
      <c r="AB41" s="587"/>
    </row>
    <row r="42" spans="2:29" ht="17">
      <c r="C42" s="4" t="s">
        <v>730</v>
      </c>
      <c r="D42" s="593" t="s">
        <v>832</v>
      </c>
      <c r="F42" s="3741" t="s">
        <v>1869</v>
      </c>
      <c r="G42" s="3742"/>
      <c r="H42" s="3743"/>
      <c r="I42" s="3415" t="s">
        <v>800</v>
      </c>
      <c r="J42" s="3417" t="s">
        <v>1164</v>
      </c>
      <c r="K42" s="3416" t="s">
        <v>2004</v>
      </c>
      <c r="L42" s="2555"/>
      <c r="M42" s="3741" t="s">
        <v>1870</v>
      </c>
      <c r="N42" s="3742"/>
      <c r="O42" s="3742"/>
      <c r="P42" s="3427" t="s">
        <v>2289</v>
      </c>
      <c r="Q42" s="3428" t="s">
        <v>2290</v>
      </c>
      <c r="R42" s="3429" t="s">
        <v>2291</v>
      </c>
      <c r="T42" s="255">
        <v>0</v>
      </c>
      <c r="U42" s="255">
        <v>1</v>
      </c>
      <c r="V42" s="255">
        <v>2</v>
      </c>
      <c r="W42" s="161">
        <v>3</v>
      </c>
      <c r="AC42" s="587"/>
    </row>
    <row r="43" spans="2:29" ht="16" customHeight="1">
      <c r="C43" s="480" t="s">
        <v>819</v>
      </c>
      <c r="D43" s="3828" t="s">
        <v>801</v>
      </c>
      <c r="F43" s="3883"/>
      <c r="G43" s="3884"/>
      <c r="H43" s="3885"/>
      <c r="I43" s="3413"/>
      <c r="J43" s="3418"/>
      <c r="K43" s="3414"/>
      <c r="L43" s="2100"/>
      <c r="M43" s="3886"/>
      <c r="N43" s="3887"/>
      <c r="O43" s="3887"/>
      <c r="P43" s="3410"/>
      <c r="Q43" s="3407"/>
      <c r="R43" s="3411"/>
      <c r="T43" s="402" t="s">
        <v>821</v>
      </c>
      <c r="U43" s="255"/>
      <c r="V43" s="255"/>
      <c r="W43" s="161"/>
      <c r="AC43" s="587"/>
    </row>
    <row r="44" spans="2:29" ht="16" customHeight="1">
      <c r="C44" s="591"/>
      <c r="D44" s="3829"/>
      <c r="F44" s="3889"/>
      <c r="G44" s="3890"/>
      <c r="H44" s="3891"/>
      <c r="I44" s="3415"/>
      <c r="J44" s="3417"/>
      <c r="K44" s="3416"/>
      <c r="L44" s="2553"/>
      <c r="M44" s="3892"/>
      <c r="N44" s="3893"/>
      <c r="O44" s="3893"/>
      <c r="P44" s="3410"/>
      <c r="Q44" s="3407"/>
      <c r="R44" s="3411"/>
      <c r="T44" s="480" t="s">
        <v>3</v>
      </c>
      <c r="U44" s="161" t="s">
        <v>132</v>
      </c>
      <c r="V44" s="161" t="s">
        <v>4</v>
      </c>
      <c r="W44" s="161" t="s">
        <v>21</v>
      </c>
      <c r="AC44" s="587"/>
    </row>
    <row r="45" spans="2:29" ht="16" customHeight="1">
      <c r="C45" s="591"/>
      <c r="D45" s="3829"/>
      <c r="F45" s="3895" t="s">
        <v>796</v>
      </c>
      <c r="G45" s="3896"/>
      <c r="H45" s="3897"/>
      <c r="I45" s="3895" t="s">
        <v>796</v>
      </c>
      <c r="J45" s="3896"/>
      <c r="K45" s="3897"/>
      <c r="L45" s="2554"/>
      <c r="M45" s="3886" t="s">
        <v>796</v>
      </c>
      <c r="N45" s="3887"/>
      <c r="O45" s="3887"/>
      <c r="P45" s="3410"/>
      <c r="Q45" s="3407"/>
      <c r="R45" s="3411"/>
      <c r="T45" s="2552"/>
      <c r="U45" s="2554"/>
      <c r="V45" s="2554"/>
      <c r="W45" s="246"/>
      <c r="AC45" s="587"/>
    </row>
    <row r="46" spans="2:29">
      <c r="B46" s="79"/>
      <c r="C46" s="481"/>
      <c r="D46" s="3830"/>
      <c r="F46" s="404" t="s">
        <v>802</v>
      </c>
      <c r="G46" s="79" t="s">
        <v>803</v>
      </c>
      <c r="H46" s="246" t="s">
        <v>733</v>
      </c>
      <c r="I46" s="404" t="s">
        <v>802</v>
      </c>
      <c r="J46" s="591" t="s">
        <v>803</v>
      </c>
      <c r="K46" s="246" t="s">
        <v>733</v>
      </c>
      <c r="L46" s="246"/>
      <c r="M46" s="404" t="s">
        <v>802</v>
      </c>
      <c r="N46" s="79" t="s">
        <v>803</v>
      </c>
      <c r="O46" s="79" t="s">
        <v>733</v>
      </c>
      <c r="P46" s="404"/>
      <c r="Q46" s="591"/>
      <c r="R46" s="246"/>
      <c r="T46" s="481"/>
      <c r="U46" s="162"/>
      <c r="V46" s="162"/>
      <c r="W46" s="162"/>
      <c r="AC46" s="587"/>
    </row>
    <row r="47" spans="2:29">
      <c r="B47" s="480" t="s">
        <v>862</v>
      </c>
      <c r="C47" s="246" t="s">
        <v>57</v>
      </c>
      <c r="D47" s="606"/>
      <c r="F47" s="1181">
        <f>'Native Herbivore Management'!$AB$23</f>
        <v>85.55624999999992</v>
      </c>
      <c r="G47" s="1182">
        <f>'Native Herbivore Management'!$AB$23</f>
        <v>85.55624999999992</v>
      </c>
      <c r="H47" s="1183">
        <f>'Native Herbivore Management'!$AB$23</f>
        <v>85.55624999999992</v>
      </c>
      <c r="I47" s="3419"/>
      <c r="J47" s="3420"/>
      <c r="K47" s="2093"/>
      <c r="L47" s="384"/>
      <c r="M47" s="2094"/>
      <c r="N47" s="2095"/>
      <c r="O47" s="2095"/>
      <c r="P47" s="2094"/>
      <c r="Q47" s="2107"/>
      <c r="R47" s="2096"/>
      <c r="T47" s="1208">
        <f ca="1">OFFSET('Native Herbivore Management'!$AC$23,T$42+$X47,0)</f>
        <v>1</v>
      </c>
      <c r="U47" s="1208" t="str">
        <f ca="1">OFFSET('Native Herbivore Management'!$AC$23,U$42+$X47,0)</f>
        <v/>
      </c>
      <c r="V47" s="1208" t="str">
        <f ca="1">OFFSET('Native Herbivore Management'!$AC$23,V$42+$X47,0)</f>
        <v/>
      </c>
      <c r="W47" s="1208" t="str">
        <f ca="1">OFFSET('Native Herbivore Management'!$AC$23,W$42+$X47,0)</f>
        <v/>
      </c>
      <c r="X47" s="587">
        <v>0</v>
      </c>
      <c r="Y47" s="578">
        <f t="shared" ref="Y47:Y57" ca="1" si="0">SUM(T47:W47)</f>
        <v>1</v>
      </c>
      <c r="AC47" s="587"/>
    </row>
    <row r="48" spans="2:29" ht="16" customHeight="1">
      <c r="B48" s="591" t="s">
        <v>863</v>
      </c>
      <c r="C48" s="389" t="s">
        <v>1001</v>
      </c>
      <c r="D48" s="606"/>
      <c r="F48" s="841">
        <f>'Native Herbivore Management'!$AB$27</f>
        <v>56.921695067264523</v>
      </c>
      <c r="G48" s="337">
        <f>'Native Herbivore Management'!$AB$31</f>
        <v>64.360260089686051</v>
      </c>
      <c r="H48" s="842">
        <f>'Native Herbivore Management'!$AB$35</f>
        <v>85.243390134529079</v>
      </c>
      <c r="I48" s="2090"/>
      <c r="J48" s="2106"/>
      <c r="K48" s="2092"/>
      <c r="L48" s="384"/>
      <c r="M48" s="2882">
        <f>'Native Herbivore Management'!$S$28</f>
        <v>0.99999999999999911</v>
      </c>
      <c r="N48" s="2333">
        <f>'Native Herbivore Management'!$S$32</f>
        <v>0.99999999999999911</v>
      </c>
      <c r="O48" s="2333">
        <f>'Native Herbivore Management'!$S$36</f>
        <v>0.99999999999999911</v>
      </c>
      <c r="P48" s="3142"/>
      <c r="Q48" s="3143"/>
      <c r="R48" s="3144"/>
      <c r="T48" s="751">
        <f ca="1">OFFSET('Native Herbivore Management'!$AC$23,T$42+$X48,0)</f>
        <v>0.45956785255615878</v>
      </c>
      <c r="U48" s="751">
        <f ca="1">OFFSET('Native Herbivore Management'!$AC$23,U$42+$X48,0)</f>
        <v>0.2238920307324877</v>
      </c>
      <c r="V48" s="751">
        <f ca="1">OFFSET('Native Herbivore Management'!$AC$23,V$42+$X48,0)</f>
        <v>0.31654011671135351</v>
      </c>
      <c r="W48" s="751">
        <f ca="1">OFFSET('Native Herbivore Management'!$AC$23,W$42+$X48,0)</f>
        <v>0</v>
      </c>
      <c r="X48" s="587">
        <v>4</v>
      </c>
      <c r="Y48" s="578">
        <f t="shared" ca="1" si="0"/>
        <v>1</v>
      </c>
      <c r="AC48" s="587"/>
    </row>
    <row r="49" spans="2:29" s="1744" customFormat="1" ht="16" customHeight="1">
      <c r="B49" s="3342" t="s">
        <v>863</v>
      </c>
      <c r="C49" s="1748" t="s">
        <v>1426</v>
      </c>
      <c r="D49" s="3342"/>
      <c r="F49" s="3343">
        <f>'Native Herbivore Management'!$AB$39</f>
        <v>646.00509708520121</v>
      </c>
      <c r="G49" s="3344">
        <f>'Native Herbivore Management'!$AB$43</f>
        <v>758.86394611360174</v>
      </c>
      <c r="H49" s="3345">
        <f>'Native Herbivore Management'!$AB$47</f>
        <v>984.58164417040257</v>
      </c>
      <c r="I49" s="3343"/>
      <c r="J49" s="2683"/>
      <c r="K49" s="3345"/>
      <c r="L49" s="3344"/>
      <c r="M49" s="3346">
        <f>'Native Herbivore Management'!$S$32</f>
        <v>0.99999999999999911</v>
      </c>
      <c r="N49" s="3347">
        <f>'Native Herbivore Management'!$S$36</f>
        <v>0.99999999999999911</v>
      </c>
      <c r="O49" s="3347">
        <f>'Native Herbivore Management'!$S$40</f>
        <v>1.9999999999999982</v>
      </c>
      <c r="P49" s="3346"/>
      <c r="Q49" s="3424"/>
      <c r="R49" s="3348"/>
      <c r="T49" s="1757">
        <f ca="1">OFFSET('Native Herbivore Management'!$AC$23,T$42+$X49,0)</f>
        <v>0.54934127636950547</v>
      </c>
      <c r="U49" s="1757">
        <f ca="1">OFFSET('Native Herbivore Management'!$AC$23,U$42+$X49,0)</f>
        <v>0.17841853420548043</v>
      </c>
      <c r="V49" s="1757">
        <f ca="1">OFFSET('Native Herbivore Management'!$AC$23,V$42+$X49,0)</f>
        <v>0.27224018942501421</v>
      </c>
      <c r="W49" s="1757">
        <f ca="1">OFFSET('Native Herbivore Management'!$AC$23,W$42+$X49,0)</f>
        <v>0</v>
      </c>
      <c r="X49" s="1754">
        <v>16</v>
      </c>
      <c r="Y49" s="578">
        <f t="shared" ca="1" si="0"/>
        <v>1</v>
      </c>
      <c r="AC49" s="1754"/>
    </row>
    <row r="50" spans="2:29" ht="16" customHeight="1">
      <c r="B50" s="591" t="s">
        <v>862</v>
      </c>
      <c r="C50" s="3386" t="s">
        <v>2253</v>
      </c>
      <c r="D50" s="606"/>
      <c r="F50" s="2090"/>
      <c r="G50" s="2091"/>
      <c r="H50" s="2092"/>
      <c r="I50" s="841">
        <f>'Native Herbivore Management'!$AB$51</f>
        <v>696.03520040605076</v>
      </c>
      <c r="J50" s="2106"/>
      <c r="K50" s="2092"/>
      <c r="L50" s="384"/>
      <c r="M50" s="3142"/>
      <c r="N50" s="3147"/>
      <c r="O50" s="3147"/>
      <c r="P50" s="2882">
        <f>'Native Herbivore Management'!$S$52</f>
        <v>1.2735302941493452</v>
      </c>
      <c r="Q50" s="3143"/>
      <c r="R50" s="3144"/>
      <c r="T50" s="751">
        <f ca="1">OFFSET('Native Herbivore Management'!$AC$23,T$42+$X50,0)</f>
        <v>0.31179482696980709</v>
      </c>
      <c r="U50" s="751">
        <f ca="1">OFFSET('Native Herbivore Management'!$AC$23,U$42+$X50,0)</f>
        <v>0.15190004390836759</v>
      </c>
      <c r="V50" s="751">
        <f ca="1">OFFSET('Native Herbivore Management'!$AC$23,V$42+$X50,0)</f>
        <v>0.51416347876811286</v>
      </c>
      <c r="W50" s="751">
        <f ca="1">OFFSET('Native Herbivore Management'!$AC$23,W$42+$X50,0)</f>
        <v>2.2141650353712589E-2</v>
      </c>
      <c r="X50" s="587">
        <f>X49+12</f>
        <v>28</v>
      </c>
      <c r="Y50" s="578">
        <f t="shared" ca="1" si="0"/>
        <v>1.0000000000000002</v>
      </c>
      <c r="AC50" s="587"/>
    </row>
    <row r="51" spans="2:29">
      <c r="B51" s="591" t="s">
        <v>862</v>
      </c>
      <c r="C51" s="3387" t="s">
        <v>2237</v>
      </c>
      <c r="D51" s="606"/>
      <c r="F51" s="2090"/>
      <c r="G51" s="2091"/>
      <c r="H51" s="2092"/>
      <c r="I51" s="841">
        <f>'Native Herbivore Management'!$AB$55</f>
        <v>982.71404268241952</v>
      </c>
      <c r="J51" s="2106"/>
      <c r="K51" s="2092"/>
      <c r="L51" s="384"/>
      <c r="M51" s="3142"/>
      <c r="N51" s="3147"/>
      <c r="O51" s="3147"/>
      <c r="P51" s="2882">
        <f>'Native Herbivore Management'!$S$56</f>
        <v>1.9999999999999982</v>
      </c>
      <c r="Q51" s="3143"/>
      <c r="R51" s="3144"/>
      <c r="T51" s="751">
        <f ca="1">OFFSET('Native Herbivore Management'!$AC$23,T$42+$X51,0)</f>
        <v>0.32681564245810052</v>
      </c>
      <c r="U51" s="751">
        <f ca="1">OFFSET('Native Herbivore Management'!$AC$23,U$42+$X51,0)</f>
        <v>0.15921787709497209</v>
      </c>
      <c r="V51" s="751">
        <f ca="1">OFFSET('Native Herbivore Management'!$AC$23,V$42+$X51,0)</f>
        <v>0.51396648044692739</v>
      </c>
      <c r="W51" s="751" t="str">
        <f ca="1">OFFSET('Native Herbivore Management'!$AC$23,W$42+$X51,0)</f>
        <v/>
      </c>
      <c r="X51" s="587">
        <f t="shared" ref="X51:X57" si="1">X50+4</f>
        <v>32</v>
      </c>
      <c r="Y51" s="578">
        <f t="shared" ca="1" si="0"/>
        <v>1</v>
      </c>
      <c r="AC51" s="587"/>
    </row>
    <row r="52" spans="2:29" s="2953" customFormat="1">
      <c r="B52" s="591" t="s">
        <v>862</v>
      </c>
      <c r="C52" s="2344" t="s">
        <v>2285</v>
      </c>
      <c r="D52" s="606"/>
      <c r="F52" s="2090"/>
      <c r="G52" s="2091"/>
      <c r="H52" s="2092"/>
      <c r="I52" s="2090"/>
      <c r="J52" s="689">
        <f>'Native Herbivore Management'!$AB$59</f>
        <v>230.32934139215661</v>
      </c>
      <c r="K52" s="2092"/>
      <c r="L52" s="384"/>
      <c r="M52" s="3142"/>
      <c r="N52" s="3147"/>
      <c r="O52" s="3147"/>
      <c r="P52" s="3142"/>
      <c r="Q52" s="3001">
        <f>'Native Herbivore Management'!$S$60</f>
        <v>0.42451009804978174</v>
      </c>
      <c r="R52" s="3144"/>
      <c r="T52" s="751">
        <f ca="1">OFFSET('Native Herbivore Management'!$AC$23,T$42+$X52,0)</f>
        <v>0.29795511360672755</v>
      </c>
      <c r="U52" s="751">
        <f ca="1">OFFSET('Native Herbivore Management'!$AC$23,U$42+$X52,0)</f>
        <v>0.14515761944943137</v>
      </c>
      <c r="V52" s="751">
        <f ca="1">OFFSET('Native Herbivore Management'!$AC$23,V$42+$X52,0)</f>
        <v>0.48997712884281724</v>
      </c>
      <c r="W52" s="751">
        <f ca="1">OFFSET('Native Herbivore Management'!$AC$23,W$42+$X52,0)</f>
        <v>6.6910138101023753E-2</v>
      </c>
      <c r="X52" s="587">
        <f>X51+4</f>
        <v>36</v>
      </c>
      <c r="Y52" s="578">
        <f t="shared" ca="1" si="0"/>
        <v>1</v>
      </c>
      <c r="AC52" s="587"/>
    </row>
    <row r="53" spans="2:29" s="2953" customFormat="1">
      <c r="B53" s="591" t="s">
        <v>862</v>
      </c>
      <c r="C53" s="3388" t="s">
        <v>2286</v>
      </c>
      <c r="D53" s="606"/>
      <c r="F53" s="2090"/>
      <c r="G53" s="2091"/>
      <c r="H53" s="2092"/>
      <c r="I53" s="2090"/>
      <c r="J53" s="689">
        <f>'Native Herbivore Management'!$AB$63</f>
        <v>307.01965266962662</v>
      </c>
      <c r="K53" s="2092"/>
      <c r="L53" s="384"/>
      <c r="M53" s="3142"/>
      <c r="N53" s="3147"/>
      <c r="O53" s="3147"/>
      <c r="P53" s="3142"/>
      <c r="Q53" s="3001">
        <f>'Native Herbivore Management'!$S$64</f>
        <v>0.99999999999999911</v>
      </c>
      <c r="R53" s="3144"/>
      <c r="T53" s="751">
        <f ca="1">OFFSET('Native Herbivore Management'!$AC$23,T$42+$X53,0)</f>
        <v>0.33079872051694781</v>
      </c>
      <c r="U53" s="751">
        <f ca="1">OFFSET('Native Herbivore Management'!$AC$23,U$42+$X53,0)</f>
        <v>0.16115835102107717</v>
      </c>
      <c r="V53" s="751">
        <f ca="1">OFFSET('Native Herbivore Management'!$AC$23,V$42+$X53,0)</f>
        <v>0.50804292846197496</v>
      </c>
      <c r="W53" s="751" t="str">
        <f ca="1">OFFSET('Native Herbivore Management'!$AC$23,W$42+$X53,0)</f>
        <v/>
      </c>
      <c r="X53" s="587">
        <f t="shared" ref="X53:X55" si="2">X52+4</f>
        <v>40</v>
      </c>
      <c r="Y53" s="578">
        <f t="shared" ca="1" si="0"/>
        <v>1</v>
      </c>
      <c r="AC53" s="587"/>
    </row>
    <row r="54" spans="2:29" s="2953" customFormat="1">
      <c r="B54" s="591" t="s">
        <v>862</v>
      </c>
      <c r="C54" s="452" t="s">
        <v>2287</v>
      </c>
      <c r="D54" s="606"/>
      <c r="F54" s="2090"/>
      <c r="G54" s="2091"/>
      <c r="H54" s="2092"/>
      <c r="I54" s="2090"/>
      <c r="J54" s="2106"/>
      <c r="K54" s="842">
        <f>'Native Herbivore Management'!$AB$67</f>
        <v>151.45114759259428</v>
      </c>
      <c r="L54" s="384"/>
      <c r="M54" s="3142"/>
      <c r="N54" s="3147"/>
      <c r="O54" s="3147"/>
      <c r="P54" s="3142"/>
      <c r="Q54" s="3143"/>
      <c r="R54" s="3104">
        <f>'Native Herbivore Management'!$S$68</f>
        <v>0.28300673203318782</v>
      </c>
      <c r="T54" s="751">
        <f ca="1">OFFSET('Native Herbivore Management'!$AC$23,T$42+$X54,0)</f>
        <v>0.28658769289657282</v>
      </c>
      <c r="U54" s="751">
        <f ca="1">OFFSET('Native Herbivore Management'!$AC$23,U$42+$X54,0)</f>
        <v>0.13961964525730472</v>
      </c>
      <c r="V54" s="751">
        <f ca="1">OFFSET('Native Herbivore Management'!$AC$23,V$42+$X54,0)</f>
        <v>0.47203464755412211</v>
      </c>
      <c r="W54" s="751">
        <f ca="1">OFFSET('Native Herbivore Management'!$AC$23,W$42+$X54,0)</f>
        <v>0.10175801429200024</v>
      </c>
      <c r="X54" s="587">
        <f t="shared" si="2"/>
        <v>44</v>
      </c>
      <c r="Y54" s="578">
        <f t="shared" ca="1" si="0"/>
        <v>1</v>
      </c>
      <c r="AC54" s="587"/>
    </row>
    <row r="55" spans="2:29" s="2953" customFormat="1">
      <c r="B55" s="591" t="s">
        <v>862</v>
      </c>
      <c r="C55" s="2559" t="s">
        <v>2238</v>
      </c>
      <c r="D55" s="606"/>
      <c r="F55" s="2090"/>
      <c r="G55" s="2091"/>
      <c r="H55" s="2092"/>
      <c r="I55" s="2090"/>
      <c r="J55" s="2106"/>
      <c r="K55" s="842">
        <f>'Native Herbivore Management'!$AB$71</f>
        <v>196.5428085364839</v>
      </c>
      <c r="L55" s="384"/>
      <c r="M55" s="3142"/>
      <c r="N55" s="3147"/>
      <c r="O55" s="3147"/>
      <c r="P55" s="3142"/>
      <c r="Q55" s="3143"/>
      <c r="R55" s="3104">
        <f>'Native Herbivore Management'!$S$72</f>
        <v>0.99999999999999911</v>
      </c>
      <c r="T55" s="751">
        <f ca="1">OFFSET('Native Herbivore Management'!$AC$23,T$42+$X55,0)</f>
        <v>0.32681564245810057</v>
      </c>
      <c r="U55" s="751">
        <f ca="1">OFFSET('Native Herbivore Management'!$AC$23,U$42+$X55,0)</f>
        <v>0.15921787709497204</v>
      </c>
      <c r="V55" s="751">
        <f ca="1">OFFSET('Native Herbivore Management'!$AC$23,V$42+$X55,0)</f>
        <v>0.51396648044692739</v>
      </c>
      <c r="W55" s="751" t="str">
        <f ca="1">OFFSET('Native Herbivore Management'!$AC$23,W$42+$X55,0)</f>
        <v/>
      </c>
      <c r="X55" s="587">
        <f t="shared" si="2"/>
        <v>48</v>
      </c>
      <c r="Y55" s="578">
        <f t="shared" ca="1" si="0"/>
        <v>1</v>
      </c>
      <c r="AC55" s="587"/>
    </row>
    <row r="56" spans="2:29">
      <c r="B56" s="591" t="s">
        <v>863</v>
      </c>
      <c r="C56" s="389" t="s">
        <v>1044</v>
      </c>
      <c r="D56" s="606"/>
      <c r="F56" s="841">
        <f>'Native Herbivore Management'!$AB$75</f>
        <v>56.921695067264523</v>
      </c>
      <c r="G56" s="337">
        <f>'Native Herbivore Management'!$AB$79</f>
        <v>64.360260089686051</v>
      </c>
      <c r="H56" s="842">
        <f>'Native Herbivore Management'!$AB$83</f>
        <v>85.243390134529079</v>
      </c>
      <c r="I56" s="2090"/>
      <c r="J56" s="2106"/>
      <c r="K56" s="2092"/>
      <c r="L56" s="384"/>
      <c r="M56" s="2882">
        <f>'Native Herbivore Management'!$S$76</f>
        <v>0.99999999999999911</v>
      </c>
      <c r="N56" s="2333">
        <f>'Native Herbivore Management'!$S$80</f>
        <v>0.99999999999999911</v>
      </c>
      <c r="O56" s="2333">
        <f>'Native Herbivore Management'!$S$84</f>
        <v>0.99999999999999911</v>
      </c>
      <c r="P56" s="3142"/>
      <c r="Q56" s="3143"/>
      <c r="R56" s="3144"/>
      <c r="T56" s="751">
        <f ca="1">OFFSET('Native Herbivore Management'!$AC$23,T$42+$X56,0)</f>
        <v>0.45956785255615878</v>
      </c>
      <c r="U56" s="751">
        <f ca="1">OFFSET('Native Herbivore Management'!$AC$23,U$42+$X56,0)</f>
        <v>0.2238920307324877</v>
      </c>
      <c r="V56" s="751">
        <f ca="1">OFFSET('Native Herbivore Management'!$AC$23,V$42+$X56,0)</f>
        <v>0.31654011671135351</v>
      </c>
      <c r="W56" s="751" t="str">
        <f ca="1">OFFSET('Native Herbivore Management'!$AC$23,W$42+$X56,0)</f>
        <v/>
      </c>
      <c r="X56" s="587">
        <f t="shared" si="1"/>
        <v>52</v>
      </c>
      <c r="Y56" s="578">
        <f t="shared" ca="1" si="0"/>
        <v>1</v>
      </c>
    </row>
    <row r="57" spans="2:29">
      <c r="B57" s="481" t="s">
        <v>862</v>
      </c>
      <c r="C57" s="162" t="s">
        <v>736</v>
      </c>
      <c r="D57" s="607"/>
      <c r="F57" s="1263">
        <f>'Native Herbivore Management'!$AB$87</f>
        <v>85.55624999999992</v>
      </c>
      <c r="G57" s="338">
        <f>'Native Herbivore Management'!$AB$87</f>
        <v>85.55624999999992</v>
      </c>
      <c r="H57" s="1264">
        <f>'Native Herbivore Management'!$AB$87</f>
        <v>85.55624999999992</v>
      </c>
      <c r="I57" s="3421"/>
      <c r="J57" s="3422"/>
      <c r="K57" s="3423"/>
      <c r="L57" s="384"/>
      <c r="M57" s="3184"/>
      <c r="N57" s="3185"/>
      <c r="O57" s="3185"/>
      <c r="P57" s="3184"/>
      <c r="Q57" s="3425"/>
      <c r="R57" s="3194"/>
      <c r="T57" s="751">
        <f ca="1">OFFSET('Native Herbivore Management'!$AC$23,T$42+$X57,0)</f>
        <v>0.48416794532012841</v>
      </c>
      <c r="U57" s="751">
        <f ca="1">OFFSET('Native Herbivore Management'!$AC$23,U$42+$X57,0)</f>
        <v>0.2358766913098061</v>
      </c>
      <c r="V57" s="751">
        <f ca="1">OFFSET('Native Herbivore Management'!$AC$23,V$42+$X57,0)</f>
        <v>0.27995536337006555</v>
      </c>
      <c r="W57" s="751" t="str">
        <f ca="1">OFFSET('Native Herbivore Management'!$AC$23,W$42+$X57,0)</f>
        <v/>
      </c>
      <c r="X57" s="587">
        <f t="shared" si="1"/>
        <v>56</v>
      </c>
      <c r="Y57" s="578">
        <f t="shared" ca="1" si="0"/>
        <v>1</v>
      </c>
    </row>
    <row r="58" spans="2:29">
      <c r="C58" s="771" t="s">
        <v>833</v>
      </c>
      <c r="D58" s="778">
        <f>SUM(D47:D57)</f>
        <v>0</v>
      </c>
      <c r="E58" s="2089" t="s">
        <v>826</v>
      </c>
      <c r="F58" s="1265">
        <f>SUM(F47:F48,F50:F57)</f>
        <v>284.95589013452889</v>
      </c>
      <c r="G58" s="1265">
        <f t="shared" ref="G58:H58" si="3">SUM(G47:G48,G50:G57)</f>
        <v>299.83302017937194</v>
      </c>
      <c r="H58" s="1265">
        <f t="shared" si="3"/>
        <v>341.599280269058</v>
      </c>
      <c r="I58" s="1265">
        <f>SUM(I47:I48,I50:I57)</f>
        <v>1678.7492430884704</v>
      </c>
      <c r="J58" s="1326">
        <f t="shared" ref="J58:K58" si="4">SUM(J47:J48,J50:J57)</f>
        <v>537.34899406178329</v>
      </c>
      <c r="K58" s="1260">
        <f t="shared" si="4"/>
        <v>347.99395612907819</v>
      </c>
      <c r="L58" s="1271" t="s">
        <v>2226</v>
      </c>
      <c r="M58" s="3108">
        <f>SUM(M47:M48,M50:M57)</f>
        <v>1.9999999999999982</v>
      </c>
      <c r="N58" s="3108">
        <f t="shared" ref="N58" si="5">SUM(N47:N48,N50:N57)</f>
        <v>1.9999999999999982</v>
      </c>
      <c r="O58" s="3108">
        <f t="shared" ref="O58" si="6">SUM(O47:O48,O50:O57)</f>
        <v>1.9999999999999982</v>
      </c>
      <c r="P58" s="3108"/>
      <c r="Q58" s="3426"/>
      <c r="R58" s="3168"/>
      <c r="T58" s="609"/>
      <c r="U58" s="609"/>
      <c r="V58" s="609"/>
      <c r="W58" s="1"/>
      <c r="X58" s="1"/>
    </row>
    <row r="59" spans="2:29">
      <c r="B59" s="811"/>
      <c r="E59" s="16"/>
      <c r="F59">
        <f>F49/'Native Herbivore Management'!E346</f>
        <v>1142.1178909883708</v>
      </c>
      <c r="G59" s="2953">
        <f>G49/'Native Herbivore Management'!F346</f>
        <v>1140.6829986893338</v>
      </c>
      <c r="H59" s="2953">
        <f>H49/'Native Herbivore Management'!G346</f>
        <v>1138.8055324170114</v>
      </c>
      <c r="W59" s="609"/>
      <c r="X59" s="609"/>
      <c r="Y59" s="609"/>
    </row>
    <row r="60" spans="2:29">
      <c r="B60" s="811"/>
      <c r="C60" s="16"/>
      <c r="D60" s="16"/>
      <c r="O60" s="543"/>
      <c r="P60" s="543"/>
      <c r="Q60" s="543"/>
      <c r="R60" s="543"/>
      <c r="T60" s="609"/>
    </row>
    <row r="61" spans="2:29">
      <c r="B61" s="811"/>
      <c r="C61" s="28" t="s">
        <v>822</v>
      </c>
      <c r="D61" s="28"/>
      <c r="E61" s="3"/>
      <c r="F61" s="3"/>
      <c r="G61" s="3"/>
      <c r="H61" s="3"/>
      <c r="I61" s="3"/>
      <c r="J61" s="3"/>
      <c r="K61" s="3"/>
      <c r="L61" s="3"/>
      <c r="O61" s="543"/>
      <c r="P61" s="543"/>
      <c r="Q61" s="543"/>
      <c r="R61" s="543"/>
      <c r="T61" s="609"/>
    </row>
    <row r="62" spans="2:29" ht="15" customHeight="1">
      <c r="B62" s="811"/>
      <c r="C62" s="480" t="s">
        <v>57</v>
      </c>
      <c r="D62" s="749"/>
      <c r="E62" s="255"/>
      <c r="F62" s="1181">
        <f>'Native Herbivore Management'!$Z$23</f>
        <v>34.931249999999963</v>
      </c>
      <c r="G62" s="1182">
        <f>'Native Herbivore Management'!$Z$23</f>
        <v>34.931249999999963</v>
      </c>
      <c r="H62" s="1183">
        <f>'Native Herbivore Management'!$Z$23</f>
        <v>34.931249999999963</v>
      </c>
      <c r="I62" s="3419"/>
      <c r="J62" s="3420"/>
      <c r="K62" s="2093"/>
      <c r="L62" s="768"/>
      <c r="M62" s="748"/>
      <c r="N62" s="748"/>
      <c r="O62" s="748"/>
      <c r="P62" s="748"/>
      <c r="Q62" s="748"/>
      <c r="R62" s="748"/>
      <c r="T62" s="609"/>
    </row>
    <row r="63" spans="2:29" ht="16" customHeight="1">
      <c r="B63" s="811"/>
      <c r="C63" s="1080" t="s">
        <v>1001</v>
      </c>
      <c r="D63" s="606"/>
      <c r="E63" s="79"/>
      <c r="F63" s="841">
        <f>'Native Herbivore Management'!$Z$27</f>
        <v>21.337838565022402</v>
      </c>
      <c r="G63" s="337">
        <f>'Native Herbivore Management'!$Z$31</f>
        <v>24.381784753363213</v>
      </c>
      <c r="H63" s="842">
        <f>'Native Herbivore Management'!$Z$35</f>
        <v>32.275677130044819</v>
      </c>
      <c r="I63" s="2090"/>
      <c r="J63" s="2106"/>
      <c r="K63" s="2092"/>
      <c r="L63" s="779"/>
      <c r="M63" s="79"/>
      <c r="N63" s="79"/>
      <c r="O63" s="79"/>
      <c r="P63" s="79"/>
      <c r="Q63" s="79"/>
      <c r="R63" s="79"/>
      <c r="T63" s="609"/>
    </row>
    <row r="64" spans="2:29" s="2953" customFormat="1" ht="16" customHeight="1">
      <c r="B64" s="811"/>
      <c r="C64" s="3342" t="s">
        <v>1426</v>
      </c>
      <c r="D64" s="606"/>
      <c r="E64" s="79"/>
      <c r="F64" s="3343">
        <f>'Native Herbivore Management'!$Z$39</f>
        <v>251.52233923766792</v>
      </c>
      <c r="G64" s="3344">
        <f>'Native Herbivore Management'!$Z$43</f>
        <v>295.54860231689065</v>
      </c>
      <c r="H64" s="3345">
        <f>'Native Herbivore Management'!$Z$47</f>
        <v>383.60112847533594</v>
      </c>
      <c r="I64" s="3343"/>
      <c r="J64" s="2683"/>
      <c r="K64" s="3345"/>
      <c r="L64" s="779"/>
      <c r="M64" s="79"/>
      <c r="N64" s="79"/>
      <c r="O64" s="79"/>
      <c r="P64" s="79"/>
      <c r="Q64" s="79"/>
      <c r="R64" s="79"/>
      <c r="T64" s="609"/>
    </row>
    <row r="65" spans="2:28" s="2953" customFormat="1" ht="16" customHeight="1">
      <c r="B65" s="811"/>
      <c r="C65" s="3430" t="s">
        <v>2253</v>
      </c>
      <c r="D65" s="606"/>
      <c r="E65" s="79"/>
      <c r="F65" s="2090"/>
      <c r="G65" s="2091"/>
      <c r="H65" s="2092"/>
      <c r="I65" s="841">
        <f>'Native Herbivore Management'!$Z$51</f>
        <v>243.24166306846021</v>
      </c>
      <c r="J65" s="2106"/>
      <c r="K65" s="2092"/>
      <c r="L65" s="779"/>
      <c r="M65" s="79"/>
      <c r="N65" s="79"/>
      <c r="O65" s="79"/>
      <c r="P65" s="79"/>
      <c r="Q65" s="79"/>
      <c r="R65" s="79"/>
      <c r="T65" s="609"/>
    </row>
    <row r="66" spans="2:28" s="2953" customFormat="1" ht="16" customHeight="1">
      <c r="B66" s="811"/>
      <c r="C66" s="3431" t="s">
        <v>2237</v>
      </c>
      <c r="D66" s="606"/>
      <c r="E66" s="79"/>
      <c r="F66" s="2090"/>
      <c r="G66" s="2091"/>
      <c r="H66" s="2092"/>
      <c r="I66" s="841">
        <f>'Native Herbivore Management'!$Z$55</f>
        <v>347.33030996397429</v>
      </c>
      <c r="J66" s="2106"/>
      <c r="K66" s="2092"/>
      <c r="L66" s="779"/>
      <c r="M66" s="79"/>
      <c r="N66" s="79"/>
      <c r="O66" s="79"/>
      <c r="P66" s="79"/>
      <c r="Q66" s="79"/>
      <c r="R66" s="79"/>
      <c r="T66" s="609"/>
    </row>
    <row r="67" spans="2:28" s="2953" customFormat="1" ht="16" customHeight="1">
      <c r="B67" s="811"/>
      <c r="C67" s="3432" t="s">
        <v>2285</v>
      </c>
      <c r="D67" s="606"/>
      <c r="E67" s="79"/>
      <c r="F67" s="2090"/>
      <c r="G67" s="2091"/>
      <c r="H67" s="2092"/>
      <c r="I67" s="2090"/>
      <c r="J67" s="689">
        <f>'Native Herbivore Management'!$Z$59</f>
        <v>79.257108938832516</v>
      </c>
      <c r="K67" s="2092"/>
      <c r="L67" s="779"/>
      <c r="M67" s="79"/>
      <c r="N67" s="79"/>
      <c r="O67" s="79"/>
      <c r="P67" s="79"/>
      <c r="Q67" s="79"/>
      <c r="R67" s="79"/>
      <c r="T67" s="609"/>
    </row>
    <row r="68" spans="2:28" s="2953" customFormat="1" ht="16" customHeight="1">
      <c r="B68" s="811"/>
      <c r="C68" s="2362" t="s">
        <v>2286</v>
      </c>
      <c r="D68" s="606"/>
      <c r="E68" s="79"/>
      <c r="F68" s="2090"/>
      <c r="G68" s="2091"/>
      <c r="H68" s="2092"/>
      <c r="I68" s="2090"/>
      <c r="J68" s="689">
        <f>'Native Herbivore Management'!$Z$63</f>
        <v>108.71032723255638</v>
      </c>
      <c r="K68" s="2092"/>
      <c r="L68" s="779"/>
      <c r="M68" s="79"/>
      <c r="N68" s="79"/>
      <c r="O68" s="79"/>
      <c r="P68" s="79"/>
      <c r="Q68" s="79"/>
      <c r="R68" s="79"/>
      <c r="T68" s="609"/>
    </row>
    <row r="69" spans="2:28" ht="16" customHeight="1">
      <c r="B69" s="811"/>
      <c r="C69" s="1287" t="s">
        <v>2287</v>
      </c>
      <c r="D69" s="606"/>
      <c r="E69" s="79"/>
      <c r="F69" s="2090"/>
      <c r="G69" s="2091"/>
      <c r="H69" s="2092"/>
      <c r="I69" s="2090"/>
      <c r="J69" s="2106"/>
      <c r="K69" s="842">
        <f>'Native Herbivore Management'!$Z$67</f>
        <v>51.467952744177218</v>
      </c>
      <c r="L69" s="779"/>
      <c r="M69" s="79"/>
      <c r="N69" s="79"/>
      <c r="O69" s="79"/>
      <c r="P69" s="79"/>
      <c r="Q69" s="79"/>
      <c r="R69" s="79"/>
      <c r="T69" s="609"/>
    </row>
    <row r="70" spans="2:28">
      <c r="B70" s="811"/>
      <c r="C70" s="3433" t="s">
        <v>2238</v>
      </c>
      <c r="D70" s="606"/>
      <c r="E70" s="79"/>
      <c r="F70" s="2090"/>
      <c r="G70" s="2091"/>
      <c r="H70" s="2092"/>
      <c r="I70" s="2090"/>
      <c r="J70" s="2106"/>
      <c r="K70" s="842">
        <f>'Native Herbivore Management'!$Z$71</f>
        <v>69.466061992794849</v>
      </c>
      <c r="L70" s="779"/>
      <c r="T70" s="609"/>
    </row>
    <row r="71" spans="2:28" outlineLevel="1">
      <c r="B71" s="811"/>
      <c r="C71" s="1080" t="s">
        <v>1044</v>
      </c>
      <c r="D71" s="606"/>
      <c r="E71" s="79"/>
      <c r="F71" s="841">
        <f>'Native Herbivore Management'!$Z$75</f>
        <v>21.337838565022402</v>
      </c>
      <c r="G71" s="337">
        <f>'Native Herbivore Management'!$Z$79</f>
        <v>24.381784753363213</v>
      </c>
      <c r="H71" s="842">
        <f>'Native Herbivore Management'!$Z$83</f>
        <v>32.275677130044819</v>
      </c>
      <c r="I71" s="2090"/>
      <c r="J71" s="2106"/>
      <c r="K71" s="2092"/>
      <c r="L71" s="779"/>
      <c r="T71" s="609"/>
    </row>
    <row r="72" spans="2:28" outlineLevel="1">
      <c r="B72" s="811"/>
      <c r="C72" s="481" t="s">
        <v>736</v>
      </c>
      <c r="D72" s="607"/>
      <c r="E72" s="79"/>
      <c r="F72" s="1263">
        <f>'Native Herbivore Management'!$Z$87</f>
        <v>34.931249999999963</v>
      </c>
      <c r="G72" s="338">
        <f>'Native Herbivore Management'!$Z$87</f>
        <v>34.931249999999963</v>
      </c>
      <c r="H72" s="1264">
        <f>'Native Herbivore Management'!$Z$87</f>
        <v>34.931249999999963</v>
      </c>
      <c r="I72" s="3421"/>
      <c r="J72" s="3422"/>
      <c r="K72" s="3423"/>
      <c r="L72" s="779"/>
      <c r="T72" s="609"/>
    </row>
    <row r="73" spans="2:28">
      <c r="B73" s="811"/>
      <c r="C73" s="2103" t="s">
        <v>766</v>
      </c>
      <c r="D73" s="2103"/>
      <c r="E73" s="2104"/>
      <c r="F73" s="1265">
        <f>SUM(F62:F63,F65:F72)</f>
        <v>112.53817713004473</v>
      </c>
      <c r="G73" s="1265">
        <f t="shared" ref="G73" si="7">SUM(G62:G63,G65:G72)</f>
        <v>118.62606950672635</v>
      </c>
      <c r="H73" s="1265">
        <f t="shared" ref="H73" si="8">SUM(H62:H63,H65:H72)</f>
        <v>134.41385426008958</v>
      </c>
      <c r="I73" s="1265">
        <f>SUM(I62:I63,I65:I72)</f>
        <v>590.57197303243447</v>
      </c>
      <c r="J73" s="1265">
        <f t="shared" ref="J73:K73" si="9">SUM(J62:J63,J65:J72)</f>
        <v>187.9674361713889</v>
      </c>
      <c r="K73" s="1265">
        <f t="shared" si="9"/>
        <v>120.93401473697207</v>
      </c>
      <c r="L73" s="779"/>
      <c r="O73" s="543"/>
      <c r="P73" s="543"/>
      <c r="Q73" s="543"/>
      <c r="R73" s="543"/>
      <c r="T73" s="609"/>
    </row>
    <row r="76" spans="2:28">
      <c r="AB76" s="587"/>
    </row>
  </sheetData>
  <mergeCells count="12">
    <mergeCell ref="F38:H38"/>
    <mergeCell ref="M41:O41"/>
    <mergeCell ref="F42:H42"/>
    <mergeCell ref="M42:O42"/>
    <mergeCell ref="D43:D46"/>
    <mergeCell ref="F43:H43"/>
    <mergeCell ref="M43:O43"/>
    <mergeCell ref="F44:H44"/>
    <mergeCell ref="M44:O44"/>
    <mergeCell ref="F45:H45"/>
    <mergeCell ref="M45:O45"/>
    <mergeCell ref="I45:K45"/>
  </mergeCells>
  <pageMargins left="0.7" right="0.7" top="0.75" bottom="0.75" header="0.3" footer="0.3"/>
  <pageSetup paperSize="9" orientation="portrait" horizontalDpi="0" verticalDpi="0"/>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P134"/>
  <sheetViews>
    <sheetView showGridLines="0" zoomScaleNormal="100" workbookViewId="0">
      <selection activeCell="H36" sqref="H36"/>
    </sheetView>
  </sheetViews>
  <sheetFormatPr baseColWidth="10" defaultColWidth="11" defaultRowHeight="16"/>
  <cols>
    <col min="1" max="1" width="2.6640625" customWidth="1"/>
    <col min="2" max="2" width="4.83203125" customWidth="1"/>
    <col min="3" max="3" width="28.5" customWidth="1"/>
    <col min="4" max="4" width="37.5" style="24" customWidth="1"/>
    <col min="5" max="5" width="12.5" style="16" customWidth="1"/>
    <col min="6" max="6" width="14.33203125" customWidth="1"/>
    <col min="7" max="7" width="17.1640625" style="359" customWidth="1"/>
    <col min="8" max="8" width="15.33203125" customWidth="1"/>
    <col min="9" max="9" width="31.6640625" customWidth="1"/>
    <col min="10" max="10" width="18.6640625" customWidth="1"/>
    <col min="11" max="11" width="6.5" customWidth="1"/>
    <col min="12" max="12" width="12.1640625" customWidth="1"/>
    <col min="13" max="13" width="10.6640625" customWidth="1"/>
    <col min="14" max="14" width="15" customWidth="1"/>
    <col min="15" max="15" width="13.6640625" customWidth="1"/>
    <col min="16" max="16" width="15.1640625" customWidth="1"/>
    <col min="17" max="19" width="15.1640625" style="2791" customWidth="1"/>
    <col min="20" max="20" width="2.6640625" customWidth="1"/>
    <col min="21" max="21" width="22.6640625" customWidth="1"/>
    <col min="22" max="24" width="11.6640625" customWidth="1"/>
    <col min="25" max="26" width="18.83203125" customWidth="1"/>
    <col min="27" max="27" width="19.33203125" customWidth="1"/>
    <col min="28" max="29" width="16.6640625" customWidth="1"/>
    <col min="30" max="30" width="21" customWidth="1"/>
    <col min="31" max="31" width="23.5" customWidth="1"/>
    <col min="32" max="32" width="37.5" customWidth="1"/>
    <col min="34" max="34" width="14.33203125" customWidth="1"/>
    <col min="35" max="35" width="12.6640625" bestFit="1" customWidth="1"/>
    <col min="36" max="37" width="12.83203125" customWidth="1"/>
    <col min="42" max="42" width="12.5" bestFit="1" customWidth="1"/>
  </cols>
  <sheetData>
    <row r="1" spans="2:35">
      <c r="B1" s="3" t="s">
        <v>19</v>
      </c>
      <c r="C1" s="24"/>
      <c r="D1" s="16" t="s">
        <v>1916</v>
      </c>
      <c r="E1"/>
      <c r="F1" s="359"/>
      <c r="G1"/>
      <c r="H1" s="359"/>
    </row>
    <row r="2" spans="2:35">
      <c r="C2" s="24" t="s">
        <v>10</v>
      </c>
      <c r="D2" s="407" t="s">
        <v>1910</v>
      </c>
      <c r="E2"/>
      <c r="F2" s="359"/>
      <c r="G2"/>
      <c r="H2" s="359"/>
    </row>
    <row r="3" spans="2:35">
      <c r="C3" s="24" t="s">
        <v>0</v>
      </c>
      <c r="D3" s="16" t="s">
        <v>1917</v>
      </c>
      <c r="E3"/>
      <c r="F3" s="359"/>
      <c r="G3"/>
      <c r="H3" s="359"/>
    </row>
    <row r="4" spans="2:35">
      <c r="B4" s="3"/>
      <c r="C4" s="24" t="s">
        <v>1</v>
      </c>
      <c r="D4" s="239" t="s">
        <v>1908</v>
      </c>
      <c r="E4"/>
      <c r="F4" s="359"/>
      <c r="G4"/>
      <c r="H4" s="359"/>
    </row>
    <row r="5" spans="2:35">
      <c r="B5" s="3" t="s">
        <v>20</v>
      </c>
      <c r="C5" s="24"/>
      <c r="E5"/>
      <c r="F5" s="359"/>
      <c r="H5" s="1"/>
      <c r="I5" s="359"/>
    </row>
    <row r="6" spans="2:35">
      <c r="C6" s="24" t="s">
        <v>2</v>
      </c>
      <c r="D6" s="239" t="s">
        <v>1907</v>
      </c>
      <c r="E6"/>
      <c r="F6" s="359"/>
      <c r="H6" s="6"/>
      <c r="I6" s="359"/>
      <c r="T6" s="15"/>
    </row>
    <row r="7" spans="2:35">
      <c r="C7" s="24" t="s">
        <v>22</v>
      </c>
      <c r="D7" s="16" t="s">
        <v>1918</v>
      </c>
      <c r="E7"/>
      <c r="F7" s="359"/>
      <c r="H7" s="6"/>
      <c r="I7" s="359"/>
    </row>
    <row r="8" spans="2:35">
      <c r="C8" s="24" t="s">
        <v>7</v>
      </c>
      <c r="D8" s="627"/>
      <c r="E8"/>
      <c r="F8" s="359"/>
      <c r="H8" s="6"/>
      <c r="I8" s="359"/>
      <c r="W8" s="15"/>
    </row>
    <row r="9" spans="2:35">
      <c r="C9" s="24" t="s">
        <v>8</v>
      </c>
      <c r="D9" s="238" t="s">
        <v>583</v>
      </c>
      <c r="E9"/>
      <c r="F9" s="359"/>
      <c r="H9" s="6"/>
      <c r="I9" s="359"/>
      <c r="U9" s="5"/>
    </row>
    <row r="10" spans="2:35" ht="19">
      <c r="C10" s="24"/>
      <c r="D10" s="16"/>
      <c r="F10" s="359"/>
      <c r="I10" s="359"/>
      <c r="AC10" s="2577"/>
      <c r="AF10" s="2578"/>
    </row>
    <row r="11" spans="2:35" ht="19">
      <c r="B11" s="904" t="s">
        <v>140</v>
      </c>
      <c r="C11" s="113"/>
      <c r="D11" s="16"/>
      <c r="F11" s="359"/>
      <c r="I11" s="359"/>
      <c r="AA11" s="2953" t="s">
        <v>2305</v>
      </c>
      <c r="AB11" s="2953"/>
      <c r="AC11" s="2577"/>
      <c r="AF11" s="2578"/>
    </row>
    <row r="12" spans="2:35" ht="19">
      <c r="C12" s="31" t="s">
        <v>960</v>
      </c>
      <c r="D12" s="16"/>
      <c r="F12" s="359"/>
      <c r="I12" s="359"/>
      <c r="AA12" s="204">
        <f>SUMIF(T23:T104,"L",AA23:AA104)-AA13-AA15</f>
        <v>0</v>
      </c>
      <c r="AB12" s="2953" t="s">
        <v>2303</v>
      </c>
      <c r="AC12" s="2577"/>
      <c r="AF12" s="2578"/>
    </row>
    <row r="13" spans="2:35" ht="19">
      <c r="C13" s="955" t="s">
        <v>961</v>
      </c>
      <c r="D13" s="16"/>
      <c r="F13" s="359"/>
      <c r="I13" s="359"/>
      <c r="AA13" s="454">
        <f>AA23</f>
        <v>3848129.9999999967</v>
      </c>
      <c r="AB13" s="2953" t="s">
        <v>2304</v>
      </c>
      <c r="AC13" s="2577"/>
      <c r="AF13" s="2578"/>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16</v>
      </c>
      <c r="U15" t="s">
        <v>954</v>
      </c>
      <c r="V15" t="s">
        <v>906</v>
      </c>
      <c r="AA15" s="454">
        <f>SUM(AA31,AA35,AA51,AA55)</f>
        <v>0</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2: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2: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2: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2: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2:37" s="893" customFormat="1" ht="26" customHeight="1">
      <c r="B21" s="2579"/>
      <c r="C21" s="3767" t="s">
        <v>185</v>
      </c>
      <c r="D21" s="3769" t="s">
        <v>13</v>
      </c>
      <c r="E21" s="3769" t="s">
        <v>30</v>
      </c>
      <c r="F21" s="3771" t="s">
        <v>2310</v>
      </c>
      <c r="G21" s="3772"/>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2576"/>
      <c r="AG21" s="2576"/>
      <c r="AH21" s="909" t="s">
        <v>66</v>
      </c>
      <c r="AI21" s="895"/>
      <c r="AJ21" s="3748" t="s">
        <v>190</v>
      </c>
      <c r="AK21" s="3748" t="s">
        <v>181</v>
      </c>
    </row>
    <row r="22" spans="2:37" s="893" customFormat="1" ht="38" customHeight="1">
      <c r="B22" s="2580" t="s">
        <v>205</v>
      </c>
      <c r="C22" s="3768"/>
      <c r="D22" s="3770"/>
      <c r="E22" s="3770"/>
      <c r="F22" s="3479" t="s">
        <v>2309</v>
      </c>
      <c r="G22" s="3480" t="s">
        <v>2318</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2576"/>
      <c r="AG22" s="893" t="s">
        <v>732</v>
      </c>
      <c r="AH22" s="2581" t="s">
        <v>17</v>
      </c>
      <c r="AI22" s="898" t="s">
        <v>18</v>
      </c>
      <c r="AJ22" s="3749"/>
      <c r="AK22" s="3749"/>
    </row>
    <row r="23" spans="2:37" s="172" customFormat="1" ht="19" customHeight="1">
      <c r="B23" s="2495" t="e">
        <f>#REF!+0.2</f>
        <v>#REF!</v>
      </c>
      <c r="C23" s="3869" t="s">
        <v>316</v>
      </c>
      <c r="D23" s="4037" t="s">
        <v>1884</v>
      </c>
      <c r="E23" s="2496" t="s">
        <v>3</v>
      </c>
      <c r="F23" s="2497"/>
      <c r="G23" s="2497">
        <f>$H$56</f>
        <v>8640</v>
      </c>
      <c r="H23" s="2498">
        <f>F73</f>
        <v>2277000</v>
      </c>
      <c r="I23" s="2498" t="str">
        <f>G73</f>
        <v>Cost for liaison officers</v>
      </c>
      <c r="J23" s="2499" t="str">
        <f t="shared" ref="J23" si="0">IF(K23=1,"Annual","Done every "&amp;K23&amp;" years")</f>
        <v>Annual</v>
      </c>
      <c r="K23" s="2500">
        <f>H73</f>
        <v>1</v>
      </c>
      <c r="L23" s="2501">
        <f t="shared" ref="L23:M23" si="1">$L$16/K23</f>
        <v>80</v>
      </c>
      <c r="M23" s="2502">
        <f t="shared" si="1"/>
        <v>1</v>
      </c>
      <c r="N23" s="2498">
        <f t="shared" ref="N23" si="2">$H23*(1-(1+$L$15)^-(L23*M23))/((1+$L$15)^M23-1)*(1+((1+$L$15)^M23-1))</f>
        <v>56633561.124652937</v>
      </c>
      <c r="O23" s="2503">
        <f t="shared" ref="O23:O26" si="3">N23/(1+$L$15)*($L$15)/(1-(1+$L$15)^-$L$16)</f>
        <v>2276999.9999999981</v>
      </c>
      <c r="P23" s="2504">
        <f>SUM(O23:O26)</f>
        <v>2276999.9999999981</v>
      </c>
      <c r="Q23" s="2816"/>
      <c r="R23" s="2817"/>
      <c r="S23" s="2859"/>
      <c r="T23" s="2505" t="s">
        <v>808</v>
      </c>
      <c r="U23" s="2529">
        <f>O23</f>
        <v>2276999.9999999981</v>
      </c>
      <c r="V23" s="2506">
        <f>IF($T23="L",SUM($U23:U23)*V$16,"")</f>
        <v>683099.99999999942</v>
      </c>
      <c r="W23" s="1474"/>
      <c r="X23" s="2506">
        <f>IF($U23="","",SUM($U23:W23)*X$16)</f>
        <v>888029.9999999993</v>
      </c>
      <c r="Y23" s="2507">
        <f t="shared" ref="Y23" si="4">IF($U23="","",SUM(V23:X23))</f>
        <v>1571129.9999999986</v>
      </c>
      <c r="Z23" s="2504">
        <f>SUM(V23:X26)</f>
        <v>1571129.9999999986</v>
      </c>
      <c r="AA23" s="2508">
        <f t="shared" ref="AA23:AA26" si="5">IF($U23="","",SUM(U23,Y23))</f>
        <v>3848129.9999999967</v>
      </c>
      <c r="AB23" s="2530">
        <f>SUM(AA23:AA26)</f>
        <v>3848129.9999999967</v>
      </c>
      <c r="AC23" s="2509">
        <f ca="1">IF(AA23="","",AA23/OFFSET(AA23,AF23,0))</f>
        <v>1</v>
      </c>
      <c r="AD23" s="2510"/>
      <c r="AE23" s="2511"/>
      <c r="AF23" s="2512">
        <v>0</v>
      </c>
      <c r="AG23" s="2513">
        <f ca="1">SUM(AC23:AC26)-1</f>
        <v>0</v>
      </c>
      <c r="AH23" s="2514">
        <f t="shared" ref="AH23" si="6">$AH$16/K23</f>
        <v>5</v>
      </c>
      <c r="AI23" s="2514">
        <f t="shared" ref="AI23" si="7">$AH$16/AH23</f>
        <v>1</v>
      </c>
      <c r="AJ23" s="2498">
        <f t="shared" ref="AJ23" si="8">$H23*(1-(1+$L$15)^-(AH23*AI23))/((1+$L$15)^AI23-1)*(1+((1+$L$15)^AI23-1))</f>
        <v>10542271.425632861</v>
      </c>
      <c r="AK23" s="2515">
        <f>SUM(AJ23:AJ26)</f>
        <v>10542271.425632861</v>
      </c>
    </row>
    <row r="24" spans="2:37" s="172" customFormat="1" ht="19" customHeight="1">
      <c r="B24" s="2516"/>
      <c r="C24" s="3870"/>
      <c r="D24" s="4038"/>
      <c r="E24" s="2496" t="s">
        <v>308</v>
      </c>
      <c r="F24" s="2497"/>
      <c r="G24" s="2497"/>
      <c r="H24" s="2498"/>
      <c r="I24" s="2517"/>
      <c r="J24" s="2499"/>
      <c r="K24" s="2500"/>
      <c r="L24" s="2501"/>
      <c r="M24" s="2502"/>
      <c r="N24" s="2498"/>
      <c r="O24" s="2503">
        <f t="shared" si="3"/>
        <v>0</v>
      </c>
      <c r="P24" s="2518"/>
      <c r="Q24" s="2818"/>
      <c r="R24" s="2819"/>
      <c r="S24" s="2860"/>
      <c r="T24" s="2519" t="s">
        <v>809</v>
      </c>
      <c r="U24" s="2506"/>
      <c r="V24" s="2520" t="str">
        <f>IF($T24="L",SUM($U24:U24)*V$16,"")</f>
        <v/>
      </c>
      <c r="W24" s="1475"/>
      <c r="X24" s="2520"/>
      <c r="Y24" s="2521"/>
      <c r="Z24" s="2518"/>
      <c r="AA24" s="2522" t="str">
        <f t="shared" si="5"/>
        <v/>
      </c>
      <c r="AB24" s="2518"/>
      <c r="AC24" s="2509" t="str">
        <f ca="1">IF(AA24="","",AA24/OFFSET(#REF!,AF24,0))</f>
        <v/>
      </c>
      <c r="AD24" s="2523"/>
      <c r="AE24" s="2511"/>
      <c r="AF24" s="2512">
        <f>AF23</f>
        <v>0</v>
      </c>
      <c r="AG24" s="2512"/>
      <c r="AH24" s="2514"/>
      <c r="AI24" s="2514"/>
      <c r="AJ24" s="2498"/>
      <c r="AK24" s="2524"/>
    </row>
    <row r="25" spans="2:37" s="172" customFormat="1" ht="16" customHeight="1">
      <c r="B25" s="2516"/>
      <c r="C25" s="3870"/>
      <c r="D25" s="4038"/>
      <c r="E25" s="2496" t="s">
        <v>4</v>
      </c>
      <c r="F25" s="2497"/>
      <c r="G25" s="2497"/>
      <c r="H25" s="2498"/>
      <c r="I25" s="2517"/>
      <c r="J25" s="2499"/>
      <c r="K25" s="2500"/>
      <c r="L25" s="2501"/>
      <c r="M25" s="2502"/>
      <c r="N25" s="2498"/>
      <c r="O25" s="2503">
        <f t="shared" si="3"/>
        <v>0</v>
      </c>
      <c r="P25" s="2518"/>
      <c r="Q25" s="2818"/>
      <c r="R25" s="2819"/>
      <c r="S25" s="2860"/>
      <c r="T25" s="2519" t="s">
        <v>810</v>
      </c>
      <c r="U25" s="2506"/>
      <c r="V25" s="2520" t="str">
        <f>IF($T25="L",SUM($U25:U25)*V$16,"")</f>
        <v/>
      </c>
      <c r="W25" s="1475"/>
      <c r="X25" s="2520"/>
      <c r="Y25" s="2521"/>
      <c r="Z25" s="2518"/>
      <c r="AA25" s="2522" t="str">
        <f t="shared" si="5"/>
        <v/>
      </c>
      <c r="AB25" s="2518"/>
      <c r="AC25" s="2509" t="str">
        <f ca="1">IF(AA25="","",AA25/OFFSET(#REF!,AF25,0))</f>
        <v/>
      </c>
      <c r="AD25" s="2510"/>
      <c r="AE25" s="2511"/>
      <c r="AF25" s="2512">
        <f>AF24</f>
        <v>0</v>
      </c>
      <c r="AG25" s="2512"/>
      <c r="AH25" s="2514"/>
      <c r="AI25" s="2514"/>
      <c r="AJ25" s="2498"/>
      <c r="AK25" s="2524"/>
    </row>
    <row r="26" spans="2:37" s="172" customFormat="1" ht="19" customHeight="1">
      <c r="B26" s="2516"/>
      <c r="C26" s="3871"/>
      <c r="D26" s="4039"/>
      <c r="E26" s="2496" t="s">
        <v>21</v>
      </c>
      <c r="F26" s="2497"/>
      <c r="G26" s="2497"/>
      <c r="H26" s="2498"/>
      <c r="I26" s="2517"/>
      <c r="J26" s="2499"/>
      <c r="K26" s="2500"/>
      <c r="L26" s="2501"/>
      <c r="M26" s="2502"/>
      <c r="N26" s="2498"/>
      <c r="O26" s="2503">
        <f t="shared" si="3"/>
        <v>0</v>
      </c>
      <c r="P26" s="2518"/>
      <c r="Q26" s="2818"/>
      <c r="R26" s="2819"/>
      <c r="S26" s="2860"/>
      <c r="T26" s="2525" t="s">
        <v>811</v>
      </c>
      <c r="U26" s="2506"/>
      <c r="V26" s="2520" t="str">
        <f>IF($T26="L",SUM($U26:U26)*V$16,"")</f>
        <v/>
      </c>
      <c r="W26" s="1478"/>
      <c r="X26" s="2520"/>
      <c r="Y26" s="2521"/>
      <c r="Z26" s="2518"/>
      <c r="AA26" s="2522" t="str">
        <f t="shared" si="5"/>
        <v/>
      </c>
      <c r="AB26" s="2518"/>
      <c r="AC26" s="2509" t="str">
        <f ca="1">IF(AA26="","",AA26/OFFSET(#REF!,AF26,0))</f>
        <v/>
      </c>
      <c r="AD26" s="2510"/>
      <c r="AE26" s="2511"/>
      <c r="AF26" s="2512">
        <f>AF25</f>
        <v>0</v>
      </c>
      <c r="AG26" s="2512"/>
      <c r="AH26" s="2514"/>
      <c r="AI26" s="2514"/>
      <c r="AJ26" s="2498"/>
      <c r="AK26" s="2524"/>
    </row>
    <row r="27" spans="2:37">
      <c r="C27" s="24"/>
      <c r="D27" s="238"/>
      <c r="E27"/>
      <c r="F27" s="359"/>
      <c r="H27" s="6"/>
      <c r="I27" s="359"/>
      <c r="Q27" s="2795"/>
      <c r="R27" s="2795"/>
      <c r="S27" s="2795"/>
      <c r="U27" s="5"/>
    </row>
    <row r="28" spans="2:37">
      <c r="C28" s="24"/>
      <c r="D28" s="238"/>
      <c r="E28"/>
      <c r="F28" s="359"/>
      <c r="H28" s="6"/>
      <c r="I28" s="359"/>
      <c r="Q28" s="2795"/>
      <c r="R28" s="2795"/>
      <c r="S28" s="2795"/>
      <c r="U28" s="5"/>
    </row>
    <row r="29" spans="2:37">
      <c r="C29" s="24"/>
      <c r="D29" s="238"/>
      <c r="E29"/>
      <c r="F29" s="359"/>
      <c r="H29" s="6"/>
      <c r="I29" s="359"/>
      <c r="Q29" s="2795"/>
      <c r="R29" s="2795"/>
      <c r="S29" s="2795"/>
      <c r="U29" s="5"/>
    </row>
    <row r="30" spans="2:37">
      <c r="C30" s="24"/>
      <c r="D30" s="238"/>
      <c r="E30"/>
      <c r="F30" s="359"/>
      <c r="H30" s="6"/>
      <c r="I30" s="359"/>
      <c r="Q30" s="2795"/>
      <c r="R30" s="2795"/>
      <c r="S30" s="2795"/>
      <c r="U30" s="5"/>
    </row>
    <row r="31" spans="2:37">
      <c r="C31" s="24"/>
      <c r="D31" s="238"/>
      <c r="E31"/>
      <c r="F31" s="359"/>
      <c r="H31" s="6"/>
      <c r="I31" s="359"/>
      <c r="Q31" s="2795"/>
      <c r="R31" s="2795"/>
      <c r="S31" s="2795"/>
      <c r="U31" s="5"/>
    </row>
    <row r="32" spans="2:37">
      <c r="C32" s="24"/>
      <c r="D32" s="238" t="s">
        <v>299</v>
      </c>
      <c r="E32"/>
      <c r="F32" s="359"/>
      <c r="H32" s="6"/>
      <c r="I32" s="359"/>
      <c r="Q32" s="2795"/>
      <c r="R32" s="2795"/>
      <c r="S32" s="2795"/>
      <c r="U32" s="5"/>
    </row>
    <row r="33" spans="1:42">
      <c r="C33" s="24"/>
      <c r="D33" s="238"/>
      <c r="E33"/>
      <c r="F33" s="359"/>
      <c r="H33" s="6"/>
      <c r="I33" s="359"/>
      <c r="Q33" s="2795"/>
      <c r="R33" s="2795"/>
      <c r="S33" s="2795"/>
      <c r="U33" s="5"/>
    </row>
    <row r="34" spans="1:42">
      <c r="C34" s="24"/>
      <c r="D34" s="238"/>
      <c r="E34"/>
      <c r="F34" s="359"/>
      <c r="H34" s="6"/>
      <c r="I34" s="359"/>
      <c r="Q34" s="2795"/>
      <c r="R34" s="2795"/>
      <c r="S34" s="2795"/>
      <c r="U34" s="5"/>
    </row>
    <row r="35" spans="1:42">
      <c r="C35" s="24"/>
      <c r="D35" s="238"/>
      <c r="E35"/>
      <c r="F35" s="359"/>
      <c r="H35" s="6"/>
      <c r="I35" s="359"/>
      <c r="Q35" s="2795"/>
      <c r="R35" s="2795"/>
      <c r="S35" s="2795"/>
      <c r="U35" s="5"/>
    </row>
    <row r="36" spans="1:42">
      <c r="C36" s="24"/>
      <c r="D36" s="238"/>
      <c r="E36"/>
      <c r="F36" s="359"/>
      <c r="H36" s="6"/>
      <c r="I36" s="359"/>
      <c r="Q36" s="2795"/>
      <c r="R36" s="2795"/>
      <c r="S36" s="2795"/>
      <c r="U36" s="5"/>
    </row>
    <row r="37" spans="1:42">
      <c r="C37" s="24"/>
      <c r="D37" s="238"/>
      <c r="E37"/>
      <c r="F37" s="359"/>
      <c r="H37" s="6"/>
      <c r="I37" s="359"/>
      <c r="Q37" s="2795"/>
      <c r="R37" s="2795"/>
      <c r="S37" s="2795"/>
      <c r="U37" s="5"/>
    </row>
    <row r="38" spans="1:42">
      <c r="C38" s="24"/>
      <c r="D38" s="238"/>
      <c r="E38"/>
      <c r="F38" s="359"/>
      <c r="H38" s="6"/>
      <c r="I38" s="359"/>
      <c r="Q38" s="2795"/>
      <c r="R38" s="2795"/>
      <c r="S38" s="2795"/>
      <c r="U38" s="5"/>
    </row>
    <row r="39" spans="1:42">
      <c r="C39" s="24"/>
      <c r="D39" s="238"/>
      <c r="E39"/>
      <c r="F39" s="359"/>
      <c r="H39" s="6"/>
      <c r="I39" s="359"/>
      <c r="Q39" s="2795"/>
      <c r="R39" s="2795"/>
      <c r="S39" s="2795"/>
      <c r="U39" s="5"/>
    </row>
    <row r="40" spans="1:42" s="7" customFormat="1">
      <c r="D40" s="134"/>
      <c r="E40" s="134"/>
      <c r="G40" s="1089"/>
      <c r="Q40" s="2795"/>
      <c r="R40" s="2795"/>
      <c r="S40" s="2795"/>
    </row>
    <row r="41" spans="1:42" s="212" customFormat="1" ht="18" customHeight="1">
      <c r="A41" s="219"/>
      <c r="B41" s="219"/>
      <c r="C41" s="219"/>
      <c r="D41" s="223"/>
      <c r="E41" s="220"/>
      <c r="F41" s="219"/>
      <c r="G41" s="219"/>
      <c r="H41" s="219"/>
      <c r="I41" s="219"/>
      <c r="J41" s="219"/>
      <c r="K41" s="219"/>
      <c r="L41" s="219"/>
      <c r="M41" s="219"/>
      <c r="N41" s="219"/>
      <c r="O41" s="219"/>
      <c r="P41" s="219"/>
      <c r="Q41" s="2795"/>
      <c r="R41" s="2795"/>
      <c r="S41" s="2795"/>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row>
    <row r="42" spans="1:42" s="7" customFormat="1">
      <c r="E42" s="36"/>
      <c r="G42" s="1089"/>
      <c r="Q42" s="2795"/>
      <c r="R42" s="2795"/>
      <c r="S42" s="2795"/>
    </row>
    <row r="43" spans="1:42" s="9" customFormat="1">
      <c r="C43" s="120" t="s">
        <v>167</v>
      </c>
      <c r="D43" s="256" t="s">
        <v>1883</v>
      </c>
      <c r="E43" s="34"/>
      <c r="G43" s="572"/>
      <c r="Q43" s="2795"/>
      <c r="R43" s="2795"/>
      <c r="S43" s="2795"/>
    </row>
    <row r="44" spans="1:42" s="9" customFormat="1">
      <c r="D44" s="9" t="s">
        <v>1882</v>
      </c>
      <c r="E44" s="34"/>
      <c r="G44" s="572"/>
      <c r="Q44" s="2795"/>
      <c r="R44" s="2795"/>
      <c r="S44" s="2795"/>
    </row>
    <row r="45" spans="1:42" s="9" customFormat="1">
      <c r="C45" s="120"/>
      <c r="D45" s="34" t="s">
        <v>1054</v>
      </c>
      <c r="E45" s="34"/>
      <c r="G45" s="572"/>
      <c r="Q45" s="2795"/>
      <c r="R45" s="2795"/>
      <c r="S45" s="2795"/>
    </row>
    <row r="46" spans="1:42" s="9" customFormat="1">
      <c r="D46" s="1598" t="s">
        <v>1285</v>
      </c>
      <c r="E46" s="970"/>
      <c r="G46" s="572"/>
      <c r="Q46" s="2795"/>
      <c r="R46" s="2795"/>
      <c r="S46" s="2795"/>
    </row>
    <row r="47" spans="1:42" s="9" customFormat="1">
      <c r="D47" s="332" t="s">
        <v>91</v>
      </c>
      <c r="E47" s="43"/>
      <c r="F47" s="24"/>
      <c r="G47" s="359"/>
      <c r="I47" s="10"/>
      <c r="J47" s="10"/>
      <c r="Q47" s="2795"/>
      <c r="R47" s="2795"/>
      <c r="S47" s="2795"/>
    </row>
    <row r="48" spans="1:42" s="9" customFormat="1">
      <c r="D48" s="135"/>
      <c r="E48" s="246"/>
      <c r="F48"/>
      <c r="G48" s="359"/>
      <c r="I48" s="280"/>
      <c r="J48" s="2595"/>
      <c r="Q48" s="2795"/>
      <c r="R48" s="2795"/>
      <c r="S48" s="2795"/>
    </row>
    <row r="49" spans="3:19" s="9" customFormat="1">
      <c r="D49" s="398">
        <f>'Overall Assumptions'!$C$149</f>
        <v>48</v>
      </c>
      <c r="E49" s="131" t="str">
        <f>'Overall Assumptions'!$D$115</f>
        <v>weeks</v>
      </c>
      <c r="F49"/>
      <c r="G49" s="359"/>
      <c r="I49" s="280"/>
      <c r="J49" s="2595"/>
      <c r="Q49" s="2795"/>
      <c r="R49" s="2795"/>
      <c r="S49" s="2795"/>
    </row>
    <row r="50" spans="3:19" s="9" customFormat="1">
      <c r="C50" s="105"/>
      <c r="D50" s="332">
        <f>D49*5</f>
        <v>240</v>
      </c>
      <c r="E50" s="131" t="str">
        <f>'Overall Assumptions'!$D$116</f>
        <v>days</v>
      </c>
      <c r="F50"/>
      <c r="G50" s="359"/>
      <c r="I50" s="147"/>
      <c r="J50" s="2595"/>
      <c r="Q50" s="2795"/>
      <c r="R50" s="2795"/>
      <c r="S50" s="2795"/>
    </row>
    <row r="51" spans="3:19" s="9" customFormat="1">
      <c r="C51" s="105"/>
      <c r="D51" s="332"/>
      <c r="E51" s="43"/>
      <c r="F51"/>
      <c r="G51" s="359"/>
      <c r="I51" s="280"/>
      <c r="J51" s="2595"/>
      <c r="Q51" s="2795"/>
      <c r="R51" s="2795"/>
      <c r="S51" s="2795"/>
    </row>
    <row r="52" spans="3:19" s="9" customFormat="1">
      <c r="C52" s="105"/>
      <c r="D52" s="398">
        <v>1</v>
      </c>
      <c r="E52" s="43" t="s">
        <v>263</v>
      </c>
      <c r="F52"/>
      <c r="G52" s="359"/>
      <c r="I52" s="280"/>
      <c r="J52" s="2595"/>
      <c r="Q52" s="2795"/>
      <c r="R52" s="2795"/>
      <c r="S52" s="2795"/>
    </row>
    <row r="53" spans="3:19" s="9" customFormat="1">
      <c r="C53" s="105"/>
      <c r="G53" s="359"/>
      <c r="I53" s="280"/>
      <c r="J53" s="2595"/>
      <c r="Q53" s="2795"/>
      <c r="R53" s="2795"/>
      <c r="S53" s="2795"/>
    </row>
    <row r="54" spans="3:19" s="9" customFormat="1">
      <c r="C54" s="105"/>
      <c r="G54" s="359"/>
      <c r="I54" s="280"/>
      <c r="J54" s="2595"/>
      <c r="Q54" s="2795"/>
      <c r="R54" s="2795"/>
      <c r="S54" s="2795"/>
    </row>
    <row r="55" spans="3:19" s="9" customFormat="1">
      <c r="C55" s="105"/>
      <c r="G55" s="359"/>
      <c r="I55" s="280"/>
      <c r="J55" s="2595"/>
      <c r="Q55" s="2795"/>
      <c r="R55" s="2795"/>
      <c r="S55" s="2795"/>
    </row>
    <row r="56" spans="3:19" s="9" customFormat="1">
      <c r="C56" s="105"/>
      <c r="D56" s="9">
        <f>D58*25</f>
        <v>25</v>
      </c>
      <c r="E56" s="9" t="s">
        <v>1915</v>
      </c>
      <c r="G56" s="359">
        <f>D56*D$50</f>
        <v>6000</v>
      </c>
      <c r="H56" s="9">
        <f>SUM(G56:G58)</f>
        <v>8640</v>
      </c>
      <c r="I56" s="280"/>
      <c r="J56" s="2595"/>
      <c r="Q56" s="2795"/>
      <c r="R56" s="2795"/>
      <c r="S56" s="2795"/>
    </row>
    <row r="57" spans="3:19" s="9" customFormat="1">
      <c r="C57" s="105"/>
      <c r="D57" s="398">
        <f>D58*10</f>
        <v>10</v>
      </c>
      <c r="E57" s="43" t="str">
        <f>'Overall Assumptions'!$D$150</f>
        <v>Experienced staff</v>
      </c>
      <c r="F57"/>
      <c r="G57" s="359">
        <f t="shared" ref="G57:G58" si="9">D57*D$50</f>
        <v>2400</v>
      </c>
      <c r="I57" s="280"/>
      <c r="J57" s="2595"/>
      <c r="Q57" s="2795"/>
      <c r="R57" s="2795"/>
      <c r="S57" s="2795"/>
    </row>
    <row r="58" spans="3:19" s="9" customFormat="1">
      <c r="D58" s="398">
        <f>'Overall Assumptions'!$C$151</f>
        <v>1</v>
      </c>
      <c r="E58" s="43" t="str">
        <f>'Overall Assumptions'!$D$151</f>
        <v>Management level staff</v>
      </c>
      <c r="F58"/>
      <c r="G58" s="359">
        <f t="shared" si="9"/>
        <v>240</v>
      </c>
      <c r="I58" s="280"/>
      <c r="J58" s="2595"/>
      <c r="Q58" s="2795"/>
      <c r="R58" s="2795"/>
      <c r="S58" s="2795"/>
    </row>
    <row r="59" spans="3:19" s="9" customFormat="1">
      <c r="D59" s="332"/>
      <c r="E59" s="43"/>
      <c r="F59"/>
      <c r="G59" s="359"/>
      <c r="I59" s="280"/>
      <c r="J59" s="2595"/>
      <c r="Q59" s="2795"/>
      <c r="R59" s="2795"/>
      <c r="S59" s="2795"/>
    </row>
    <row r="60" spans="3:19" s="9" customFormat="1">
      <c r="D60" s="332" t="str">
        <f>'Overall Assumptions'!$D$76</f>
        <v>Daily rate (AUD) for labour assuming 7.5 hours/day</v>
      </c>
      <c r="E60" s="246"/>
      <c r="F60"/>
      <c r="G60" s="359"/>
      <c r="I60" s="280"/>
      <c r="J60" s="2595"/>
      <c r="Q60" s="2140"/>
      <c r="R60" s="2795"/>
      <c r="S60" s="2795"/>
    </row>
    <row r="61" spans="3:19" s="9" customFormat="1">
      <c r="D61" s="614">
        <f>'Overall Assumptions'!$C$68</f>
        <v>225</v>
      </c>
      <c r="E61" s="246" t="str">
        <f>'Overall Assumptions'!$B$67</f>
        <v>Labour 1- APS Low (Entry lvl)</v>
      </c>
      <c r="F61"/>
      <c r="G61" s="359"/>
      <c r="I61" s="280"/>
      <c r="J61" s="2595"/>
      <c r="Q61" s="2795"/>
      <c r="R61" s="2795"/>
      <c r="S61" s="2795"/>
    </row>
    <row r="62" spans="3:19" s="9" customFormat="1">
      <c r="D62" s="1484">
        <f>'Overall Assumptions'!$C$72</f>
        <v>337.5</v>
      </c>
      <c r="E62" s="530" t="str">
        <f>'Overall Assumptions'!$B$71</f>
        <v>Labour 2 - APS High (Experienced)</v>
      </c>
      <c r="F62"/>
      <c r="G62" s="359"/>
      <c r="I62" s="280"/>
      <c r="J62" s="2595"/>
      <c r="Q62" s="2795"/>
      <c r="R62" s="2795"/>
      <c r="S62" s="2795"/>
    </row>
    <row r="63" spans="3:19" s="9" customFormat="1">
      <c r="D63" s="1485">
        <f>'Overall Assumptions'!$C$76</f>
        <v>487.5</v>
      </c>
      <c r="E63" s="45" t="str">
        <f>'Overall Assumptions'!$B$75</f>
        <v>Labour 3 - EL (Management)</v>
      </c>
      <c r="F63"/>
      <c r="G63" s="359"/>
      <c r="I63" s="122"/>
      <c r="J63" s="122"/>
      <c r="Q63" s="2795"/>
      <c r="R63" s="2795"/>
      <c r="S63" s="2795"/>
    </row>
    <row r="64" spans="3:19" s="9" customFormat="1">
      <c r="D64" s="33"/>
      <c r="E64" s="16"/>
      <c r="F64"/>
      <c r="G64" s="359"/>
      <c r="I64" s="122"/>
      <c r="J64" s="122"/>
      <c r="Q64" s="2795"/>
      <c r="R64" s="2795"/>
      <c r="S64" s="2795"/>
    </row>
    <row r="65" spans="3:19" s="9" customFormat="1">
      <c r="D65" s="33">
        <f>D56*D61*D50</f>
        <v>1350000</v>
      </c>
      <c r="E65" s="16" t="str">
        <f>E61</f>
        <v>Labour 1- APS Low (Entry lvl)</v>
      </c>
      <c r="F65"/>
      <c r="G65" s="359"/>
      <c r="I65" s="122"/>
      <c r="J65" s="122"/>
      <c r="Q65" s="2795"/>
      <c r="R65" s="2795"/>
      <c r="S65" s="2795"/>
    </row>
    <row r="66" spans="3:19" s="9" customFormat="1">
      <c r="D66" s="33">
        <f>D57*D62*D50</f>
        <v>810000</v>
      </c>
      <c r="E66" s="16" t="str">
        <f>E62</f>
        <v>Labour 2 - APS High (Experienced)</v>
      </c>
      <c r="F66"/>
      <c r="G66" s="359"/>
      <c r="Q66" s="2795"/>
      <c r="R66" s="2795"/>
      <c r="S66" s="2795"/>
    </row>
    <row r="67" spans="3:19" s="9" customFormat="1">
      <c r="D67" s="33">
        <f>D58*D63*D50</f>
        <v>117000</v>
      </c>
      <c r="E67" s="16" t="str">
        <f>E63</f>
        <v>Labour 3 - EL (Management)</v>
      </c>
      <c r="F67"/>
      <c r="G67" s="359"/>
    </row>
    <row r="68" spans="3:19" s="9" customFormat="1">
      <c r="D68" s="33"/>
      <c r="E68" s="16"/>
      <c r="F68"/>
      <c r="G68" s="359"/>
      <c r="H68" s="1288" t="s">
        <v>1932</v>
      </c>
    </row>
    <row r="69" spans="3:19" s="9" customFormat="1">
      <c r="D69" s="33"/>
      <c r="E69" s="16"/>
      <c r="F69"/>
      <c r="G69" s="359"/>
    </row>
    <row r="70" spans="3:19" s="9" customFormat="1">
      <c r="D70" s="2488">
        <f>SUM(D65:D67)</f>
        <v>2277000</v>
      </c>
      <c r="E70" s="273" t="s">
        <v>1879</v>
      </c>
      <c r="F70" s="274"/>
      <c r="G70" s="359"/>
    </row>
    <row r="71" spans="3:19" s="9" customFormat="1">
      <c r="D71" s="33"/>
      <c r="E71" s="16"/>
      <c r="F71"/>
      <c r="G71" s="359"/>
    </row>
    <row r="72" spans="3:19" s="9" customFormat="1">
      <c r="D72" s="175"/>
      <c r="E72" s="164" t="s">
        <v>155</v>
      </c>
      <c r="F72" s="255" t="s">
        <v>166</v>
      </c>
      <c r="G72" s="1090" t="s">
        <v>69</v>
      </c>
      <c r="H72" s="108" t="s">
        <v>1881</v>
      </c>
    </row>
    <row r="73" spans="3:19" s="9" customFormat="1">
      <c r="D73" s="405" t="s">
        <v>3</v>
      </c>
      <c r="E73" s="509">
        <f>D50</f>
        <v>240</v>
      </c>
      <c r="F73" s="321">
        <f>D70</f>
        <v>2277000</v>
      </c>
      <c r="G73" s="1091" t="s">
        <v>1230</v>
      </c>
      <c r="H73" s="323">
        <f>D52</f>
        <v>1</v>
      </c>
    </row>
    <row r="74" spans="3:19" s="9" customFormat="1">
      <c r="D74" s="105"/>
      <c r="E74" s="34"/>
      <c r="G74" s="572"/>
    </row>
    <row r="75" spans="3:19" s="7" customFormat="1">
      <c r="D75" s="977"/>
      <c r="E75" s="35"/>
      <c r="G75" s="1089"/>
    </row>
    <row r="76" spans="3:19">
      <c r="C76" s="1"/>
    </row>
    <row r="77" spans="3:19">
      <c r="C77" s="198"/>
    </row>
    <row r="79" spans="3:19">
      <c r="C79" s="160"/>
    </row>
    <row r="82" spans="1:42" s="359" customFormat="1">
      <c r="A82"/>
      <c r="B82"/>
      <c r="C82"/>
      <c r="D82" s="1081"/>
      <c r="E82" s="16"/>
      <c r="F82"/>
      <c r="H82"/>
      <c r="I82"/>
      <c r="J82"/>
      <c r="K82"/>
      <c r="L82"/>
      <c r="M82"/>
      <c r="N82"/>
      <c r="O82"/>
      <c r="P82"/>
      <c r="Q82" s="2791"/>
      <c r="R82" s="2791"/>
      <c r="S82" s="2791"/>
      <c r="T82"/>
      <c r="U82"/>
      <c r="V82"/>
      <c r="W82"/>
      <c r="X82"/>
      <c r="Y82"/>
      <c r="Z82"/>
      <c r="AA82"/>
      <c r="AB82"/>
      <c r="AC82"/>
      <c r="AD82"/>
      <c r="AE82"/>
      <c r="AF82"/>
      <c r="AG82"/>
      <c r="AH82"/>
      <c r="AI82"/>
      <c r="AJ82"/>
      <c r="AK82"/>
      <c r="AL82"/>
      <c r="AM82"/>
      <c r="AN82"/>
      <c r="AO82"/>
      <c r="AP82"/>
    </row>
    <row r="83" spans="1:42" s="359" customFormat="1">
      <c r="A83"/>
      <c r="B83"/>
      <c r="C83"/>
      <c r="D83" s="58"/>
      <c r="E83" s="16"/>
      <c r="F83"/>
      <c r="H83"/>
      <c r="I83"/>
      <c r="J83"/>
      <c r="K83"/>
      <c r="L83"/>
      <c r="M83"/>
      <c r="N83"/>
      <c r="O83"/>
      <c r="P83"/>
      <c r="Q83" s="2791"/>
      <c r="R83" s="2791"/>
      <c r="S83" s="2791"/>
      <c r="T83"/>
      <c r="U83"/>
      <c r="V83"/>
      <c r="W83"/>
      <c r="X83"/>
      <c r="Y83"/>
      <c r="Z83"/>
      <c r="AA83"/>
      <c r="AB83"/>
      <c r="AC83"/>
      <c r="AD83"/>
      <c r="AE83"/>
      <c r="AF83"/>
      <c r="AG83"/>
      <c r="AH83"/>
      <c r="AI83"/>
      <c r="AJ83"/>
      <c r="AK83"/>
      <c r="AL83"/>
      <c r="AM83"/>
      <c r="AN83"/>
      <c r="AO83"/>
      <c r="AP83"/>
    </row>
    <row r="85" spans="1:42" s="359" customFormat="1">
      <c r="A85"/>
      <c r="B85"/>
      <c r="C85" s="90"/>
      <c r="D85"/>
      <c r="E85" s="16"/>
      <c r="F85"/>
      <c r="H85"/>
      <c r="I85"/>
      <c r="J85"/>
      <c r="K85"/>
      <c r="L85"/>
      <c r="M85"/>
      <c r="N85"/>
      <c r="O85"/>
      <c r="P85"/>
      <c r="Q85" s="2791"/>
      <c r="R85" s="2791"/>
      <c r="S85" s="2791"/>
      <c r="T85"/>
      <c r="U85"/>
      <c r="V85"/>
      <c r="W85"/>
      <c r="X85"/>
      <c r="Y85"/>
      <c r="Z85"/>
      <c r="AA85"/>
      <c r="AB85"/>
      <c r="AC85"/>
      <c r="AD85"/>
      <c r="AE85"/>
      <c r="AF85"/>
      <c r="AG85"/>
      <c r="AH85"/>
      <c r="AI85"/>
      <c r="AJ85"/>
      <c r="AK85"/>
      <c r="AL85"/>
      <c r="AM85"/>
      <c r="AN85"/>
      <c r="AO85"/>
      <c r="AP85"/>
    </row>
    <row r="86" spans="1:42" s="359" customFormat="1" ht="24" customHeight="1">
      <c r="A86"/>
      <c r="B86"/>
      <c r="C86" s="436"/>
      <c r="D86" s="24"/>
      <c r="E86" s="16"/>
      <c r="F86"/>
      <c r="H86"/>
      <c r="I86"/>
      <c r="J86"/>
      <c r="K86"/>
      <c r="L86"/>
      <c r="M86"/>
      <c r="N86"/>
      <c r="O86"/>
      <c r="P86"/>
      <c r="Q86" s="2791"/>
      <c r="R86" s="2791"/>
      <c r="S86" s="2791"/>
      <c r="T86"/>
      <c r="U86"/>
      <c r="V86"/>
      <c r="W86"/>
      <c r="X86"/>
      <c r="Y86"/>
      <c r="Z86"/>
      <c r="AA86"/>
      <c r="AB86"/>
      <c r="AC86"/>
      <c r="AD86"/>
      <c r="AE86"/>
      <c r="AF86"/>
      <c r="AG86"/>
      <c r="AH86"/>
      <c r="AI86"/>
      <c r="AJ86"/>
      <c r="AK86"/>
      <c r="AL86"/>
      <c r="AM86"/>
      <c r="AN86"/>
      <c r="AO86"/>
      <c r="AP86"/>
    </row>
    <row r="87" spans="1:42" s="359" customFormat="1">
      <c r="A87"/>
      <c r="B87"/>
      <c r="C87"/>
      <c r="D87" s="58"/>
      <c r="E87" s="16"/>
      <c r="F87"/>
      <c r="H87"/>
      <c r="I87"/>
      <c r="J87"/>
      <c r="K87"/>
      <c r="L87"/>
      <c r="M87"/>
      <c r="N87"/>
      <c r="O87"/>
      <c r="P87"/>
      <c r="Q87" s="2791"/>
      <c r="R87" s="2791"/>
      <c r="S87" s="2791"/>
      <c r="T87"/>
      <c r="U87"/>
      <c r="V87"/>
      <c r="W87"/>
      <c r="X87"/>
      <c r="Y87"/>
      <c r="Z87"/>
      <c r="AA87"/>
      <c r="AB87"/>
      <c r="AC87"/>
      <c r="AD87"/>
      <c r="AE87"/>
      <c r="AF87"/>
      <c r="AG87"/>
      <c r="AH87"/>
      <c r="AI87"/>
      <c r="AJ87"/>
      <c r="AK87"/>
      <c r="AL87"/>
      <c r="AM87"/>
      <c r="AN87"/>
      <c r="AO87"/>
      <c r="AP87"/>
    </row>
    <row r="88" spans="1:42" s="359" customFormat="1">
      <c r="A88"/>
      <c r="B88"/>
      <c r="C88"/>
      <c r="D88" s="58"/>
      <c r="E88" s="16"/>
      <c r="F88"/>
      <c r="H88"/>
      <c r="I88"/>
      <c r="J88"/>
      <c r="K88"/>
      <c r="L88"/>
      <c r="M88"/>
      <c r="N88"/>
      <c r="O88"/>
      <c r="P88"/>
      <c r="Q88" s="2791"/>
      <c r="R88" s="2791"/>
      <c r="S88" s="2791"/>
      <c r="T88"/>
      <c r="U88"/>
      <c r="V88"/>
      <c r="W88"/>
      <c r="X88"/>
      <c r="Y88"/>
      <c r="Z88"/>
      <c r="AA88"/>
      <c r="AB88"/>
      <c r="AC88"/>
      <c r="AD88"/>
      <c r="AE88"/>
      <c r="AF88"/>
      <c r="AG88"/>
      <c r="AH88"/>
      <c r="AI88"/>
      <c r="AJ88"/>
      <c r="AK88"/>
      <c r="AL88"/>
      <c r="AM88"/>
      <c r="AN88"/>
      <c r="AO88"/>
      <c r="AP88"/>
    </row>
    <row r="89" spans="1:42" s="359" customFormat="1">
      <c r="A89"/>
      <c r="B89"/>
      <c r="C89" s="204"/>
      <c r="D89" s="24"/>
      <c r="E89" s="16"/>
      <c r="F89"/>
      <c r="H89"/>
      <c r="I89"/>
      <c r="J89"/>
      <c r="K89"/>
      <c r="L89"/>
      <c r="M89"/>
      <c r="N89"/>
      <c r="O89"/>
      <c r="P89"/>
      <c r="Q89" s="2791"/>
      <c r="R89" s="2791"/>
      <c r="S89" s="2791"/>
      <c r="T89"/>
      <c r="U89"/>
      <c r="V89"/>
      <c r="W89"/>
      <c r="X89"/>
      <c r="Y89"/>
      <c r="Z89"/>
      <c r="AA89"/>
      <c r="AB89"/>
      <c r="AC89"/>
      <c r="AD89"/>
      <c r="AE89"/>
      <c r="AF89"/>
      <c r="AG89"/>
      <c r="AH89"/>
      <c r="AI89"/>
      <c r="AJ89"/>
      <c r="AK89"/>
      <c r="AL89"/>
      <c r="AM89"/>
      <c r="AN89"/>
      <c r="AO89"/>
      <c r="AP89"/>
    </row>
    <row r="91" spans="1:42" s="359" customFormat="1">
      <c r="A91"/>
      <c r="B91"/>
      <c r="C91" s="206"/>
      <c r="D91" s="24"/>
      <c r="E91" s="16"/>
      <c r="F91" s="2"/>
      <c r="H91"/>
      <c r="I91"/>
      <c r="J91"/>
      <c r="K91"/>
      <c r="L91"/>
      <c r="M91"/>
      <c r="N91"/>
      <c r="O91"/>
      <c r="P91"/>
      <c r="Q91" s="2791"/>
      <c r="R91" s="2791"/>
      <c r="S91" s="2791"/>
      <c r="T91"/>
      <c r="U91"/>
      <c r="V91"/>
      <c r="W91"/>
      <c r="X91"/>
      <c r="Y91"/>
      <c r="Z91"/>
      <c r="AA91"/>
      <c r="AB91"/>
      <c r="AC91"/>
      <c r="AD91"/>
      <c r="AE91"/>
      <c r="AF91"/>
      <c r="AG91"/>
      <c r="AH91"/>
      <c r="AI91"/>
      <c r="AJ91"/>
      <c r="AK91"/>
      <c r="AL91"/>
      <c r="AM91"/>
      <c r="AN91"/>
      <c r="AO91"/>
      <c r="AP91"/>
    </row>
    <row r="92" spans="1:42" s="359" customFormat="1" ht="15" customHeight="1">
      <c r="A92"/>
      <c r="B92"/>
      <c r="C92" s="2"/>
      <c r="D92" s="207"/>
      <c r="E92" s="16"/>
      <c r="F92" s="2"/>
      <c r="H92"/>
      <c r="I92"/>
      <c r="J92"/>
      <c r="K92"/>
      <c r="L92"/>
      <c r="M92"/>
      <c r="N92"/>
      <c r="O92"/>
      <c r="P92"/>
      <c r="Q92" s="2791"/>
      <c r="R92" s="2791"/>
      <c r="S92" s="2791"/>
      <c r="T92"/>
      <c r="U92"/>
      <c r="V92"/>
      <c r="W92"/>
      <c r="X92"/>
      <c r="Y92"/>
      <c r="Z92"/>
      <c r="AA92"/>
      <c r="AB92"/>
      <c r="AC92"/>
      <c r="AD92"/>
      <c r="AE92"/>
      <c r="AF92"/>
      <c r="AG92"/>
      <c r="AH92"/>
      <c r="AI92"/>
      <c r="AJ92"/>
      <c r="AK92"/>
      <c r="AL92"/>
      <c r="AM92"/>
      <c r="AN92"/>
      <c r="AO92"/>
      <c r="AP92"/>
    </row>
    <row r="93" spans="1:42" s="359" customFormat="1" ht="15" customHeight="1">
      <c r="A93"/>
      <c r="B93"/>
      <c r="C93" s="2"/>
      <c r="D93" s="207"/>
      <c r="E93" s="16"/>
      <c r="F93" s="2"/>
      <c r="H93"/>
      <c r="I93"/>
      <c r="J93"/>
      <c r="K93"/>
      <c r="L93"/>
      <c r="M93"/>
      <c r="N93"/>
      <c r="O93"/>
      <c r="P93"/>
      <c r="Q93" s="2791"/>
      <c r="R93" s="2791"/>
      <c r="S93" s="2791"/>
      <c r="T93"/>
      <c r="U93"/>
      <c r="V93"/>
      <c r="W93"/>
      <c r="X93"/>
      <c r="Y93"/>
      <c r="Z93"/>
      <c r="AA93"/>
      <c r="AB93"/>
      <c r="AC93"/>
      <c r="AD93"/>
      <c r="AE93"/>
      <c r="AF93"/>
      <c r="AG93"/>
      <c r="AH93"/>
      <c r="AI93"/>
      <c r="AJ93"/>
      <c r="AK93"/>
      <c r="AL93"/>
      <c r="AM93"/>
      <c r="AN93"/>
      <c r="AO93"/>
      <c r="AP93"/>
    </row>
    <row r="94" spans="1:42" s="359" customFormat="1" ht="15" customHeight="1">
      <c r="A94"/>
      <c r="B94"/>
      <c r="C94" s="2"/>
      <c r="D94" s="207"/>
      <c r="E94" s="16"/>
      <c r="F94" s="2"/>
      <c r="H94"/>
      <c r="I94"/>
      <c r="J94"/>
      <c r="K94"/>
      <c r="L94"/>
      <c r="M94"/>
      <c r="N94"/>
      <c r="O94"/>
      <c r="P94"/>
      <c r="Q94" s="2791"/>
      <c r="R94" s="2791"/>
      <c r="S94" s="2791"/>
      <c r="T94"/>
      <c r="U94"/>
      <c r="V94"/>
      <c r="W94"/>
      <c r="X94"/>
      <c r="Y94"/>
      <c r="Z94"/>
      <c r="AA94"/>
      <c r="AB94"/>
      <c r="AC94"/>
      <c r="AD94"/>
      <c r="AE94"/>
      <c r="AF94"/>
      <c r="AG94"/>
      <c r="AH94"/>
      <c r="AI94"/>
      <c r="AJ94"/>
      <c r="AK94"/>
      <c r="AL94"/>
      <c r="AM94"/>
      <c r="AN94"/>
      <c r="AO94"/>
      <c r="AP94"/>
    </row>
    <row r="95" spans="1:42" s="359" customFormat="1" ht="15" customHeight="1">
      <c r="A95"/>
      <c r="B95"/>
      <c r="C95" s="2"/>
      <c r="D95" s="207"/>
      <c r="E95" s="16"/>
      <c r="F95" s="2"/>
      <c r="H95"/>
      <c r="I95"/>
      <c r="J95"/>
      <c r="K95"/>
      <c r="L95"/>
      <c r="M95"/>
      <c r="N95"/>
      <c r="O95"/>
      <c r="P95"/>
      <c r="Q95" s="2791"/>
      <c r="R95" s="2791"/>
      <c r="S95" s="2791"/>
      <c r="T95"/>
      <c r="U95"/>
      <c r="V95"/>
      <c r="W95"/>
      <c r="X95"/>
      <c r="Y95"/>
      <c r="Z95"/>
      <c r="AA95"/>
      <c r="AB95"/>
      <c r="AC95"/>
      <c r="AD95"/>
      <c r="AE95"/>
      <c r="AF95"/>
      <c r="AG95"/>
      <c r="AH95"/>
      <c r="AI95"/>
      <c r="AJ95"/>
      <c r="AK95"/>
      <c r="AL95"/>
      <c r="AM95"/>
      <c r="AN95"/>
      <c r="AO95"/>
      <c r="AP95"/>
    </row>
    <row r="96" spans="1:42" s="359" customFormat="1" ht="15" customHeight="1">
      <c r="A96"/>
      <c r="B96"/>
      <c r="C96" s="206"/>
      <c r="D96" s="207"/>
      <c r="E96" s="16"/>
      <c r="F96" s="2"/>
      <c r="H96"/>
      <c r="I96"/>
      <c r="J96"/>
      <c r="K96"/>
      <c r="L96"/>
      <c r="M96"/>
      <c r="N96"/>
      <c r="O96"/>
      <c r="P96"/>
      <c r="Q96" s="2791"/>
      <c r="R96" s="2791"/>
      <c r="S96" s="2791"/>
      <c r="T96"/>
      <c r="U96"/>
      <c r="V96"/>
      <c r="W96"/>
      <c r="X96"/>
      <c r="Y96"/>
      <c r="Z96"/>
      <c r="AA96"/>
      <c r="AB96"/>
      <c r="AC96"/>
      <c r="AD96"/>
      <c r="AE96"/>
      <c r="AF96"/>
      <c r="AG96"/>
      <c r="AH96"/>
      <c r="AI96"/>
      <c r="AJ96"/>
      <c r="AK96"/>
      <c r="AL96"/>
      <c r="AM96"/>
      <c r="AN96"/>
      <c r="AO96"/>
      <c r="AP96"/>
    </row>
    <row r="97" spans="1:42" s="359" customFormat="1" ht="15" customHeight="1">
      <c r="A97"/>
      <c r="B97"/>
      <c r="C97"/>
      <c r="D97" s="207"/>
      <c r="E97" s="16"/>
      <c r="F97"/>
      <c r="H97"/>
      <c r="I97"/>
      <c r="J97"/>
      <c r="K97"/>
      <c r="L97"/>
      <c r="M97"/>
      <c r="N97"/>
      <c r="O97"/>
      <c r="P97"/>
      <c r="Q97" s="2791"/>
      <c r="R97" s="2791"/>
      <c r="S97" s="2791"/>
      <c r="T97"/>
      <c r="U97"/>
      <c r="V97"/>
      <c r="W97"/>
      <c r="X97"/>
      <c r="Y97"/>
      <c r="Z97"/>
      <c r="AA97"/>
      <c r="AB97"/>
      <c r="AC97"/>
      <c r="AD97"/>
      <c r="AE97"/>
      <c r="AF97"/>
      <c r="AG97"/>
      <c r="AH97"/>
      <c r="AI97"/>
      <c r="AJ97"/>
      <c r="AK97"/>
      <c r="AL97"/>
      <c r="AM97"/>
      <c r="AN97"/>
      <c r="AO97"/>
      <c r="AP97"/>
    </row>
    <row r="98" spans="1:42" ht="15" customHeight="1">
      <c r="D98" s="207"/>
      <c r="E98" s="2"/>
      <c r="F98" s="2"/>
    </row>
    <row r="99" spans="1:42" ht="15" customHeight="1">
      <c r="D99" s="207"/>
      <c r="F99" s="2"/>
    </row>
    <row r="100" spans="1:42" ht="15" customHeight="1">
      <c r="D100" s="207"/>
      <c r="F100" s="2"/>
    </row>
    <row r="101" spans="1:42" ht="15" customHeight="1">
      <c r="D101" s="207"/>
    </row>
    <row r="102" spans="1:42" ht="15" customHeight="1">
      <c r="D102" s="207"/>
    </row>
    <row r="103" spans="1:42" ht="15" customHeight="1">
      <c r="D103" s="57"/>
    </row>
    <row r="104" spans="1:42">
      <c r="D104" s="16"/>
    </row>
    <row r="105" spans="1:42">
      <c r="C105" s="206"/>
      <c r="D105" s="208"/>
      <c r="E105" s="6"/>
    </row>
    <row r="106" spans="1:42">
      <c r="D106" s="207"/>
    </row>
    <row r="107" spans="1:42">
      <c r="D107" s="207"/>
      <c r="F107" s="2"/>
    </row>
    <row r="108" spans="1:42">
      <c r="D108" s="207"/>
      <c r="F108" s="2"/>
    </row>
    <row r="109" spans="1:42">
      <c r="D109" s="156"/>
      <c r="F109" s="2"/>
    </row>
    <row r="110" spans="1:42">
      <c r="C110" s="206"/>
      <c r="F110" s="2"/>
    </row>
    <row r="111" spans="1:42">
      <c r="C111" s="206"/>
      <c r="D111" s="207"/>
      <c r="F111" s="2"/>
    </row>
    <row r="112" spans="1:42">
      <c r="D112" s="207"/>
      <c r="G112" s="99"/>
    </row>
    <row r="113" spans="2:42">
      <c r="D113" s="16"/>
      <c r="G113" s="99"/>
      <c r="H113" s="16"/>
    </row>
    <row r="114" spans="2:42">
      <c r="D114" s="207"/>
      <c r="G114" s="1132"/>
    </row>
    <row r="115" spans="2:42">
      <c r="D115" s="207"/>
      <c r="G115" s="1133"/>
    </row>
    <row r="116" spans="2:42">
      <c r="G116" s="99"/>
    </row>
    <row r="117" spans="2:42">
      <c r="D117" s="57"/>
      <c r="G117" s="1102"/>
      <c r="H117" s="16"/>
    </row>
    <row r="118" spans="2:42">
      <c r="G118" s="1102"/>
      <c r="H118" s="16"/>
    </row>
    <row r="119" spans="2:42">
      <c r="D119" s="156"/>
      <c r="J119" s="16"/>
    </row>
    <row r="120" spans="2:42">
      <c r="D120" s="156"/>
      <c r="J120" s="16"/>
    </row>
    <row r="122" spans="2:42">
      <c r="D122" s="16"/>
    </row>
    <row r="123" spans="2:42">
      <c r="D123" s="16"/>
    </row>
    <row r="124" spans="2:42">
      <c r="D124" s="16"/>
    </row>
    <row r="125" spans="2:42">
      <c r="D125" s="16"/>
    </row>
    <row r="128" spans="2:42" s="24" customFormat="1">
      <c r="B128"/>
      <c r="C128" s="206"/>
      <c r="E128" s="16"/>
      <c r="F128"/>
      <c r="G128" s="359"/>
      <c r="H128"/>
      <c r="I128"/>
      <c r="J128"/>
      <c r="K128"/>
      <c r="L128"/>
      <c r="M128"/>
      <c r="N128"/>
      <c r="O128"/>
      <c r="P128"/>
      <c r="Q128" s="2791"/>
      <c r="R128" s="2791"/>
      <c r="S128" s="2791"/>
      <c r="T128"/>
      <c r="U128"/>
      <c r="V128"/>
      <c r="W128"/>
      <c r="X128"/>
      <c r="Y128"/>
      <c r="Z128"/>
      <c r="AA128"/>
      <c r="AB128"/>
      <c r="AC128"/>
      <c r="AD128"/>
      <c r="AE128"/>
      <c r="AF128"/>
      <c r="AG128"/>
      <c r="AH128"/>
      <c r="AI128"/>
      <c r="AJ128"/>
      <c r="AK128"/>
      <c r="AL128"/>
      <c r="AM128"/>
      <c r="AN128"/>
      <c r="AO128"/>
      <c r="AP128"/>
    </row>
    <row r="129" spans="2:42" s="24" customFormat="1">
      <c r="B129"/>
      <c r="C129" s="206"/>
      <c r="E129" s="16"/>
      <c r="F129"/>
      <c r="G129" s="359"/>
      <c r="H129"/>
      <c r="I129"/>
      <c r="J129"/>
      <c r="K129"/>
      <c r="L129"/>
      <c r="M129"/>
      <c r="N129"/>
      <c r="O129"/>
      <c r="P129"/>
      <c r="Q129" s="2791"/>
      <c r="R129" s="2791"/>
      <c r="S129" s="2791"/>
      <c r="T129"/>
      <c r="U129"/>
      <c r="V129"/>
      <c r="W129"/>
      <c r="X129"/>
      <c r="Y129"/>
      <c r="Z129"/>
      <c r="AA129"/>
      <c r="AB129"/>
      <c r="AC129"/>
      <c r="AD129"/>
      <c r="AE129"/>
      <c r="AF129"/>
      <c r="AG129"/>
      <c r="AH129"/>
      <c r="AI129"/>
      <c r="AJ129"/>
      <c r="AK129"/>
      <c r="AL129"/>
      <c r="AM129"/>
      <c r="AN129"/>
      <c r="AO129"/>
      <c r="AP129"/>
    </row>
    <row r="130" spans="2:42" s="24" customFormat="1">
      <c r="B130"/>
      <c r="C130" s="206"/>
      <c r="E130" s="16"/>
      <c r="F130"/>
      <c r="G130" s="359"/>
      <c r="H130"/>
      <c r="I130"/>
      <c r="J130"/>
      <c r="K130"/>
      <c r="L130"/>
      <c r="M130"/>
      <c r="N130"/>
      <c r="O130"/>
      <c r="P130"/>
      <c r="Q130" s="2791"/>
      <c r="R130" s="2791"/>
      <c r="S130" s="2791"/>
      <c r="T130"/>
      <c r="U130"/>
      <c r="V130"/>
      <c r="W130"/>
      <c r="X130"/>
      <c r="Y130"/>
      <c r="Z130"/>
      <c r="AA130"/>
      <c r="AB130"/>
      <c r="AC130"/>
      <c r="AD130"/>
      <c r="AE130"/>
      <c r="AF130"/>
      <c r="AG130"/>
      <c r="AH130"/>
      <c r="AI130"/>
      <c r="AJ130"/>
      <c r="AK130"/>
      <c r="AL130"/>
      <c r="AM130"/>
      <c r="AN130"/>
      <c r="AO130"/>
      <c r="AP130"/>
    </row>
    <row r="131" spans="2:42" s="24" customFormat="1">
      <c r="B131"/>
      <c r="C131" s="206"/>
      <c r="E131" s="16"/>
      <c r="F131"/>
      <c r="G131" s="359"/>
      <c r="H131"/>
      <c r="I131"/>
      <c r="J131"/>
      <c r="K131"/>
      <c r="L131"/>
      <c r="M131"/>
      <c r="N131"/>
      <c r="O131"/>
      <c r="P131"/>
      <c r="Q131" s="2791"/>
      <c r="R131" s="2791"/>
      <c r="S131" s="2791"/>
      <c r="T131"/>
      <c r="U131"/>
      <c r="V131"/>
      <c r="W131"/>
      <c r="X131"/>
      <c r="Y131"/>
      <c r="Z131"/>
      <c r="AA131"/>
      <c r="AB131"/>
      <c r="AC131"/>
      <c r="AD131"/>
      <c r="AE131"/>
      <c r="AF131"/>
      <c r="AG131"/>
      <c r="AH131"/>
      <c r="AI131"/>
      <c r="AJ131"/>
      <c r="AK131"/>
      <c r="AL131"/>
      <c r="AM131"/>
      <c r="AN131"/>
      <c r="AO131"/>
      <c r="AP131"/>
    </row>
    <row r="132" spans="2:42" s="24" customFormat="1">
      <c r="B132"/>
      <c r="C132" s="206"/>
      <c r="E132" s="16"/>
      <c r="F132"/>
      <c r="G132" s="359"/>
      <c r="H132"/>
      <c r="I132"/>
      <c r="J132"/>
      <c r="K132"/>
      <c r="L132"/>
      <c r="M132"/>
      <c r="N132"/>
      <c r="O132"/>
      <c r="P132"/>
      <c r="Q132" s="2791"/>
      <c r="R132" s="2791"/>
      <c r="S132" s="2791"/>
      <c r="T132"/>
      <c r="U132"/>
      <c r="V132"/>
      <c r="W132"/>
      <c r="X132"/>
      <c r="Y132"/>
      <c r="Z132"/>
      <c r="AA132"/>
      <c r="AB132"/>
      <c r="AC132"/>
      <c r="AD132"/>
      <c r="AE132"/>
      <c r="AF132"/>
      <c r="AG132"/>
      <c r="AH132"/>
      <c r="AI132"/>
      <c r="AJ132"/>
      <c r="AK132"/>
      <c r="AL132"/>
      <c r="AM132"/>
      <c r="AN132"/>
      <c r="AO132"/>
      <c r="AP132"/>
    </row>
    <row r="133" spans="2:42" s="24" customFormat="1">
      <c r="B133"/>
      <c r="C133" s="206"/>
      <c r="E133" s="16"/>
      <c r="F133"/>
      <c r="G133" s="359"/>
      <c r="H133"/>
      <c r="I133"/>
      <c r="J133"/>
      <c r="K133"/>
      <c r="L133"/>
      <c r="M133"/>
      <c r="N133"/>
      <c r="O133"/>
      <c r="P133"/>
      <c r="Q133" s="2791"/>
      <c r="R133" s="2791"/>
      <c r="S133" s="2791"/>
      <c r="T133"/>
      <c r="U133"/>
      <c r="V133"/>
      <c r="W133"/>
      <c r="X133"/>
      <c r="Y133"/>
      <c r="Z133"/>
      <c r="AA133"/>
      <c r="AB133"/>
      <c r="AC133"/>
      <c r="AD133"/>
      <c r="AE133"/>
      <c r="AF133"/>
      <c r="AG133"/>
      <c r="AH133"/>
      <c r="AI133"/>
      <c r="AJ133"/>
      <c r="AK133"/>
      <c r="AL133"/>
      <c r="AM133"/>
      <c r="AN133"/>
      <c r="AO133"/>
      <c r="AP133"/>
    </row>
    <row r="134" spans="2:42" s="24" customFormat="1">
      <c r="B134"/>
      <c r="C134" s="206"/>
      <c r="E134" s="16"/>
      <c r="F134"/>
      <c r="G134" s="359"/>
      <c r="H134"/>
      <c r="I134"/>
      <c r="J134"/>
      <c r="K134"/>
      <c r="L134"/>
      <c r="M134"/>
      <c r="N134"/>
      <c r="O134"/>
      <c r="P134"/>
      <c r="Q134" s="2791"/>
      <c r="R134" s="2791"/>
      <c r="S134" s="2791"/>
      <c r="T134"/>
      <c r="U134"/>
      <c r="V134"/>
      <c r="W134"/>
      <c r="X134"/>
      <c r="Y134"/>
      <c r="Z134"/>
      <c r="AA134"/>
      <c r="AB134"/>
      <c r="AC134"/>
      <c r="AD134"/>
      <c r="AE134"/>
      <c r="AF134"/>
      <c r="AG134"/>
      <c r="AH134"/>
      <c r="AI134"/>
      <c r="AJ134"/>
      <c r="AK134"/>
      <c r="AL134"/>
      <c r="AM134"/>
      <c r="AN134"/>
      <c r="AO134"/>
      <c r="AP134"/>
    </row>
  </sheetData>
  <mergeCells count="37">
    <mergeCell ref="Q17:S20"/>
    <mergeCell ref="Q21:Q22"/>
    <mergeCell ref="R21:R22"/>
    <mergeCell ref="S21:S22"/>
    <mergeCell ref="AE21:AE22"/>
    <mergeCell ref="AC19:AC22"/>
    <mergeCell ref="AD19:AE20"/>
    <mergeCell ref="U21:U22"/>
    <mergeCell ref="AA19:AB20"/>
    <mergeCell ref="C23:C26"/>
    <mergeCell ref="D23:D26"/>
    <mergeCell ref="AB21:AB22"/>
    <mergeCell ref="AD21:AD22"/>
    <mergeCell ref="X21:X22"/>
    <mergeCell ref="Y21:Y22"/>
    <mergeCell ref="Z21:Z22"/>
    <mergeCell ref="AA21:AA22"/>
    <mergeCell ref="L21:M21"/>
    <mergeCell ref="N21:N22"/>
    <mergeCell ref="O21:O22"/>
    <mergeCell ref="P21:P22"/>
    <mergeCell ref="AH19:AK20"/>
    <mergeCell ref="AK21:AK22"/>
    <mergeCell ref="B17:K20"/>
    <mergeCell ref="L17:P18"/>
    <mergeCell ref="C21:C22"/>
    <mergeCell ref="D21:D22"/>
    <mergeCell ref="E21:E22"/>
    <mergeCell ref="F21:G21"/>
    <mergeCell ref="H21:I21"/>
    <mergeCell ref="U17:AE18"/>
    <mergeCell ref="L19:P20"/>
    <mergeCell ref="U19:U20"/>
    <mergeCell ref="V19:Z20"/>
    <mergeCell ref="AJ21:AJ22"/>
    <mergeCell ref="V21:V22"/>
    <mergeCell ref="W21:W22"/>
  </mergeCells>
  <pageMargins left="0.7" right="0.7" top="0.75" bottom="0.75" header="0.3" footer="0.3"/>
  <pageSetup paperSize="9" orientation="portrait" horizontalDpi="0" verticalDpi="0"/>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B1:W56"/>
  <sheetViews>
    <sheetView showGridLines="0" topLeftCell="A15" zoomScaleNormal="100" workbookViewId="0">
      <selection activeCell="H36" sqref="H36"/>
    </sheetView>
  </sheetViews>
  <sheetFormatPr baseColWidth="10" defaultColWidth="11" defaultRowHeight="16"/>
  <cols>
    <col min="1" max="1" width="4.6640625" customWidth="1"/>
    <col min="2" max="2" width="17.5" customWidth="1"/>
    <col min="3" max="3" width="29" customWidth="1"/>
    <col min="4" max="4" width="16.83203125" customWidth="1"/>
    <col min="5" max="5" width="13.33203125" customWidth="1"/>
    <col min="6" max="6" width="16.6640625" customWidth="1"/>
    <col min="7" max="7" width="17.6640625" customWidth="1"/>
    <col min="8" max="8" width="35.6640625" customWidth="1"/>
    <col min="9" max="9" width="39" customWidth="1"/>
    <col min="10" max="10" width="10.5" customWidth="1"/>
    <col min="11" max="12" width="11.83203125" customWidth="1"/>
    <col min="13" max="13" width="11.1640625" customWidth="1"/>
    <col min="14" max="15" width="12.1640625" customWidth="1"/>
    <col min="16" max="19" width="13.5" customWidth="1"/>
  </cols>
  <sheetData>
    <row r="1" spans="2:23">
      <c r="B1" s="8" t="s">
        <v>1035</v>
      </c>
    </row>
    <row r="3" spans="2:23">
      <c r="B3" s="8" t="s">
        <v>844</v>
      </c>
      <c r="F3" s="692"/>
      <c r="G3" s="692"/>
    </row>
    <row r="4" spans="2:23" ht="17" thickBot="1">
      <c r="B4" t="s">
        <v>839</v>
      </c>
      <c r="C4" t="s">
        <v>845</v>
      </c>
      <c r="D4" s="1"/>
      <c r="E4" s="1"/>
    </row>
    <row r="5" spans="2:23">
      <c r="C5" s="804" t="s">
        <v>838</v>
      </c>
      <c r="D5" s="805" t="s">
        <v>1933</v>
      </c>
      <c r="E5" s="805"/>
    </row>
    <row r="6" spans="2:23">
      <c r="C6" s="807"/>
    </row>
    <row r="7" spans="2:23">
      <c r="C7" s="807"/>
    </row>
    <row r="8" spans="2:23">
      <c r="C8" s="807"/>
    </row>
    <row r="9" spans="2:23">
      <c r="C9" s="807"/>
    </row>
    <row r="10" spans="2:23">
      <c r="C10" s="807"/>
    </row>
    <row r="11" spans="2:23" ht="17" thickBot="1">
      <c r="C11" s="808"/>
      <c r="D11" s="574"/>
      <c r="E11" s="574"/>
      <c r="W11" s="587">
        <v>0</v>
      </c>
    </row>
    <row r="12" spans="2:23">
      <c r="C12" s="360" t="s">
        <v>851</v>
      </c>
      <c r="W12" s="587"/>
    </row>
    <row r="13" spans="2:23">
      <c r="W13" s="587"/>
    </row>
    <row r="14" spans="2:23">
      <c r="C14" s="359"/>
      <c r="W14" s="587"/>
    </row>
    <row r="16" spans="2:23" ht="17" thickBot="1">
      <c r="B16" s="8"/>
      <c r="C16" s="598" t="s">
        <v>1909</v>
      </c>
    </row>
    <row r="17" spans="2:10" ht="18" thickBot="1">
      <c r="B17" s="3"/>
      <c r="C17" s="3463" t="s">
        <v>1878</v>
      </c>
      <c r="D17" s="3460" t="s">
        <v>1919</v>
      </c>
      <c r="F17" s="562"/>
      <c r="G17" s="562"/>
      <c r="H17" s="79"/>
      <c r="I17" s="79"/>
    </row>
    <row r="18" spans="2:10">
      <c r="C18" s="3396"/>
      <c r="D18" s="815"/>
      <c r="H18" s="10"/>
      <c r="I18" s="10"/>
      <c r="J18" s="2953"/>
    </row>
    <row r="19" spans="2:10" ht="17">
      <c r="C19" s="3464"/>
      <c r="D19" s="815" t="s">
        <v>2295</v>
      </c>
      <c r="H19" s="3458"/>
      <c r="I19" s="79"/>
      <c r="J19" s="2953"/>
    </row>
    <row r="20" spans="2:10" ht="17">
      <c r="C20" s="3464"/>
      <c r="D20" s="815" t="s">
        <v>2296</v>
      </c>
      <c r="H20" s="3458"/>
      <c r="I20" s="79"/>
      <c r="J20" s="2953"/>
    </row>
    <row r="21" spans="2:10" ht="17">
      <c r="C21" s="3396"/>
      <c r="D21" s="815" t="s">
        <v>2297</v>
      </c>
      <c r="H21" s="3458"/>
      <c r="I21" s="79"/>
      <c r="J21" s="2953"/>
    </row>
    <row r="22" spans="2:10" ht="17">
      <c r="C22" s="3464"/>
      <c r="D22" s="815" t="s">
        <v>2298</v>
      </c>
      <c r="H22" s="3458"/>
      <c r="I22" s="79"/>
      <c r="J22" s="2953"/>
    </row>
    <row r="23" spans="2:10" ht="17">
      <c r="C23" s="3464"/>
      <c r="D23" s="3466" t="s">
        <v>2300</v>
      </c>
      <c r="H23" s="3458"/>
      <c r="I23" s="6"/>
      <c r="J23" s="2953"/>
    </row>
    <row r="24" spans="2:10">
      <c r="C24" s="3396"/>
      <c r="D24" s="815"/>
      <c r="H24" s="3459"/>
      <c r="I24" s="79"/>
      <c r="J24" s="2953"/>
    </row>
    <row r="25" spans="2:10">
      <c r="C25" s="3464"/>
      <c r="D25" s="3461"/>
      <c r="H25" s="3459"/>
      <c r="I25" s="79"/>
      <c r="J25" s="2953"/>
    </row>
    <row r="26" spans="2:10">
      <c r="C26" s="3464"/>
      <c r="D26" s="3461"/>
      <c r="H26" s="3459"/>
      <c r="I26" s="79"/>
      <c r="J26" s="2953"/>
    </row>
    <row r="27" spans="2:10" ht="17">
      <c r="C27" s="3464"/>
      <c r="D27" s="3461"/>
      <c r="F27" s="562"/>
      <c r="G27" s="562"/>
      <c r="H27" s="3459"/>
      <c r="I27" s="79"/>
    </row>
    <row r="28" spans="2:10" ht="17">
      <c r="C28" s="3464"/>
      <c r="D28" s="3461"/>
      <c r="F28" s="562"/>
      <c r="G28" s="562"/>
      <c r="H28" s="3459"/>
      <c r="I28" s="79"/>
    </row>
    <row r="29" spans="2:10" ht="17">
      <c r="C29" s="3464"/>
      <c r="D29" s="3461"/>
      <c r="F29" s="562"/>
      <c r="G29" s="562"/>
      <c r="H29" s="122"/>
      <c r="I29" s="122"/>
      <c r="J29" s="9"/>
    </row>
    <row r="30" spans="2:10" ht="17">
      <c r="C30" s="3464"/>
      <c r="D30" s="3461"/>
      <c r="F30" s="562"/>
      <c r="G30" s="562"/>
      <c r="H30" s="4076"/>
      <c r="I30" s="2373"/>
      <c r="J30" s="9"/>
    </row>
    <row r="31" spans="2:10" ht="17">
      <c r="C31" s="3464"/>
      <c r="D31" s="3461"/>
      <c r="F31" s="562"/>
      <c r="H31" s="4076"/>
      <c r="I31" s="2373"/>
      <c r="J31" s="9"/>
    </row>
    <row r="32" spans="2:10" ht="18" thickBot="1">
      <c r="C32" s="3465"/>
      <c r="D32" s="3462"/>
      <c r="F32" s="562"/>
      <c r="H32" s="4076"/>
      <c r="I32" s="2373"/>
      <c r="J32" s="9"/>
    </row>
    <row r="33" spans="2:10" ht="17">
      <c r="F33" s="562"/>
      <c r="H33" s="4076"/>
      <c r="I33" s="2373"/>
      <c r="J33" s="9"/>
    </row>
    <row r="34" spans="2:10" ht="17">
      <c r="B34" s="3"/>
      <c r="F34" s="562"/>
      <c r="H34" s="4076"/>
      <c r="I34" s="2373"/>
      <c r="J34" s="9"/>
    </row>
    <row r="35" spans="2:10">
      <c r="B35" s="1"/>
      <c r="C35" s="360"/>
      <c r="H35" s="4076"/>
      <c r="I35" s="2373"/>
      <c r="J35" s="9"/>
    </row>
    <row r="36" spans="2:10">
      <c r="B36" s="8" t="s">
        <v>1036</v>
      </c>
      <c r="C36" s="100"/>
      <c r="H36" s="4076"/>
      <c r="I36" s="2373"/>
      <c r="J36" s="9"/>
    </row>
    <row r="37" spans="2:10">
      <c r="B37" t="s">
        <v>841</v>
      </c>
    </row>
    <row r="38" spans="2:10">
      <c r="C38" t="s">
        <v>829</v>
      </c>
    </row>
    <row r="39" spans="2:10">
      <c r="C39" s="360" t="s">
        <v>1052</v>
      </c>
      <c r="D39" s="1"/>
      <c r="E39" s="1"/>
    </row>
    <row r="40" spans="2:10">
      <c r="C40" s="4" t="s">
        <v>730</v>
      </c>
      <c r="D40" s="593" t="s">
        <v>832</v>
      </c>
      <c r="F40" s="2586"/>
      <c r="G40" s="587"/>
    </row>
    <row r="41" spans="2:10" ht="16" customHeight="1">
      <c r="C41" s="480" t="s">
        <v>819</v>
      </c>
      <c r="D41" s="3828" t="s">
        <v>801</v>
      </c>
      <c r="F41" s="2100"/>
      <c r="G41" s="587"/>
    </row>
    <row r="42" spans="2:10" ht="16" customHeight="1">
      <c r="C42" s="591"/>
      <c r="D42" s="3829"/>
      <c r="F42" s="2584"/>
      <c r="G42" s="587"/>
    </row>
    <row r="43" spans="2:10" ht="16" customHeight="1">
      <c r="C43" s="591"/>
      <c r="D43" s="3829"/>
      <c r="F43" s="2584"/>
      <c r="G43" s="587"/>
    </row>
    <row r="44" spans="2:10">
      <c r="B44" s="79"/>
      <c r="C44" s="481"/>
      <c r="D44" s="3830"/>
      <c r="F44" s="79"/>
      <c r="G44" s="587"/>
    </row>
    <row r="45" spans="2:10" ht="16" customHeight="1" thickBot="1">
      <c r="B45" s="591" t="s">
        <v>862</v>
      </c>
      <c r="C45" s="2528" t="s">
        <v>1920</v>
      </c>
      <c r="D45" s="689">
        <f>'Policy and Education'!$AB$23</f>
        <v>3848129.9999999967</v>
      </c>
      <c r="F45" s="384"/>
      <c r="G45" s="587"/>
    </row>
    <row r="46" spans="2:10" ht="16" customHeight="1" thickBot="1">
      <c r="B46" s="79"/>
      <c r="C46" s="2599" t="s">
        <v>1934</v>
      </c>
      <c r="D46" s="2600">
        <f>COUNTA(D18:D33)</f>
        <v>5</v>
      </c>
      <c r="F46" s="384"/>
      <c r="G46" s="587"/>
    </row>
    <row r="47" spans="2:10">
      <c r="C47" s="771" t="s">
        <v>833</v>
      </c>
      <c r="D47" s="778">
        <f>SUM(D45:D45)*D46</f>
        <v>19240649.999999985</v>
      </c>
      <c r="E47" s="2089"/>
      <c r="F47" s="2531"/>
    </row>
    <row r="48" spans="2:10">
      <c r="B48" s="811"/>
      <c r="E48" s="16"/>
    </row>
    <row r="49" spans="2:23">
      <c r="B49" s="811"/>
      <c r="C49" s="16"/>
      <c r="D49" s="16"/>
    </row>
    <row r="50" spans="2:23">
      <c r="B50" s="811"/>
      <c r="C50" s="28" t="s">
        <v>822</v>
      </c>
      <c r="D50" s="28"/>
      <c r="E50" s="1209"/>
      <c r="F50" s="3"/>
    </row>
    <row r="51" spans="2:23" ht="16" customHeight="1" thickBot="1">
      <c r="B51" s="811"/>
      <c r="C51" s="2594" t="s">
        <v>1920</v>
      </c>
      <c r="D51" s="2601">
        <f>'Policy and Education'!$Z$23</f>
        <v>1571129.9999999986</v>
      </c>
      <c r="E51" s="79"/>
      <c r="F51" s="779"/>
      <c r="G51" s="79"/>
      <c r="H51" s="79"/>
      <c r="I51" s="79"/>
      <c r="J51" s="79"/>
      <c r="K51" s="609"/>
      <c r="L51" s="609"/>
      <c r="M51" s="609"/>
      <c r="N51" s="609"/>
      <c r="O51" s="609"/>
    </row>
    <row r="52" spans="2:23" ht="16" customHeight="1" thickBot="1">
      <c r="B52" s="811"/>
      <c r="C52" s="2599" t="s">
        <v>1934</v>
      </c>
      <c r="D52" s="2602">
        <f>D46</f>
        <v>5</v>
      </c>
      <c r="E52" s="79"/>
      <c r="F52" s="779"/>
      <c r="G52" s="79"/>
      <c r="H52" s="79"/>
      <c r="I52" s="79"/>
      <c r="J52" s="79"/>
      <c r="K52" s="609"/>
      <c r="L52" s="609"/>
      <c r="M52" s="609"/>
      <c r="N52" s="609"/>
      <c r="O52" s="609"/>
    </row>
    <row r="53" spans="2:23">
      <c r="B53" s="811"/>
      <c r="C53" s="2103" t="s">
        <v>766</v>
      </c>
      <c r="D53" s="778">
        <f>SUM(D51:D51)*D52</f>
        <v>7855649.9999999925</v>
      </c>
      <c r="E53" s="1209"/>
      <c r="F53" s="779"/>
      <c r="I53" s="543"/>
      <c r="J53" s="543"/>
      <c r="K53" s="609"/>
      <c r="L53" s="609"/>
      <c r="M53" s="609"/>
      <c r="N53" s="609"/>
      <c r="O53" s="609"/>
    </row>
    <row r="54" spans="2:23">
      <c r="E54" s="79"/>
    </row>
    <row r="56" spans="2:23">
      <c r="W56" s="587"/>
    </row>
  </sheetData>
  <mergeCells count="1">
    <mergeCell ref="D41:D44"/>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P578"/>
  <sheetViews>
    <sheetView showGridLines="0" zoomScaleNormal="100" workbookViewId="0">
      <selection activeCell="H36" sqref="H36"/>
    </sheetView>
  </sheetViews>
  <sheetFormatPr baseColWidth="10" defaultColWidth="11" defaultRowHeight="16"/>
  <cols>
    <col min="1" max="1" width="2.6640625" customWidth="1"/>
    <col min="2" max="2" width="4.83203125" customWidth="1"/>
    <col min="3" max="3" width="26.1640625" customWidth="1"/>
    <col min="4" max="4" width="25.6640625" style="24" customWidth="1"/>
    <col min="5" max="5" width="12.5" style="16" customWidth="1"/>
    <col min="6" max="6" width="18.5" customWidth="1"/>
    <col min="7" max="7" width="16.1640625" style="359" customWidth="1"/>
    <col min="8" max="8" width="11.6640625" customWidth="1"/>
    <col min="9" max="9" width="17.33203125" customWidth="1"/>
    <col min="10" max="10" width="14.5" customWidth="1"/>
    <col min="11" max="11" width="9.83203125" customWidth="1"/>
    <col min="12" max="12" width="12.1640625" customWidth="1"/>
    <col min="13" max="13" width="2.1640625" customWidth="1"/>
    <col min="14" max="14" width="11.33203125" customWidth="1" collapsed="1"/>
    <col min="15" max="15" width="36.1640625" customWidth="1"/>
    <col min="16" max="16" width="11.33203125" customWidth="1"/>
    <col min="17" max="19" width="11.33203125" style="2791" customWidth="1"/>
    <col min="20" max="20" width="8.33203125" customWidth="1"/>
    <col min="21" max="21" width="11.1640625" customWidth="1"/>
    <col min="22" max="26" width="11.6640625" customWidth="1"/>
    <col min="27" max="27" width="19.33203125" customWidth="1" collapsed="1"/>
    <col min="28" max="28" width="16.6640625" customWidth="1"/>
    <col min="29" max="29" width="12.1640625" customWidth="1"/>
    <col min="30" max="30" width="21" customWidth="1"/>
    <col min="31" max="31" width="23.5" customWidth="1"/>
    <col min="32" max="32" width="37.5" customWidth="1"/>
    <col min="33" max="33" width="11" bestFit="1" customWidth="1"/>
    <col min="34" max="34" width="14.33203125" customWidth="1"/>
    <col min="35" max="35" width="12.83203125" bestFit="1" customWidth="1"/>
    <col min="36" max="36" width="12" bestFit="1" customWidth="1"/>
    <col min="37" max="37" width="11" bestFit="1" customWidth="1"/>
    <col min="42" max="42" width="12.5" bestFit="1" customWidth="1"/>
  </cols>
  <sheetData>
    <row r="1" spans="2:35">
      <c r="B1" s="3" t="s">
        <v>19</v>
      </c>
      <c r="C1" s="24"/>
      <c r="E1"/>
      <c r="F1" s="359"/>
      <c r="G1"/>
      <c r="H1" s="359"/>
      <c r="O1" s="276"/>
      <c r="P1" s="276"/>
      <c r="Q1" s="276"/>
      <c r="R1" s="276"/>
      <c r="S1" s="276"/>
      <c r="T1" s="276"/>
      <c r="U1" s="276"/>
      <c r="V1" s="276"/>
      <c r="W1" s="276"/>
      <c r="X1" s="276"/>
      <c r="Y1" s="276"/>
      <c r="Z1" s="276"/>
    </row>
    <row r="2" spans="2:35" ht="16" customHeight="1">
      <c r="C2" s="24" t="s">
        <v>10</v>
      </c>
      <c r="D2" s="16" t="s">
        <v>1903</v>
      </c>
      <c r="E2"/>
      <c r="F2" s="359"/>
      <c r="G2"/>
      <c r="H2" s="359"/>
      <c r="O2" s="1396"/>
      <c r="P2" s="4077"/>
      <c r="Q2" s="4077"/>
      <c r="R2" s="4077"/>
      <c r="S2" s="4077"/>
      <c r="T2" s="4077"/>
      <c r="U2" s="4077"/>
      <c r="V2" s="4077"/>
      <c r="W2" s="4077"/>
      <c r="X2" s="4077"/>
      <c r="Y2" s="4077"/>
      <c r="Z2" s="4077"/>
      <c r="AB2" s="2547"/>
      <c r="AE2" s="2548"/>
    </row>
    <row r="3" spans="2:35" ht="16" customHeight="1">
      <c r="C3" s="24" t="s">
        <v>0</v>
      </c>
      <c r="D3" s="16" t="s">
        <v>1904</v>
      </c>
      <c r="E3"/>
      <c r="F3" s="359"/>
      <c r="G3"/>
      <c r="H3" s="359"/>
      <c r="O3" s="1396"/>
      <c r="P3" s="4077"/>
      <c r="Q3" s="4077"/>
      <c r="R3" s="4077"/>
      <c r="S3" s="4077"/>
      <c r="T3" s="4077"/>
      <c r="U3" s="4077"/>
      <c r="V3" s="4077"/>
      <c r="W3" s="4077"/>
      <c r="X3" s="4077"/>
      <c r="Y3" s="4077"/>
      <c r="Z3" s="4077"/>
      <c r="AB3" s="2547"/>
      <c r="AE3" s="2548"/>
    </row>
    <row r="4" spans="2:35" ht="16" customHeight="1">
      <c r="B4" s="3"/>
      <c r="C4" s="24" t="s">
        <v>1</v>
      </c>
      <c r="D4" s="16" t="s">
        <v>1905</v>
      </c>
      <c r="E4"/>
      <c r="F4" s="359"/>
      <c r="G4"/>
      <c r="H4" s="359"/>
      <c r="O4" s="1396"/>
      <c r="P4" s="4077"/>
      <c r="Q4" s="4077"/>
      <c r="R4" s="4077"/>
      <c r="S4" s="4077"/>
      <c r="T4" s="4077"/>
      <c r="U4" s="4077"/>
      <c r="V4" s="4077"/>
      <c r="W4" s="4077"/>
      <c r="X4" s="4077"/>
      <c r="Y4" s="4077"/>
      <c r="Z4" s="4077"/>
      <c r="AB4" s="2547"/>
      <c r="AE4" s="2548"/>
    </row>
    <row r="5" spans="2:35" ht="16" customHeight="1">
      <c r="B5" s="3" t="s">
        <v>20</v>
      </c>
      <c r="C5" s="24"/>
      <c r="D5" s="16"/>
      <c r="E5"/>
      <c r="F5" s="359"/>
      <c r="H5" s="1"/>
      <c r="I5" s="359"/>
      <c r="O5" s="1396"/>
      <c r="P5" s="4077"/>
      <c r="Q5" s="4077"/>
      <c r="R5" s="4077"/>
      <c r="S5" s="4077"/>
      <c r="T5" s="4077"/>
      <c r="U5" s="4077"/>
      <c r="V5" s="4077"/>
      <c r="W5" s="4077"/>
      <c r="X5" s="4077"/>
      <c r="Y5" s="4077"/>
      <c r="Z5" s="4077"/>
      <c r="AC5" s="2547"/>
      <c r="AF5" s="2548"/>
    </row>
    <row r="6" spans="2:35">
      <c r="C6" s="24" t="s">
        <v>2</v>
      </c>
      <c r="D6" s="16" t="s">
        <v>1902</v>
      </c>
      <c r="F6" s="359"/>
      <c r="I6" s="359"/>
      <c r="O6" s="1396"/>
      <c r="P6" s="4077"/>
      <c r="Q6" s="4077"/>
      <c r="R6" s="4077"/>
      <c r="S6" s="4077"/>
      <c r="T6" s="4077"/>
      <c r="U6" s="4077"/>
      <c r="V6" s="4077"/>
      <c r="W6" s="4077"/>
      <c r="X6" s="4077"/>
      <c r="Y6" s="4077"/>
      <c r="Z6" s="4077"/>
      <c r="AC6" s="3831"/>
      <c r="AF6" s="3832"/>
    </row>
    <row r="7" spans="2:35">
      <c r="C7" s="24" t="s">
        <v>22</v>
      </c>
      <c r="D7" s="16" t="s">
        <v>1901</v>
      </c>
      <c r="F7" s="359"/>
      <c r="I7" s="359"/>
      <c r="O7" s="1396"/>
      <c r="P7" s="4077"/>
      <c r="Q7" s="4077"/>
      <c r="R7" s="4077"/>
      <c r="S7" s="4077"/>
      <c r="T7" s="4077"/>
      <c r="U7" s="4077"/>
      <c r="V7" s="4077"/>
      <c r="W7" s="4077"/>
      <c r="X7" s="4077"/>
      <c r="Y7" s="4077"/>
      <c r="Z7" s="4077"/>
      <c r="AC7" s="3831"/>
      <c r="AF7" s="3832"/>
    </row>
    <row r="8" spans="2:35">
      <c r="C8" s="24" t="s">
        <v>7</v>
      </c>
      <c r="D8" s="16" t="s">
        <v>29</v>
      </c>
      <c r="F8" s="359"/>
      <c r="I8" s="359"/>
      <c r="O8" s="1396"/>
      <c r="P8" s="4077"/>
      <c r="Q8" s="4077"/>
      <c r="R8" s="4077"/>
      <c r="S8" s="4077"/>
      <c r="T8" s="4077"/>
      <c r="U8" s="4077"/>
      <c r="V8" s="4077"/>
      <c r="W8" s="4077"/>
      <c r="X8" s="4077"/>
      <c r="Y8" s="4077"/>
      <c r="Z8" s="4077"/>
      <c r="AC8" s="3831"/>
      <c r="AF8" s="3832"/>
    </row>
    <row r="9" spans="2:35">
      <c r="C9" s="24" t="s">
        <v>8</v>
      </c>
      <c r="D9" s="16" t="s">
        <v>583</v>
      </c>
      <c r="F9" s="359"/>
      <c r="I9" s="359"/>
      <c r="O9" s="1396"/>
      <c r="P9" s="4077"/>
      <c r="Q9" s="4077"/>
      <c r="R9" s="4077"/>
      <c r="S9" s="4077"/>
      <c r="T9" s="4077"/>
      <c r="U9" s="4077"/>
      <c r="V9" s="4077"/>
      <c r="W9" s="4077"/>
      <c r="X9" s="4077"/>
      <c r="Y9" s="4077"/>
      <c r="Z9" s="4077"/>
      <c r="AC9" s="3831"/>
      <c r="AF9" s="3832"/>
    </row>
    <row r="10" spans="2:35" ht="19">
      <c r="C10" s="24"/>
      <c r="D10" s="16"/>
      <c r="F10" s="359"/>
      <c r="I10" s="359"/>
      <c r="O10" s="1396"/>
      <c r="P10" s="4077"/>
      <c r="Q10" s="4077"/>
      <c r="R10" s="4077"/>
      <c r="S10" s="4077"/>
      <c r="T10" s="4077"/>
      <c r="U10" s="4077"/>
      <c r="V10" s="4077"/>
      <c r="W10" s="4077"/>
      <c r="X10" s="4077"/>
      <c r="Y10" s="4077"/>
      <c r="Z10" s="4077"/>
      <c r="AC10" s="2547"/>
      <c r="AF10" s="2548"/>
    </row>
    <row r="11" spans="2:35" ht="19">
      <c r="B11" s="904" t="s">
        <v>140</v>
      </c>
      <c r="C11" s="113"/>
      <c r="D11" s="16"/>
      <c r="F11" s="359"/>
      <c r="I11" s="359"/>
      <c r="O11" s="1396"/>
      <c r="P11" s="4077"/>
      <c r="Q11" s="4077"/>
      <c r="R11" s="4077"/>
      <c r="S11" s="4077"/>
      <c r="T11" s="4077"/>
      <c r="U11" s="4077"/>
      <c r="V11" s="4077"/>
      <c r="W11" s="4077"/>
      <c r="X11" s="4077"/>
      <c r="Y11" s="4077"/>
      <c r="Z11" s="4077"/>
      <c r="AA11" s="2953" t="s">
        <v>2305</v>
      </c>
      <c r="AB11" s="2953"/>
      <c r="AC11" s="2547"/>
      <c r="AF11" s="2548"/>
    </row>
    <row r="12" spans="2:35" ht="19">
      <c r="C12" s="31" t="s">
        <v>960</v>
      </c>
      <c r="D12" s="16"/>
      <c r="F12" s="359"/>
      <c r="I12" s="359"/>
      <c r="O12" s="1396"/>
      <c r="P12" s="4077"/>
      <c r="Q12" s="4077"/>
      <c r="R12" s="4077"/>
      <c r="S12" s="4077"/>
      <c r="T12" s="4077"/>
      <c r="U12" s="4077"/>
      <c r="V12" s="4077"/>
      <c r="W12" s="4077"/>
      <c r="X12" s="4077"/>
      <c r="Y12" s="4077"/>
      <c r="Z12" s="4077"/>
      <c r="AA12" s="204">
        <f>SUMIF(T23:T104,"L",AA23:AA104)-AA13-AA15</f>
        <v>264.51181842210082</v>
      </c>
      <c r="AB12" s="2953" t="s">
        <v>2303</v>
      </c>
      <c r="AC12" s="2547"/>
      <c r="AF12" s="2548"/>
    </row>
    <row r="13" spans="2:35" ht="19">
      <c r="C13" s="955" t="s">
        <v>961</v>
      </c>
      <c r="D13" s="16"/>
      <c r="F13" s="359"/>
      <c r="I13" s="359"/>
      <c r="O13" s="2603"/>
      <c r="P13" s="4078"/>
      <c r="Q13" s="4078"/>
      <c r="R13" s="4078"/>
      <c r="S13" s="4078"/>
      <c r="T13" s="4078"/>
      <c r="U13" s="4078"/>
      <c r="V13" s="4078"/>
      <c r="W13" s="4078"/>
      <c r="X13" s="4078"/>
      <c r="Y13" s="4078"/>
      <c r="Z13" s="4078"/>
      <c r="AA13" s="454">
        <f>AA39</f>
        <v>1566629.9999999986</v>
      </c>
      <c r="AB13" s="2953" t="s">
        <v>2304</v>
      </c>
      <c r="AC13" s="2547"/>
      <c r="AF13" s="2548"/>
    </row>
    <row r="14" spans="2:35" ht="16" customHeight="1">
      <c r="C14" t="s">
        <v>976</v>
      </c>
      <c r="D14" s="16"/>
      <c r="F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SUM(AA31,AA35,AA51,AA55)</f>
        <v>144.65187443946178</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2399"/>
      <c r="AE17" s="2400"/>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2401"/>
      <c r="AE18" s="2402"/>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2549"/>
      <c r="C21" s="3767" t="s">
        <v>185</v>
      </c>
      <c r="D21" s="3769" t="s">
        <v>13</v>
      </c>
      <c r="E21" s="3769" t="s">
        <v>30</v>
      </c>
      <c r="F21" s="3833" t="s">
        <v>2310</v>
      </c>
      <c r="G21" s="3834"/>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2546"/>
      <c r="AG21" s="2546"/>
      <c r="AH21" s="909" t="s">
        <v>66</v>
      </c>
      <c r="AI21" s="895"/>
      <c r="AJ21" s="3748" t="s">
        <v>190</v>
      </c>
      <c r="AK21" s="3748" t="s">
        <v>181</v>
      </c>
    </row>
    <row r="22" spans="1:37" s="893" customFormat="1" ht="51" customHeight="1">
      <c r="B22" s="2550" t="s">
        <v>205</v>
      </c>
      <c r="C22" s="3768"/>
      <c r="D22" s="3770"/>
      <c r="E22" s="3770"/>
      <c r="F22" s="3559" t="s">
        <v>2309</v>
      </c>
      <c r="G22" s="3560" t="s">
        <v>2318</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2546"/>
      <c r="AG22" s="893" t="s">
        <v>732</v>
      </c>
      <c r="AH22" s="2551" t="s">
        <v>17</v>
      </c>
      <c r="AI22" s="898" t="s">
        <v>18</v>
      </c>
      <c r="AJ22" s="3749"/>
      <c r="AK22" s="3749"/>
    </row>
    <row r="23" spans="1:37" ht="19" customHeight="1">
      <c r="B23" s="260">
        <v>1</v>
      </c>
      <c r="C23" s="3844" t="s">
        <v>201</v>
      </c>
      <c r="D23" s="3847" t="s">
        <v>131</v>
      </c>
      <c r="E23" s="12" t="s">
        <v>3</v>
      </c>
      <c r="F23" s="3473"/>
      <c r="G23" s="3473">
        <f>E97</f>
        <v>20</v>
      </c>
      <c r="H23" s="188">
        <f>F97</f>
        <v>6750</v>
      </c>
      <c r="I23" s="921" t="s">
        <v>407</v>
      </c>
      <c r="J23" s="377" t="str">
        <f>IF(K23=1,"Annual","Done every "&amp;K23&amp;" years")</f>
        <v>Annual</v>
      </c>
      <c r="K23" s="11">
        <f>$D$84</f>
        <v>1</v>
      </c>
      <c r="L23" s="1043">
        <f>$L$16/K23</f>
        <v>80</v>
      </c>
      <c r="M23" s="171">
        <f>$L$16/L23</f>
        <v>1</v>
      </c>
      <c r="N23" s="240">
        <f>$H23*(1-(1+$L$15)^-(L23*M23))/((1+$L$15)^M23-1)*(1+((1+$L$15)^M23-1))</f>
        <v>167886.05076478145</v>
      </c>
      <c r="O23" s="191">
        <f>N23/(1+$L$15)*($L$15)/(1-(1+$L$15)^-$L$16)</f>
        <v>6749.9999999999945</v>
      </c>
      <c r="P23" s="195">
        <f>SUM(O23:O26)</f>
        <v>6749.9999999999945</v>
      </c>
      <c r="Q23" s="3016"/>
      <c r="R23" s="3016"/>
      <c r="S23" s="3016"/>
      <c r="T23" s="1031" t="s">
        <v>808</v>
      </c>
      <c r="U23" s="583">
        <f>O23/$U$16</f>
        <v>67.499999999999943</v>
      </c>
      <c r="V23" s="583">
        <f>IF($T23="L",SUM($U23:U23)*V$16,"")</f>
        <v>20.249999999999982</v>
      </c>
      <c r="W23" s="1474"/>
      <c r="X23" s="583">
        <f>IF($U23="","",SUM($U23:W23)*X$16)</f>
        <v>26.324999999999978</v>
      </c>
      <c r="Y23" s="240">
        <f t="shared" ref="Y23:Y29" si="0">IF($U23="","",SUM(V23:X23))</f>
        <v>46.57499999999996</v>
      </c>
      <c r="Z23" s="240">
        <f>SUM(V23:X26)</f>
        <v>46.57499999999996</v>
      </c>
      <c r="AA23" s="191">
        <f t="shared" ref="AA23:AA29" si="1">IF($U23="","",SUM(U23,Y23))</f>
        <v>114.0749999999999</v>
      </c>
      <c r="AB23" s="195">
        <f>SUM(AA23:AA26)</f>
        <v>114.0749999999999</v>
      </c>
      <c r="AC23" s="889">
        <f t="shared" ref="AC23:AC29" ca="1" si="2">IF(AA23="","",AA23/OFFSET($AB$23,AF23,0))</f>
        <v>1</v>
      </c>
      <c r="AD23" s="941"/>
      <c r="AE23" s="1063"/>
      <c r="AF23" s="587">
        <v>0</v>
      </c>
      <c r="AG23" s="816">
        <f ca="1">SUM(AC23:AC26)-1</f>
        <v>0</v>
      </c>
      <c r="AH23" s="13">
        <f>$AH$16/K23</f>
        <v>5</v>
      </c>
      <c r="AI23" s="13">
        <f>$AH$16/AH23</f>
        <v>1</v>
      </c>
      <c r="AJ23" s="14">
        <f>$H23*(1-(1+$L$15)^-(AH23*AI23))/((1+$L$15)^AI23-1)*(1+((1+$L$15)^AI23-1))</f>
        <v>31251.792763733778</v>
      </c>
      <c r="AK23" s="191">
        <f>SUM(AJ23:AJ26)</f>
        <v>31251.792763733778</v>
      </c>
    </row>
    <row r="24" spans="1:37" ht="19" customHeight="1">
      <c r="B24" s="261"/>
      <c r="C24" s="3845"/>
      <c r="D24" s="3848"/>
      <c r="E24" s="12" t="s">
        <v>308</v>
      </c>
      <c r="F24" s="3473"/>
      <c r="G24" s="3473"/>
      <c r="H24" s="188"/>
      <c r="I24" s="921"/>
      <c r="J24" s="377"/>
      <c r="K24" s="11"/>
      <c r="L24" s="1044"/>
      <c r="M24" s="944"/>
      <c r="N24" s="241"/>
      <c r="O24" s="342"/>
      <c r="P24" s="193"/>
      <c r="Q24" s="3017">
        <v>0</v>
      </c>
      <c r="R24" s="3017">
        <v>0</v>
      </c>
      <c r="S24" s="3017">
        <v>0</v>
      </c>
      <c r="T24" s="1032" t="s">
        <v>809</v>
      </c>
      <c r="U24" s="585"/>
      <c r="V24" s="585" t="str">
        <f>IF($T24="L",SUM($U24:U24)*V$16,"")</f>
        <v/>
      </c>
      <c r="W24" s="1475"/>
      <c r="X24" s="585" t="str">
        <f>IF($U24="","",SUM($U24:W24)*X$16)</f>
        <v/>
      </c>
      <c r="Y24" s="242" t="str">
        <f t="shared" si="0"/>
        <v/>
      </c>
      <c r="Z24" s="242"/>
      <c r="AA24" s="342" t="str">
        <f t="shared" si="1"/>
        <v/>
      </c>
      <c r="AB24" s="193"/>
      <c r="AC24" s="890" t="str">
        <f t="shared" ca="1" si="2"/>
        <v/>
      </c>
      <c r="AD24" s="582"/>
      <c r="AE24" s="573"/>
      <c r="AF24" s="587">
        <f>AF23</f>
        <v>0</v>
      </c>
      <c r="AG24" s="587"/>
      <c r="AH24" s="13"/>
      <c r="AI24" s="13"/>
      <c r="AJ24" s="189"/>
      <c r="AK24" s="342"/>
    </row>
    <row r="25" spans="1:37" ht="16" customHeight="1">
      <c r="B25" s="261"/>
      <c r="C25" s="3845"/>
      <c r="D25" s="3848"/>
      <c r="E25" s="12" t="s">
        <v>4</v>
      </c>
      <c r="F25" s="3473"/>
      <c r="G25" s="3473"/>
      <c r="H25" s="188"/>
      <c r="I25" s="921"/>
      <c r="J25" s="377"/>
      <c r="K25" s="11"/>
      <c r="L25" s="1044"/>
      <c r="M25" s="944"/>
      <c r="N25" s="241"/>
      <c r="O25" s="342"/>
      <c r="P25" s="193"/>
      <c r="Q25" s="3017"/>
      <c r="R25" s="3017"/>
      <c r="S25" s="3017"/>
      <c r="T25" s="1032" t="s">
        <v>810</v>
      </c>
      <c r="U25" s="585"/>
      <c r="V25" s="585" t="str">
        <f>IF($T25="L",SUM($U25:U25)*V$16,"")</f>
        <v/>
      </c>
      <c r="W25" s="1475"/>
      <c r="X25" s="585" t="str">
        <f>IF($U25="","",SUM($U25:W25)*X$16)</f>
        <v/>
      </c>
      <c r="Y25" s="242" t="str">
        <f t="shared" si="0"/>
        <v/>
      </c>
      <c r="Z25" s="242"/>
      <c r="AA25" s="342" t="str">
        <f t="shared" si="1"/>
        <v/>
      </c>
      <c r="AB25" s="193"/>
      <c r="AC25" s="890" t="str">
        <f t="shared" ca="1" si="2"/>
        <v/>
      </c>
      <c r="AD25" s="582"/>
      <c r="AE25" s="573"/>
      <c r="AF25" s="587">
        <f>AF24</f>
        <v>0</v>
      </c>
      <c r="AG25" s="587"/>
      <c r="AH25" s="13"/>
      <c r="AI25" s="13"/>
      <c r="AJ25" s="189"/>
      <c r="AK25" s="342"/>
    </row>
    <row r="26" spans="1:37" ht="19" customHeight="1">
      <c r="B26" s="923"/>
      <c r="C26" s="3846"/>
      <c r="D26" s="3849"/>
      <c r="E26" s="12" t="s">
        <v>21</v>
      </c>
      <c r="F26" s="3473"/>
      <c r="G26" s="3473"/>
      <c r="H26" s="188"/>
      <c r="I26" s="921"/>
      <c r="J26" s="377"/>
      <c r="K26" s="11"/>
      <c r="L26" s="1045"/>
      <c r="M26" s="945"/>
      <c r="N26" s="243"/>
      <c r="O26" s="343"/>
      <c r="P26" s="196"/>
      <c r="Q26" s="3018"/>
      <c r="R26" s="3018"/>
      <c r="S26" s="3018"/>
      <c r="T26" s="1033" t="s">
        <v>811</v>
      </c>
      <c r="U26" s="891"/>
      <c r="V26" s="891" t="str">
        <f>IF($T26="L",SUM($U26:U26)*V$16,"")</f>
        <v/>
      </c>
      <c r="W26" s="1478"/>
      <c r="X26" s="891" t="str">
        <f>IF($U26="","",SUM($U26:W26)*X$16)</f>
        <v/>
      </c>
      <c r="Y26" s="244" t="str">
        <f t="shared" si="0"/>
        <v/>
      </c>
      <c r="Z26" s="244"/>
      <c r="AA26" s="343" t="str">
        <f t="shared" si="1"/>
        <v/>
      </c>
      <c r="AB26" s="196"/>
      <c r="AC26" s="892" t="str">
        <f t="shared" ca="1" si="2"/>
        <v/>
      </c>
      <c r="AD26" s="942"/>
      <c r="AE26" s="1065"/>
      <c r="AF26" s="587">
        <f>AF25</f>
        <v>0</v>
      </c>
      <c r="AG26" s="587"/>
      <c r="AH26" s="13"/>
      <c r="AI26" s="13"/>
      <c r="AJ26" s="189"/>
      <c r="AK26" s="342"/>
    </row>
    <row r="27" spans="1:37" ht="18" customHeight="1">
      <c r="A27" s="390"/>
      <c r="B27" s="710">
        <v>2.1</v>
      </c>
      <c r="C27" s="2541" t="s">
        <v>1005</v>
      </c>
      <c r="D27" s="3850" t="s">
        <v>1913</v>
      </c>
      <c r="E27" s="373" t="s">
        <v>3</v>
      </c>
      <c r="F27" s="3474"/>
      <c r="G27" s="3474">
        <f>$E$206</f>
        <v>6.2541106128550075</v>
      </c>
      <c r="H27" s="370">
        <f>H206</f>
        <v>1407.1748878923768</v>
      </c>
      <c r="I27" s="613" t="s">
        <v>475</v>
      </c>
      <c r="J27" s="375" t="str">
        <f>IF(K27=1,"Annual","Done every "&amp;K27&amp;" years")</f>
        <v>Annual</v>
      </c>
      <c r="K27" s="371">
        <f>L206</f>
        <v>1</v>
      </c>
      <c r="L27" s="386">
        <f t="shared" ref="L27:M29" si="3">$L$16/K27</f>
        <v>80</v>
      </c>
      <c r="M27" s="371">
        <f t="shared" si="3"/>
        <v>1</v>
      </c>
      <c r="N27" s="370">
        <f>$H27*(1-(1+$L$15)^-(L27*M27))/((1+$L$15)^M27-1)*(1+((1+$L$15)^M27-1))</f>
        <v>34999.264394611135</v>
      </c>
      <c r="O27" s="640">
        <f>N27/(1+$L$15)*($L$15)/(1-(1+$L$15)^-$L$16)</f>
        <v>1407.1748878923752</v>
      </c>
      <c r="P27" s="980">
        <f>SUM(O27:O30)</f>
        <v>3558.3856502242124</v>
      </c>
      <c r="Q27" s="3020"/>
      <c r="R27" s="3020"/>
      <c r="S27" s="3020"/>
      <c r="T27" s="1034" t="s">
        <v>808</v>
      </c>
      <c r="U27" s="642">
        <f t="shared" ref="U27:U33" si="4">O27/$U$16</f>
        <v>14.071748878923751</v>
      </c>
      <c r="V27" s="644">
        <f>IF($T27="L",SUM($U27:U27)*V$16,"")</f>
        <v>4.2215246636771253</v>
      </c>
      <c r="W27" s="644">
        <f>IF($U27="","",IF(OR($T27="L",$T27="T",$T27="C"),SUM($U27:V27)*W$16,""))</f>
        <v>1.8293273542600876</v>
      </c>
      <c r="X27" s="644">
        <f>IF($U27="","",SUM($U27:W27)*X$16)</f>
        <v>6.0367802690582888</v>
      </c>
      <c r="Y27" s="388">
        <f t="shared" si="0"/>
        <v>12.087632286995502</v>
      </c>
      <c r="Z27" s="392">
        <f>SUM(V27:X30)</f>
        <v>21.337838565022402</v>
      </c>
      <c r="AA27" s="734">
        <f t="shared" si="1"/>
        <v>26.159381165919253</v>
      </c>
      <c r="AB27" s="392">
        <f>SUM(AA27:AA30)</f>
        <v>56.921695067264523</v>
      </c>
      <c r="AC27" s="888">
        <f t="shared" ca="1" si="2"/>
        <v>0.45956785255615878</v>
      </c>
      <c r="AD27" s="641"/>
      <c r="AE27" s="1066"/>
      <c r="AF27" s="587">
        <v>4</v>
      </c>
      <c r="AG27" s="816">
        <f ca="1">SUM(AC27:AC30)-1</f>
        <v>0</v>
      </c>
      <c r="AH27" s="387">
        <f>$AH$16/K27</f>
        <v>5</v>
      </c>
      <c r="AI27" s="387">
        <f>$AH$16/AH27</f>
        <v>1</v>
      </c>
      <c r="AJ27" s="370">
        <f>$H27*(1-(1+$L$15)^-(AH27*AI27))/((1+$L$15)^AI27-1)*(1+((1+$L$15)^AI27-1))</f>
        <v>6515.0722931470918</v>
      </c>
      <c r="AK27" s="980">
        <f>SUM(AJ27:AJ30)</f>
        <v>16474.95272803722</v>
      </c>
    </row>
    <row r="28" spans="1:37" ht="19" customHeight="1">
      <c r="A28" s="390"/>
      <c r="B28" s="710"/>
      <c r="C28" s="2542" t="s">
        <v>749</v>
      </c>
      <c r="D28" s="3851"/>
      <c r="E28" s="373" t="s">
        <v>308</v>
      </c>
      <c r="F28" s="3474">
        <f>$D$193</f>
        <v>1</v>
      </c>
      <c r="G28" s="3474">
        <f>$E$207</f>
        <v>3.1270553064275037</v>
      </c>
      <c r="H28" s="882">
        <f>H207</f>
        <v>891.21076233183862</v>
      </c>
      <c r="I28" s="613" t="s">
        <v>797</v>
      </c>
      <c r="J28" s="375" t="str">
        <f>IF(K28=1,"Annual","Done every "&amp;K28&amp;" years")</f>
        <v>Annual</v>
      </c>
      <c r="K28" s="371">
        <f>L207</f>
        <v>1</v>
      </c>
      <c r="L28" s="386">
        <f t="shared" si="3"/>
        <v>80</v>
      </c>
      <c r="M28" s="371">
        <f t="shared" si="3"/>
        <v>1</v>
      </c>
      <c r="N28" s="370">
        <f>$H28*(1-(1+$L$15)^-(L28*M28))/((1+$L$15)^M28-1)*(1+((1+$L$15)^M28-1))</f>
        <v>22166.200783253724</v>
      </c>
      <c r="O28" s="640">
        <f>N28/(1+$L$15)*($L$15)/(1-(1+$L$15)^-$L$16)</f>
        <v>891.21076233183794</v>
      </c>
      <c r="P28" s="981"/>
      <c r="Q28" s="2955">
        <f>1*(1-(1+$L$15)^-(L28*M28))/((1+$L$15)^M28-1)*(1+((1+$L$15)^M28-1))</f>
        <v>24.872007520708362</v>
      </c>
      <c r="R28" s="2955">
        <f>Q28/(1+$L$15)*($L$15)/(1-(1+$L$15)^-$L$16)</f>
        <v>0.99999999999999911</v>
      </c>
      <c r="S28" s="2955">
        <f>F28*R28</f>
        <v>0.99999999999999911</v>
      </c>
      <c r="T28" s="1034" t="s">
        <v>809</v>
      </c>
      <c r="U28" s="639">
        <f t="shared" si="4"/>
        <v>8.9121076233183789</v>
      </c>
      <c r="V28" s="644" t="str">
        <f>IF($T28="L",SUM($U28:U28)*V$16,"")</f>
        <v/>
      </c>
      <c r="W28" s="644">
        <f>IF($U28="","",IF(OR($T28="L",$T28="T",$T28="C"),SUM($U28:V28)*W$16,""))</f>
        <v>0.89121076233183794</v>
      </c>
      <c r="X28" s="644">
        <f>IF($U28="","",SUM($U28:W28)*X$16)</f>
        <v>2.9409955156950649</v>
      </c>
      <c r="Y28" s="394">
        <f t="shared" si="0"/>
        <v>3.8322062780269031</v>
      </c>
      <c r="Z28" s="392"/>
      <c r="AA28" s="734">
        <f t="shared" si="1"/>
        <v>12.744313901345283</v>
      </c>
      <c r="AB28" s="392"/>
      <c r="AC28" s="729">
        <f t="shared" ca="1" si="2"/>
        <v>0.2238920307324877</v>
      </c>
      <c r="AD28" s="641"/>
      <c r="AE28" s="1066"/>
      <c r="AF28" s="587">
        <f>AF27</f>
        <v>4</v>
      </c>
      <c r="AG28" s="587"/>
      <c r="AH28" s="387">
        <f>$AH$16/K28</f>
        <v>5</v>
      </c>
      <c r="AI28" s="387">
        <f>$AH$16/AH28</f>
        <v>1</v>
      </c>
      <c r="AJ28" s="370">
        <f>$H28*(1-(1+$L$15)^-(AH28*AI28))/((1+$L$15)^AI28-1)*(1+((1+$L$15)^AI28-1))</f>
        <v>4126.212452326492</v>
      </c>
      <c r="AK28" s="981"/>
    </row>
    <row r="29" spans="1:37" ht="19" customHeight="1">
      <c r="A29" s="390"/>
      <c r="B29" s="710"/>
      <c r="C29" s="2542"/>
      <c r="D29" s="3851"/>
      <c r="E29" s="373" t="s">
        <v>4</v>
      </c>
      <c r="F29" s="3474"/>
      <c r="G29" s="3474">
        <f>$E$208</f>
        <v>6</v>
      </c>
      <c r="H29" s="882">
        <f>H208</f>
        <v>1260</v>
      </c>
      <c r="I29" s="613" t="s">
        <v>70</v>
      </c>
      <c r="J29" s="375" t="str">
        <f>IF(K29=1,"Annual","Done every "&amp;K29&amp;" years")</f>
        <v>Annual</v>
      </c>
      <c r="K29" s="371">
        <f>L208</f>
        <v>1</v>
      </c>
      <c r="L29" s="386">
        <f t="shared" si="3"/>
        <v>80</v>
      </c>
      <c r="M29" s="371">
        <f t="shared" si="3"/>
        <v>1</v>
      </c>
      <c r="N29" s="370">
        <f>$H29*(1-(1+$L$15)^-(L29*M29))/((1+$L$15)^M29-1)*(1+((1+$L$15)^M29-1))</f>
        <v>31338.729476092536</v>
      </c>
      <c r="O29" s="640">
        <f>N29/(1+$L$15)*($L$15)/(1-(1+$L$15)^-$L$16)</f>
        <v>1259.9999999999991</v>
      </c>
      <c r="P29" s="982"/>
      <c r="Q29" s="2955"/>
      <c r="R29" s="2955"/>
      <c r="S29" s="2955"/>
      <c r="T29" s="1034" t="s">
        <v>810</v>
      </c>
      <c r="U29" s="639">
        <f t="shared" si="4"/>
        <v>12.599999999999991</v>
      </c>
      <c r="V29" s="644" t="str">
        <f>IF($T29="L",SUM($U29:U29)*V$16,"")</f>
        <v/>
      </c>
      <c r="W29" s="644">
        <f>IF($U29="","",IF(OR($T29="L",$T29="T",$T29="C"),SUM($U29:V29)*W$16,""))</f>
        <v>1.2599999999999991</v>
      </c>
      <c r="X29" s="644">
        <f>IF($U29="","",SUM($U29:W29)*X$16)</f>
        <v>4.1579999999999968</v>
      </c>
      <c r="Y29" s="394">
        <f t="shared" si="0"/>
        <v>5.4179999999999957</v>
      </c>
      <c r="Z29" s="393"/>
      <c r="AA29" s="735">
        <f t="shared" si="1"/>
        <v>18.017999999999986</v>
      </c>
      <c r="AB29" s="393"/>
      <c r="AC29" s="729">
        <f t="shared" ca="1" si="2"/>
        <v>0.31654011671135351</v>
      </c>
      <c r="AD29" s="643"/>
      <c r="AE29" s="1066"/>
      <c r="AF29" s="587">
        <f>AF28</f>
        <v>4</v>
      </c>
      <c r="AG29" s="587"/>
      <c r="AH29" s="387">
        <f>$AH$16/K29</f>
        <v>5</v>
      </c>
      <c r="AI29" s="387">
        <f>$AH$16/AH29</f>
        <v>1</v>
      </c>
      <c r="AJ29" s="370">
        <f>$H29*(1-(1+$L$15)^-(AH29*AI29))/((1+$L$15)^AI29-1)*(1+((1+$L$15)^AI29-1))</f>
        <v>5833.6679825636384</v>
      </c>
      <c r="AK29" s="982"/>
    </row>
    <row r="30" spans="1:37" ht="19" customHeight="1">
      <c r="A30" s="390"/>
      <c r="B30" s="710"/>
      <c r="C30" s="2542"/>
      <c r="D30" s="3851"/>
      <c r="E30" s="373" t="s">
        <v>21</v>
      </c>
      <c r="F30" s="3474"/>
      <c r="G30" s="3474"/>
      <c r="H30" s="370"/>
      <c r="I30" s="1086"/>
      <c r="J30" s="375"/>
      <c r="K30" s="371"/>
      <c r="L30" s="386"/>
      <c r="M30" s="371"/>
      <c r="N30" s="370"/>
      <c r="O30" s="640"/>
      <c r="P30" s="982"/>
      <c r="Q30" s="2955"/>
      <c r="R30" s="2955"/>
      <c r="S30" s="2955"/>
      <c r="T30" s="1034" t="s">
        <v>811</v>
      </c>
      <c r="U30" s="639">
        <f t="shared" si="4"/>
        <v>0</v>
      </c>
      <c r="V30" s="644" t="str">
        <f>IF($T30="L",SUM($U30:U30)*V$16,"")</f>
        <v/>
      </c>
      <c r="W30" s="644" t="str">
        <f>IF($U30="","",IF(OR($T30="L",$T30="T",$T30="C"),SUM($U30:V30)*W$16,""))</f>
        <v/>
      </c>
      <c r="X30" s="644">
        <f>IF($U30="","",SUM($U30:W30)*X$16)</f>
        <v>0</v>
      </c>
      <c r="Y30" s="394"/>
      <c r="Z30" s="393"/>
      <c r="AA30" s="735"/>
      <c r="AB30" s="393"/>
      <c r="AC30" s="729"/>
      <c r="AD30" s="643"/>
      <c r="AE30" s="1066"/>
      <c r="AF30" s="587">
        <f>AF29</f>
        <v>4</v>
      </c>
      <c r="AG30" s="587"/>
      <c r="AH30" s="387"/>
      <c r="AI30" s="387"/>
      <c r="AJ30" s="370"/>
      <c r="AK30" s="982"/>
    </row>
    <row r="31" spans="1:37" ht="18" customHeight="1">
      <c r="A31" s="676"/>
      <c r="B31" s="711">
        <f>B27+0.1</f>
        <v>2.2000000000000002</v>
      </c>
      <c r="C31" s="2536" t="s">
        <v>202</v>
      </c>
      <c r="D31" s="3852" t="str">
        <f>D27</f>
        <v>This involves surveying a representative area (30% of management area) for general observations</v>
      </c>
      <c r="E31" s="685" t="s">
        <v>3</v>
      </c>
      <c r="F31" s="3471"/>
      <c r="G31" s="3471">
        <f>$F$206</f>
        <v>7.449925261584454</v>
      </c>
      <c r="H31" s="665">
        <f>I206</f>
        <v>1676.2331838565024</v>
      </c>
      <c r="I31" s="818" t="str">
        <f>I27</f>
        <v xml:space="preserve">Labour to get tracking done, cameras, sandpads and collars. </v>
      </c>
      <c r="J31" s="666" t="str">
        <f>IF(K31=1,"Annual","Done every "&amp;K31&amp;" years")</f>
        <v>Annual</v>
      </c>
      <c r="K31" s="667">
        <f>L206</f>
        <v>1</v>
      </c>
      <c r="L31" s="671">
        <f t="shared" ref="L31:M33" si="5">$L$16/K31</f>
        <v>80</v>
      </c>
      <c r="M31" s="880">
        <f t="shared" si="5"/>
        <v>1</v>
      </c>
      <c r="N31" s="883">
        <f>$H31*(1-(1+$L$15)^-(L31*M31))/((1+$L$15)^M31-1)*(1+((1+$L$15)^M31-1))</f>
        <v>41691.284355339849</v>
      </c>
      <c r="O31" s="673">
        <f>N31/(1+$L$15)*($L$15)/(1-(1+$L$15)^-$L$16)</f>
        <v>1676.233183856501</v>
      </c>
      <c r="P31" s="983">
        <f>SUM(O31:O34)</f>
        <v>3997.847533632284</v>
      </c>
      <c r="Q31" s="3021"/>
      <c r="R31" s="3021"/>
      <c r="S31" s="3021"/>
      <c r="T31" s="1035" t="s">
        <v>808</v>
      </c>
      <c r="U31" s="675">
        <f t="shared" si="4"/>
        <v>16.762331838565011</v>
      </c>
      <c r="V31" s="675">
        <f>IF($T31="L",SUM($U31:U31)*V$16,"")</f>
        <v>5.0286995515695034</v>
      </c>
      <c r="W31" s="675">
        <f>IF($U31="","",IF(OR($T31="L",$T31="T",$T31="C"),SUM($U31:V31)*W$16,""))</f>
        <v>2.1791031390134514</v>
      </c>
      <c r="X31" s="675">
        <f>IF($U31="","",SUM($U31:W31)*X$16)</f>
        <v>7.1910403587443898</v>
      </c>
      <c r="Y31" s="670">
        <f>IF($U31="","",SUM(V31:X31))</f>
        <v>14.398843049327345</v>
      </c>
      <c r="Z31" s="716">
        <f>SUM(V31:X34)</f>
        <v>24.381784753363213</v>
      </c>
      <c r="AA31" s="736">
        <f>IF($U31="","",SUM(U31,Y31))</f>
        <v>31.161174887892358</v>
      </c>
      <c r="AB31" s="716">
        <f>SUM(AA31:AA34)</f>
        <v>64.360260089686051</v>
      </c>
      <c r="AC31" s="730">
        <f ca="1">IF(AA31="","",AA31/OFFSET($AB$23,AF31,0))</f>
        <v>0.48416794532012841</v>
      </c>
      <c r="AD31" s="674"/>
      <c r="AE31" s="1067"/>
      <c r="AF31" s="587">
        <f>AF27+4</f>
        <v>8</v>
      </c>
      <c r="AG31" s="816">
        <f ca="1">SUM(AC31:AC34)-1</f>
        <v>0</v>
      </c>
      <c r="AH31" s="669">
        <f>$AH$16/K31</f>
        <v>5</v>
      </c>
      <c r="AI31" s="669">
        <f>$AH$16/AH31</f>
        <v>1</v>
      </c>
      <c r="AJ31" s="665">
        <f>$H31*(1-(1+$L$15)^-(AH31*AI31))/((1+$L$15)^AI31-1)*(1+((1+$L$15)^AI31-1))</f>
        <v>7760.7840126780848</v>
      </c>
      <c r="AK31" s="983">
        <f>SUM(AJ31:AJ34)</f>
        <v>18509.615203271176</v>
      </c>
    </row>
    <row r="32" spans="1:37" ht="18" customHeight="1">
      <c r="A32" s="676"/>
      <c r="B32" s="712"/>
      <c r="C32" s="2537" t="s">
        <v>779</v>
      </c>
      <c r="D32" s="3853"/>
      <c r="E32" s="685" t="s">
        <v>308</v>
      </c>
      <c r="F32" s="3471">
        <f>$E$193</f>
        <v>1</v>
      </c>
      <c r="G32" s="3471">
        <f>$F$207</f>
        <v>3.724962630792227</v>
      </c>
      <c r="H32" s="665">
        <f>I207</f>
        <v>1061.6143497757848</v>
      </c>
      <c r="I32" s="818" t="str">
        <f>I28</f>
        <v>Transport at site</v>
      </c>
      <c r="J32" s="666" t="str">
        <f>IF(K32=1,"Annual","Done every "&amp;K32&amp;" years")</f>
        <v>Annual</v>
      </c>
      <c r="K32" s="667">
        <f>L207</f>
        <v>1</v>
      </c>
      <c r="L32" s="668">
        <f t="shared" si="5"/>
        <v>80</v>
      </c>
      <c r="M32" s="667">
        <f t="shared" si="5"/>
        <v>1</v>
      </c>
      <c r="N32" s="665">
        <f>$H32*(1-(1+$L$15)^-(L32*M32))/((1+$L$15)^M32-1)*(1+((1+$L$15)^M32-1))</f>
        <v>26404.480091715235</v>
      </c>
      <c r="O32" s="680">
        <f>N32/(1+$L$15)*($L$15)/(1-(1+$L$15)^-$L$16)</f>
        <v>1061.6143497757839</v>
      </c>
      <c r="P32" s="984"/>
      <c r="Q32" s="3022">
        <f>1*(1-(1+$L$15)^-(L32*M32))/((1+$L$15)^M32-1)*(1+((1+$L$15)^M32-1))</f>
        <v>24.872007520708362</v>
      </c>
      <c r="R32" s="3022">
        <f>Q32/(1+$L$15)*($L$15)/(1-(1+$L$15)^-$L$16)</f>
        <v>0.99999999999999911</v>
      </c>
      <c r="S32" s="3022">
        <f>F32*R32</f>
        <v>0.99999999999999911</v>
      </c>
      <c r="T32" s="1036" t="s">
        <v>809</v>
      </c>
      <c r="U32" s="675">
        <f t="shared" si="4"/>
        <v>10.616143497757839</v>
      </c>
      <c r="V32" s="682" t="str">
        <f>IF($T32="L",SUM($U32:U32)*V$16,"")</f>
        <v/>
      </c>
      <c r="W32" s="682">
        <f>IF($U32="","",IF(OR($T32="L",$T32="T",$T32="C"),SUM($U32:V32)*W$16,""))</f>
        <v>1.0616143497757839</v>
      </c>
      <c r="X32" s="682">
        <f>IF($U32="","",SUM($U32:W32)*X$16)</f>
        <v>3.5033273542600871</v>
      </c>
      <c r="Y32" s="679">
        <f>IF($U32="","",SUM(V32:X32))</f>
        <v>4.5649417040358706</v>
      </c>
      <c r="Z32" s="720"/>
      <c r="AA32" s="737">
        <f>IF($U32="","",SUM(U32,Y32))</f>
        <v>15.18108520179371</v>
      </c>
      <c r="AB32" s="720"/>
      <c r="AC32" s="730">
        <f ca="1">IF(AA32="","",AA32/OFFSET($AB$23,AF32,0))</f>
        <v>0.2358766913098061</v>
      </c>
      <c r="AD32" s="681"/>
      <c r="AE32" s="1067"/>
      <c r="AF32" s="587">
        <f>AF31</f>
        <v>8</v>
      </c>
      <c r="AG32" s="587"/>
      <c r="AH32" s="669">
        <f>$AH$16/K32</f>
        <v>5</v>
      </c>
      <c r="AI32" s="669">
        <f>$AH$16/AH32</f>
        <v>1</v>
      </c>
      <c r="AJ32" s="665">
        <f>$H32*(1-(1+$L$15)^-(AH32*AI32))/((1+$L$15)^AI32-1)*(1+((1+$L$15)^AI32-1))</f>
        <v>4915.163208029453</v>
      </c>
      <c r="AK32" s="984"/>
    </row>
    <row r="33" spans="1:37" ht="18" customHeight="1">
      <c r="A33" s="676"/>
      <c r="B33" s="712"/>
      <c r="C33" s="2537"/>
      <c r="D33" s="3853"/>
      <c r="E33" s="685" t="s">
        <v>4</v>
      </c>
      <c r="F33" s="3471"/>
      <c r="G33" s="3471">
        <f>$F$208</f>
        <v>6</v>
      </c>
      <c r="H33" s="665">
        <f>I208</f>
        <v>1260</v>
      </c>
      <c r="I33" s="818" t="str">
        <f>I29</f>
        <v>Accomodation</v>
      </c>
      <c r="J33" s="666" t="str">
        <f>IF(K33=1,"Annual","Done every "&amp;K33&amp;" years")</f>
        <v>Annual</v>
      </c>
      <c r="K33" s="667">
        <f>L208</f>
        <v>1</v>
      </c>
      <c r="L33" s="668">
        <f t="shared" si="5"/>
        <v>80</v>
      </c>
      <c r="M33" s="667">
        <f t="shared" si="5"/>
        <v>1</v>
      </c>
      <c r="N33" s="665">
        <f>$H33*(1-(1+$L$15)^-(L33*M33))/((1+$L$15)^M33-1)*(1+((1+$L$15)^M33-1))</f>
        <v>31338.729476092536</v>
      </c>
      <c r="O33" s="680">
        <f>N33/(1+$L$15)*($L$15)/(1-(1+$L$15)^-$L$16)</f>
        <v>1259.9999999999991</v>
      </c>
      <c r="P33" s="985"/>
      <c r="Q33" s="3022"/>
      <c r="R33" s="3022"/>
      <c r="S33" s="3022"/>
      <c r="T33" s="1036" t="s">
        <v>810</v>
      </c>
      <c r="U33" s="675">
        <f t="shared" si="4"/>
        <v>12.599999999999991</v>
      </c>
      <c r="V33" s="684" t="str">
        <f>IF($T33="L",SUM($U33:U33)*V$16,"")</f>
        <v/>
      </c>
      <c r="W33" s="684">
        <f>IF($U33="","",IF(OR($T33="L",$T33="T",$T33="C"),SUM($U33:V33)*W$16,""))</f>
        <v>1.2599999999999991</v>
      </c>
      <c r="X33" s="684">
        <f>IF($U33="","",SUM($U33:W33)*X$16)</f>
        <v>4.1579999999999968</v>
      </c>
      <c r="Y33" s="1024">
        <f>IF($U33="","",SUM(V33:X33))</f>
        <v>5.4179999999999957</v>
      </c>
      <c r="Z33" s="721"/>
      <c r="AA33" s="738">
        <f>IF($U33="","",SUM(U33,Y33))</f>
        <v>18.017999999999986</v>
      </c>
      <c r="AB33" s="721"/>
      <c r="AC33" s="730">
        <f ca="1">IF(AA33="","",AA33/OFFSET($AB$23,AF33,0))</f>
        <v>0.27995536337006555</v>
      </c>
      <c r="AD33" s="683"/>
      <c r="AE33" s="1067"/>
      <c r="AF33" s="587">
        <f>AF32</f>
        <v>8</v>
      </c>
      <c r="AG33" s="587"/>
      <c r="AH33" s="669">
        <f>$AH$16/K33</f>
        <v>5</v>
      </c>
      <c r="AI33" s="669">
        <f>$AH$16/AH33</f>
        <v>1</v>
      </c>
      <c r="AJ33" s="665">
        <f>$H33*(1-(1+$L$15)^-(AH33*AI33))/((1+$L$15)^AI33-1)*(1+((1+$L$15)^AI33-1))</f>
        <v>5833.6679825636384</v>
      </c>
      <c r="AK33" s="985"/>
    </row>
    <row r="34" spans="1:37" ht="18" customHeight="1">
      <c r="A34" s="676"/>
      <c r="B34" s="712"/>
      <c r="C34" s="2537"/>
      <c r="D34" s="3854"/>
      <c r="E34" s="1082" t="s">
        <v>21</v>
      </c>
      <c r="F34" s="3471"/>
      <c r="G34" s="3471"/>
      <c r="H34" s="665"/>
      <c r="I34" s="818"/>
      <c r="J34" s="666"/>
      <c r="K34" s="667"/>
      <c r="L34" s="668"/>
      <c r="M34" s="667"/>
      <c r="N34" s="665"/>
      <c r="O34" s="680"/>
      <c r="P34" s="985"/>
      <c r="Q34" s="3022"/>
      <c r="R34" s="3022"/>
      <c r="S34" s="3022"/>
      <c r="T34" s="1036" t="s">
        <v>811</v>
      </c>
      <c r="U34" s="675"/>
      <c r="V34" s="684" t="str">
        <f>IF($T34="L",SUM($U34:U34)*V$16,"")</f>
        <v/>
      </c>
      <c r="W34" s="684" t="str">
        <f>IF($U34="","",IF(OR($T34="L",$T34="T",$T34="C"),SUM($U34:V34)*W$16,""))</f>
        <v/>
      </c>
      <c r="X34" s="684" t="str">
        <f>IF($U34="","",SUM($U34:W34)*X$16)</f>
        <v/>
      </c>
      <c r="Y34" s="1024"/>
      <c r="Z34" s="721"/>
      <c r="AA34" s="738"/>
      <c r="AB34" s="721"/>
      <c r="AC34" s="730"/>
      <c r="AD34" s="683"/>
      <c r="AE34" s="1067"/>
      <c r="AF34" s="587">
        <f>AF33</f>
        <v>8</v>
      </c>
      <c r="AG34" s="587"/>
      <c r="AH34" s="669"/>
      <c r="AI34" s="669"/>
      <c r="AJ34" s="665"/>
      <c r="AK34" s="985"/>
    </row>
    <row r="35" spans="1:37" ht="18" customHeight="1">
      <c r="A35" s="656"/>
      <c r="B35" s="713">
        <f>B31+0.1</f>
        <v>2.3000000000000003</v>
      </c>
      <c r="C35" s="2538" t="s">
        <v>202</v>
      </c>
      <c r="D35" s="3863" t="str">
        <f>D31</f>
        <v>This involves surveying a representative area (30% of management area) for general observations</v>
      </c>
      <c r="E35" s="686" t="s">
        <v>3</v>
      </c>
      <c r="F35" s="3472"/>
      <c r="G35" s="3472">
        <f>$G$206</f>
        <v>9.8415545590433489</v>
      </c>
      <c r="H35" s="645">
        <f>J206</f>
        <v>2214.3497757847535</v>
      </c>
      <c r="I35" s="820" t="s">
        <v>475</v>
      </c>
      <c r="J35" s="646" t="str">
        <f>IF(K35=1,"Annual","Done every "&amp;K35&amp;" years")</f>
        <v>Annual</v>
      </c>
      <c r="K35" s="647">
        <f>L206</f>
        <v>1</v>
      </c>
      <c r="L35" s="651">
        <f t="shared" ref="L35:M37" si="6">$L$16/K35</f>
        <v>80</v>
      </c>
      <c r="M35" s="881">
        <f t="shared" si="6"/>
        <v>1</v>
      </c>
      <c r="N35" s="884">
        <f>$H35*(1-(1+$L$15)^-(L35*M35))/((1+$L$15)^M35-1)*(1+((1+$L$15)^M35-1))</f>
        <v>55075.324276797262</v>
      </c>
      <c r="O35" s="653">
        <f>N35/(1+$L$15)*($L$15)/(1-(1+$L$15)^-$L$16)</f>
        <v>2214.3497757847517</v>
      </c>
      <c r="P35" s="931">
        <f>SUM(O35:O38)</f>
        <v>5296.7713004484267</v>
      </c>
      <c r="Q35" s="3023"/>
      <c r="R35" s="3023"/>
      <c r="S35" s="3023"/>
      <c r="T35" s="1037" t="s">
        <v>808</v>
      </c>
      <c r="U35" s="655">
        <f>O35/$U$16</f>
        <v>22.143497757847516</v>
      </c>
      <c r="V35" s="655">
        <f>IF($T35="L",SUM($U35:U35)*V$16,"")</f>
        <v>6.6430493273542544</v>
      </c>
      <c r="W35" s="655">
        <f>IF($U35="","",IF(OR($T35="L",$T35="T",$T35="C"),SUM($U35:V35)*W$16,""))</f>
        <v>2.8786547085201772</v>
      </c>
      <c r="X35" s="655">
        <f>IF($U35="","",SUM($U35:W35)*X$16)</f>
        <v>9.4995605381165849</v>
      </c>
      <c r="Y35" s="650">
        <f>IF($U35="","",SUM(V35:X35))</f>
        <v>19.021264573991019</v>
      </c>
      <c r="Z35" s="717">
        <f>SUM(V35:X38)</f>
        <v>32.275677130044819</v>
      </c>
      <c r="AA35" s="739">
        <f>IF($U35="","",SUM(U35,Y35))</f>
        <v>41.164762331838531</v>
      </c>
      <c r="AB35" s="717">
        <f>SUM(AA35:AA38)</f>
        <v>85.243390134529079</v>
      </c>
      <c r="AC35" s="731">
        <f ca="1">IF(AA35="","",AA35/OFFSET($AB$23,AF35,0))</f>
        <v>0.48290855474979688</v>
      </c>
      <c r="AD35" s="654"/>
      <c r="AE35" s="1068"/>
      <c r="AF35" s="587">
        <f>AF31+4</f>
        <v>12</v>
      </c>
      <c r="AG35" s="816">
        <f ca="1">SUM(AC35:AC38)-1</f>
        <v>0</v>
      </c>
      <c r="AH35" s="649">
        <f>$AH$16/K35</f>
        <v>5</v>
      </c>
      <c r="AI35" s="649">
        <f>$AH$16/AH35</f>
        <v>1</v>
      </c>
      <c r="AJ35" s="645">
        <f>$H35*(1-(1+$L$15)^-(AH35*AI35))/((1+$L$15)^AI35-1)*(1+((1+$L$15)^AI35-1))</f>
        <v>10252.207451740071</v>
      </c>
      <c r="AK35" s="931">
        <f>SUM(AJ35:AJ38)</f>
        <v>24523.496147926966</v>
      </c>
    </row>
    <row r="36" spans="1:37" ht="19" customHeight="1">
      <c r="A36" s="656"/>
      <c r="B36" s="714"/>
      <c r="C36" s="2539" t="s">
        <v>789</v>
      </c>
      <c r="D36" s="3864"/>
      <c r="E36" s="686" t="s">
        <v>308</v>
      </c>
      <c r="F36" s="3472">
        <f>$F$193</f>
        <v>1</v>
      </c>
      <c r="G36" s="3472">
        <f>$G$207</f>
        <v>4.9207772795216744</v>
      </c>
      <c r="H36" s="645">
        <f>J207</f>
        <v>1402.4215246636772</v>
      </c>
      <c r="I36" s="820" t="s">
        <v>797</v>
      </c>
      <c r="J36" s="646" t="str">
        <f>IF(K36=1,"Annual","Done every "&amp;K36&amp;" years")</f>
        <v>Annual</v>
      </c>
      <c r="K36" s="647">
        <f>L207</f>
        <v>1</v>
      </c>
      <c r="L36" s="648">
        <f t="shared" si="6"/>
        <v>80</v>
      </c>
      <c r="M36" s="647">
        <f t="shared" si="6"/>
        <v>1</v>
      </c>
      <c r="N36" s="645">
        <f>$H36*(1-(1+$L$15)^-(L36*M36))/((1+$L$15)^M36-1)*(1+((1+$L$15)^M36-1))</f>
        <v>34881.038708638262</v>
      </c>
      <c r="O36" s="660">
        <f>N36/(1+$L$15)*($L$15)/(1-(1+$L$15)^-$L$16)</f>
        <v>1402.4215246636759</v>
      </c>
      <c r="P36" s="932"/>
      <c r="Q36" s="3024">
        <f>1*(1-(1+$L$15)^-(L36*M36))/((1+$L$15)^M36-1)*(1+((1+$L$15)^M36-1))</f>
        <v>24.872007520708362</v>
      </c>
      <c r="R36" s="3024">
        <f>Q36/(1+$L$15)*($L$15)/(1-(1+$L$15)^-$L$16)</f>
        <v>0.99999999999999911</v>
      </c>
      <c r="S36" s="3024">
        <f>F36*R36</f>
        <v>0.99999999999999911</v>
      </c>
      <c r="T36" s="1038" t="s">
        <v>809</v>
      </c>
      <c r="U36" s="655">
        <f>O36/$U$16</f>
        <v>14.024215246636759</v>
      </c>
      <c r="V36" s="662" t="str">
        <f>IF($T36="L",SUM($U36:U36)*V$16,"")</f>
        <v/>
      </c>
      <c r="W36" s="662">
        <f>IF($U36="","",IF(OR($T36="L",$T36="T",$T36="C"),SUM($U36:V36)*W$16,""))</f>
        <v>1.402421524663676</v>
      </c>
      <c r="X36" s="662">
        <f>IF($U36="","",SUM($U36:W36)*X$16)</f>
        <v>4.6279910313901302</v>
      </c>
      <c r="Y36" s="659">
        <f>IF($U36="","",SUM(V36:X36))</f>
        <v>6.0304125560538058</v>
      </c>
      <c r="Z36" s="722"/>
      <c r="AA36" s="740">
        <f>IF($U36="","",SUM(U36,Y36))</f>
        <v>20.054627802690565</v>
      </c>
      <c r="AB36" s="722"/>
      <c r="AC36" s="731">
        <f ca="1">IF(AA36="","",AA36/OFFSET($AB$23,AF36,0))</f>
        <v>0.23526314205759333</v>
      </c>
      <c r="AD36" s="661"/>
      <c r="AE36" s="1068"/>
      <c r="AF36" s="587">
        <f>AF35</f>
        <v>12</v>
      </c>
      <c r="AG36" s="587"/>
      <c r="AH36" s="649">
        <f>$AH$16/K36</f>
        <v>5</v>
      </c>
      <c r="AI36" s="649">
        <f>$AH$16/AH36</f>
        <v>1</v>
      </c>
      <c r="AJ36" s="645">
        <f>$H36*(1-(1+$L$15)^-(AH36*AI36))/((1+$L$15)^AI36-1)*(1+((1+$L$15)^AI36-1))</f>
        <v>6493.0647194353778</v>
      </c>
      <c r="AK36" s="932"/>
    </row>
    <row r="37" spans="1:37" ht="19" customHeight="1">
      <c r="A37" s="656"/>
      <c r="B37" s="714"/>
      <c r="C37" s="2539"/>
      <c r="D37" s="3864"/>
      <c r="E37" s="686" t="s">
        <v>4</v>
      </c>
      <c r="F37" s="3472"/>
      <c r="G37" s="3472">
        <f>$G$208</f>
        <v>8</v>
      </c>
      <c r="H37" s="645">
        <f>J208</f>
        <v>1680</v>
      </c>
      <c r="I37" s="820" t="s">
        <v>70</v>
      </c>
      <c r="J37" s="646" t="str">
        <f>IF(K37=1,"Annual","Done every "&amp;K37&amp;" years")</f>
        <v>Annual</v>
      </c>
      <c r="K37" s="647">
        <f>L208</f>
        <v>1</v>
      </c>
      <c r="L37" s="648">
        <f t="shared" si="6"/>
        <v>80</v>
      </c>
      <c r="M37" s="647">
        <f t="shared" si="6"/>
        <v>1</v>
      </c>
      <c r="N37" s="645">
        <f>$H37*(1-(1+$L$15)^-(L37*M37))/((1+$L$15)^M37-1)*(1+((1+$L$15)^M37-1))</f>
        <v>41784.972634790051</v>
      </c>
      <c r="O37" s="660">
        <f>N37/(1+$L$15)*($L$15)/(1-(1+$L$15)^-$L$16)</f>
        <v>1679.9999999999986</v>
      </c>
      <c r="P37" s="933"/>
      <c r="Q37" s="3024"/>
      <c r="R37" s="3024"/>
      <c r="S37" s="3024"/>
      <c r="T37" s="1038" t="s">
        <v>810</v>
      </c>
      <c r="U37" s="655">
        <f>O37/$U$16</f>
        <v>16.799999999999986</v>
      </c>
      <c r="V37" s="664" t="str">
        <f>IF($T37="L",SUM($U37:U37)*V$16,"")</f>
        <v/>
      </c>
      <c r="W37" s="664">
        <f>IF($U37="","",IF(OR($T37="L",$T37="T",$T37="C"),SUM($U37:V37)*W$16,""))</f>
        <v>1.6799999999999988</v>
      </c>
      <c r="X37" s="664">
        <f>IF($U37="","",SUM($U37:W37)*X$16)</f>
        <v>5.543999999999996</v>
      </c>
      <c r="Y37" s="1025">
        <f>IF($U37="","",SUM(V37:X37))</f>
        <v>7.2239999999999949</v>
      </c>
      <c r="Z37" s="723"/>
      <c r="AA37" s="741">
        <f>IF($U37="","",SUM(U37,Y37))</f>
        <v>24.02399999999998</v>
      </c>
      <c r="AB37" s="723"/>
      <c r="AC37" s="731">
        <f ca="1">IF(AA37="","",AA37/OFFSET($AB$23,AF37,0))</f>
        <v>0.28182830319260976</v>
      </c>
      <c r="AD37" s="663"/>
      <c r="AE37" s="1068"/>
      <c r="AF37" s="587">
        <f>AF36</f>
        <v>12</v>
      </c>
      <c r="AG37" s="587"/>
      <c r="AH37" s="649">
        <f>$AH$16/K37</f>
        <v>5</v>
      </c>
      <c r="AI37" s="649">
        <f>$AH$16/AH37</f>
        <v>1</v>
      </c>
      <c r="AJ37" s="645">
        <f>$H37*(1-(1+$L$15)^-(AH37*AI37))/((1+$L$15)^AI37-1)*(1+((1+$L$15)^AI37-1))</f>
        <v>7778.2239767515175</v>
      </c>
      <c r="AK37" s="933"/>
    </row>
    <row r="38" spans="1:37" ht="19" customHeight="1">
      <c r="A38" s="656"/>
      <c r="B38" s="714"/>
      <c r="C38" s="2540"/>
      <c r="D38" s="3865"/>
      <c r="E38" s="686" t="s">
        <v>21</v>
      </c>
      <c r="F38" s="3472"/>
      <c r="G38" s="3472"/>
      <c r="H38" s="645"/>
      <c r="I38" s="1087"/>
      <c r="J38" s="646"/>
      <c r="K38" s="647"/>
      <c r="L38" s="648"/>
      <c r="M38" s="647"/>
      <c r="N38" s="645"/>
      <c r="O38" s="660"/>
      <c r="P38" s="934"/>
      <c r="Q38" s="3025"/>
      <c r="R38" s="3025"/>
      <c r="S38" s="3025"/>
      <c r="T38" s="1038"/>
      <c r="U38" s="655"/>
      <c r="V38" s="664" t="str">
        <f>IF($T38="L",SUM($U38:U38)*V$16,"")</f>
        <v/>
      </c>
      <c r="W38" s="664" t="str">
        <f>IF($U38="","",IF(OR($T38="L",$T38="T",$T38="C"),SUM($U38:V38)*W$16,""))</f>
        <v/>
      </c>
      <c r="X38" s="664" t="str">
        <f>IF($U38="","",SUM($U38:W38)*X$16)</f>
        <v/>
      </c>
      <c r="Y38" s="1025"/>
      <c r="Z38" s="723"/>
      <c r="AA38" s="741"/>
      <c r="AB38" s="723"/>
      <c r="AC38" s="731"/>
      <c r="AD38" s="663"/>
      <c r="AE38" s="1068"/>
      <c r="AF38" s="587">
        <f>AF37</f>
        <v>12</v>
      </c>
      <c r="AG38" s="587"/>
      <c r="AH38" s="649"/>
      <c r="AI38" s="649"/>
      <c r="AJ38" s="645"/>
      <c r="AK38" s="933"/>
    </row>
    <row r="39" spans="1:37" s="1144" customFormat="1" ht="19" customHeight="1">
      <c r="B39" s="260" t="e">
        <f>B11+0.2</f>
        <v>#VALUE!</v>
      </c>
      <c r="C39" s="3844" t="s">
        <v>2326</v>
      </c>
      <c r="D39" s="3866" t="s">
        <v>1884</v>
      </c>
      <c r="E39" s="12" t="s">
        <v>3</v>
      </c>
      <c r="F39" s="3473"/>
      <c r="G39" s="3473">
        <f>$E$246</f>
        <v>2640</v>
      </c>
      <c r="H39" s="188">
        <f>F246</f>
        <v>927000</v>
      </c>
      <c r="I39" s="188" t="str">
        <f>G246</f>
        <v>Cost for liaison officers</v>
      </c>
      <c r="J39" s="377" t="str">
        <f t="shared" ref="J39" si="7">IF(K39=1,"Annual","Done every "&amp;K39&amp;" years")</f>
        <v>Annual</v>
      </c>
      <c r="K39" s="1693">
        <f>H246</f>
        <v>1</v>
      </c>
      <c r="L39" s="158">
        <f t="shared" ref="L39" si="8">$L$16/K39</f>
        <v>80</v>
      </c>
      <c r="M39" s="586">
        <f t="shared" ref="M39" si="9">$L$16/L39</f>
        <v>1</v>
      </c>
      <c r="N39" s="188">
        <f t="shared" ref="N39" si="10">$H39*(1-(1+$L$15)^-(L39*M39))/((1+$L$15)^M39-1)*(1+((1+$L$15)^M39-1))</f>
        <v>23056350.971696652</v>
      </c>
      <c r="O39" s="1147">
        <f t="shared" ref="O39" si="11">N39/(1+$L$15)*($L$15)/(1-(1+$L$15)^-$L$16)</f>
        <v>926999.99999999919</v>
      </c>
      <c r="P39" s="192">
        <f>SUM(O39:O42)</f>
        <v>926999.99999999919</v>
      </c>
      <c r="Q39" s="3036"/>
      <c r="R39" s="3036"/>
      <c r="S39" s="3036"/>
      <c r="T39" s="1148" t="s">
        <v>808</v>
      </c>
      <c r="U39" s="2529">
        <f>O39</f>
        <v>926999.99999999919</v>
      </c>
      <c r="V39" s="583">
        <f>IF($T39="L",SUM($U39:U39)*V$16,"")</f>
        <v>278099.99999999977</v>
      </c>
      <c r="W39" s="583"/>
      <c r="X39" s="583">
        <f>IF($U39="","",SUM($U39:W39)*X$16)</f>
        <v>361529.99999999971</v>
      </c>
      <c r="Y39" s="240">
        <f t="shared" ref="Y39" si="12">IF($U39="","",SUM(V39:X39))</f>
        <v>639629.99999999953</v>
      </c>
      <c r="Z39" s="192">
        <f>SUM(V39:X42)</f>
        <v>639629.99999999953</v>
      </c>
      <c r="AA39" s="742">
        <f t="shared" ref="AA39" si="13">IF($U39="","",SUM(U39,Y39))</f>
        <v>1566629.9999999986</v>
      </c>
      <c r="AB39" s="2530">
        <f>SUM(AA39:AA42)</f>
        <v>1566629.9999999986</v>
      </c>
      <c r="AC39" s="1049">
        <f t="shared" ref="AC39:AC42" ca="1" si="14">IF(AA39="","",AA39/OFFSET($AB$23,AF39,0))</f>
        <v>1</v>
      </c>
      <c r="AD39" s="1150"/>
      <c r="AE39" s="1151"/>
      <c r="AF39" s="1438">
        <f>AF35+4</f>
        <v>16</v>
      </c>
      <c r="AG39" s="1439">
        <f ca="1">SUM(AC39:AC42)-1</f>
        <v>0</v>
      </c>
      <c r="AH39" s="13">
        <f t="shared" ref="AH39:AH41" si="15">$AH$16/K39</f>
        <v>5</v>
      </c>
      <c r="AI39" s="13">
        <f t="shared" ref="AI39:AI41" si="16">$AH$16/AH39</f>
        <v>1</v>
      </c>
      <c r="AJ39" s="188">
        <f t="shared" ref="AJ39:AJ41" si="17">$H39*(1-(1+$L$15)^-(AH39*AI39))/((1+$L$15)^AI39-1)*(1+((1+$L$15)^AI39-1))</f>
        <v>4291912.8728861054</v>
      </c>
      <c r="AK39" s="191" t="e">
        <f>SUM(AJ39:AJ42)</f>
        <v>#DIV/0!</v>
      </c>
    </row>
    <row r="40" spans="1:37" s="1144" customFormat="1" ht="19" customHeight="1">
      <c r="B40" s="261"/>
      <c r="C40" s="3845"/>
      <c r="D40" s="3867"/>
      <c r="E40" s="12" t="s">
        <v>308</v>
      </c>
      <c r="F40" s="3475"/>
      <c r="G40" s="3475"/>
      <c r="H40" s="188"/>
      <c r="I40" s="188"/>
      <c r="J40" s="377"/>
      <c r="K40" s="1693"/>
      <c r="L40" s="158"/>
      <c r="M40" s="586"/>
      <c r="N40" s="188"/>
      <c r="O40" s="1147"/>
      <c r="P40" s="194"/>
      <c r="Q40" s="3037">
        <v>0</v>
      </c>
      <c r="R40" s="3037">
        <v>0</v>
      </c>
      <c r="S40" s="3037">
        <v>0</v>
      </c>
      <c r="T40" s="1152" t="s">
        <v>809</v>
      </c>
      <c r="U40" s="583"/>
      <c r="V40" s="585"/>
      <c r="W40" s="585"/>
      <c r="X40" s="585"/>
      <c r="Y40" s="242"/>
      <c r="Z40" s="194"/>
      <c r="AA40" s="733"/>
      <c r="AB40" s="194"/>
      <c r="AC40" s="1049" t="str">
        <f t="shared" ca="1" si="14"/>
        <v/>
      </c>
      <c r="AD40" s="1153"/>
      <c r="AE40" s="165"/>
      <c r="AF40" s="1438">
        <f>AF39</f>
        <v>16</v>
      </c>
      <c r="AG40" s="1438"/>
      <c r="AH40" s="13" t="e">
        <f t="shared" si="15"/>
        <v>#DIV/0!</v>
      </c>
      <c r="AI40" s="13" t="e">
        <f t="shared" si="16"/>
        <v>#DIV/0!</v>
      </c>
      <c r="AJ40" s="188" t="e">
        <f t="shared" si="17"/>
        <v>#DIV/0!</v>
      </c>
      <c r="AK40" s="342"/>
    </row>
    <row r="41" spans="1:37" s="1144" customFormat="1" ht="16" customHeight="1">
      <c r="B41" s="261"/>
      <c r="C41" s="3845"/>
      <c r="D41" s="3867"/>
      <c r="E41" s="12" t="s">
        <v>4</v>
      </c>
      <c r="F41" s="3473"/>
      <c r="G41" s="3473"/>
      <c r="H41" s="188"/>
      <c r="I41" s="188"/>
      <c r="J41" s="377"/>
      <c r="K41" s="1693"/>
      <c r="L41" s="158"/>
      <c r="M41" s="586"/>
      <c r="N41" s="188"/>
      <c r="O41" s="1147"/>
      <c r="P41" s="194"/>
      <c r="Q41" s="3037"/>
      <c r="R41" s="3037"/>
      <c r="S41" s="3037"/>
      <c r="T41" s="1152" t="s">
        <v>810</v>
      </c>
      <c r="U41" s="583"/>
      <c r="V41" s="585"/>
      <c r="W41" s="585"/>
      <c r="X41" s="585"/>
      <c r="Y41" s="242"/>
      <c r="Z41" s="194"/>
      <c r="AA41" s="733"/>
      <c r="AB41" s="194"/>
      <c r="AC41" s="1049" t="str">
        <f t="shared" ca="1" si="14"/>
        <v/>
      </c>
      <c r="AD41" s="1154"/>
      <c r="AE41" s="165"/>
      <c r="AF41" s="1438">
        <f>AF40</f>
        <v>16</v>
      </c>
      <c r="AG41" s="1438"/>
      <c r="AH41" s="13" t="e">
        <f t="shared" si="15"/>
        <v>#DIV/0!</v>
      </c>
      <c r="AI41" s="13" t="e">
        <f t="shared" si="16"/>
        <v>#DIV/0!</v>
      </c>
      <c r="AJ41" s="188" t="e">
        <f t="shared" si="17"/>
        <v>#DIV/0!</v>
      </c>
      <c r="AK41" s="342"/>
    </row>
    <row r="42" spans="1:37" s="1144" customFormat="1" ht="19" customHeight="1">
      <c r="B42" s="261"/>
      <c r="C42" s="3846"/>
      <c r="D42" s="3868"/>
      <c r="E42" s="12" t="s">
        <v>21</v>
      </c>
      <c r="F42" s="3473"/>
      <c r="G42" s="3473"/>
      <c r="H42" s="188"/>
      <c r="I42" s="188"/>
      <c r="J42" s="377"/>
      <c r="K42" s="1693"/>
      <c r="L42" s="158"/>
      <c r="M42" s="586"/>
      <c r="N42" s="188"/>
      <c r="O42" s="1147"/>
      <c r="P42" s="194"/>
      <c r="Q42" s="3037"/>
      <c r="R42" s="3037"/>
      <c r="S42" s="3037"/>
      <c r="T42" s="1156" t="s">
        <v>811</v>
      </c>
      <c r="U42" s="583"/>
      <c r="V42" s="585"/>
      <c r="W42" s="585"/>
      <c r="X42" s="585"/>
      <c r="Y42" s="242"/>
      <c r="Z42" s="194"/>
      <c r="AA42" s="733"/>
      <c r="AB42" s="194"/>
      <c r="AC42" s="1049" t="str">
        <f t="shared" ca="1" si="14"/>
        <v/>
      </c>
      <c r="AD42" s="1157"/>
      <c r="AE42" s="166"/>
      <c r="AF42" s="1438">
        <f>AF41</f>
        <v>16</v>
      </c>
      <c r="AG42" s="1438"/>
      <c r="AH42" s="13"/>
      <c r="AI42" s="13"/>
      <c r="AJ42" s="188"/>
      <c r="AK42" s="342"/>
    </row>
    <row r="43" spans="1:37" s="172" customFormat="1" ht="19" customHeight="1">
      <c r="B43" s="2495">
        <f>B23+0.2</f>
        <v>1.2</v>
      </c>
      <c r="C43" s="3869" t="s">
        <v>654</v>
      </c>
      <c r="D43" s="3872" t="s">
        <v>1997</v>
      </c>
      <c r="E43" s="2496" t="s">
        <v>3</v>
      </c>
      <c r="F43" s="3476"/>
      <c r="G43" s="3476">
        <f>$D$422</f>
        <v>25.333333333333332</v>
      </c>
      <c r="H43" s="2498">
        <f>G461</f>
        <v>5700</v>
      </c>
      <c r="I43" s="2498" t="str">
        <f>H461</f>
        <v>Cost for person hours</v>
      </c>
      <c r="J43" s="2499" t="str">
        <f t="shared" ref="J43:J46" si="18">IF(K43=1,"Annual","Done every "&amp;K43&amp;" years")</f>
        <v>Done every 10 years</v>
      </c>
      <c r="K43" s="2500">
        <f>I461</f>
        <v>10</v>
      </c>
      <c r="L43" s="2501">
        <f t="shared" ref="L43:M46" si="19">$L$16/K43</f>
        <v>8</v>
      </c>
      <c r="M43" s="2502">
        <f t="shared" si="19"/>
        <v>10</v>
      </c>
      <c r="N43" s="2498">
        <f t="shared" ref="N43:N46" si="20">$H43*(1-(1+$L$15)^-(L43*M43))/((1+$L$15)^M43-1)*(1+((1+$L$15)^M43-1))</f>
        <v>16806.742095482718</v>
      </c>
      <c r="O43" s="2503">
        <f t="shared" ref="O43:O46" si="21">N43/(1+$L$15)*($L$15)/(1-(1+$L$15)^-$L$16)</f>
        <v>675.72921411709353</v>
      </c>
      <c r="P43" s="2504">
        <f>SUM(O43:O46)</f>
        <v>4072.1576324424855</v>
      </c>
      <c r="Q43" s="3026"/>
      <c r="R43" s="3026"/>
      <c r="S43" s="3026"/>
      <c r="T43" s="2505" t="s">
        <v>808</v>
      </c>
      <c r="U43" s="2560">
        <f t="shared" ref="U43:U46" si="22">O43/$U$16</f>
        <v>6.757292141170935</v>
      </c>
      <c r="V43" s="2506">
        <f>IF($T43="L",SUM($U43:U43)*V$16,"")</f>
        <v>2.0271876423512802</v>
      </c>
      <c r="W43" s="2506">
        <f>IF($U43="","",IF(OR($T43="L",$T43="T",$T43="C"),SUM($U43:V43)*W$16,""))</f>
        <v>0.87844797835222155</v>
      </c>
      <c r="X43" s="2506">
        <f>IF($U43="","",SUM($U43:W43)*X$16)</f>
        <v>2.898878328562331</v>
      </c>
      <c r="Y43" s="2507">
        <f t="shared" ref="Y43:Y62" si="23">IF($U43="","",SUM(V43:X43))</f>
        <v>5.8045139492658322</v>
      </c>
      <c r="Z43" s="2504">
        <f>SUM(V43:X46)</f>
        <v>17.326882539811606</v>
      </c>
      <c r="AA43" s="2508">
        <f t="shared" ref="AA43:AA62" si="24">IF($U43="","",SUM(U43,Y43))</f>
        <v>12.561806090436768</v>
      </c>
      <c r="AB43" s="2504">
        <f>SUM(AA43:AA46)</f>
        <v>58.048458864236459</v>
      </c>
      <c r="AC43" s="2561">
        <f t="shared" ref="AC43:AC62" ca="1" si="25">IF(AA43="","",AA43/OFFSET($AB$23,AF43,0))</f>
        <v>0.21640206021345507</v>
      </c>
      <c r="AD43" s="2562"/>
      <c r="AE43" s="2563"/>
      <c r="AF43" s="2512">
        <v>20</v>
      </c>
      <c r="AG43" s="2513">
        <f ca="1">SUM(AC43:AC46)-1</f>
        <v>0</v>
      </c>
      <c r="AH43" s="2514">
        <f t="shared" ref="AH43:AH45" si="26">$AH$16/K43</f>
        <v>0.5</v>
      </c>
      <c r="AI43" s="2514">
        <f t="shared" ref="AI43:AI45" si="27">$AH$16/AH43</f>
        <v>10</v>
      </c>
      <c r="AJ43" s="2498">
        <f t="shared" ref="AJ43:AJ45" si="28">$H43*(1-(1+$L$15)^-(AH43*AI43))/((1+$L$15)^AI43-1)*(1+((1+$L$15)^AI43-1))</f>
        <v>3128.5554613315735</v>
      </c>
      <c r="AK43" s="2515">
        <f>SUM(AJ43:AJ46)</f>
        <v>7876.2755912470311</v>
      </c>
    </row>
    <row r="44" spans="1:37" s="172" customFormat="1" ht="19" customHeight="1">
      <c r="B44" s="2516"/>
      <c r="C44" s="3870"/>
      <c r="D44" s="3873"/>
      <c r="E44" s="2496" t="s">
        <v>308</v>
      </c>
      <c r="F44" s="3477">
        <f>$D$446</f>
        <v>1</v>
      </c>
      <c r="G44" s="3477">
        <f>$D$445</f>
        <v>12.666666666666666</v>
      </c>
      <c r="H44" s="2498">
        <f t="shared" ref="H44:I46" si="29">G462</f>
        <v>3610</v>
      </c>
      <c r="I44" s="2498" t="str">
        <f t="shared" si="29"/>
        <v>Cost for ute hire</v>
      </c>
      <c r="J44" s="2499" t="str">
        <f t="shared" si="18"/>
        <v>Done every 10 years</v>
      </c>
      <c r="K44" s="2500">
        <f t="shared" ref="K44:K46" si="30">I462</f>
        <v>10</v>
      </c>
      <c r="L44" s="2501">
        <f t="shared" si="19"/>
        <v>8</v>
      </c>
      <c r="M44" s="2502">
        <f t="shared" si="19"/>
        <v>10</v>
      </c>
      <c r="N44" s="2498">
        <f t="shared" si="20"/>
        <v>10644.269993805721</v>
      </c>
      <c r="O44" s="2503">
        <f t="shared" si="21"/>
        <v>427.96183560749267</v>
      </c>
      <c r="P44" s="2518"/>
      <c r="Q44" s="3027">
        <f>1*(1-(1+$L$15)^-(L44*M44))/((1+$L$15)^M44-1)*(1+((1+$L$15)^M44-1))</f>
        <v>2.9485512448215299</v>
      </c>
      <c r="R44" s="3027">
        <f>Q44/(1+$L$15)*($L$15)/(1-(1+$L$15)^-$L$16)</f>
        <v>0.11854898493282347</v>
      </c>
      <c r="S44" s="3027">
        <f>F44*R44</f>
        <v>0.11854898493282347</v>
      </c>
      <c r="T44" s="2519" t="s">
        <v>809</v>
      </c>
      <c r="U44" s="2506">
        <f t="shared" si="22"/>
        <v>4.279618356074927</v>
      </c>
      <c r="V44" s="2520" t="str">
        <f>IF($T44="L",SUM($U44:U44)*V$16,"")</f>
        <v/>
      </c>
      <c r="W44" s="2520">
        <f>IF($U44="","",IF(OR($T44="L",$T44="T",$T44="C"),SUM($U44:V44)*W$16,""))</f>
        <v>0.42796183560749274</v>
      </c>
      <c r="X44" s="2520">
        <f>IF($U44="","",SUM($U44:W44)*X$16)</f>
        <v>1.4122740575047257</v>
      </c>
      <c r="Y44" s="2521">
        <f t="shared" si="23"/>
        <v>1.8402358931122185</v>
      </c>
      <c r="Z44" s="2518"/>
      <c r="AA44" s="2522">
        <f t="shared" si="24"/>
        <v>6.1198542491871457</v>
      </c>
      <c r="AB44" s="2518"/>
      <c r="AC44" s="2561">
        <f t="shared" ca="1" si="25"/>
        <v>0.10542664471937559</v>
      </c>
      <c r="AD44" s="2564"/>
      <c r="AE44" s="2528"/>
      <c r="AF44" s="2512">
        <f>AF43</f>
        <v>20</v>
      </c>
      <c r="AG44" s="2512"/>
      <c r="AH44" s="2514">
        <f t="shared" si="26"/>
        <v>0.5</v>
      </c>
      <c r="AI44" s="2514">
        <f t="shared" si="27"/>
        <v>10</v>
      </c>
      <c r="AJ44" s="2498">
        <f t="shared" si="28"/>
        <v>1981.4184588433297</v>
      </c>
      <c r="AK44" s="2524"/>
    </row>
    <row r="45" spans="1:37" s="172" customFormat="1" ht="16" customHeight="1">
      <c r="B45" s="2516"/>
      <c r="C45" s="3870"/>
      <c r="D45" s="3873"/>
      <c r="E45" s="2496" t="s">
        <v>4</v>
      </c>
      <c r="F45" s="3476"/>
      <c r="G45" s="3476">
        <f>$D$454</f>
        <v>24</v>
      </c>
      <c r="H45" s="2498">
        <f t="shared" si="29"/>
        <v>5040</v>
      </c>
      <c r="I45" s="2498" t="str">
        <f t="shared" si="29"/>
        <v>Accomodation + Food Cost</v>
      </c>
      <c r="J45" s="2499" t="str">
        <f t="shared" si="18"/>
        <v>Done every 10 years</v>
      </c>
      <c r="K45" s="2500">
        <f t="shared" si="30"/>
        <v>10</v>
      </c>
      <c r="L45" s="2501">
        <f t="shared" si="19"/>
        <v>8</v>
      </c>
      <c r="M45" s="2502">
        <f t="shared" si="19"/>
        <v>10</v>
      </c>
      <c r="N45" s="2498">
        <f t="shared" si="20"/>
        <v>14860.698273900511</v>
      </c>
      <c r="O45" s="2503">
        <f t="shared" si="21"/>
        <v>597.48688406143026</v>
      </c>
      <c r="P45" s="2518"/>
      <c r="Q45" s="3027"/>
      <c r="R45" s="3027"/>
      <c r="S45" s="3027"/>
      <c r="T45" s="2519" t="s">
        <v>810</v>
      </c>
      <c r="U45" s="2506">
        <f t="shared" si="22"/>
        <v>5.9748688406143025</v>
      </c>
      <c r="V45" s="2520" t="str">
        <f>IF($T45="L",SUM($U45:U45)*V$16,"")</f>
        <v/>
      </c>
      <c r="W45" s="2520">
        <f>IF($U45="","",IF(OR($T45="L",$T45="T",$T45="C"),SUM($U45:V45)*W$16,""))</f>
        <v>0.59748688406143025</v>
      </c>
      <c r="X45" s="2520">
        <f>IF($U45="","",SUM($U45:W45)*X$16)</f>
        <v>1.9717067174027196</v>
      </c>
      <c r="Y45" s="2521">
        <f t="shared" si="23"/>
        <v>2.5691936014641499</v>
      </c>
      <c r="Z45" s="2518"/>
      <c r="AA45" s="2522">
        <f t="shared" si="24"/>
        <v>8.5440624420784523</v>
      </c>
      <c r="AB45" s="2518"/>
      <c r="AC45" s="2561">
        <f t="shared" ca="1" si="25"/>
        <v>0.14718844581320026</v>
      </c>
      <c r="AD45" s="2565"/>
      <c r="AE45" s="2528"/>
      <c r="AF45" s="2512">
        <f>AF44</f>
        <v>20</v>
      </c>
      <c r="AG45" s="2512"/>
      <c r="AH45" s="2514">
        <f t="shared" si="26"/>
        <v>0.5</v>
      </c>
      <c r="AI45" s="2514">
        <f t="shared" si="27"/>
        <v>10</v>
      </c>
      <c r="AJ45" s="2498">
        <f t="shared" si="28"/>
        <v>2766.3016710721276</v>
      </c>
      <c r="AK45" s="2524"/>
    </row>
    <row r="46" spans="1:37" s="172" customFormat="1" ht="19" customHeight="1">
      <c r="B46" s="2516"/>
      <c r="C46" s="3871"/>
      <c r="D46" s="3874"/>
      <c r="E46" s="2496" t="s">
        <v>21</v>
      </c>
      <c r="F46" s="3476"/>
      <c r="G46" s="3476"/>
      <c r="H46" s="2498">
        <f t="shared" si="29"/>
        <v>20000</v>
      </c>
      <c r="I46" s="2498" t="str">
        <f t="shared" si="29"/>
        <v>Consumables cost</v>
      </c>
      <c r="J46" s="2499" t="str">
        <f t="shared" si="18"/>
        <v>Done every 10 years</v>
      </c>
      <c r="K46" s="2500">
        <f t="shared" si="30"/>
        <v>10</v>
      </c>
      <c r="L46" s="2501">
        <f t="shared" si="19"/>
        <v>8</v>
      </c>
      <c r="M46" s="2502">
        <f t="shared" si="19"/>
        <v>10</v>
      </c>
      <c r="N46" s="2498">
        <f t="shared" si="20"/>
        <v>58971.024896430594</v>
      </c>
      <c r="O46" s="2503">
        <f t="shared" si="21"/>
        <v>2370.9796986564688</v>
      </c>
      <c r="P46" s="2518"/>
      <c r="Q46" s="3027"/>
      <c r="R46" s="3027"/>
      <c r="S46" s="3027"/>
      <c r="T46" s="2525" t="s">
        <v>811</v>
      </c>
      <c r="U46" s="2506">
        <f t="shared" si="22"/>
        <v>23.709796986564687</v>
      </c>
      <c r="V46" s="2520" t="str">
        <f>IF($T46="L",SUM($U46:U46)*V$16,"")</f>
        <v/>
      </c>
      <c r="W46" s="2520" t="str">
        <f>IF($U46="","",IF(OR($T46="L",$T46="T",$T46="C"),SUM($U46:V46)*W$16,""))</f>
        <v/>
      </c>
      <c r="X46" s="2520">
        <f>IF($U46="","",SUM($U46:W46)*X$16)</f>
        <v>7.1129390959694057</v>
      </c>
      <c r="Y46" s="2521">
        <f t="shared" si="23"/>
        <v>7.1129390959694057</v>
      </c>
      <c r="Z46" s="2518"/>
      <c r="AA46" s="2522">
        <f t="shared" si="24"/>
        <v>30.822736082534092</v>
      </c>
      <c r="AB46" s="2518"/>
      <c r="AC46" s="2561">
        <f t="shared" ca="1" si="25"/>
        <v>0.5309828492539691</v>
      </c>
      <c r="AD46" s="2566"/>
      <c r="AE46" s="2567"/>
      <c r="AF46" s="2512">
        <f>AF45</f>
        <v>20</v>
      </c>
      <c r="AG46" s="2512"/>
      <c r="AH46" s="2514"/>
      <c r="AI46" s="2514"/>
      <c r="AJ46" s="2498"/>
      <c r="AK46" s="2524"/>
    </row>
    <row r="47" spans="1:37" ht="19" customHeight="1">
      <c r="A47" s="390"/>
      <c r="B47" s="1768">
        <v>6.1</v>
      </c>
      <c r="C47" s="3859" t="s">
        <v>1008</v>
      </c>
      <c r="D47" s="3850" t="s">
        <v>1551</v>
      </c>
      <c r="E47" s="373" t="s">
        <v>3</v>
      </c>
      <c r="F47" s="3474"/>
      <c r="G47" s="3474">
        <f>G27</f>
        <v>6.2541106128550075</v>
      </c>
      <c r="H47" s="370">
        <f>H482</f>
        <v>1407.1748878923768</v>
      </c>
      <c r="I47" s="613" t="s">
        <v>474</v>
      </c>
      <c r="J47" s="375" t="str">
        <f>IF(K47=1,"Annual","Done every "&amp;K47&amp;" years")</f>
        <v>Annual</v>
      </c>
      <c r="K47" s="374">
        <f>L482</f>
        <v>1</v>
      </c>
      <c r="L47" s="386">
        <f t="shared" ref="L47:M49" si="31">$L$16/K47</f>
        <v>80</v>
      </c>
      <c r="M47" s="371">
        <f t="shared" si="31"/>
        <v>1</v>
      </c>
      <c r="N47" s="370">
        <f>$H47*(1-(1+$L$15)^-(L47*M47))/((1+$L$15)^M47-1)*(1+((1+$L$15)^M47-1))</f>
        <v>34999.264394611135</v>
      </c>
      <c r="O47" s="640">
        <f>N47/(1+$L$15)*($L$15)/(1-(1+$L$15)^-$L$16)</f>
        <v>1407.1748878923752</v>
      </c>
      <c r="P47" s="392">
        <f>SUM(O47:O50)</f>
        <v>3558.3856502242124</v>
      </c>
      <c r="Q47" s="2980"/>
      <c r="R47" s="2980"/>
      <c r="S47" s="2980"/>
      <c r="T47" s="1039" t="s">
        <v>808</v>
      </c>
      <c r="U47" s="639">
        <f t="shared" ref="U47:U49" si="32">O47/$U$16</f>
        <v>14.071748878923751</v>
      </c>
      <c r="V47" s="639">
        <f>IF($T47="L",SUM($U47:U47)*V$16,"")</f>
        <v>4.2215246636771253</v>
      </c>
      <c r="W47" s="639">
        <f>IF($U47="","",IF(OR($T47="L",$T47="T",$T47="C"),SUM($U47:V47)*W$16,""))</f>
        <v>1.8293273542600876</v>
      </c>
      <c r="X47" s="639">
        <f>IF($U47="","",SUM($U47:W47)*X$16)</f>
        <v>6.0367802690582888</v>
      </c>
      <c r="Y47" s="388">
        <f t="shared" si="23"/>
        <v>12.087632286995502</v>
      </c>
      <c r="Z47" s="392">
        <f>SUM(V47:X50)</f>
        <v>21.337838565022402</v>
      </c>
      <c r="AA47" s="734">
        <f t="shared" si="24"/>
        <v>26.159381165919253</v>
      </c>
      <c r="AB47" s="391">
        <f>SUM(AA47:AA50)</f>
        <v>56.921695067264523</v>
      </c>
      <c r="AC47" s="936">
        <f t="shared" ca="1" si="25"/>
        <v>0.45956785255615878</v>
      </c>
      <c r="AD47" s="638"/>
      <c r="AE47" s="1069"/>
      <c r="AF47" s="587">
        <f>AF43+4</f>
        <v>24</v>
      </c>
      <c r="AG47" s="816">
        <f ca="1">SUM(AC47:AC50)-1</f>
        <v>0</v>
      </c>
      <c r="AH47" s="387">
        <f>$AH$16/K47</f>
        <v>5</v>
      </c>
      <c r="AI47" s="387">
        <f>$AH$16/AH47</f>
        <v>1</v>
      </c>
      <c r="AJ47" s="370">
        <f>$H47*(1-(1+$L$15)^-(AH47*AI47))/((1+$L$15)^AI47-1)*(1+((1+$L$15)^AI47-1))</f>
        <v>6515.0722931470918</v>
      </c>
      <c r="AK47" s="981">
        <f>SUM(AJ47:AJ50)</f>
        <v>16474.95272803722</v>
      </c>
    </row>
    <row r="48" spans="1:37" ht="19" customHeight="1">
      <c r="A48" s="390"/>
      <c r="B48" s="1765"/>
      <c r="C48" s="3860"/>
      <c r="D48" s="3851"/>
      <c r="E48" s="373" t="s">
        <v>308</v>
      </c>
      <c r="F48" s="3474">
        <f t="shared" ref="F48" si="33">F28</f>
        <v>1</v>
      </c>
      <c r="G48" s="3474">
        <f>G28</f>
        <v>3.1270553064275037</v>
      </c>
      <c r="H48" s="370">
        <f>H483</f>
        <v>891.21076233183862</v>
      </c>
      <c r="I48" s="613" t="s">
        <v>65</v>
      </c>
      <c r="J48" s="375" t="str">
        <f>IF(K48=1,"Annual","Done every "&amp;K48&amp;" years")</f>
        <v>Annual</v>
      </c>
      <c r="K48" s="374">
        <f>L483</f>
        <v>1</v>
      </c>
      <c r="L48" s="386">
        <f t="shared" si="31"/>
        <v>80</v>
      </c>
      <c r="M48" s="371">
        <f t="shared" si="31"/>
        <v>1</v>
      </c>
      <c r="N48" s="370">
        <f>$H48*(1-(1+$L$15)^-(L48*M48))/((1+$L$15)^M48-1)*(1+((1+$L$15)^M48-1))</f>
        <v>22166.200783253724</v>
      </c>
      <c r="O48" s="640">
        <f>N48/(1+$L$15)*($L$15)/(1-(1+$L$15)^-$L$16)</f>
        <v>891.21076233183794</v>
      </c>
      <c r="P48" s="392"/>
      <c r="Q48" s="2980">
        <f>1*(1-(1+$L$15)^-(L48*M48))/((1+$L$15)^M48-1)*(1+((1+$L$15)^M48-1))</f>
        <v>24.872007520708362</v>
      </c>
      <c r="R48" s="2980">
        <f>Q48/(1+$L$15)*($L$15)/(1-(1+$L$15)^-$L$16)</f>
        <v>0.99999999999999911</v>
      </c>
      <c r="S48" s="2980">
        <f>F48*R48</f>
        <v>0.99999999999999911</v>
      </c>
      <c r="T48" s="1034" t="s">
        <v>809</v>
      </c>
      <c r="U48" s="639">
        <f t="shared" si="32"/>
        <v>8.9121076233183789</v>
      </c>
      <c r="V48" s="642" t="str">
        <f>IF($T48="L",SUM($U48:U48)*V$16,"")</f>
        <v/>
      </c>
      <c r="W48" s="642">
        <f>IF($U48="","",IF(OR($T48="L",$T48="T",$T48="C"),SUM($U48:V48)*W$16,""))</f>
        <v>0.89121076233183794</v>
      </c>
      <c r="X48" s="642">
        <f>IF($U48="","",SUM($U48:W48)*X$16)</f>
        <v>2.9409955156950649</v>
      </c>
      <c r="Y48" s="388">
        <f t="shared" si="23"/>
        <v>3.8322062780269031</v>
      </c>
      <c r="Z48" s="392"/>
      <c r="AA48" s="734">
        <f t="shared" si="24"/>
        <v>12.744313901345283</v>
      </c>
      <c r="AB48" s="391"/>
      <c r="AC48" s="936">
        <f t="shared" ca="1" si="25"/>
        <v>0.2238920307324877</v>
      </c>
      <c r="AD48" s="641"/>
      <c r="AE48" s="1069"/>
      <c r="AF48" s="587">
        <f>AF47</f>
        <v>24</v>
      </c>
      <c r="AG48" s="587"/>
      <c r="AH48" s="387">
        <f>$AH$16/K48</f>
        <v>5</v>
      </c>
      <c r="AI48" s="387">
        <f>$AH$16/AH48</f>
        <v>1</v>
      </c>
      <c r="AJ48" s="370">
        <f>$H48*(1-(1+$L$15)^-(AH48*AI48))/((1+$L$15)^AI48-1)*(1+((1+$L$15)^AI48-1))</f>
        <v>4126.212452326492</v>
      </c>
      <c r="AK48" s="981"/>
    </row>
    <row r="49" spans="1:37" ht="19" customHeight="1">
      <c r="A49" s="390"/>
      <c r="B49" s="1765"/>
      <c r="C49" s="3860"/>
      <c r="D49" s="3851"/>
      <c r="E49" s="373" t="s">
        <v>4</v>
      </c>
      <c r="F49" s="3474"/>
      <c r="G49" s="3474">
        <f>G29</f>
        <v>6</v>
      </c>
      <c r="H49" s="370">
        <f>H484</f>
        <v>1260</v>
      </c>
      <c r="I49" s="613" t="s">
        <v>70</v>
      </c>
      <c r="J49" s="375" t="str">
        <f>IF(K49=1,"Annual","Done every "&amp;K49&amp;" years")</f>
        <v>Annual</v>
      </c>
      <c r="K49" s="374">
        <f>L484</f>
        <v>1</v>
      </c>
      <c r="L49" s="386">
        <f t="shared" si="31"/>
        <v>80</v>
      </c>
      <c r="M49" s="371">
        <f t="shared" si="31"/>
        <v>1</v>
      </c>
      <c r="N49" s="370">
        <f>$H49*(1-(1+$L$15)^-(L49*M49))/((1+$L$15)^M49-1)*(1+((1+$L$15)^M49-1))</f>
        <v>31338.729476092536</v>
      </c>
      <c r="O49" s="640">
        <f>N49/(1+$L$15)*($L$15)/(1-(1+$L$15)^-$L$16)</f>
        <v>1259.9999999999991</v>
      </c>
      <c r="P49" s="392"/>
      <c r="Q49" s="2980"/>
      <c r="R49" s="2980"/>
      <c r="S49" s="2980"/>
      <c r="T49" s="1034" t="s">
        <v>810</v>
      </c>
      <c r="U49" s="639">
        <f t="shared" si="32"/>
        <v>12.599999999999991</v>
      </c>
      <c r="V49" s="642" t="str">
        <f>IF($T49="L",SUM($U49:U49)*V$16,"")</f>
        <v/>
      </c>
      <c r="W49" s="642">
        <f>IF($U49="","",IF(OR($T49="L",$T49="T",$T49="C"),SUM($U49:V49)*W$16,""))</f>
        <v>1.2599999999999991</v>
      </c>
      <c r="X49" s="642">
        <f>IF($U49="","",SUM($U49:W49)*X$16)</f>
        <v>4.1579999999999968</v>
      </c>
      <c r="Y49" s="388">
        <f t="shared" si="23"/>
        <v>5.4179999999999957</v>
      </c>
      <c r="Z49" s="392"/>
      <c r="AA49" s="734">
        <f t="shared" si="24"/>
        <v>18.017999999999986</v>
      </c>
      <c r="AB49" s="391"/>
      <c r="AC49" s="936">
        <f t="shared" ca="1" si="25"/>
        <v>0.31654011671135351</v>
      </c>
      <c r="AD49" s="641"/>
      <c r="AE49" s="1069"/>
      <c r="AF49" s="587">
        <f>AF48</f>
        <v>24</v>
      </c>
      <c r="AG49" s="587"/>
      <c r="AH49" s="387">
        <f>$AH$16/K49</f>
        <v>5</v>
      </c>
      <c r="AI49" s="387">
        <f>$AH$16/AH49</f>
        <v>1</v>
      </c>
      <c r="AJ49" s="370">
        <f>$H49*(1-(1+$L$15)^-(AH49*AI49))/((1+$L$15)^AI49-1)*(1+((1+$L$15)^AI49-1))</f>
        <v>5833.6679825636384</v>
      </c>
      <c r="AK49" s="981"/>
    </row>
    <row r="50" spans="1:37" ht="19" customHeight="1">
      <c r="A50" s="390"/>
      <c r="B50" s="1772"/>
      <c r="C50" s="3861"/>
      <c r="D50" s="3862"/>
      <c r="E50" s="373" t="s">
        <v>21</v>
      </c>
      <c r="F50" s="3474"/>
      <c r="G50" s="3474"/>
      <c r="H50" s="370"/>
      <c r="I50" s="613"/>
      <c r="J50" s="375"/>
      <c r="K50" s="374"/>
      <c r="L50" s="386"/>
      <c r="M50" s="371"/>
      <c r="N50" s="370"/>
      <c r="O50" s="699"/>
      <c r="P50" s="396"/>
      <c r="Q50" s="3031"/>
      <c r="R50" s="3031"/>
      <c r="S50" s="3031"/>
      <c r="T50" s="1040" t="s">
        <v>811</v>
      </c>
      <c r="U50" s="700"/>
      <c r="V50" s="700" t="str">
        <f>IF($T50="L",SUM($U50:U50)*V$16,"")</f>
        <v/>
      </c>
      <c r="W50" s="700" t="str">
        <f>IF($U50="","",IF(OR($T50="L",$T50="T",$T50="C"),SUM($U50:V50)*W$16,""))</f>
        <v/>
      </c>
      <c r="X50" s="700" t="str">
        <f>IF($U50="","",SUM($U50:W50)*X$16)</f>
        <v/>
      </c>
      <c r="Y50" s="699" t="str">
        <f t="shared" si="23"/>
        <v/>
      </c>
      <c r="Z50" s="396"/>
      <c r="AA50" s="743" t="str">
        <f t="shared" si="24"/>
        <v/>
      </c>
      <c r="AB50" s="395"/>
      <c r="AC50" s="937" t="str">
        <f t="shared" ca="1" si="25"/>
        <v/>
      </c>
      <c r="AD50" s="822"/>
      <c r="AE50" s="1069"/>
      <c r="AF50" s="587">
        <f>AF49</f>
        <v>24</v>
      </c>
      <c r="AG50" s="587"/>
      <c r="AH50" s="387"/>
      <c r="AI50" s="387"/>
      <c r="AJ50" s="370"/>
      <c r="AK50" s="882"/>
    </row>
    <row r="51" spans="1:37" ht="19" customHeight="1">
      <c r="A51" s="676"/>
      <c r="B51" s="1766">
        <f>B47+0.1</f>
        <v>6.1999999999999993</v>
      </c>
      <c r="C51" s="3875" t="s">
        <v>203</v>
      </c>
      <c r="D51" s="3852" t="str">
        <f>D47</f>
        <v>Monitoring of action output.</v>
      </c>
      <c r="E51" s="685" t="s">
        <v>3</v>
      </c>
      <c r="F51" s="3471"/>
      <c r="G51" s="3471">
        <f>G31</f>
        <v>7.449925261584454</v>
      </c>
      <c r="H51" s="665">
        <f>I482</f>
        <v>1676.2331838565024</v>
      </c>
      <c r="I51" s="818" t="s">
        <v>474</v>
      </c>
      <c r="J51" s="666" t="str">
        <f>IF(K51=1,"Annual","Done every "&amp;K51&amp;" years")</f>
        <v>Annual</v>
      </c>
      <c r="K51" s="701">
        <f>K47</f>
        <v>1</v>
      </c>
      <c r="L51" s="668">
        <f t="shared" ref="L51:M53" si="34">$L$16/K51</f>
        <v>80</v>
      </c>
      <c r="M51" s="667">
        <f t="shared" si="34"/>
        <v>1</v>
      </c>
      <c r="N51" s="665">
        <f>$H51*(1-(1+$L$15)^-(L51*M51))/((1+$L$15)^M51-1)*(1+((1+$L$15)^M51-1))</f>
        <v>41691.284355339849</v>
      </c>
      <c r="O51" s="680">
        <f>N51/(1+$L$15)*($L$15)/(1-(1+$L$15)^-$L$16)</f>
        <v>1676.233183856501</v>
      </c>
      <c r="P51" s="720">
        <f>SUM(O51:O54)</f>
        <v>3997.847533632284</v>
      </c>
      <c r="Q51" s="3032"/>
      <c r="R51" s="3032"/>
      <c r="S51" s="3032"/>
      <c r="T51" s="1035" t="s">
        <v>808</v>
      </c>
      <c r="U51" s="675">
        <f>O51/$U$16</f>
        <v>16.762331838565011</v>
      </c>
      <c r="V51" s="675">
        <f>IF($T51="L",SUM($U51:U51)*V$16,"")</f>
        <v>5.0286995515695034</v>
      </c>
      <c r="W51" s="675">
        <f>IF($U51="","",IF(OR($T51="L",$T51="T",$T51="C"),SUM($U51:V51)*W$16,""))</f>
        <v>2.1791031390134514</v>
      </c>
      <c r="X51" s="675">
        <f>IF($U51="","",SUM($U51:W51)*X$16)</f>
        <v>7.1910403587443898</v>
      </c>
      <c r="Y51" s="679">
        <f t="shared" si="23"/>
        <v>14.398843049327345</v>
      </c>
      <c r="Z51" s="720">
        <f>SUM(V51:X54)</f>
        <v>24.381784753363213</v>
      </c>
      <c r="AA51" s="737">
        <f t="shared" si="24"/>
        <v>31.161174887892358</v>
      </c>
      <c r="AB51" s="678">
        <f>SUM(AA51:AA54)</f>
        <v>64.360260089686051</v>
      </c>
      <c r="AC51" s="935">
        <f t="shared" ca="1" si="25"/>
        <v>0.48416794532012841</v>
      </c>
      <c r="AD51" s="674"/>
      <c r="AE51" s="1070"/>
      <c r="AF51" s="587">
        <f>AF47+4</f>
        <v>28</v>
      </c>
      <c r="AG51" s="816">
        <f ca="1">SUM(AC51:AC54)-1</f>
        <v>0</v>
      </c>
      <c r="AH51" s="669">
        <f>$AH$16/K51</f>
        <v>5</v>
      </c>
      <c r="AI51" s="669">
        <f>$AH$16/AH51</f>
        <v>1</v>
      </c>
      <c r="AJ51" s="665">
        <f>$H51*(1-(1+$L$15)^-(AH51*AI51))/((1+$L$15)^AI51-1)*(1+((1+$L$15)^AI51-1))</f>
        <v>7760.7840126780848</v>
      </c>
      <c r="AK51" s="984">
        <f>SUM(AJ51:AJ54)</f>
        <v>18509.615203271176</v>
      </c>
    </row>
    <row r="52" spans="1:37" ht="19" customHeight="1">
      <c r="A52" s="676"/>
      <c r="B52" s="1769"/>
      <c r="C52" s="3876"/>
      <c r="D52" s="3853"/>
      <c r="E52" s="685" t="s">
        <v>308</v>
      </c>
      <c r="F52" s="3471">
        <f t="shared" ref="F52:G52" si="35">F32</f>
        <v>1</v>
      </c>
      <c r="G52" s="3471">
        <f t="shared" si="35"/>
        <v>3.724962630792227</v>
      </c>
      <c r="H52" s="665">
        <f>I483</f>
        <v>1061.6143497757848</v>
      </c>
      <c r="I52" s="818" t="s">
        <v>65</v>
      </c>
      <c r="J52" s="666" t="str">
        <f>IF(K52=1,"Annual","Done every "&amp;K52&amp;" years")</f>
        <v>Annual</v>
      </c>
      <c r="K52" s="701">
        <f>K48</f>
        <v>1</v>
      </c>
      <c r="L52" s="668">
        <f t="shared" si="34"/>
        <v>80</v>
      </c>
      <c r="M52" s="667">
        <f t="shared" si="34"/>
        <v>1</v>
      </c>
      <c r="N52" s="665">
        <f>$H52*(1-(1+$L$15)^-(L52*M52))/((1+$L$15)^M52-1)*(1+((1+$L$15)^M52-1))</f>
        <v>26404.480091715235</v>
      </c>
      <c r="O52" s="680">
        <f>N52/(1+$L$15)*($L$15)/(1-(1+$L$15)^-$L$16)</f>
        <v>1061.6143497757839</v>
      </c>
      <c r="P52" s="720"/>
      <c r="Q52" s="3032">
        <f>1*(1-(1+$L$15)^-(L52*M52))/((1+$L$15)^M52-1)*(1+((1+$L$15)^M52-1))</f>
        <v>24.872007520708362</v>
      </c>
      <c r="R52" s="3032">
        <f>Q52/(1+$L$15)*($L$15)/(1-(1+$L$15)^-$L$16)</f>
        <v>0.99999999999999911</v>
      </c>
      <c r="S52" s="3032">
        <f>F52*R52</f>
        <v>0.99999999999999911</v>
      </c>
      <c r="T52" s="1036" t="s">
        <v>809</v>
      </c>
      <c r="U52" s="675">
        <f>O52/$U$16</f>
        <v>10.616143497757839</v>
      </c>
      <c r="V52" s="682" t="str">
        <f>IF($T52="L",SUM($U52:U52)*V$16,"")</f>
        <v/>
      </c>
      <c r="W52" s="682">
        <f>IF($U52="","",IF(OR($T52="L",$T52="T",$T52="C"),SUM($U52:V52)*W$16,""))</f>
        <v>1.0616143497757839</v>
      </c>
      <c r="X52" s="682">
        <f>IF($U52="","",SUM($U52:W52)*X$16)</f>
        <v>3.5033273542600871</v>
      </c>
      <c r="Y52" s="679">
        <f t="shared" si="23"/>
        <v>4.5649417040358706</v>
      </c>
      <c r="Z52" s="720"/>
      <c r="AA52" s="737">
        <f t="shared" si="24"/>
        <v>15.18108520179371</v>
      </c>
      <c r="AB52" s="678"/>
      <c r="AC52" s="935">
        <f t="shared" ca="1" si="25"/>
        <v>0.2358766913098061</v>
      </c>
      <c r="AD52" s="681"/>
      <c r="AE52" s="1070"/>
      <c r="AF52" s="587">
        <f>AF51</f>
        <v>28</v>
      </c>
      <c r="AG52" s="587"/>
      <c r="AH52" s="669">
        <f>$AH$16/K52</f>
        <v>5</v>
      </c>
      <c r="AI52" s="669">
        <f>$AH$16/AH52</f>
        <v>1</v>
      </c>
      <c r="AJ52" s="665">
        <f>$H52*(1-(1+$L$15)^-(AH52*AI52))/((1+$L$15)^AI52-1)*(1+((1+$L$15)^AI52-1))</f>
        <v>4915.163208029453</v>
      </c>
      <c r="AK52" s="984"/>
    </row>
    <row r="53" spans="1:37" ht="19" customHeight="1">
      <c r="A53" s="676"/>
      <c r="B53" s="1769"/>
      <c r="C53" s="3876"/>
      <c r="D53" s="3853"/>
      <c r="E53" s="685" t="s">
        <v>4</v>
      </c>
      <c r="F53" s="3471"/>
      <c r="G53" s="3471">
        <f t="shared" ref="G53" si="36">G33</f>
        <v>6</v>
      </c>
      <c r="H53" s="665">
        <f>I484</f>
        <v>1260</v>
      </c>
      <c r="I53" s="818" t="s">
        <v>70</v>
      </c>
      <c r="J53" s="666" t="str">
        <f>IF(K53=1,"Annual","Done every "&amp;K53&amp;" years")</f>
        <v>Annual</v>
      </c>
      <c r="K53" s="701">
        <f>K49</f>
        <v>1</v>
      </c>
      <c r="L53" s="668">
        <f t="shared" si="34"/>
        <v>80</v>
      </c>
      <c r="M53" s="667">
        <f t="shared" si="34"/>
        <v>1</v>
      </c>
      <c r="N53" s="665">
        <f>$H53*(1-(1+$L$15)^-(L53*M53))/((1+$L$15)^M53-1)*(1+((1+$L$15)^M53-1))</f>
        <v>31338.729476092536</v>
      </c>
      <c r="O53" s="680">
        <f>N53/(1+$L$15)*($L$15)/(1-(1+$L$15)^-$L$16)</f>
        <v>1259.9999999999991</v>
      </c>
      <c r="P53" s="720"/>
      <c r="Q53" s="3032"/>
      <c r="R53" s="3032"/>
      <c r="S53" s="3032"/>
      <c r="T53" s="1036" t="s">
        <v>810</v>
      </c>
      <c r="U53" s="675">
        <f>O53/$U$16</f>
        <v>12.599999999999991</v>
      </c>
      <c r="V53" s="682" t="str">
        <f>IF($T53="L",SUM($U53:U53)*V$16,"")</f>
        <v/>
      </c>
      <c r="W53" s="682">
        <f>IF($U53="","",IF(OR($T53="L",$T53="T",$T53="C"),SUM($U53:V53)*W$16,""))</f>
        <v>1.2599999999999991</v>
      </c>
      <c r="X53" s="682">
        <f>IF($U53="","",SUM($U53:W53)*X$16)</f>
        <v>4.1579999999999968</v>
      </c>
      <c r="Y53" s="679">
        <f t="shared" si="23"/>
        <v>5.4179999999999957</v>
      </c>
      <c r="Z53" s="720"/>
      <c r="AA53" s="737">
        <f t="shared" si="24"/>
        <v>18.017999999999986</v>
      </c>
      <c r="AB53" s="678"/>
      <c r="AC53" s="935">
        <f t="shared" ca="1" si="25"/>
        <v>0.27995536337006555</v>
      </c>
      <c r="AD53" s="681"/>
      <c r="AE53" s="1070"/>
      <c r="AF53" s="587">
        <f>AF52</f>
        <v>28</v>
      </c>
      <c r="AG53" s="587"/>
      <c r="AH53" s="669">
        <f>$AH$16/K53</f>
        <v>5</v>
      </c>
      <c r="AI53" s="669">
        <f>$AH$16/AH53</f>
        <v>1</v>
      </c>
      <c r="AJ53" s="665">
        <f>$H53*(1-(1+$L$15)^-(AH53*AI53))/((1+$L$15)^AI53-1)*(1+((1+$L$15)^AI53-1))</f>
        <v>5833.6679825636384</v>
      </c>
      <c r="AK53" s="984"/>
    </row>
    <row r="54" spans="1:37" ht="19" customHeight="1">
      <c r="A54" s="676"/>
      <c r="B54" s="1773"/>
      <c r="C54" s="3877"/>
      <c r="D54" s="3854"/>
      <c r="E54" s="685" t="s">
        <v>21</v>
      </c>
      <c r="F54" s="3471"/>
      <c r="G54" s="3471"/>
      <c r="H54" s="665"/>
      <c r="I54" s="818"/>
      <c r="J54" s="666"/>
      <c r="K54" s="701"/>
      <c r="L54" s="668"/>
      <c r="M54" s="667"/>
      <c r="N54" s="665"/>
      <c r="O54" s="703"/>
      <c r="P54" s="718"/>
      <c r="Q54" s="3033"/>
      <c r="R54" s="3033"/>
      <c r="S54" s="3033"/>
      <c r="T54" s="1041" t="s">
        <v>811</v>
      </c>
      <c r="U54" s="704"/>
      <c r="V54" s="704" t="str">
        <f>IF($T54="L",SUM($U54:U54)*V$16,"")</f>
        <v/>
      </c>
      <c r="W54" s="704" t="str">
        <f>IF($U54="","",IF(OR($T54="L",$T54="T",$T54="C"),SUM($U54:V54)*W$16,""))</f>
        <v/>
      </c>
      <c r="X54" s="704" t="str">
        <f>IF($U54="","",SUM($U54:W54)*X$16)</f>
        <v/>
      </c>
      <c r="Y54" s="703" t="str">
        <f t="shared" si="23"/>
        <v/>
      </c>
      <c r="Z54" s="718"/>
      <c r="AA54" s="744" t="str">
        <f t="shared" si="24"/>
        <v/>
      </c>
      <c r="AB54" s="672"/>
      <c r="AC54" s="938" t="str">
        <f t="shared" ca="1" si="25"/>
        <v/>
      </c>
      <c r="AD54" s="823"/>
      <c r="AE54" s="1070"/>
      <c r="AF54" s="587">
        <f>AF53</f>
        <v>28</v>
      </c>
      <c r="AG54" s="587"/>
      <c r="AH54" s="669"/>
      <c r="AI54" s="669"/>
      <c r="AJ54" s="665"/>
      <c r="AK54" s="883"/>
    </row>
    <row r="55" spans="1:37" ht="19" customHeight="1">
      <c r="A55" s="656"/>
      <c r="B55" s="1767">
        <f>B51+0.1</f>
        <v>6.2999999999999989</v>
      </c>
      <c r="C55" s="3878" t="s">
        <v>203</v>
      </c>
      <c r="D55" s="3863" t="str">
        <f>D51</f>
        <v>Monitoring of action output.</v>
      </c>
      <c r="E55" s="686" t="s">
        <v>3</v>
      </c>
      <c r="F55" s="3472"/>
      <c r="G55" s="3472">
        <f>G35</f>
        <v>9.8415545590433489</v>
      </c>
      <c r="H55" s="645">
        <f>J482</f>
        <v>2214.3497757847535</v>
      </c>
      <c r="I55" s="820" t="s">
        <v>474</v>
      </c>
      <c r="J55" s="646" t="str">
        <f>IF(K55=1,"Annual","Done every "&amp;K55&amp;" years")</f>
        <v>Annual</v>
      </c>
      <c r="K55" s="705">
        <f>K51</f>
        <v>1</v>
      </c>
      <c r="L55" s="648">
        <f t="shared" ref="L55:M57" si="37">$L$16/K55</f>
        <v>80</v>
      </c>
      <c r="M55" s="647">
        <f t="shared" si="37"/>
        <v>1</v>
      </c>
      <c r="N55" s="645">
        <f>$H55*(1-(1+$L$15)^-(L55*M55))/((1+$L$15)^M55-1)*(1+((1+$L$15)^M55-1))</f>
        <v>55075.324276797262</v>
      </c>
      <c r="O55" s="660">
        <f>N55/(1+$L$15)*($L$15)/(1-(1+$L$15)^-$L$16)</f>
        <v>2214.3497757847517</v>
      </c>
      <c r="P55" s="722">
        <f>SUM(O55:O58)</f>
        <v>5296.7713004484267</v>
      </c>
      <c r="Q55" s="3034"/>
      <c r="R55" s="3034"/>
      <c r="S55" s="3034"/>
      <c r="T55" s="1037" t="s">
        <v>808</v>
      </c>
      <c r="U55" s="655">
        <f>O55/$U$16</f>
        <v>22.143497757847516</v>
      </c>
      <c r="V55" s="655">
        <f>IF($T55="L",SUM($U55:U55)*V$16,"")</f>
        <v>6.6430493273542544</v>
      </c>
      <c r="W55" s="655">
        <f>IF($U55="","",IF(OR($T55="L",$T55="T",$T55="C"),SUM($U55:V55)*W$16,""))</f>
        <v>2.8786547085201772</v>
      </c>
      <c r="X55" s="655">
        <f>IF($U55="","",SUM($U55:W55)*X$16)</f>
        <v>9.4995605381165849</v>
      </c>
      <c r="Y55" s="659">
        <f t="shared" si="23"/>
        <v>19.021264573991019</v>
      </c>
      <c r="Z55" s="722">
        <f>SUM(V55:X58)</f>
        <v>32.275677130044819</v>
      </c>
      <c r="AA55" s="740">
        <f t="shared" si="24"/>
        <v>41.164762331838531</v>
      </c>
      <c r="AB55" s="658">
        <f>SUM(AA55:AA58)</f>
        <v>85.243390134529079</v>
      </c>
      <c r="AC55" s="939">
        <f t="shared" ca="1" si="25"/>
        <v>0.48290855474979688</v>
      </c>
      <c r="AD55" s="654"/>
      <c r="AE55" s="1071"/>
      <c r="AF55" s="587">
        <f>AF51+4</f>
        <v>32</v>
      </c>
      <c r="AG55" s="816">
        <f ca="1">SUM(AC55:AC58)-1</f>
        <v>0</v>
      </c>
      <c r="AH55" s="649">
        <f>$AH$16/K55</f>
        <v>5</v>
      </c>
      <c r="AI55" s="649">
        <f>$AH$16/AH55</f>
        <v>1</v>
      </c>
      <c r="AJ55" s="645">
        <f>$H55*(1-(1+$L$15)^-(AH55*AI55))/((1+$L$15)^AI55-1)*(1+((1+$L$15)^AI55-1))</f>
        <v>10252.207451740071</v>
      </c>
      <c r="AK55" s="932">
        <f>SUM(AJ55:AJ58)</f>
        <v>24523.496147926966</v>
      </c>
    </row>
    <row r="56" spans="1:37" ht="19" customHeight="1">
      <c r="A56" s="656"/>
      <c r="B56" s="1770"/>
      <c r="C56" s="3879"/>
      <c r="D56" s="3864"/>
      <c r="E56" s="686" t="s">
        <v>308</v>
      </c>
      <c r="F56" s="3472">
        <f t="shared" ref="F56:G56" si="38">F36</f>
        <v>1</v>
      </c>
      <c r="G56" s="3472">
        <f t="shared" si="38"/>
        <v>4.9207772795216744</v>
      </c>
      <c r="H56" s="645">
        <f>J483</f>
        <v>1402.4215246636772</v>
      </c>
      <c r="I56" s="820" t="s">
        <v>65</v>
      </c>
      <c r="J56" s="646" t="str">
        <f>IF(K56=1,"Annual","Done every "&amp;K56&amp;" years")</f>
        <v>Annual</v>
      </c>
      <c r="K56" s="705">
        <f>K52</f>
        <v>1</v>
      </c>
      <c r="L56" s="648">
        <f t="shared" si="37"/>
        <v>80</v>
      </c>
      <c r="M56" s="647">
        <f t="shared" si="37"/>
        <v>1</v>
      </c>
      <c r="N56" s="645">
        <f>$H56*(1-(1+$L$15)^-(L56*M56))/((1+$L$15)^M56-1)*(1+((1+$L$15)^M56-1))</f>
        <v>34881.038708638262</v>
      </c>
      <c r="O56" s="660">
        <f>N56/(1+$L$15)*($L$15)/(1-(1+$L$15)^-$L$16)</f>
        <v>1402.4215246636759</v>
      </c>
      <c r="P56" s="722"/>
      <c r="Q56" s="3034">
        <f>1*(1-(1+$L$15)^-(L56*M56))/((1+$L$15)^M56-1)*(1+((1+$L$15)^M56-1))</f>
        <v>24.872007520708362</v>
      </c>
      <c r="R56" s="3034">
        <f>Q56/(1+$L$15)*($L$15)/(1-(1+$L$15)^-$L$16)</f>
        <v>0.99999999999999911</v>
      </c>
      <c r="S56" s="3034">
        <f>F56*R56</f>
        <v>0.99999999999999911</v>
      </c>
      <c r="T56" s="1038" t="s">
        <v>809</v>
      </c>
      <c r="U56" s="655">
        <f>O56/$U$16</f>
        <v>14.024215246636759</v>
      </c>
      <c r="V56" s="662" t="str">
        <f>IF($T56="L",SUM($U56:U56)*V$16,"")</f>
        <v/>
      </c>
      <c r="W56" s="662">
        <f>IF($U56="","",IF(OR($T56="L",$T56="T",$T56="C"),SUM($U56:V56)*W$16,""))</f>
        <v>1.402421524663676</v>
      </c>
      <c r="X56" s="662">
        <f>IF($U56="","",SUM($U56:W56)*X$16)</f>
        <v>4.6279910313901302</v>
      </c>
      <c r="Y56" s="659">
        <f t="shared" si="23"/>
        <v>6.0304125560538058</v>
      </c>
      <c r="Z56" s="722"/>
      <c r="AA56" s="740">
        <f t="shared" si="24"/>
        <v>20.054627802690565</v>
      </c>
      <c r="AB56" s="658"/>
      <c r="AC56" s="939">
        <f t="shared" ca="1" si="25"/>
        <v>0.23526314205759333</v>
      </c>
      <c r="AD56" s="661"/>
      <c r="AE56" s="1071"/>
      <c r="AF56" s="587">
        <f>AF55</f>
        <v>32</v>
      </c>
      <c r="AG56" s="587"/>
      <c r="AH56" s="649">
        <f>$AH$16/K56</f>
        <v>5</v>
      </c>
      <c r="AI56" s="649">
        <f>$AH$16/AH56</f>
        <v>1</v>
      </c>
      <c r="AJ56" s="645">
        <f>$H56*(1-(1+$L$15)^-(AH56*AI56))/((1+$L$15)^AI56-1)*(1+((1+$L$15)^AI56-1))</f>
        <v>6493.0647194353778</v>
      </c>
      <c r="AK56" s="932"/>
    </row>
    <row r="57" spans="1:37" ht="19" customHeight="1">
      <c r="A57" s="656"/>
      <c r="B57" s="1770"/>
      <c r="C57" s="3879"/>
      <c r="D57" s="3864"/>
      <c r="E57" s="686" t="s">
        <v>4</v>
      </c>
      <c r="F57" s="3472"/>
      <c r="G57" s="3472">
        <f t="shared" ref="G57" si="39">G37</f>
        <v>8</v>
      </c>
      <c r="H57" s="645">
        <f>J484</f>
        <v>1680</v>
      </c>
      <c r="I57" s="820" t="s">
        <v>70</v>
      </c>
      <c r="J57" s="646" t="str">
        <f>IF(K57=1,"Annual","Done every "&amp;K57&amp;" years")</f>
        <v>Annual</v>
      </c>
      <c r="K57" s="705">
        <f>K53</f>
        <v>1</v>
      </c>
      <c r="L57" s="648">
        <f t="shared" si="37"/>
        <v>80</v>
      </c>
      <c r="M57" s="647">
        <f t="shared" si="37"/>
        <v>1</v>
      </c>
      <c r="N57" s="645">
        <f>$H57*(1-(1+$L$15)^-(L57*M57))/((1+$L$15)^M57-1)*(1+((1+$L$15)^M57-1))</f>
        <v>41784.972634790051</v>
      </c>
      <c r="O57" s="660">
        <f>N57/(1+$L$15)*($L$15)/(1-(1+$L$15)^-$L$16)</f>
        <v>1679.9999999999986</v>
      </c>
      <c r="P57" s="722"/>
      <c r="Q57" s="3034"/>
      <c r="R57" s="3034"/>
      <c r="S57" s="3034"/>
      <c r="T57" s="1038" t="s">
        <v>810</v>
      </c>
      <c r="U57" s="655">
        <f>O57/$U$16</f>
        <v>16.799999999999986</v>
      </c>
      <c r="V57" s="662" t="str">
        <f>IF($T57="L",SUM($U57:U57)*V$16,"")</f>
        <v/>
      </c>
      <c r="W57" s="662">
        <f>IF($U57="","",IF(OR($T57="L",$T57="T",$T57="C"),SUM($U57:V57)*W$16,""))</f>
        <v>1.6799999999999988</v>
      </c>
      <c r="X57" s="662">
        <f>IF($U57="","",SUM($U57:W57)*X$16)</f>
        <v>5.543999999999996</v>
      </c>
      <c r="Y57" s="659">
        <f t="shared" si="23"/>
        <v>7.2239999999999949</v>
      </c>
      <c r="Z57" s="722"/>
      <c r="AA57" s="740">
        <f t="shared" si="24"/>
        <v>24.02399999999998</v>
      </c>
      <c r="AB57" s="658"/>
      <c r="AC57" s="939">
        <f t="shared" ca="1" si="25"/>
        <v>0.28182830319260976</v>
      </c>
      <c r="AD57" s="661"/>
      <c r="AE57" s="1071"/>
      <c r="AF57" s="587">
        <f>AF56</f>
        <v>32</v>
      </c>
      <c r="AG57" s="587"/>
      <c r="AH57" s="649">
        <f>$AH$16/K57</f>
        <v>5</v>
      </c>
      <c r="AI57" s="649">
        <f>$AH$16/AH57</f>
        <v>1</v>
      </c>
      <c r="AJ57" s="645">
        <f>$H57*(1-(1+$L$15)^-(AH57*AI57))/((1+$L$15)^AI57-1)*(1+((1+$L$15)^AI57-1))</f>
        <v>7778.2239767515175</v>
      </c>
      <c r="AK57" s="932"/>
    </row>
    <row r="58" spans="1:37" ht="19" customHeight="1">
      <c r="A58" s="656"/>
      <c r="B58" s="706"/>
      <c r="C58" s="3880"/>
      <c r="D58" s="3865"/>
      <c r="E58" s="686" t="s">
        <v>21</v>
      </c>
      <c r="F58" s="3472"/>
      <c r="G58" s="3472"/>
      <c r="H58" s="645"/>
      <c r="I58" s="820"/>
      <c r="J58" s="646"/>
      <c r="K58" s="705"/>
      <c r="L58" s="648"/>
      <c r="M58" s="647"/>
      <c r="N58" s="645"/>
      <c r="O58" s="707"/>
      <c r="P58" s="719"/>
      <c r="Q58" s="3035"/>
      <c r="R58" s="3035"/>
      <c r="S58" s="3035"/>
      <c r="T58" s="1042" t="s">
        <v>811</v>
      </c>
      <c r="U58" s="708"/>
      <c r="V58" s="708" t="str">
        <f>IF($T58="L",SUM($U58:U58)*V$16,"")</f>
        <v/>
      </c>
      <c r="W58" s="708" t="str">
        <f>IF($U58="","",IF(OR($T58="L",$T58="T",$T58="C"),SUM($U58:V58)*W$16,""))</f>
        <v/>
      </c>
      <c r="X58" s="708" t="str">
        <f>IF($U58="","",SUM($U58:W58)*X$16)</f>
        <v/>
      </c>
      <c r="Y58" s="707" t="str">
        <f t="shared" si="23"/>
        <v/>
      </c>
      <c r="Z58" s="719"/>
      <c r="AA58" s="745" t="str">
        <f t="shared" si="24"/>
        <v/>
      </c>
      <c r="AB58" s="652"/>
      <c r="AC58" s="940" t="str">
        <f t="shared" ca="1" si="25"/>
        <v/>
      </c>
      <c r="AD58" s="824"/>
      <c r="AE58" s="1071"/>
      <c r="AF58" s="587">
        <f>AF57</f>
        <v>32</v>
      </c>
      <c r="AG58" s="587"/>
      <c r="AH58" s="649"/>
      <c r="AI58" s="649"/>
      <c r="AJ58" s="645"/>
      <c r="AK58" s="884"/>
    </row>
    <row r="59" spans="1:37" ht="19" customHeight="1">
      <c r="B59" s="1771">
        <v>9</v>
      </c>
      <c r="C59" s="2543" t="s">
        <v>397</v>
      </c>
      <c r="D59" s="3847" t="s">
        <v>192</v>
      </c>
      <c r="E59" s="12" t="s">
        <v>3</v>
      </c>
      <c r="F59" s="1172"/>
      <c r="G59" s="3473">
        <f>$E$512</f>
        <v>15</v>
      </c>
      <c r="H59" s="188">
        <f>F512</f>
        <v>5062.5</v>
      </c>
      <c r="I59" s="1088" t="str">
        <f>G512</f>
        <v>Cost for reporting, analysis and feedback</v>
      </c>
      <c r="J59" s="377" t="str">
        <f>IF(K59=1,"Annual","Done every "&amp;K59&amp;" years")</f>
        <v>Annual</v>
      </c>
      <c r="K59" s="586">
        <f>$D$500</f>
        <v>1</v>
      </c>
      <c r="L59" s="158">
        <f>$L$16/K59</f>
        <v>80</v>
      </c>
      <c r="M59" s="586">
        <f>$L$16/L59</f>
        <v>1</v>
      </c>
      <c r="N59" s="188">
        <f>$H59*(1-(1+$L$15)^-(L59*M59))/((1+$L$15)^M59-1)*(1+((1+$L$15)^M59-1))</f>
        <v>125914.53807358607</v>
      </c>
      <c r="O59" s="242">
        <f>N59/(1+$L$15)*($L$15)/(1-(1+$L$15)^-$L$16)</f>
        <v>5062.4999999999955</v>
      </c>
      <c r="P59" s="192">
        <f>SUM(O59:O62)</f>
        <v>5062.4999999999955</v>
      </c>
      <c r="Q59" s="3036"/>
      <c r="R59" s="3036"/>
      <c r="S59" s="3036"/>
      <c r="T59" s="1039" t="s">
        <v>808</v>
      </c>
      <c r="U59" s="583">
        <f>O59/$U$16</f>
        <v>50.624999999999957</v>
      </c>
      <c r="V59" s="583">
        <f>IF($T59="L",SUM($U59:U59)*V$16,"")</f>
        <v>15.187499999999986</v>
      </c>
      <c r="W59" s="1474"/>
      <c r="X59" s="583">
        <f>IF($U59="","",SUM($U59:W59)*X$16)</f>
        <v>19.743749999999981</v>
      </c>
      <c r="Y59" s="240">
        <f t="shared" si="23"/>
        <v>34.931249999999963</v>
      </c>
      <c r="Z59" s="192">
        <f>SUM(V59:X62)</f>
        <v>34.931249999999963</v>
      </c>
      <c r="AA59" s="742">
        <f t="shared" si="24"/>
        <v>85.55624999999992</v>
      </c>
      <c r="AB59" s="192">
        <f>SUM(AA59:AA62)</f>
        <v>85.55624999999992</v>
      </c>
      <c r="AC59" s="727">
        <f t="shared" ca="1" si="25"/>
        <v>1</v>
      </c>
      <c r="AD59" s="589"/>
      <c r="AE59" s="573"/>
      <c r="AF59" s="587">
        <f>AF55+4</f>
        <v>36</v>
      </c>
      <c r="AG59" s="816">
        <f ca="1">SUM(AC59:AC62)-1</f>
        <v>0</v>
      </c>
      <c r="AH59" s="13">
        <f>$AH$16/K59</f>
        <v>5</v>
      </c>
      <c r="AI59" s="13">
        <f>$AH$16/AH59</f>
        <v>1</v>
      </c>
      <c r="AJ59" s="188">
        <f>$H59*(1-(1+$L$15)^-(AH59*AI59))/((1+$L$15)^AI59-1)*(1+((1+$L$15)^AI59-1))</f>
        <v>23438.844572800335</v>
      </c>
      <c r="AK59" s="191">
        <f>SUM(AJ59:AJ62)</f>
        <v>23438.844572800335</v>
      </c>
    </row>
    <row r="60" spans="1:37" ht="19" customHeight="1">
      <c r="B60" s="261"/>
      <c r="C60" s="2544"/>
      <c r="D60" s="3848"/>
      <c r="E60" s="12" t="s">
        <v>308</v>
      </c>
      <c r="F60" s="1172"/>
      <c r="G60" s="3473"/>
      <c r="H60" s="188"/>
      <c r="I60" s="921"/>
      <c r="J60" s="377"/>
      <c r="K60" s="586"/>
      <c r="L60" s="158"/>
      <c r="M60" s="586"/>
      <c r="N60" s="188"/>
      <c r="O60" s="242"/>
      <c r="P60" s="194"/>
      <c r="Q60" s="3037">
        <v>0</v>
      </c>
      <c r="R60" s="3037">
        <v>0</v>
      </c>
      <c r="S60" s="3037">
        <v>0</v>
      </c>
      <c r="T60" s="1034" t="s">
        <v>809</v>
      </c>
      <c r="U60" s="585"/>
      <c r="V60" s="585" t="str">
        <f>IF($T60="L",SUM($U60:U60)*V$16,"")</f>
        <v/>
      </c>
      <c r="W60" s="1475"/>
      <c r="X60" s="585" t="str">
        <f>IF($U60="","",SUM($U60:W60)*X$16)</f>
        <v/>
      </c>
      <c r="Y60" s="242" t="str">
        <f t="shared" si="23"/>
        <v/>
      </c>
      <c r="Z60" s="194"/>
      <c r="AA60" s="733" t="str">
        <f t="shared" si="24"/>
        <v/>
      </c>
      <c r="AB60" s="194"/>
      <c r="AC60" s="728" t="str">
        <f t="shared" ca="1" si="25"/>
        <v/>
      </c>
      <c r="AD60" s="589"/>
      <c r="AE60" s="1072"/>
      <c r="AF60" s="587">
        <f>AF59</f>
        <v>36</v>
      </c>
      <c r="AG60" s="587"/>
      <c r="AH60" s="13"/>
      <c r="AI60" s="13"/>
      <c r="AJ60" s="209"/>
      <c r="AK60" s="342"/>
    </row>
    <row r="61" spans="1:37" ht="19" customHeight="1">
      <c r="B61" s="261"/>
      <c r="C61" s="2544"/>
      <c r="D61" s="3848"/>
      <c r="E61" s="12" t="s">
        <v>4</v>
      </c>
      <c r="F61" s="1172"/>
      <c r="G61" s="3473"/>
      <c r="H61" s="188"/>
      <c r="I61" s="921"/>
      <c r="J61" s="377"/>
      <c r="K61" s="586"/>
      <c r="L61" s="158"/>
      <c r="M61" s="586"/>
      <c r="N61" s="188"/>
      <c r="O61" s="241"/>
      <c r="P61" s="210"/>
      <c r="Q61" s="3037"/>
      <c r="R61" s="3037"/>
      <c r="S61" s="3037"/>
      <c r="T61" s="1034" t="s">
        <v>810</v>
      </c>
      <c r="U61" s="584"/>
      <c r="V61" s="584" t="str">
        <f>IF($T61="L",SUM($U61:U61)*V$16,"")</f>
        <v/>
      </c>
      <c r="W61" s="1475"/>
      <c r="X61" s="584" t="str">
        <f>IF($U61="","",SUM($U61:W61)*X$16)</f>
        <v/>
      </c>
      <c r="Y61" s="241" t="str">
        <f t="shared" si="23"/>
        <v/>
      </c>
      <c r="Z61" s="210"/>
      <c r="AA61" s="746" t="str">
        <f t="shared" si="24"/>
        <v/>
      </c>
      <c r="AB61" s="210"/>
      <c r="AC61" s="732" t="str">
        <f t="shared" ca="1" si="25"/>
        <v/>
      </c>
      <c r="AD61" s="815"/>
      <c r="AE61" s="1072"/>
      <c r="AF61" s="587">
        <f>AF60</f>
        <v>36</v>
      </c>
      <c r="AG61" s="587"/>
      <c r="AH61" s="13"/>
      <c r="AI61" s="13"/>
      <c r="AJ61" s="188"/>
      <c r="AK61" s="477"/>
    </row>
    <row r="62" spans="1:37" ht="19" customHeight="1" thickBot="1">
      <c r="B62" s="261"/>
      <c r="C62" s="2545"/>
      <c r="D62" s="3849"/>
      <c r="E62" s="12" t="s">
        <v>21</v>
      </c>
      <c r="F62" s="1172"/>
      <c r="G62" s="3473"/>
      <c r="H62" s="188"/>
      <c r="I62" s="921"/>
      <c r="J62" s="377"/>
      <c r="K62" s="11"/>
      <c r="L62" s="1046"/>
      <c r="M62" s="1047"/>
      <c r="N62" s="1048"/>
      <c r="O62" s="726"/>
      <c r="P62" s="725"/>
      <c r="Q62" s="3038"/>
      <c r="R62" s="3038"/>
      <c r="S62" s="3038"/>
      <c r="T62" s="1040" t="s">
        <v>811</v>
      </c>
      <c r="U62" s="724"/>
      <c r="V62" s="724" t="str">
        <f>IF($T62="L",SUM($U62:U62)*V$16,"")</f>
        <v/>
      </c>
      <c r="W62" s="1478"/>
      <c r="X62" s="724" t="str">
        <f>IF($U62="","",SUM($U62:W62)*X$16)</f>
        <v/>
      </c>
      <c r="Y62" s="726" t="str">
        <f t="shared" si="23"/>
        <v/>
      </c>
      <c r="Z62" s="725"/>
      <c r="AA62" s="747" t="str">
        <f t="shared" si="24"/>
        <v/>
      </c>
      <c r="AB62" s="725"/>
      <c r="AC62" s="767" t="str">
        <f t="shared" ca="1" si="25"/>
        <v/>
      </c>
      <c r="AD62" s="1073"/>
      <c r="AE62" s="1074"/>
      <c r="AF62" s="587">
        <f>AF61</f>
        <v>36</v>
      </c>
      <c r="AG62" s="587"/>
      <c r="AH62" s="13"/>
      <c r="AI62" s="13"/>
      <c r="AJ62" s="188"/>
      <c r="AK62" s="478"/>
    </row>
    <row r="63" spans="1:37">
      <c r="C63" s="24"/>
      <c r="D63" s="238"/>
      <c r="E63"/>
      <c r="F63" s="359"/>
      <c r="G63" s="3478"/>
      <c r="H63" s="6"/>
      <c r="I63" s="359"/>
      <c r="Q63" s="2795"/>
      <c r="R63" s="2795"/>
      <c r="S63" s="2795"/>
      <c r="U63" s="5"/>
    </row>
    <row r="64" spans="1:37">
      <c r="C64" s="24"/>
      <c r="D64" s="238"/>
      <c r="E64"/>
      <c r="F64" s="359"/>
      <c r="H64" s="6"/>
      <c r="I64" s="359"/>
      <c r="Q64" s="2795"/>
      <c r="R64" s="2795"/>
      <c r="S64" s="2795"/>
      <c r="U64" s="5"/>
    </row>
    <row r="65" spans="3:21">
      <c r="C65" s="24"/>
      <c r="D65" s="238"/>
      <c r="E65"/>
      <c r="F65" s="359"/>
      <c r="H65" s="6"/>
      <c r="I65" s="359"/>
      <c r="Q65" s="2795"/>
      <c r="R65" s="2795"/>
      <c r="S65" s="2795"/>
      <c r="U65" s="5"/>
    </row>
    <row r="66" spans="3:21">
      <c r="C66" s="24"/>
      <c r="D66" s="238"/>
      <c r="E66"/>
      <c r="F66" s="359"/>
      <c r="H66" s="6"/>
      <c r="I66" s="359"/>
      <c r="Q66" s="2795"/>
      <c r="R66" s="2795"/>
      <c r="S66" s="2795"/>
      <c r="U66" s="5"/>
    </row>
    <row r="67" spans="3:21">
      <c r="C67" s="24"/>
      <c r="D67" s="238"/>
      <c r="E67"/>
      <c r="F67" s="359"/>
      <c r="H67" s="6"/>
      <c r="I67" s="359"/>
      <c r="U67" s="5"/>
    </row>
    <row r="68" spans="3:21">
      <c r="C68" s="24"/>
      <c r="D68" s="238" t="s">
        <v>299</v>
      </c>
      <c r="E68"/>
      <c r="F68" s="359"/>
      <c r="H68" s="6"/>
      <c r="I68" s="359"/>
      <c r="U68" s="5"/>
    </row>
    <row r="69" spans="3:21">
      <c r="C69" s="24"/>
      <c r="D69" s="238"/>
      <c r="E69"/>
      <c r="F69" s="359"/>
      <c r="H69" s="6"/>
      <c r="I69" s="359"/>
      <c r="U69" s="5"/>
    </row>
    <row r="70" spans="3:21">
      <c r="C70" s="24"/>
      <c r="D70" s="238"/>
      <c r="E70"/>
      <c r="F70" s="359"/>
      <c r="H70" s="6"/>
      <c r="I70" s="359"/>
      <c r="U70" s="5"/>
    </row>
    <row r="71" spans="3:21">
      <c r="C71" s="24"/>
      <c r="D71" s="238"/>
      <c r="E71"/>
      <c r="F71" s="359"/>
      <c r="H71" s="6"/>
      <c r="I71" s="359"/>
      <c r="U71" s="5"/>
    </row>
    <row r="72" spans="3:21">
      <c r="C72" s="24"/>
      <c r="D72" s="238"/>
      <c r="E72"/>
      <c r="F72" s="359"/>
      <c r="H72" s="6"/>
      <c r="I72" s="359"/>
      <c r="U72" s="5"/>
    </row>
    <row r="73" spans="3:21">
      <c r="C73" s="24"/>
      <c r="D73" s="238"/>
      <c r="E73"/>
      <c r="F73" s="359"/>
      <c r="H73" s="6"/>
      <c r="I73" s="359"/>
      <c r="U73" s="5"/>
    </row>
    <row r="74" spans="3:21">
      <c r="C74" s="24"/>
      <c r="D74" s="238"/>
      <c r="E74"/>
      <c r="F74" s="359"/>
      <c r="H74" s="6"/>
      <c r="I74" s="359"/>
      <c r="U74" s="5"/>
    </row>
    <row r="75" spans="3:21">
      <c r="C75" s="24"/>
      <c r="D75" s="238"/>
      <c r="E75"/>
      <c r="F75" s="359"/>
      <c r="H75" s="6"/>
      <c r="I75" s="359"/>
      <c r="U75" s="5"/>
    </row>
    <row r="76" spans="3:21" s="7" customFormat="1">
      <c r="E76" s="36"/>
      <c r="G76" s="1089"/>
    </row>
    <row r="77" spans="3:21" s="9" customFormat="1">
      <c r="C77" s="120" t="s">
        <v>57</v>
      </c>
      <c r="D77" s="34" t="s">
        <v>1054</v>
      </c>
      <c r="E77" s="34"/>
      <c r="G77" s="572"/>
    </row>
    <row r="78" spans="3:21" s="9" customFormat="1">
      <c r="D78" s="592" t="s">
        <v>237</v>
      </c>
      <c r="E78" s="970"/>
      <c r="G78" s="572"/>
    </row>
    <row r="79" spans="3:21" s="9" customFormat="1">
      <c r="D79" s="332" t="s">
        <v>91</v>
      </c>
      <c r="E79" s="43"/>
      <c r="F79" s="24"/>
      <c r="G79" s="359"/>
    </row>
    <row r="80" spans="3:21" s="9" customFormat="1">
      <c r="D80" s="135">
        <f>'Overall Assumptions'!$C$6</f>
        <v>100</v>
      </c>
      <c r="E80" s="246" t="s">
        <v>967</v>
      </c>
      <c r="F80"/>
      <c r="G80" s="359"/>
    </row>
    <row r="81" spans="3:8" s="9" customFormat="1">
      <c r="D81" s="332">
        <f>'Overall Assumptions'!$C$115</f>
        <v>3</v>
      </c>
      <c r="E81" s="131" t="str">
        <f>'Overall Assumptions'!$D$115</f>
        <v>weeks</v>
      </c>
      <c r="F81"/>
      <c r="G81" s="359"/>
    </row>
    <row r="82" spans="3:8" s="9" customFormat="1">
      <c r="C82" s="105"/>
      <c r="D82" s="332">
        <f>'Overall Assumptions'!$C$116</f>
        <v>15</v>
      </c>
      <c r="E82" s="131" t="str">
        <f>'Overall Assumptions'!$D$116</f>
        <v>days</v>
      </c>
      <c r="F82"/>
      <c r="G82" s="359"/>
    </row>
    <row r="83" spans="3:8" s="9" customFormat="1">
      <c r="C83" s="105"/>
      <c r="D83" s="332"/>
      <c r="E83" s="43"/>
      <c r="F83"/>
      <c r="G83" s="359"/>
    </row>
    <row r="84" spans="3:8" s="9" customFormat="1">
      <c r="C84" s="105"/>
      <c r="D84" s="268">
        <v>1</v>
      </c>
      <c r="E84" s="43" t="s">
        <v>245</v>
      </c>
      <c r="F84"/>
      <c r="G84" s="359"/>
    </row>
    <row r="85" spans="3:8" s="9" customFormat="1">
      <c r="C85" s="105"/>
      <c r="D85" s="332"/>
      <c r="E85" s="43"/>
      <c r="F85"/>
      <c r="G85" s="359"/>
    </row>
    <row r="86" spans="3:8" s="9" customFormat="1">
      <c r="C86" s="105"/>
      <c r="D86" s="332"/>
      <c r="E86" s="43"/>
      <c r="F86"/>
      <c r="G86" s="359"/>
    </row>
    <row r="87" spans="3:8" s="9" customFormat="1">
      <c r="C87" s="105"/>
      <c r="D87" s="332" t="str">
        <f>'Overall Assumptions'!$D$76</f>
        <v>Daily rate (AUD) for labour assuming 7.5 hours/day</v>
      </c>
      <c r="E87" s="246"/>
      <c r="F87"/>
      <c r="G87" s="359"/>
    </row>
    <row r="88" spans="3:8" s="9" customFormat="1">
      <c r="D88" s="614">
        <f>'Overall Assumptions'!$C$68</f>
        <v>225</v>
      </c>
      <c r="E88" s="246" t="str">
        <f>'Overall Assumptions'!$B$67</f>
        <v>Labour 1- APS Low (Entry lvl)</v>
      </c>
      <c r="F88"/>
      <c r="G88" s="359"/>
    </row>
    <row r="89" spans="3:8" s="9" customFormat="1">
      <c r="D89" s="399">
        <f>'Overall Assumptions'!$C$72</f>
        <v>337.5</v>
      </c>
      <c r="E89" s="530" t="str">
        <f>'Overall Assumptions'!$B$71</f>
        <v>Labour 2 - APS High (Experienced)</v>
      </c>
      <c r="F89"/>
      <c r="G89" s="359"/>
    </row>
    <row r="90" spans="3:8" s="9" customFormat="1">
      <c r="D90" s="112">
        <f>'Overall Assumptions'!$C$76</f>
        <v>487.5</v>
      </c>
      <c r="E90" s="45" t="str">
        <f>'Overall Assumptions'!$B$75</f>
        <v>Labour 3 - EL (Management)</v>
      </c>
      <c r="F90"/>
      <c r="G90" s="359"/>
    </row>
    <row r="91" spans="3:8" s="9" customFormat="1">
      <c r="D91" s="33"/>
      <c r="E91" s="16"/>
      <c r="F91"/>
      <c r="G91" s="359"/>
    </row>
    <row r="92" spans="3:8" s="9" customFormat="1">
      <c r="D92" s="2428">
        <v>5</v>
      </c>
      <c r="E92" s="33" t="s">
        <v>1768</v>
      </c>
      <c r="F92"/>
      <c r="G92" s="359"/>
    </row>
    <row r="93" spans="3:8" s="9" customFormat="1">
      <c r="D93" s="912"/>
      <c r="E93" s="16"/>
      <c r="F93"/>
      <c r="G93" s="359"/>
    </row>
    <row r="94" spans="3:8" s="9" customFormat="1">
      <c r="D94" s="33"/>
      <c r="E94" s="16"/>
      <c r="F94"/>
      <c r="G94" s="359"/>
    </row>
    <row r="95" spans="3:8" s="9" customFormat="1">
      <c r="D95" s="33"/>
      <c r="E95" s="16"/>
      <c r="F95"/>
      <c r="G95" s="359"/>
    </row>
    <row r="96" spans="3:8" s="9" customFormat="1">
      <c r="D96" s="175"/>
      <c r="E96" s="164" t="s">
        <v>155</v>
      </c>
      <c r="F96" s="255" t="s">
        <v>166</v>
      </c>
      <c r="G96" s="1090" t="s">
        <v>69</v>
      </c>
      <c r="H96" s="108"/>
    </row>
    <row r="97" spans="3:8" s="9" customFormat="1">
      <c r="D97" s="405" t="s">
        <v>3</v>
      </c>
      <c r="E97" s="509">
        <f>D82+D92</f>
        <v>20</v>
      </c>
      <c r="F97" s="321">
        <f>E97*D89</f>
        <v>6750</v>
      </c>
      <c r="G97" s="1091" t="s">
        <v>1769</v>
      </c>
      <c r="H97" s="323"/>
    </row>
    <row r="98" spans="3:8" s="9" customFormat="1">
      <c r="D98" s="105"/>
      <c r="E98" s="34"/>
      <c r="G98" s="572"/>
    </row>
    <row r="99" spans="3:8" s="7" customFormat="1">
      <c r="D99" s="35"/>
      <c r="E99" s="36"/>
      <c r="G99" s="1089"/>
    </row>
    <row r="100" spans="3:8" s="7" customFormat="1">
      <c r="D100" s="35"/>
      <c r="E100" s="36"/>
      <c r="G100" s="1089"/>
    </row>
    <row r="101" spans="3:8">
      <c r="C101" s="8" t="s">
        <v>1001</v>
      </c>
      <c r="D101" s="16" t="s">
        <v>163</v>
      </c>
    </row>
    <row r="102" spans="3:8">
      <c r="D102" t="s">
        <v>168</v>
      </c>
    </row>
    <row r="103" spans="3:8">
      <c r="D103" t="s">
        <v>1734</v>
      </c>
      <c r="E103"/>
    </row>
    <row r="104" spans="3:8">
      <c r="D104"/>
      <c r="E104"/>
    </row>
    <row r="105" spans="3:8">
      <c r="D105" s="455" t="s">
        <v>986</v>
      </c>
      <c r="E105"/>
    </row>
    <row r="106" spans="3:8" ht="17">
      <c r="D106" s="456" t="s">
        <v>874</v>
      </c>
      <c r="E106"/>
    </row>
    <row r="107" spans="3:8">
      <c r="D107" s="455"/>
      <c r="E107"/>
    </row>
    <row r="108" spans="3:8">
      <c r="D108"/>
      <c r="E108"/>
    </row>
    <row r="109" spans="3:8">
      <c r="D109" s="592" t="s">
        <v>179</v>
      </c>
      <c r="E109" s="274"/>
    </row>
    <row r="110" spans="3:8">
      <c r="D110" s="974">
        <f>'Overall Assumptions'!$C$6</f>
        <v>100</v>
      </c>
      <c r="E110" s="246" t="s">
        <v>451</v>
      </c>
    </row>
    <row r="111" spans="3:8">
      <c r="D111" s="408">
        <f>'Overall Assumptions'!$C$120</f>
        <v>0.3</v>
      </c>
      <c r="E111" s="483" t="str">
        <f>'Overall Assumptions'!$D$120</f>
        <v>Percentage of field that needs to be surveyed (ground)</v>
      </c>
    </row>
    <row r="112" spans="3:8">
      <c r="D112" s="332">
        <f>D110*D111</f>
        <v>30</v>
      </c>
      <c r="E112" s="483" t="s">
        <v>450</v>
      </c>
    </row>
    <row r="113" spans="4:12">
      <c r="D113" s="447">
        <v>1</v>
      </c>
      <c r="E113" s="483" t="s">
        <v>246</v>
      </c>
    </row>
    <row r="114" spans="4:12">
      <c r="D114" s="482">
        <f>'Overall Assumptions'!$C$132</f>
        <v>0.5</v>
      </c>
      <c r="E114" s="43" t="s">
        <v>79</v>
      </c>
    </row>
    <row r="115" spans="4:12">
      <c r="D115" s="54">
        <f>D112/D114</f>
        <v>60</v>
      </c>
      <c r="E115" s="483" t="s">
        <v>972</v>
      </c>
    </row>
    <row r="116" spans="4:12">
      <c r="D116" s="42">
        <f>'Overall Assumptions'!$C$53</f>
        <v>4.46</v>
      </c>
      <c r="E116" s="631" t="s">
        <v>780</v>
      </c>
    </row>
    <row r="117" spans="4:12">
      <c r="D117" s="42">
        <f>'Overall Assumptions'!$C$54</f>
        <v>3.3449999999999998</v>
      </c>
      <c r="E117" s="631" t="s">
        <v>781</v>
      </c>
    </row>
    <row r="118" spans="4:12">
      <c r="D118" s="125">
        <f>'Overall Assumptions'!$C$55</f>
        <v>2.23</v>
      </c>
      <c r="E118" s="635" t="s">
        <v>782</v>
      </c>
    </row>
    <row r="120" spans="4:12">
      <c r="D120" s="25"/>
    </row>
    <row r="121" spans="4:12">
      <c r="D121" s="151" t="s">
        <v>179</v>
      </c>
      <c r="E121" s="164"/>
      <c r="F121" s="255"/>
      <c r="G121" s="1090"/>
      <c r="H121" s="161"/>
    </row>
    <row r="122" spans="4:12">
      <c r="D122" s="444">
        <f>10/60</f>
        <v>0.16666666666666666</v>
      </c>
      <c r="E122" s="443" t="s">
        <v>1134</v>
      </c>
      <c r="F122" s="465"/>
      <c r="G122" s="1097"/>
      <c r="H122" s="466"/>
    </row>
    <row r="123" spans="4:12">
      <c r="D123" s="332">
        <f>D112/D114</f>
        <v>60</v>
      </c>
      <c r="E123" s="16" t="s">
        <v>253</v>
      </c>
      <c r="H123" s="246"/>
    </row>
    <row r="124" spans="4:12">
      <c r="D124" s="154">
        <f>D122*D123</f>
        <v>10</v>
      </c>
      <c r="E124" s="333" t="s">
        <v>1135</v>
      </c>
      <c r="F124" s="439"/>
      <c r="G124" s="1098"/>
      <c r="H124" s="162"/>
    </row>
    <row r="125" spans="4:12">
      <c r="D125" s="152"/>
      <c r="H125" s="246"/>
    </row>
    <row r="126" spans="4:12">
      <c r="D126"/>
      <c r="E126"/>
    </row>
    <row r="127" spans="4:12">
      <c r="D127"/>
      <c r="E127"/>
    </row>
    <row r="128" spans="4:12">
      <c r="D128"/>
      <c r="K128" s="2535"/>
      <c r="L128" s="2535"/>
    </row>
    <row r="129" spans="3:10">
      <c r="D129" s="825"/>
      <c r="E129" s="825"/>
    </row>
    <row r="130" spans="3:10">
      <c r="D130"/>
      <c r="E130"/>
      <c r="F130" s="432"/>
      <c r="G130" s="1099"/>
    </row>
    <row r="131" spans="3:10" ht="19">
      <c r="C131" t="s">
        <v>50</v>
      </c>
      <c r="D131" s="37" t="s">
        <v>81</v>
      </c>
      <c r="E131" s="24"/>
      <c r="F131" s="1"/>
      <c r="G131" s="1100"/>
      <c r="H131" s="3"/>
      <c r="I131" s="3"/>
      <c r="J131" s="3"/>
    </row>
    <row r="132" spans="3:10">
      <c r="F132" s="1"/>
      <c r="G132" s="1100"/>
      <c r="H132" s="3"/>
      <c r="I132" s="3"/>
      <c r="J132" s="3"/>
    </row>
    <row r="133" spans="3:10">
      <c r="D133" s="160" t="s">
        <v>408</v>
      </c>
    </row>
    <row r="135" spans="3:10">
      <c r="D135" s="50"/>
    </row>
    <row r="136" spans="3:10">
      <c r="D136" s="51" t="s">
        <v>82</v>
      </c>
      <c r="E136" s="273"/>
      <c r="F136" s="274"/>
    </row>
    <row r="137" spans="3:10" ht="19">
      <c r="D137" s="54">
        <f>'Overall Assumptions'!$C$68</f>
        <v>225</v>
      </c>
      <c r="E137" s="1215" t="s">
        <v>99</v>
      </c>
      <c r="F137" s="246"/>
    </row>
    <row r="138" spans="3:10">
      <c r="D138" s="54">
        <f>'Overall Assumptions'!$C$130</f>
        <v>2</v>
      </c>
      <c r="E138" s="76" t="s">
        <v>84</v>
      </c>
      <c r="F138" s="246"/>
    </row>
    <row r="139" spans="3:10">
      <c r="D139" s="152"/>
      <c r="E139" s="76"/>
      <c r="F139" s="246"/>
    </row>
    <row r="140" spans="3:10">
      <c r="D140" s="42">
        <f>'Overall Assumptions'!$C$53</f>
        <v>4.46</v>
      </c>
      <c r="E140" s="629" t="s">
        <v>780</v>
      </c>
      <c r="F140" s="246"/>
    </row>
    <row r="141" spans="3:10">
      <c r="D141" s="42">
        <f>'Overall Assumptions'!$C$54</f>
        <v>3.3449999999999998</v>
      </c>
      <c r="E141" s="629" t="s">
        <v>781</v>
      </c>
      <c r="F141" s="246"/>
    </row>
    <row r="142" spans="3:10">
      <c r="D142" s="42">
        <f>'Overall Assumptions'!$C$55</f>
        <v>2.23</v>
      </c>
      <c r="E142" s="629" t="s">
        <v>782</v>
      </c>
      <c r="F142" s="246"/>
    </row>
    <row r="143" spans="3:10">
      <c r="D143" s="616"/>
      <c r="E143" s="833"/>
      <c r="F143" s="246"/>
    </row>
    <row r="144" spans="3:10">
      <c r="D144" s="467">
        <f>D115</f>
        <v>60</v>
      </c>
      <c r="E144" s="1216" t="str">
        <f>E115</f>
        <v>Effective distance to be walked along</v>
      </c>
      <c r="F144" s="246"/>
    </row>
    <row r="145" spans="3:10">
      <c r="D145" s="467"/>
      <c r="E145" s="76"/>
      <c r="F145" s="246"/>
    </row>
    <row r="146" spans="3:10">
      <c r="D146" s="3510">
        <f>D124/7.5</f>
        <v>1.3333333333333333</v>
      </c>
      <c r="E146" s="76" t="s">
        <v>464</v>
      </c>
      <c r="F146" s="246"/>
    </row>
    <row r="147" spans="3:10">
      <c r="D147" s="54">
        <f>'Overall Assumptions'!$C$10</f>
        <v>0</v>
      </c>
      <c r="E147" s="76" t="s">
        <v>85</v>
      </c>
      <c r="F147" s="246"/>
    </row>
    <row r="148" spans="3:10">
      <c r="D148" s="54">
        <f>'Overall Assumptions'!$C$90</f>
        <v>80</v>
      </c>
      <c r="E148" s="76" t="s">
        <v>86</v>
      </c>
      <c r="F148" s="246"/>
    </row>
    <row r="149" spans="3:10">
      <c r="D149" s="56">
        <f>'Overall Assumptions'!$C$81</f>
        <v>210</v>
      </c>
      <c r="E149" s="333" t="s">
        <v>87</v>
      </c>
      <c r="F149" s="162"/>
      <c r="J149" s="578"/>
    </row>
    <row r="150" spans="3:10">
      <c r="D150" s="57"/>
    </row>
    <row r="151" spans="3:10">
      <c r="C151" s="21"/>
      <c r="J151" s="90"/>
    </row>
    <row r="152" spans="3:10">
      <c r="C152" s="21"/>
      <c r="D152" s="59" t="s">
        <v>735</v>
      </c>
      <c r="E152" s="2" t="s">
        <v>218</v>
      </c>
      <c r="F152" s="2" t="s">
        <v>733</v>
      </c>
      <c r="G152" s="359" t="s">
        <v>796</v>
      </c>
    </row>
    <row r="153" spans="3:10">
      <c r="C153" s="21"/>
      <c r="D153" s="46">
        <f>D140</f>
        <v>4.46</v>
      </c>
      <c r="E153" s="46">
        <f>D141</f>
        <v>3.3449999999999998</v>
      </c>
      <c r="F153" s="1219">
        <f>D142</f>
        <v>2.23</v>
      </c>
      <c r="G153" s="359" t="s">
        <v>254</v>
      </c>
      <c r="J153" s="90"/>
    </row>
    <row r="154" spans="3:10">
      <c r="C154" s="21"/>
      <c r="D154" s="77">
        <f>2*D147/D148/7.5</f>
        <v>0</v>
      </c>
      <c r="E154" s="77">
        <f>D154</f>
        <v>0</v>
      </c>
      <c r="F154" s="77">
        <f>E154</f>
        <v>0</v>
      </c>
      <c r="G154" s="59" t="s">
        <v>95</v>
      </c>
      <c r="J154" s="90"/>
    </row>
    <row r="155" spans="3:10">
      <c r="C155" s="21"/>
      <c r="D155" s="77"/>
      <c r="G155" s="16" t="s">
        <v>778</v>
      </c>
      <c r="J155" s="90"/>
    </row>
    <row r="156" spans="3:10">
      <c r="C156" s="21"/>
      <c r="J156" s="90"/>
    </row>
    <row r="157" spans="3:10" ht="18" customHeight="1">
      <c r="C157" s="21"/>
      <c r="D157" s="77">
        <f>$D144/D153/7.5</f>
        <v>1.7937219730941705</v>
      </c>
      <c r="E157" s="77">
        <f>$D144/E153/7.5</f>
        <v>2.391629297458894</v>
      </c>
      <c r="F157" s="77">
        <f>$D144/F153/7.5</f>
        <v>3.5874439461883409</v>
      </c>
      <c r="G157" s="693" t="s">
        <v>96</v>
      </c>
    </row>
    <row r="158" spans="3:10" ht="18" customHeight="1">
      <c r="C158" s="21"/>
      <c r="D158" s="77">
        <f>$D146</f>
        <v>1.3333333333333333</v>
      </c>
      <c r="E158" s="77">
        <f>$D146</f>
        <v>1.3333333333333333</v>
      </c>
      <c r="F158" s="77">
        <f>$D146</f>
        <v>1.3333333333333333</v>
      </c>
      <c r="G158" s="693" t="s">
        <v>786</v>
      </c>
    </row>
    <row r="159" spans="3:10" ht="18" customHeight="1">
      <c r="C159" s="21"/>
      <c r="D159" s="77">
        <f>SUM(D157:D158)</f>
        <v>3.1270553064275037</v>
      </c>
      <c r="E159" s="77">
        <f>SUM(E157:E158)</f>
        <v>3.724962630792227</v>
      </c>
      <c r="F159" s="77">
        <f>SUM(F157:F158)</f>
        <v>4.9207772795216744</v>
      </c>
      <c r="G159" s="693" t="s">
        <v>171</v>
      </c>
    </row>
    <row r="160" spans="3:10" ht="18" customHeight="1">
      <c r="C160" s="21"/>
      <c r="D160" s="16"/>
      <c r="E160"/>
    </row>
    <row r="161" spans="3:11" ht="18" customHeight="1">
      <c r="C161" s="21"/>
      <c r="D161" s="77">
        <f>D159*$D138</f>
        <v>6.2541106128550075</v>
      </c>
      <c r="E161" s="77">
        <f>E159*$D138</f>
        <v>7.449925261584454</v>
      </c>
      <c r="F161" s="77">
        <f>F159*$D138</f>
        <v>9.8415545590433489</v>
      </c>
      <c r="G161" s="99" t="s">
        <v>787</v>
      </c>
    </row>
    <row r="162" spans="3:11">
      <c r="C162" s="21"/>
      <c r="D162" s="16"/>
      <c r="E162"/>
      <c r="G162" s="99"/>
    </row>
    <row r="163" spans="3:11">
      <c r="C163" s="21"/>
      <c r="D163" s="63">
        <f>$D137*$D138*D157</f>
        <v>807.17488789237666</v>
      </c>
      <c r="E163" s="63">
        <f>$D137*$D138*E157</f>
        <v>1076.2331838565024</v>
      </c>
      <c r="F163" s="63">
        <f>$D137*$D138*F157</f>
        <v>1614.3497757847533</v>
      </c>
      <c r="G163" s="99" t="s">
        <v>37</v>
      </c>
      <c r="J163" s="90"/>
    </row>
    <row r="164" spans="3:11">
      <c r="C164" s="21"/>
      <c r="D164" s="63">
        <f>$D137*$D138*D158</f>
        <v>600</v>
      </c>
      <c r="E164" s="63">
        <f>$D137*$D138*E158</f>
        <v>600</v>
      </c>
      <c r="F164" s="63">
        <f>$D137*$D138*F158</f>
        <v>600</v>
      </c>
      <c r="G164" s="99" t="s">
        <v>412</v>
      </c>
      <c r="J164" s="259"/>
      <c r="K164" s="16"/>
    </row>
    <row r="165" spans="3:11">
      <c r="C165" s="21"/>
      <c r="D165" s="64">
        <f>SUM(D163:D164)</f>
        <v>1407.1748878923768</v>
      </c>
      <c r="E165" s="905">
        <f>SUM(E163:E164)</f>
        <v>1676.2331838565024</v>
      </c>
      <c r="F165" s="905">
        <f>SUM(F163:F164)</f>
        <v>2214.3497757847535</v>
      </c>
      <c r="G165" s="1101" t="s">
        <v>486</v>
      </c>
      <c r="J165" s="259"/>
      <c r="K165" s="16"/>
    </row>
    <row r="166" spans="3:11">
      <c r="F166" s="16"/>
      <c r="G166" s="99"/>
    </row>
    <row r="167" spans="3:11">
      <c r="D167" s="46"/>
      <c r="E167" s="46"/>
      <c r="F167" s="46"/>
      <c r="J167" s="65"/>
      <c r="K167" s="24"/>
    </row>
    <row r="168" spans="3:11">
      <c r="D168" s="75"/>
      <c r="E168" s="75"/>
      <c r="F168" s="75"/>
      <c r="G168" s="99"/>
      <c r="J168" s="65"/>
      <c r="K168" s="24"/>
    </row>
    <row r="169" spans="3:11">
      <c r="D169" s="75"/>
      <c r="E169" s="75"/>
      <c r="F169" s="75"/>
      <c r="G169" s="99"/>
      <c r="J169" s="65"/>
      <c r="K169" s="24"/>
    </row>
    <row r="170" spans="3:11" ht="19">
      <c r="C170" t="s">
        <v>64</v>
      </c>
      <c r="D170" s="37" t="s">
        <v>89</v>
      </c>
    </row>
    <row r="171" spans="3:11">
      <c r="C171" t="s">
        <v>54</v>
      </c>
    </row>
    <row r="173" spans="3:11">
      <c r="D173" s="16"/>
    </row>
    <row r="174" spans="3:11">
      <c r="D174" s="67" t="s">
        <v>91</v>
      </c>
      <c r="E174" s="41"/>
    </row>
    <row r="175" spans="3:11">
      <c r="D175" s="52">
        <f>'Overall Assumptions'!$C$93</f>
        <v>285</v>
      </c>
      <c r="E175" s="41" t="s">
        <v>93</v>
      </c>
    </row>
    <row r="176" spans="3:11">
      <c r="D176" s="54">
        <f>'Overall Assumptions'!$C$10</f>
        <v>0</v>
      </c>
      <c r="E176" s="43" t="s">
        <v>85</v>
      </c>
    </row>
    <row r="177" spans="4:11">
      <c r="D177" s="54"/>
      <c r="E177" s="43"/>
    </row>
    <row r="178" spans="4:11">
      <c r="D178" s="616"/>
      <c r="E178" s="43"/>
    </row>
    <row r="179" spans="4:11">
      <c r="D179" s="56"/>
      <c r="E179" s="45"/>
      <c r="J179" s="578"/>
    </row>
    <row r="180" spans="4:11">
      <c r="D180" s="75"/>
    </row>
    <row r="181" spans="4:11">
      <c r="D181" s="46">
        <f>D154</f>
        <v>0</v>
      </c>
      <c r="E181" s="46">
        <f>D181</f>
        <v>0</v>
      </c>
      <c r="F181" s="46">
        <f>E181</f>
        <v>0</v>
      </c>
      <c r="G181" s="693"/>
      <c r="J181" s="532"/>
      <c r="K181" s="59"/>
    </row>
    <row r="182" spans="4:11">
      <c r="D182" s="46">
        <f t="shared" ref="D182:F183" si="40">D157</f>
        <v>1.7937219730941705</v>
      </c>
      <c r="E182" s="46">
        <f t="shared" si="40"/>
        <v>2.391629297458894</v>
      </c>
      <c r="F182" s="46">
        <f t="shared" si="40"/>
        <v>3.5874439461883409</v>
      </c>
      <c r="G182" s="693" t="s">
        <v>98</v>
      </c>
      <c r="K182" s="59"/>
    </row>
    <row r="183" spans="4:11">
      <c r="D183" s="46">
        <f t="shared" si="40"/>
        <v>1.3333333333333333</v>
      </c>
      <c r="E183" s="46">
        <f t="shared" si="40"/>
        <v>1.3333333333333333</v>
      </c>
      <c r="F183" s="46">
        <f t="shared" si="40"/>
        <v>1.3333333333333333</v>
      </c>
      <c r="G183" s="693" t="str">
        <f>G158</f>
        <v>3rd term is the days required to do all activities (for one person)</v>
      </c>
      <c r="K183" s="59"/>
    </row>
    <row r="184" spans="4:11">
      <c r="D184" s="46"/>
      <c r="E184" s="46"/>
      <c r="F184" s="46"/>
      <c r="G184" s="693"/>
      <c r="K184" s="59"/>
    </row>
    <row r="185" spans="4:11">
      <c r="D185" s="46">
        <f>SUM(D181:D183)</f>
        <v>3.1270553064275037</v>
      </c>
      <c r="E185" s="46">
        <f>SUM(E181:E183)</f>
        <v>3.724962630792227</v>
      </c>
      <c r="F185" s="46">
        <f>SUM(F181:F183)</f>
        <v>4.9207772795216744</v>
      </c>
      <c r="G185" s="693" t="s">
        <v>135</v>
      </c>
      <c r="J185" s="90"/>
    </row>
    <row r="186" spans="4:11">
      <c r="D186" s="46"/>
      <c r="E186" s="59"/>
      <c r="J186" s="90"/>
    </row>
    <row r="187" spans="4:11">
      <c r="D187" s="63"/>
      <c r="E187" s="63"/>
      <c r="F187" s="63"/>
      <c r="G187" s="99"/>
      <c r="J187" s="259"/>
      <c r="K187" s="16"/>
    </row>
    <row r="188" spans="4:11">
      <c r="D188" s="63">
        <f>$D175*D182</f>
        <v>511.21076233183857</v>
      </c>
      <c r="E188" s="63">
        <f>$D175*E182</f>
        <v>681.61434977578483</v>
      </c>
      <c r="F188" s="63">
        <f>$D175*F182</f>
        <v>1022.4215246636771</v>
      </c>
      <c r="G188" s="99" t="s">
        <v>52</v>
      </c>
      <c r="J188" s="259"/>
      <c r="K188" s="16"/>
    </row>
    <row r="189" spans="4:11">
      <c r="D189" s="63">
        <f>$D175*D183</f>
        <v>380</v>
      </c>
      <c r="E189" s="63">
        <f>$D175*E183</f>
        <v>380</v>
      </c>
      <c r="F189" s="63">
        <f>$D175*F183</f>
        <v>380</v>
      </c>
      <c r="G189" s="99" t="s">
        <v>52</v>
      </c>
      <c r="J189" s="259"/>
      <c r="K189" s="16"/>
    </row>
    <row r="190" spans="4:11">
      <c r="D190" s="68">
        <f>SUM(D187:D189)</f>
        <v>891.21076233183862</v>
      </c>
      <c r="E190" s="906">
        <f>SUM(E187:E189)</f>
        <v>1061.6143497757848</v>
      </c>
      <c r="F190" s="906">
        <f>SUM(F187:F189)</f>
        <v>1402.4215246636772</v>
      </c>
      <c r="G190" s="1101" t="s">
        <v>53</v>
      </c>
      <c r="J190" s="65"/>
      <c r="K190" s="24"/>
    </row>
    <row r="191" spans="4:11">
      <c r="D191" s="432"/>
      <c r="J191" s="65"/>
      <c r="K191" s="24"/>
    </row>
    <row r="192" spans="4:11">
      <c r="D192" s="46">
        <f>D185</f>
        <v>3.1270553064275037</v>
      </c>
      <c r="E192" s="46">
        <f>E185</f>
        <v>3.724962630792227</v>
      </c>
      <c r="F192" s="46">
        <f>F185</f>
        <v>4.9207772795216744</v>
      </c>
      <c r="G192" s="359" t="s">
        <v>795</v>
      </c>
      <c r="J192" s="65"/>
      <c r="K192" s="24"/>
    </row>
    <row r="193" spans="3:12">
      <c r="D193" s="75">
        <f>ROUNDUP((D185/21),0)</f>
        <v>1</v>
      </c>
      <c r="E193" s="75">
        <f>ROUNDUP((E185/21),0)</f>
        <v>1</v>
      </c>
      <c r="F193" s="75">
        <f>ROUNDUP((F185/21),0)</f>
        <v>1</v>
      </c>
      <c r="G193" s="99" t="s">
        <v>739</v>
      </c>
      <c r="J193" s="65"/>
      <c r="K193" s="24"/>
    </row>
    <row r="194" spans="3:12">
      <c r="D194" s="432"/>
      <c r="J194" s="65"/>
      <c r="K194" s="24"/>
    </row>
    <row r="195" spans="3:12">
      <c r="D195" s="65"/>
      <c r="E195" s="24"/>
      <c r="J195" s="65"/>
      <c r="K195" s="24"/>
    </row>
    <row r="196" spans="3:12">
      <c r="C196" t="s">
        <v>70</v>
      </c>
      <c r="D196" s="58"/>
      <c r="E196" s="59" t="s">
        <v>156</v>
      </c>
      <c r="J196" s="65"/>
      <c r="K196" s="24"/>
    </row>
    <row r="197" spans="3:12">
      <c r="D197" s="160" t="s">
        <v>238</v>
      </c>
      <c r="E197" s="59"/>
      <c r="J197" s="65"/>
      <c r="K197" s="24"/>
    </row>
    <row r="198" spans="3:12">
      <c r="D198" s="58"/>
      <c r="E198" s="59"/>
      <c r="J198" s="65"/>
      <c r="K198" s="24"/>
    </row>
    <row r="199" spans="3:12">
      <c r="D199" s="25">
        <f>D159</f>
        <v>3.1270553064275037</v>
      </c>
      <c r="E199" s="25">
        <f>E159</f>
        <v>3.724962630792227</v>
      </c>
      <c r="F199" s="25">
        <f>F159</f>
        <v>4.9207772795216744</v>
      </c>
      <c r="G199" s="99" t="s">
        <v>157</v>
      </c>
      <c r="J199" s="65"/>
      <c r="K199" s="24"/>
    </row>
    <row r="200" spans="3:12">
      <c r="D200" s="61">
        <f>FLOOR(D199,1)</f>
        <v>3</v>
      </c>
      <c r="E200" s="61">
        <f>FLOOR(E199,1)</f>
        <v>3</v>
      </c>
      <c r="F200" s="61">
        <f>FLOOR(F199,1)</f>
        <v>4</v>
      </c>
      <c r="G200" s="99" t="s">
        <v>73</v>
      </c>
      <c r="J200" s="65"/>
      <c r="K200" s="24"/>
    </row>
    <row r="201" spans="3:12">
      <c r="D201" s="65"/>
      <c r="G201" s="1102"/>
      <c r="J201" s="65"/>
      <c r="K201" s="24"/>
    </row>
    <row r="202" spans="3:12">
      <c r="D202" s="65">
        <f>D200*$D138</f>
        <v>6</v>
      </c>
      <c r="E202" s="65">
        <f>E200*$D138</f>
        <v>6</v>
      </c>
      <c r="F202" s="65">
        <f>F200*$D138</f>
        <v>8</v>
      </c>
      <c r="G202" s="1102" t="s">
        <v>88</v>
      </c>
      <c r="J202" s="65"/>
      <c r="K202" s="24"/>
    </row>
    <row r="203" spans="3:12">
      <c r="D203" s="102">
        <f>D202*$D149</f>
        <v>1260</v>
      </c>
      <c r="E203" s="907">
        <f>E202*$D149</f>
        <v>1260</v>
      </c>
      <c r="F203" s="907">
        <f>F202*$D149</f>
        <v>1680</v>
      </c>
      <c r="G203" s="1101" t="s">
        <v>74</v>
      </c>
      <c r="J203" s="259"/>
      <c r="K203" s="16"/>
    </row>
    <row r="204" spans="3:12">
      <c r="D204" s="825"/>
      <c r="E204" s="825"/>
      <c r="H204" s="1" t="s">
        <v>788</v>
      </c>
      <c r="I204" s="1" t="s">
        <v>779</v>
      </c>
      <c r="J204" s="1" t="s">
        <v>789</v>
      </c>
    </row>
    <row r="205" spans="3:12">
      <c r="D205" s="617" t="s">
        <v>172</v>
      </c>
      <c r="E205" s="618" t="s">
        <v>155</v>
      </c>
      <c r="F205" s="618" t="s">
        <v>155</v>
      </c>
      <c r="G205" s="618" t="s">
        <v>155</v>
      </c>
      <c r="H205" s="618" t="s">
        <v>166</v>
      </c>
      <c r="I205" s="618" t="s">
        <v>166</v>
      </c>
      <c r="J205" s="618" t="s">
        <v>166</v>
      </c>
      <c r="K205" s="619" t="s">
        <v>69</v>
      </c>
    </row>
    <row r="206" spans="3:12">
      <c r="D206" s="404" t="s">
        <v>3</v>
      </c>
      <c r="E206" s="90">
        <f>D161</f>
        <v>6.2541106128550075</v>
      </c>
      <c r="F206" s="90">
        <f t="shared" ref="F206:G206" si="41">E161</f>
        <v>7.449925261584454</v>
      </c>
      <c r="G206" s="90">
        <f t="shared" si="41"/>
        <v>9.8415545590433489</v>
      </c>
      <c r="H206" s="432">
        <f>D165</f>
        <v>1407.1748878923768</v>
      </c>
      <c r="I206" s="432">
        <f>E165</f>
        <v>1676.2331838565024</v>
      </c>
      <c r="J206" s="432">
        <f>F165</f>
        <v>2214.3497757847535</v>
      </c>
      <c r="K206" s="830" t="str">
        <f>G165</f>
        <v>Cost for labour</v>
      </c>
      <c r="L206" s="558">
        <f>D113</f>
        <v>1</v>
      </c>
    </row>
    <row r="207" spans="3:12">
      <c r="D207" s="404" t="s">
        <v>490</v>
      </c>
      <c r="E207" s="90">
        <f>D185</f>
        <v>3.1270553064275037</v>
      </c>
      <c r="F207" s="90">
        <f t="shared" ref="F207:G207" si="42">E185</f>
        <v>3.724962630792227</v>
      </c>
      <c r="G207" s="90">
        <f t="shared" si="42"/>
        <v>4.9207772795216744</v>
      </c>
      <c r="H207" s="432">
        <f>D190</f>
        <v>891.21076233183862</v>
      </c>
      <c r="I207" s="432">
        <f>E190</f>
        <v>1061.6143497757848</v>
      </c>
      <c r="J207" s="432">
        <f>F190</f>
        <v>1402.4215246636772</v>
      </c>
      <c r="K207" s="830" t="str">
        <f>G190</f>
        <v>Cost for ute hire for the whole activity</v>
      </c>
      <c r="L207" s="558">
        <f>L206</f>
        <v>1</v>
      </c>
    </row>
    <row r="208" spans="3:12">
      <c r="D208" s="404" t="s">
        <v>169</v>
      </c>
      <c r="E208" s="90">
        <f>D202</f>
        <v>6</v>
      </c>
      <c r="F208" s="90">
        <f t="shared" ref="F208:G208" si="43">E202</f>
        <v>6</v>
      </c>
      <c r="G208" s="90">
        <f t="shared" si="43"/>
        <v>8</v>
      </c>
      <c r="H208" s="432">
        <f>D203</f>
        <v>1260</v>
      </c>
      <c r="I208" s="432">
        <f>E203</f>
        <v>1260</v>
      </c>
      <c r="J208" s="432">
        <f>F203</f>
        <v>1680</v>
      </c>
      <c r="K208" s="830" t="str">
        <f>G203</f>
        <v>Accomodation + Food Cost</v>
      </c>
      <c r="L208" s="558">
        <f>L207</f>
        <v>1</v>
      </c>
    </row>
    <row r="209" spans="3:36">
      <c r="D209" s="404"/>
      <c r="E209" s="90"/>
      <c r="F209" s="531"/>
      <c r="H209" s="432"/>
      <c r="I209" s="259"/>
      <c r="J209" s="259"/>
      <c r="K209" s="830"/>
      <c r="L209" s="558"/>
    </row>
    <row r="210" spans="3:36">
      <c r="D210" s="404"/>
      <c r="E210" s="90"/>
      <c r="F210" s="531"/>
      <c r="H210" s="432"/>
      <c r="I210" s="259"/>
      <c r="J210" s="259"/>
      <c r="K210" s="830"/>
    </row>
    <row r="211" spans="3:36">
      <c r="D211" s="405"/>
      <c r="E211" s="439"/>
      <c r="F211" s="439"/>
      <c r="G211" s="1098"/>
      <c r="H211" s="622">
        <f>SUM(H206:H210)</f>
        <v>3558.3856502242152</v>
      </c>
      <c r="I211" s="622">
        <f>SUM(I206:I210)</f>
        <v>3997.8475336322872</v>
      </c>
      <c r="J211" s="622">
        <f>SUM(J206:J210)</f>
        <v>5296.7713004484303</v>
      </c>
      <c r="K211" s="623" t="s">
        <v>165</v>
      </c>
    </row>
    <row r="212" spans="3:36">
      <c r="D212"/>
      <c r="E212"/>
      <c r="F212" s="432"/>
      <c r="G212" s="1099"/>
    </row>
    <row r="213" spans="3:36">
      <c r="D213" s="25"/>
    </row>
    <row r="214" spans="3:36" s="7" customFormat="1">
      <c r="D214" s="134"/>
      <c r="E214" s="134"/>
      <c r="G214" s="1089"/>
    </row>
    <row r="215" spans="3:36" s="7" customFormat="1">
      <c r="D215" s="103"/>
      <c r="E215" s="103"/>
      <c r="G215" s="1089"/>
      <c r="AI215"/>
      <c r="AJ215"/>
    </row>
    <row r="216" spans="3:36" s="7" customFormat="1">
      <c r="D216" s="69"/>
      <c r="E216" s="36"/>
      <c r="G216" s="1089"/>
    </row>
    <row r="217" spans="3:36" s="9" customFormat="1">
      <c r="C217" s="120" t="s">
        <v>167</v>
      </c>
      <c r="D217" s="256" t="s">
        <v>1883</v>
      </c>
      <c r="E217" s="34"/>
      <c r="G217" s="572"/>
    </row>
    <row r="218" spans="3:36" s="9" customFormat="1">
      <c r="D218" s="9" t="s">
        <v>1882</v>
      </c>
      <c r="E218" s="34"/>
      <c r="G218" s="572"/>
    </row>
    <row r="219" spans="3:36" s="9" customFormat="1">
      <c r="C219" s="120"/>
      <c r="D219" s="34" t="s">
        <v>1054</v>
      </c>
      <c r="E219" s="34"/>
      <c r="G219" s="572"/>
    </row>
    <row r="220" spans="3:36" s="9" customFormat="1">
      <c r="D220" s="1598" t="s">
        <v>1285</v>
      </c>
      <c r="E220" s="970"/>
      <c r="G220" s="572"/>
    </row>
    <row r="221" spans="3:36" s="9" customFormat="1">
      <c r="D221" s="332" t="s">
        <v>91</v>
      </c>
      <c r="E221" s="43"/>
      <c r="F221" s="24"/>
      <c r="G221" s="359"/>
      <c r="I221" s="4"/>
      <c r="J221" s="1306"/>
    </row>
    <row r="222" spans="3:36" s="9" customFormat="1">
      <c r="D222" s="135"/>
      <c r="E222" s="246"/>
      <c r="F222"/>
      <c r="G222" s="359"/>
      <c r="I222" s="2489"/>
      <c r="J222" s="2492"/>
    </row>
    <row r="223" spans="3:36" s="9" customFormat="1">
      <c r="D223" s="398">
        <f>'Overall Assumptions'!$C$149</f>
        <v>48</v>
      </c>
      <c r="E223" s="131" t="str">
        <f>'Overall Assumptions'!$D$115</f>
        <v>weeks</v>
      </c>
      <c r="F223"/>
      <c r="G223" s="359"/>
      <c r="I223" s="2489"/>
      <c r="J223" s="2492"/>
    </row>
    <row r="224" spans="3:36" s="9" customFormat="1">
      <c r="C224" s="105"/>
      <c r="D224" s="332">
        <f>D223*5</f>
        <v>240</v>
      </c>
      <c r="E224" s="131" t="str">
        <f>'Overall Assumptions'!$D$116</f>
        <v>days</v>
      </c>
      <c r="F224"/>
      <c r="G224" s="359"/>
      <c r="I224" s="2490"/>
      <c r="J224" s="2492"/>
    </row>
    <row r="225" spans="3:10" s="9" customFormat="1">
      <c r="C225" s="105"/>
      <c r="D225" s="332"/>
      <c r="E225" s="43"/>
      <c r="F225"/>
      <c r="G225" s="359"/>
      <c r="I225" s="2489"/>
      <c r="J225" s="2492"/>
    </row>
    <row r="226" spans="3:10" s="9" customFormat="1">
      <c r="C226" s="105"/>
      <c r="D226" s="398">
        <v>1</v>
      </c>
      <c r="E226" s="43" t="s">
        <v>263</v>
      </c>
      <c r="F226"/>
      <c r="G226" s="359"/>
      <c r="I226" s="2489"/>
      <c r="J226" s="2492"/>
    </row>
    <row r="227" spans="3:10" s="9" customFormat="1">
      <c r="C227" s="105"/>
      <c r="G227" s="359"/>
      <c r="I227" s="2489"/>
      <c r="J227" s="2492"/>
    </row>
    <row r="228" spans="3:10" s="9" customFormat="1">
      <c r="C228" s="105"/>
      <c r="D228" s="2487"/>
      <c r="G228" s="359"/>
      <c r="I228" s="2489"/>
      <c r="J228" s="2492"/>
    </row>
    <row r="229" spans="3:10" s="9" customFormat="1">
      <c r="C229" s="105"/>
      <c r="G229" s="359"/>
      <c r="H229" s="9" t="s">
        <v>2324</v>
      </c>
      <c r="I229" s="2489"/>
      <c r="J229" s="2492"/>
    </row>
    <row r="230" spans="3:10" s="9" customFormat="1">
      <c r="C230" s="105"/>
      <c r="D230" s="398">
        <f>'Overall Assumptions'!$C$150</f>
        <v>10</v>
      </c>
      <c r="E230" s="43" t="s">
        <v>1222</v>
      </c>
      <c r="F230"/>
      <c r="G230" s="359">
        <f>D230*D$224</f>
        <v>2400</v>
      </c>
      <c r="H230" s="9">
        <f>SUM(G230:G231)</f>
        <v>2640</v>
      </c>
      <c r="I230" s="2489"/>
      <c r="J230" s="2492"/>
    </row>
    <row r="231" spans="3:10" s="9" customFormat="1">
      <c r="D231" s="398">
        <f>'Overall Assumptions'!$C$151</f>
        <v>1</v>
      </c>
      <c r="E231" s="43" t="s">
        <v>1225</v>
      </c>
      <c r="F231"/>
      <c r="G231" s="359">
        <f>D231*D$224</f>
        <v>240</v>
      </c>
      <c r="I231" s="2489"/>
      <c r="J231" s="2492"/>
    </row>
    <row r="232" spans="3:10" s="9" customFormat="1">
      <c r="D232" s="332"/>
      <c r="E232" s="43"/>
      <c r="F232"/>
      <c r="G232" s="359"/>
      <c r="I232" s="2489"/>
      <c r="J232" s="2492"/>
    </row>
    <row r="233" spans="3:10" s="9" customFormat="1">
      <c r="D233" s="332" t="str">
        <f>'Overall Assumptions'!$D$76</f>
        <v>Daily rate (AUD) for labour assuming 7.5 hours/day</v>
      </c>
      <c r="E233" s="246"/>
      <c r="F233"/>
      <c r="G233" s="359"/>
      <c r="I233" s="2489"/>
      <c r="J233" s="2492"/>
    </row>
    <row r="234" spans="3:10" s="9" customFormat="1">
      <c r="D234" s="614">
        <f>'Overall Assumptions'!$C$68</f>
        <v>225</v>
      </c>
      <c r="E234" s="246" t="str">
        <f>'Overall Assumptions'!$B$67</f>
        <v>Labour 1- APS Low (Entry lvl)</v>
      </c>
      <c r="F234"/>
      <c r="G234" s="359"/>
      <c r="I234" s="2489"/>
      <c r="J234" s="2492"/>
    </row>
    <row r="235" spans="3:10" s="9" customFormat="1">
      <c r="D235" s="1484">
        <f>'Overall Assumptions'!$C$72</f>
        <v>337.5</v>
      </c>
      <c r="E235" s="530" t="str">
        <f>'Overall Assumptions'!$B$71</f>
        <v>Labour 2 - APS High (Experienced)</v>
      </c>
      <c r="F235"/>
      <c r="G235" s="359"/>
      <c r="I235" s="2489"/>
      <c r="J235" s="2492"/>
    </row>
    <row r="236" spans="3:10" s="9" customFormat="1">
      <c r="D236" s="1485">
        <f>'Overall Assumptions'!$C$76</f>
        <v>487.5</v>
      </c>
      <c r="E236" s="45" t="str">
        <f>'Overall Assumptions'!$B$75</f>
        <v>Labour 3 - EL (Management)</v>
      </c>
      <c r="F236"/>
      <c r="G236" s="359"/>
      <c r="I236" s="2491"/>
      <c r="J236" s="2493"/>
    </row>
    <row r="237" spans="3:10" s="9" customFormat="1">
      <c r="D237" s="33"/>
      <c r="E237" s="16"/>
      <c r="F237"/>
      <c r="G237" s="359"/>
    </row>
    <row r="238" spans="3:10" s="9" customFormat="1">
      <c r="D238" s="33"/>
      <c r="F238"/>
      <c r="G238" s="359"/>
    </row>
    <row r="239" spans="3:10" s="9" customFormat="1">
      <c r="D239" s="33">
        <f>D230*D235*D224</f>
        <v>810000</v>
      </c>
      <c r="E239" s="16" t="str">
        <f>E235</f>
        <v>Labour 2 - APS High (Experienced)</v>
      </c>
      <c r="F239"/>
      <c r="G239" s="359"/>
    </row>
    <row r="240" spans="3:10" s="9" customFormat="1">
      <c r="D240" s="33">
        <f>D231*D236*D224</f>
        <v>117000</v>
      </c>
      <c r="E240" s="16" t="str">
        <f>E236</f>
        <v>Labour 3 - EL (Management)</v>
      </c>
      <c r="F240"/>
      <c r="G240" s="359"/>
    </row>
    <row r="241" spans="3:8" s="9" customFormat="1">
      <c r="D241" s="33"/>
      <c r="E241" s="16"/>
      <c r="F241"/>
      <c r="G241" s="359"/>
    </row>
    <row r="242" spans="3:8" s="9" customFormat="1">
      <c r="D242" s="33"/>
      <c r="E242" s="16"/>
      <c r="F242"/>
      <c r="G242" s="359"/>
    </row>
    <row r="243" spans="3:8" s="9" customFormat="1">
      <c r="D243" s="2488">
        <f>SUM(D239:D240)</f>
        <v>927000</v>
      </c>
      <c r="E243" s="273" t="s">
        <v>1880</v>
      </c>
      <c r="F243" s="274"/>
      <c r="G243" s="359"/>
    </row>
    <row r="244" spans="3:8" s="9" customFormat="1">
      <c r="D244" s="33"/>
      <c r="E244" s="16"/>
      <c r="F244"/>
      <c r="G244" s="359"/>
    </row>
    <row r="245" spans="3:8" s="9" customFormat="1">
      <c r="D245" s="175"/>
      <c r="E245" s="164" t="s">
        <v>155</v>
      </c>
      <c r="F245" s="255" t="s">
        <v>166</v>
      </c>
      <c r="G245" s="1090" t="s">
        <v>69</v>
      </c>
      <c r="H245" s="108" t="s">
        <v>1881</v>
      </c>
    </row>
    <row r="246" spans="3:8" s="9" customFormat="1">
      <c r="D246" s="405" t="s">
        <v>3</v>
      </c>
      <c r="E246" s="509">
        <f>H230</f>
        <v>2640</v>
      </c>
      <c r="F246" s="321">
        <f>D243</f>
        <v>927000</v>
      </c>
      <c r="G246" s="1091" t="s">
        <v>1230</v>
      </c>
      <c r="H246" s="323">
        <f>D226</f>
        <v>1</v>
      </c>
    </row>
    <row r="247" spans="3:8" s="9" customFormat="1">
      <c r="D247" s="105"/>
      <c r="E247" s="34"/>
      <c r="G247" s="572"/>
    </row>
    <row r="248" spans="3:8" s="7" customFormat="1">
      <c r="D248" s="977"/>
      <c r="E248" s="35"/>
      <c r="G248" s="1089"/>
    </row>
    <row r="249" spans="3:8" s="9" customFormat="1">
      <c r="E249" s="34"/>
      <c r="F249" s="34"/>
      <c r="G249" s="572"/>
    </row>
    <row r="250" spans="3:8" s="9" customFormat="1">
      <c r="C250" s="121" t="s">
        <v>2316</v>
      </c>
      <c r="E250" s="34"/>
      <c r="G250" s="572"/>
    </row>
    <row r="251" spans="3:8" s="9" customFormat="1">
      <c r="C251" s="121"/>
      <c r="D251" s="1658">
        <f>'Overall Assumptions'!$C$6</f>
        <v>100</v>
      </c>
      <c r="E251" s="319" t="s">
        <v>451</v>
      </c>
      <c r="F251" s="108"/>
      <c r="G251" s="572"/>
    </row>
    <row r="252" spans="3:8" s="9" customFormat="1">
      <c r="C252" s="121"/>
      <c r="D252" s="527">
        <f>'Overall Assumptions'!$C$9</f>
        <v>40</v>
      </c>
      <c r="E252" s="322" t="s">
        <v>1319</v>
      </c>
      <c r="F252" s="323"/>
      <c r="G252" s="572"/>
    </row>
    <row r="253" spans="3:8" s="9" customFormat="1">
      <c r="C253" s="121"/>
      <c r="E253" s="867" t="s">
        <v>1315</v>
      </c>
      <c r="F253" s="34"/>
    </row>
    <row r="254" spans="3:8" s="9" customFormat="1">
      <c r="C254" s="121"/>
      <c r="E254" s="1604" t="s">
        <v>1316</v>
      </c>
      <c r="F254" s="34"/>
    </row>
    <row r="255" spans="3:8" s="9" customFormat="1">
      <c r="C255" s="121"/>
      <c r="E255" s="9" t="s">
        <v>1317</v>
      </c>
      <c r="F255" s="34"/>
    </row>
    <row r="256" spans="3:8" s="9" customFormat="1">
      <c r="C256" s="121"/>
      <c r="E256" s="9" t="s">
        <v>1318</v>
      </c>
      <c r="F256" s="34"/>
    </row>
    <row r="257" spans="3:25" s="79" customFormat="1">
      <c r="D257" s="34"/>
      <c r="E257" s="76"/>
      <c r="G257" s="1119"/>
    </row>
    <row r="258" spans="3:25" s="79" customFormat="1">
      <c r="C258" s="233"/>
      <c r="D258" s="693" t="s">
        <v>1291</v>
      </c>
      <c r="E258" s="76"/>
      <c r="G258" s="1119"/>
      <c r="H258" s="129"/>
      <c r="J258" s="34" t="s">
        <v>179</v>
      </c>
      <c r="K258" s="34"/>
      <c r="L258" s="34"/>
      <c r="M258" s="34"/>
      <c r="N258" s="34"/>
    </row>
    <row r="259" spans="3:25" s="79" customFormat="1">
      <c r="D259" s="489" t="s">
        <v>1292</v>
      </c>
      <c r="E259" s="66"/>
      <c r="G259" s="1119"/>
      <c r="J259" s="874">
        <f>'Overall Assumptions'!$C$25</f>
        <v>1.4999999999999999E-2</v>
      </c>
      <c r="K259" s="34" t="s">
        <v>881</v>
      </c>
      <c r="L259" s="34"/>
      <c r="M259" s="34"/>
      <c r="N259" s="34"/>
    </row>
    <row r="260" spans="3:25" s="79" customFormat="1">
      <c r="D260" s="444">
        <v>20</v>
      </c>
      <c r="E260" s="164" t="s">
        <v>1289</v>
      </c>
      <c r="F260" s="161"/>
      <c r="G260" s="1120"/>
      <c r="H260" s="324"/>
      <c r="J260" s="34">
        <v>40</v>
      </c>
      <c r="K260" s="34" t="s">
        <v>886</v>
      </c>
      <c r="L260" s="34"/>
      <c r="M260" s="34"/>
      <c r="N260" s="34"/>
      <c r="O260" s="34"/>
      <c r="P260" s="34"/>
      <c r="Q260" s="34"/>
      <c r="R260" s="34"/>
      <c r="S260" s="34"/>
      <c r="T260" s="34"/>
    </row>
    <row r="261" spans="3:25" s="79" customFormat="1">
      <c r="C261" s="9"/>
      <c r="D261" s="1659">
        <v>1</v>
      </c>
      <c r="E261" s="322" t="s">
        <v>1196</v>
      </c>
      <c r="F261" s="1660"/>
      <c r="G261" s="1121"/>
      <c r="H261" s="288"/>
      <c r="J261" s="34"/>
      <c r="K261" s="34"/>
      <c r="L261" s="34"/>
      <c r="M261" s="34"/>
      <c r="N261" s="34"/>
    </row>
    <row r="262" spans="3:25" s="79" customFormat="1">
      <c r="C262" s="9"/>
      <c r="D262" s="1600"/>
      <c r="E262" s="124"/>
      <c r="F262" s="147"/>
      <c r="G262" s="1121"/>
      <c r="H262" s="288"/>
      <c r="J262" s="34"/>
      <c r="K262" s="871" t="s">
        <v>880</v>
      </c>
      <c r="L262" s="34"/>
      <c r="M262" s="34"/>
      <c r="N262" s="34"/>
      <c r="O262" s="872" t="s">
        <v>892</v>
      </c>
      <c r="T262" s="16"/>
    </row>
    <row r="263" spans="3:25" s="79" customFormat="1">
      <c r="C263" s="9"/>
      <c r="D263" s="1602">
        <v>40</v>
      </c>
      <c r="E263" s="1600" t="s">
        <v>1295</v>
      </c>
      <c r="F263" s="147"/>
      <c r="G263" s="1121"/>
      <c r="H263" s="288"/>
      <c r="J263" s="34">
        <v>2500</v>
      </c>
      <c r="K263" s="34" t="s">
        <v>891</v>
      </c>
      <c r="L263" s="34"/>
      <c r="M263" s="34"/>
      <c r="N263" s="34"/>
      <c r="O263" s="16"/>
      <c r="P263" s="24" t="s">
        <v>889</v>
      </c>
      <c r="Q263" s="24"/>
      <c r="R263" s="24"/>
      <c r="S263" s="24"/>
      <c r="T263" s="16"/>
    </row>
    <row r="264" spans="3:25" s="79" customFormat="1">
      <c r="C264" s="9"/>
      <c r="E264" s="1600"/>
      <c r="F264" s="147"/>
      <c r="G264" s="1121"/>
      <c r="H264" s="288"/>
      <c r="J264" s="16">
        <f>J263/J260</f>
        <v>62.5</v>
      </c>
      <c r="K264" s="34" t="s">
        <v>887</v>
      </c>
      <c r="L264" s="34"/>
      <c r="M264" s="34"/>
      <c r="N264" s="16"/>
      <c r="O264" s="63">
        <v>4500</v>
      </c>
      <c r="P264" s="16" t="s">
        <v>890</v>
      </c>
      <c r="Q264" s="16"/>
      <c r="R264" s="16"/>
      <c r="S264" s="16"/>
      <c r="T264" s="16"/>
    </row>
    <row r="265" spans="3:25" s="79" customFormat="1">
      <c r="C265" s="1601" t="s">
        <v>1290</v>
      </c>
      <c r="D265" s="1689" t="s">
        <v>1304</v>
      </c>
      <c r="E265" s="401"/>
      <c r="F265" s="1688"/>
      <c r="G265" s="1121"/>
      <c r="H265" s="288"/>
      <c r="J265" s="34"/>
      <c r="K265" s="34"/>
      <c r="L265" s="34"/>
      <c r="M265" s="34"/>
      <c r="N265" s="16"/>
      <c r="O265" s="267">
        <f>O264*(1+J259)^8</f>
        <v>5069.2166396788753</v>
      </c>
      <c r="P265" s="34" t="s">
        <v>877</v>
      </c>
      <c r="Q265" s="34"/>
      <c r="R265" s="34"/>
      <c r="S265" s="34"/>
      <c r="T265" s="16"/>
    </row>
    <row r="266" spans="3:25" s="79" customFormat="1">
      <c r="C266" s="1601"/>
      <c r="D266" s="1661">
        <v>2500</v>
      </c>
      <c r="E266" s="1678">
        <v>2500</v>
      </c>
      <c r="F266" s="1662">
        <v>2500</v>
      </c>
      <c r="G266" s="79" t="s">
        <v>426</v>
      </c>
      <c r="H266" s="288"/>
      <c r="J266" s="267">
        <v>5800</v>
      </c>
      <c r="K266" s="105" t="s">
        <v>876</v>
      </c>
      <c r="L266" s="34"/>
      <c r="M266" s="34"/>
      <c r="N266" s="16"/>
      <c r="O266" s="63">
        <v>5000</v>
      </c>
      <c r="P266" s="34" t="s">
        <v>1303</v>
      </c>
      <c r="Q266" s="34"/>
      <c r="R266" s="34"/>
      <c r="S266" s="34"/>
      <c r="T266" s="16"/>
      <c r="W266" s="872" t="s">
        <v>894</v>
      </c>
      <c r="X266" s="34"/>
      <c r="Y266" s="34"/>
    </row>
    <row r="267" spans="3:25" s="79" customFormat="1">
      <c r="C267" s="1601"/>
      <c r="D267" s="875">
        <f>D266/$D263</f>
        <v>62.5</v>
      </c>
      <c r="E267" s="875">
        <f t="shared" ref="E267:F267" si="44">E266/$D263</f>
        <v>62.5</v>
      </c>
      <c r="F267" s="875">
        <f t="shared" si="44"/>
        <v>62.5</v>
      </c>
      <c r="G267" s="79" t="s">
        <v>1296</v>
      </c>
      <c r="H267" s="288"/>
      <c r="J267" s="267">
        <f>J266*(1+J259)^8</f>
        <v>6533.6570022527731</v>
      </c>
      <c r="K267" s="34" t="s">
        <v>877</v>
      </c>
      <c r="L267" s="34"/>
      <c r="M267" s="34"/>
      <c r="N267" s="16"/>
      <c r="O267" s="63">
        <v>3000</v>
      </c>
      <c r="P267" s="16" t="s">
        <v>885</v>
      </c>
      <c r="Q267" s="16"/>
      <c r="R267" s="16"/>
      <c r="S267" s="16"/>
      <c r="T267" s="16"/>
      <c r="W267" s="34"/>
      <c r="X267" s="521" t="s">
        <v>893</v>
      </c>
      <c r="Y267" s="16"/>
    </row>
    <row r="268" spans="3:25" s="79" customFormat="1">
      <c r="C268" s="1601"/>
      <c r="D268" s="1689" t="s">
        <v>1294</v>
      </c>
      <c r="E268" s="593"/>
      <c r="F268" s="1688"/>
      <c r="G268" s="1121"/>
      <c r="H268" s="288"/>
      <c r="J268" s="267">
        <v>7000</v>
      </c>
      <c r="K268" s="34" t="s">
        <v>879</v>
      </c>
      <c r="L268" s="34"/>
      <c r="M268" s="34"/>
      <c r="N268" s="16"/>
      <c r="O268" s="432">
        <f>O267/J260</f>
        <v>75</v>
      </c>
      <c r="P268" s="16" t="s">
        <v>888</v>
      </c>
      <c r="Q268" s="16"/>
      <c r="R268" s="16"/>
      <c r="S268" s="16"/>
      <c r="T268" s="16"/>
      <c r="W268" s="16"/>
      <c r="X268" s="105" t="s">
        <v>901</v>
      </c>
      <c r="Y268" s="16"/>
    </row>
    <row r="269" spans="3:25" s="79" customFormat="1">
      <c r="C269" s="9"/>
      <c r="D269" s="1663" t="s">
        <v>1298</v>
      </c>
      <c r="E269" s="1679" t="s">
        <v>1299</v>
      </c>
      <c r="F269" s="485" t="s">
        <v>889</v>
      </c>
      <c r="G269" s="79" t="s">
        <v>1305</v>
      </c>
      <c r="H269" s="288"/>
      <c r="J269" s="267"/>
      <c r="K269" s="34"/>
      <c r="L269" s="34"/>
      <c r="M269" s="34"/>
      <c r="N269" s="16"/>
      <c r="W269" s="16"/>
      <c r="X269" s="16" t="s">
        <v>895</v>
      </c>
      <c r="Y269" s="16"/>
    </row>
    <row r="270" spans="3:25" s="79" customFormat="1">
      <c r="C270" s="9"/>
      <c r="D270" s="1540" t="s">
        <v>1300</v>
      </c>
      <c r="E270" s="591" t="s">
        <v>1302</v>
      </c>
      <c r="F270" s="1664" t="s">
        <v>1306</v>
      </c>
      <c r="G270" s="79" t="s">
        <v>69</v>
      </c>
      <c r="H270" s="288"/>
      <c r="J270" s="267">
        <v>1000</v>
      </c>
      <c r="K270" s="34" t="s">
        <v>885</v>
      </c>
      <c r="L270" s="34"/>
      <c r="M270" s="34"/>
      <c r="N270" s="16"/>
      <c r="W270" s="16">
        <v>0.9</v>
      </c>
      <c r="X270" s="16" t="s">
        <v>896</v>
      </c>
      <c r="Y270" s="16"/>
    </row>
    <row r="271" spans="3:25" s="79" customFormat="1">
      <c r="C271" s="9"/>
      <c r="D271" s="1665">
        <f>J268</f>
        <v>7000</v>
      </c>
      <c r="E271" s="1680">
        <f>J275</f>
        <v>11000</v>
      </c>
      <c r="F271" s="1666">
        <f>O266</f>
        <v>5000</v>
      </c>
      <c r="G271" s="79" t="s">
        <v>1297</v>
      </c>
      <c r="H271" s="288"/>
      <c r="J271" s="432">
        <f>J270/J260</f>
        <v>25</v>
      </c>
      <c r="K271" s="34" t="s">
        <v>887</v>
      </c>
      <c r="L271" s="16"/>
      <c r="M271" s="16"/>
      <c r="N271" s="16"/>
      <c r="O271" s="16"/>
      <c r="P271" s="872" t="s">
        <v>884</v>
      </c>
      <c r="Q271" s="872"/>
      <c r="R271" s="872"/>
      <c r="S271" s="872"/>
      <c r="W271" s="16">
        <f>W270*52</f>
        <v>46.800000000000004</v>
      </c>
      <c r="X271" s="16" t="s">
        <v>897</v>
      </c>
      <c r="Y271" s="16"/>
    </row>
    <row r="272" spans="3:25" s="79" customFormat="1">
      <c r="C272" s="9"/>
      <c r="D272" s="1667">
        <f>J270</f>
        <v>1000</v>
      </c>
      <c r="E272" s="1078">
        <f>J278</f>
        <v>8500</v>
      </c>
      <c r="F272" s="552">
        <f>O267</f>
        <v>3000</v>
      </c>
      <c r="G272" s="1121" t="s">
        <v>1301</v>
      </c>
      <c r="H272" s="288"/>
      <c r="N272" s="16"/>
      <c r="O272" s="63">
        <v>12500</v>
      </c>
      <c r="P272" s="24" t="s">
        <v>883</v>
      </c>
      <c r="Q272" s="24"/>
      <c r="R272" s="24"/>
      <c r="S272" s="24"/>
      <c r="W272" s="864">
        <f>W271/J279</f>
        <v>0.22023529411764708</v>
      </c>
      <c r="X272" s="16" t="s">
        <v>898</v>
      </c>
      <c r="Y272" s="16"/>
    </row>
    <row r="273" spans="3:25" s="79" customFormat="1">
      <c r="C273" s="9"/>
      <c r="D273" s="535">
        <f>J271</f>
        <v>25</v>
      </c>
      <c r="E273" s="1681">
        <f>J279</f>
        <v>212.5</v>
      </c>
      <c r="F273" s="1668">
        <f>O268</f>
        <v>75</v>
      </c>
      <c r="G273" s="1121" t="s">
        <v>1307</v>
      </c>
      <c r="H273" s="288"/>
      <c r="J273" s="267">
        <v>9600</v>
      </c>
      <c r="K273" s="105" t="s">
        <v>878</v>
      </c>
      <c r="L273" s="34"/>
      <c r="M273" s="16"/>
      <c r="N273" s="16"/>
      <c r="O273" s="267">
        <f>O272*(1+J259)^5</f>
        <v>13466.050048554678</v>
      </c>
      <c r="P273" s="34" t="s">
        <v>877</v>
      </c>
      <c r="Q273" s="34"/>
      <c r="R273" s="34"/>
      <c r="S273" s="34"/>
      <c r="W273" s="825">
        <v>0.2</v>
      </c>
      <c r="X273" s="16" t="s">
        <v>899</v>
      </c>
      <c r="Y273" s="16"/>
    </row>
    <row r="274" spans="3:25" s="79" customFormat="1">
      <c r="C274" s="9"/>
      <c r="D274" s="1245"/>
      <c r="E274" s="1682"/>
      <c r="F274" s="1669"/>
      <c r="G274" s="122" t="s">
        <v>1308</v>
      </c>
      <c r="J274" s="267">
        <f>J273*(1+J259)^8</f>
        <v>10814.328831314935</v>
      </c>
      <c r="K274" s="34" t="s">
        <v>877</v>
      </c>
      <c r="L274" s="34"/>
      <c r="M274" s="16"/>
      <c r="N274" s="16"/>
      <c r="O274" s="63">
        <v>13000</v>
      </c>
      <c r="P274" s="34" t="s">
        <v>882</v>
      </c>
      <c r="Q274" s="34"/>
      <c r="R274" s="34"/>
      <c r="S274" s="34"/>
      <c r="W274" s="16"/>
      <c r="X274" s="16" t="s">
        <v>900</v>
      </c>
      <c r="Y274" s="16"/>
    </row>
    <row r="275" spans="3:25" s="79" customFormat="1">
      <c r="C275" s="1601" t="s">
        <v>1293</v>
      </c>
      <c r="D275" s="1687" t="s">
        <v>1341</v>
      </c>
      <c r="E275" s="865"/>
      <c r="F275" s="1688"/>
      <c r="G275" s="6"/>
      <c r="H275" s="288"/>
      <c r="J275" s="63">
        <v>11000</v>
      </c>
      <c r="K275" s="34" t="s">
        <v>882</v>
      </c>
      <c r="L275" s="16"/>
      <c r="M275" s="16"/>
      <c r="N275" s="16"/>
      <c r="Y275" s="16"/>
    </row>
    <row r="276" spans="3:25" s="79" customFormat="1">
      <c r="C276" s="1601"/>
      <c r="D276" s="1670">
        <v>0.1</v>
      </c>
      <c r="E276" s="1683">
        <v>0.1</v>
      </c>
      <c r="F276" s="1671">
        <v>0.1</v>
      </c>
      <c r="G276" s="6" t="s">
        <v>1311</v>
      </c>
      <c r="H276" s="288"/>
      <c r="J276" s="63"/>
      <c r="K276" s="34"/>
      <c r="L276" s="16"/>
      <c r="M276" s="16"/>
      <c r="N276" s="16"/>
      <c r="Y276" s="16"/>
    </row>
    <row r="277" spans="3:25" s="79" customFormat="1">
      <c r="C277" s="9"/>
      <c r="D277" s="1672">
        <f>D276*D271</f>
        <v>700</v>
      </c>
      <c r="E277" s="1684">
        <f>E276*E271</f>
        <v>1100</v>
      </c>
      <c r="F277" s="1673">
        <f>F276*F271</f>
        <v>500</v>
      </c>
      <c r="G277" s="79" t="s">
        <v>1312</v>
      </c>
      <c r="H277" s="288"/>
      <c r="J277" s="63"/>
      <c r="K277" s="16"/>
      <c r="L277" s="16"/>
      <c r="M277" s="16"/>
      <c r="N277" s="34"/>
      <c r="O277" s="16"/>
      <c r="P277" s="16"/>
      <c r="Q277" s="16"/>
      <c r="R277" s="16"/>
      <c r="S277" s="16"/>
      <c r="T277" s="16"/>
    </row>
    <row r="278" spans="3:25" s="79" customFormat="1">
      <c r="C278" s="9"/>
      <c r="D278" s="1674">
        <v>0.2</v>
      </c>
      <c r="E278" s="1685">
        <v>0.2</v>
      </c>
      <c r="F278" s="1675">
        <v>0.2</v>
      </c>
      <c r="G278" s="1121" t="s">
        <v>1309</v>
      </c>
      <c r="H278" s="288"/>
      <c r="J278" s="63">
        <v>8500</v>
      </c>
      <c r="K278" s="16" t="s">
        <v>885</v>
      </c>
      <c r="L278" s="16"/>
      <c r="M278" s="16"/>
      <c r="N278" s="34"/>
      <c r="Y278" s="16"/>
    </row>
    <row r="279" spans="3:25" s="79" customFormat="1">
      <c r="D279" s="1676">
        <f>D273*D278</f>
        <v>5</v>
      </c>
      <c r="E279" s="1686">
        <f>E273*E278</f>
        <v>42.5</v>
      </c>
      <c r="F279" s="1677">
        <f>F273*F278</f>
        <v>15</v>
      </c>
      <c r="G279" s="1121" t="s">
        <v>1310</v>
      </c>
      <c r="J279" s="432">
        <f>J278/J260</f>
        <v>212.5</v>
      </c>
      <c r="K279" s="16" t="s">
        <v>888</v>
      </c>
      <c r="L279" s="16"/>
      <c r="M279" s="16"/>
      <c r="N279" s="34"/>
      <c r="Y279" s="16"/>
    </row>
    <row r="280" spans="3:25" s="79" customFormat="1">
      <c r="M280" s="16"/>
      <c r="N280" s="34"/>
      <c r="Y280" s="16"/>
    </row>
    <row r="281" spans="3:25" s="79" customFormat="1">
      <c r="M281" s="16"/>
      <c r="N281" s="34"/>
      <c r="Y281" s="16"/>
    </row>
    <row r="282" spans="3:25" s="79" customFormat="1">
      <c r="M282" s="16"/>
      <c r="N282" s="34"/>
      <c r="Y282" s="16"/>
    </row>
    <row r="283" spans="3:25" s="79" customFormat="1" ht="19">
      <c r="C283" t="s">
        <v>50</v>
      </c>
      <c r="D283" s="37" t="s">
        <v>81</v>
      </c>
      <c r="E283" s="24"/>
      <c r="F283" s="1"/>
      <c r="G283" s="1100"/>
      <c r="H283" s="286"/>
      <c r="I283" s="286"/>
      <c r="J283" s="289"/>
      <c r="K283" s="216"/>
    </row>
    <row r="284" spans="3:25" s="79" customFormat="1">
      <c r="C284"/>
      <c r="D284" s="24" t="s">
        <v>250</v>
      </c>
      <c r="E284" s="16"/>
      <c r="F284" s="1"/>
      <c r="G284" s="1100"/>
      <c r="J284" s="248"/>
      <c r="K284" s="248"/>
      <c r="L284" s="122"/>
    </row>
    <row r="285" spans="3:25" s="79" customFormat="1">
      <c r="C285"/>
      <c r="D285" s="160" t="s">
        <v>294</v>
      </c>
      <c r="E285" s="16"/>
      <c r="F285"/>
      <c r="G285" s="359"/>
      <c r="J285" s="248"/>
      <c r="K285" s="288"/>
      <c r="L285" s="122"/>
    </row>
    <row r="286" spans="3:25" s="79" customFormat="1">
      <c r="C286"/>
      <c r="D286" s="50"/>
      <c r="E286" s="16"/>
      <c r="F286"/>
      <c r="G286" s="359"/>
      <c r="J286" s="286"/>
      <c r="K286" s="286"/>
      <c r="L286" s="122"/>
    </row>
    <row r="287" spans="3:25" s="79" customFormat="1">
      <c r="C287"/>
      <c r="D287" s="51" t="s">
        <v>82</v>
      </c>
      <c r="E287" s="39"/>
      <c r="F287"/>
      <c r="G287" s="359"/>
      <c r="H287" s="212"/>
      <c r="I287" s="212"/>
      <c r="J287" s="216"/>
      <c r="K287" s="216"/>
    </row>
    <row r="288" spans="3:25" s="79" customFormat="1" ht="19">
      <c r="C288"/>
      <c r="D288" s="52">
        <f>'Overall Assumptions'!$C$68</f>
        <v>225</v>
      </c>
      <c r="E288" s="53" t="s">
        <v>99</v>
      </c>
      <c r="F288"/>
      <c r="G288" s="359"/>
      <c r="J288" s="65"/>
      <c r="K288" s="66"/>
    </row>
    <row r="289" spans="3:11" s="79" customFormat="1" ht="19">
      <c r="C289"/>
      <c r="D289" s="54">
        <f>D252</f>
        <v>40</v>
      </c>
      <c r="E289" s="355" t="s">
        <v>1321</v>
      </c>
      <c r="F289"/>
      <c r="G289" s="359"/>
      <c r="I289" s="65"/>
      <c r="K289" s="66"/>
    </row>
    <row r="290" spans="3:11" s="79" customFormat="1" ht="19">
      <c r="C290"/>
      <c r="D290" s="54"/>
      <c r="E290" s="355"/>
      <c r="F290"/>
      <c r="G290" s="359"/>
      <c r="H290" s="122"/>
      <c r="I290" s="978"/>
      <c r="K290" s="66"/>
    </row>
    <row r="291" spans="3:11" s="79" customFormat="1">
      <c r="C291"/>
      <c r="D291" s="354">
        <v>2</v>
      </c>
      <c r="E291" s="43" t="s">
        <v>291</v>
      </c>
      <c r="F291"/>
      <c r="G291" s="359"/>
      <c r="H291" s="122"/>
      <c r="I291" s="122"/>
      <c r="J291" s="65"/>
      <c r="K291" s="66"/>
    </row>
    <row r="292" spans="3:11" s="79" customFormat="1">
      <c r="C292"/>
      <c r="D292" s="506"/>
      <c r="E292" s="43" t="s">
        <v>1326</v>
      </c>
      <c r="F292"/>
      <c r="G292" s="359"/>
      <c r="H292" s="122"/>
      <c r="I292" s="122"/>
      <c r="J292" s="65"/>
      <c r="K292" s="66"/>
    </row>
    <row r="293" spans="3:11" s="79" customFormat="1">
      <c r="C293"/>
      <c r="D293" s="1603" t="s">
        <v>1897</v>
      </c>
      <c r="E293" s="43" t="s">
        <v>1313</v>
      </c>
      <c r="F293"/>
      <c r="G293" s="359"/>
      <c r="H293" s="122"/>
      <c r="I293" s="122"/>
      <c r="J293" s="65"/>
      <c r="K293" s="66"/>
    </row>
    <row r="294" spans="3:11" s="79" customFormat="1">
      <c r="C294"/>
      <c r="D294" s="295">
        <f>D267</f>
        <v>62.5</v>
      </c>
      <c r="E294" s="43" t="s">
        <v>1338</v>
      </c>
      <c r="F294"/>
      <c r="G294" s="359"/>
      <c r="H294" s="122"/>
      <c r="I294" s="122"/>
      <c r="J294" s="65"/>
      <c r="K294" s="66"/>
    </row>
    <row r="295" spans="3:11" s="79" customFormat="1">
      <c r="C295"/>
      <c r="D295" s="295">
        <f>D273</f>
        <v>25</v>
      </c>
      <c r="E295" s="43" t="s">
        <v>1339</v>
      </c>
      <c r="F295"/>
      <c r="G295" s="359"/>
      <c r="H295" s="122"/>
      <c r="I295" s="122"/>
      <c r="J295" s="65"/>
      <c r="K295" s="66"/>
    </row>
    <row r="296" spans="3:11" s="79" customFormat="1">
      <c r="C296"/>
      <c r="D296" s="506"/>
      <c r="E296" s="43"/>
      <c r="F296"/>
      <c r="G296" s="359"/>
      <c r="H296" s="122"/>
      <c r="I296" s="122"/>
      <c r="J296" s="65"/>
      <c r="K296" s="66"/>
    </row>
    <row r="297" spans="3:11" s="79" customFormat="1">
      <c r="C297"/>
      <c r="D297" s="295">
        <f>D279</f>
        <v>5</v>
      </c>
      <c r="E297" s="43" t="s">
        <v>1314</v>
      </c>
      <c r="F297"/>
      <c r="G297" s="359"/>
      <c r="H297" s="122"/>
      <c r="I297" s="122"/>
      <c r="J297" s="65"/>
      <c r="K297" s="66"/>
    </row>
    <row r="298" spans="3:11" s="79" customFormat="1">
      <c r="C298"/>
      <c r="D298" s="506"/>
      <c r="E298" s="43"/>
      <c r="F298"/>
      <c r="G298" s="359"/>
      <c r="H298" s="122"/>
      <c r="I298" s="122"/>
      <c r="J298" s="65"/>
      <c r="K298" s="66"/>
    </row>
    <row r="299" spans="3:11" s="79" customFormat="1">
      <c r="C299"/>
      <c r="D299" s="295">
        <f>D271</f>
        <v>7000</v>
      </c>
      <c r="E299" s="43" t="s">
        <v>1887</v>
      </c>
      <c r="F299"/>
      <c r="G299" s="359"/>
      <c r="H299" s="122"/>
      <c r="I299" s="122"/>
      <c r="J299" s="65"/>
      <c r="K299" s="66"/>
    </row>
    <row r="300" spans="3:11" s="79" customFormat="1">
      <c r="C300"/>
      <c r="D300" s="295">
        <f>D277</f>
        <v>700</v>
      </c>
      <c r="E300" s="43" t="s">
        <v>1888</v>
      </c>
      <c r="F300"/>
      <c r="G300" s="359"/>
      <c r="H300" s="122"/>
      <c r="I300" s="122"/>
      <c r="J300" s="65"/>
      <c r="K300" s="66"/>
    </row>
    <row r="301" spans="3:11" s="79" customFormat="1">
      <c r="C301"/>
      <c r="D301" s="506"/>
      <c r="E301" s="43"/>
      <c r="F301"/>
      <c r="G301" s="359"/>
      <c r="H301" s="122"/>
      <c r="I301" s="122"/>
      <c r="J301" s="65"/>
      <c r="K301" s="66"/>
    </row>
    <row r="302" spans="3:11" s="79" customFormat="1">
      <c r="C302"/>
      <c r="D302" s="54">
        <f>'Overall Assumptions'!$C$10</f>
        <v>0</v>
      </c>
      <c r="E302" s="43" t="s">
        <v>85</v>
      </c>
      <c r="F302"/>
      <c r="G302" s="359"/>
      <c r="I302" s="122"/>
      <c r="J302" s="65"/>
      <c r="K302" s="66"/>
    </row>
    <row r="303" spans="3:11" s="79" customFormat="1">
      <c r="C303"/>
      <c r="D303" s="54">
        <f>'Overall Assumptions'!$C$90</f>
        <v>80</v>
      </c>
      <c r="E303" s="43" t="s">
        <v>86</v>
      </c>
      <c r="F303"/>
      <c r="G303" s="359"/>
      <c r="J303" s="65"/>
      <c r="K303" s="66"/>
    </row>
    <row r="304" spans="3:11" s="79" customFormat="1">
      <c r="C304"/>
      <c r="D304" s="56">
        <f>'Overall Assumptions'!$C$81</f>
        <v>210</v>
      </c>
      <c r="E304" s="45" t="s">
        <v>87</v>
      </c>
      <c r="F304"/>
      <c r="G304" s="359"/>
      <c r="J304" s="65"/>
      <c r="K304" s="66"/>
    </row>
    <row r="305" spans="3:11" s="79" customFormat="1">
      <c r="C305"/>
      <c r="D305" s="57"/>
      <c r="E305" s="16"/>
      <c r="F305"/>
      <c r="G305" s="359"/>
      <c r="J305" s="65"/>
      <c r="K305" s="66"/>
    </row>
    <row r="306" spans="3:11" s="79" customFormat="1">
      <c r="C306"/>
      <c r="D306" s="57"/>
      <c r="E306" s="16"/>
      <c r="F306"/>
      <c r="G306" s="359"/>
      <c r="J306" s="65"/>
      <c r="K306" s="66"/>
    </row>
    <row r="307" spans="3:11" s="79" customFormat="1">
      <c r="C307"/>
      <c r="D307" s="57" t="s">
        <v>1322</v>
      </c>
      <c r="E307" s="124" t="s">
        <v>901</v>
      </c>
      <c r="F307"/>
      <c r="G307" s="359"/>
      <c r="J307" s="65"/>
      <c r="K307" s="66"/>
    </row>
    <row r="308" spans="3:11" s="79" customFormat="1">
      <c r="C308" s="21"/>
      <c r="D308" s="296">
        <f>2*D302/D303/7.5</f>
        <v>0</v>
      </c>
      <c r="E308" s="79">
        <f>2*D302/D303/7.5</f>
        <v>0</v>
      </c>
      <c r="F308" s="59" t="s">
        <v>95</v>
      </c>
      <c r="G308"/>
      <c r="J308" s="129"/>
      <c r="K308" s="76"/>
    </row>
    <row r="309" spans="3:11" s="79" customFormat="1">
      <c r="C309" s="21"/>
      <c r="D309" s="296"/>
      <c r="F309" s="60" t="s">
        <v>100</v>
      </c>
      <c r="G309"/>
      <c r="J309" s="65"/>
      <c r="K309" s="66"/>
    </row>
    <row r="310" spans="3:11" s="79" customFormat="1">
      <c r="C310" s="21"/>
      <c r="D310" s="296">
        <f>SUM(D294:D295)*D289/7.5</f>
        <v>466.66666666666669</v>
      </c>
      <c r="E310" s="79">
        <f>D297*D289/7.5</f>
        <v>26.666666666666668</v>
      </c>
      <c r="F310" s="124" t="s">
        <v>1323</v>
      </c>
      <c r="G310"/>
    </row>
    <row r="311" spans="3:11" s="79" customFormat="1">
      <c r="C311" s="21"/>
      <c r="D311" s="297"/>
      <c r="F311" s="59"/>
    </row>
    <row r="312" spans="3:11" s="79" customFormat="1" ht="28">
      <c r="C312" s="21"/>
      <c r="D312" s="296">
        <f>D314/$D291</f>
        <v>233.33333333333334</v>
      </c>
      <c r="E312" s="296">
        <f>E314/$D291</f>
        <v>13.333333333333334</v>
      </c>
      <c r="F312" s="16" t="s">
        <v>1327</v>
      </c>
      <c r="G312" s="19"/>
    </row>
    <row r="313" spans="3:11" s="122" customFormat="1">
      <c r="C313" s="9"/>
      <c r="D313" s="105"/>
      <c r="E313" s="105"/>
      <c r="F313" s="34"/>
      <c r="G313" s="9"/>
    </row>
    <row r="314" spans="3:11" s="79" customFormat="1">
      <c r="C314"/>
      <c r="D314" s="77">
        <f>D308+D310</f>
        <v>466.66666666666669</v>
      </c>
      <c r="E314" s="77">
        <f>E308+E310</f>
        <v>26.666666666666668</v>
      </c>
      <c r="F314" s="16" t="s">
        <v>133</v>
      </c>
      <c r="G314"/>
    </row>
    <row r="315" spans="3:11" s="79" customFormat="1">
      <c r="C315"/>
      <c r="D315" s="77"/>
      <c r="F315" s="16"/>
      <c r="G315"/>
    </row>
    <row r="316" spans="3:11" s="79" customFormat="1">
      <c r="C316" s="21"/>
      <c r="D316" s="64">
        <f>D314*$D288</f>
        <v>105000</v>
      </c>
      <c r="E316" s="64">
        <f>E314*$D288</f>
        <v>6000</v>
      </c>
      <c r="F316" s="39" t="s">
        <v>486</v>
      </c>
      <c r="G316"/>
      <c r="H316" s="276"/>
      <c r="I316" s="276"/>
    </row>
    <row r="317" spans="3:11" s="79" customFormat="1">
      <c r="C317" s="21"/>
      <c r="G317" s="1119"/>
      <c r="H317" s="119"/>
      <c r="I317" s="119"/>
    </row>
    <row r="318" spans="3:11" s="79" customFormat="1">
      <c r="C318" s="21"/>
      <c r="G318" s="1119"/>
      <c r="H318" s="119"/>
      <c r="I318" s="119"/>
    </row>
    <row r="319" spans="3:11" s="79" customFormat="1" ht="19">
      <c r="C319" s="2" t="s">
        <v>132</v>
      </c>
      <c r="D319" s="37" t="s">
        <v>89</v>
      </c>
      <c r="E319" s="16"/>
      <c r="F319"/>
      <c r="G319" s="359"/>
      <c r="H319"/>
      <c r="I319"/>
    </row>
    <row r="320" spans="3:11" s="79" customFormat="1">
      <c r="C320" t="s">
        <v>54</v>
      </c>
      <c r="D320" s="160" t="s">
        <v>296</v>
      </c>
      <c r="E320" s="16"/>
      <c r="F320"/>
      <c r="G320" s="359"/>
      <c r="H320"/>
      <c r="I320"/>
    </row>
    <row r="321" spans="3:9" s="79" customFormat="1">
      <c r="C321"/>
      <c r="D321" s="160"/>
      <c r="E321" s="16"/>
      <c r="F321"/>
      <c r="G321" s="359"/>
      <c r="H321"/>
      <c r="I321"/>
    </row>
    <row r="322" spans="3:9" s="79" customFormat="1">
      <c r="C322"/>
      <c r="D322" s="16"/>
      <c r="E322" s="16"/>
      <c r="F322"/>
      <c r="G322" s="359"/>
      <c r="H322"/>
      <c r="I322"/>
    </row>
    <row r="323" spans="3:9" s="79" customFormat="1">
      <c r="C323"/>
      <c r="D323" s="67" t="s">
        <v>91</v>
      </c>
      <c r="E323" s="41"/>
      <c r="F323"/>
      <c r="G323" s="359"/>
      <c r="H323"/>
      <c r="I323"/>
    </row>
    <row r="324" spans="3:9" s="79" customFormat="1">
      <c r="C324"/>
      <c r="D324" s="52">
        <f>'Overall Assumptions'!$C$93</f>
        <v>285</v>
      </c>
      <c r="E324" s="41" t="s">
        <v>93</v>
      </c>
      <c r="F324"/>
      <c r="G324" s="359"/>
      <c r="H324"/>
      <c r="I324"/>
    </row>
    <row r="325" spans="3:9" s="79" customFormat="1">
      <c r="C325"/>
      <c r="D325" s="54"/>
      <c r="E325" s="43"/>
      <c r="F325"/>
      <c r="G325" s="359"/>
      <c r="H325"/>
      <c r="I325"/>
    </row>
    <row r="326" spans="3:9" s="79" customFormat="1">
      <c r="C326"/>
      <c r="D326" s="54"/>
      <c r="E326" s="43"/>
      <c r="F326"/>
      <c r="G326" s="359"/>
      <c r="H326"/>
      <c r="I326"/>
    </row>
    <row r="327" spans="3:9" s="79" customFormat="1">
      <c r="C327"/>
      <c r="D327" s="56"/>
      <c r="E327" s="45"/>
      <c r="F327"/>
      <c r="G327" s="359"/>
      <c r="H327"/>
      <c r="I327"/>
    </row>
    <row r="328" spans="3:9" s="79" customFormat="1">
      <c r="C328"/>
      <c r="D328" s="57" t="s">
        <v>1322</v>
      </c>
      <c r="E328" s="124" t="s">
        <v>901</v>
      </c>
      <c r="F328"/>
      <c r="G328" s="359"/>
      <c r="H328"/>
      <c r="I328"/>
    </row>
    <row r="329" spans="3:9" s="79" customFormat="1">
      <c r="C329"/>
      <c r="D329" s="46">
        <f>D308</f>
        <v>0</v>
      </c>
      <c r="E329" s="46">
        <f>E308</f>
        <v>0</v>
      </c>
      <c r="F329" s="59" t="s">
        <v>97</v>
      </c>
      <c r="G329" s="359"/>
      <c r="H329"/>
      <c r="I329"/>
    </row>
    <row r="330" spans="3:9" s="79" customFormat="1">
      <c r="C330"/>
      <c r="D330" s="46">
        <f>D312</f>
        <v>233.33333333333334</v>
      </c>
      <c r="E330" s="46">
        <f>E312</f>
        <v>13.333333333333334</v>
      </c>
      <c r="F330" s="59" t="s">
        <v>98</v>
      </c>
      <c r="G330" s="359"/>
      <c r="H330"/>
      <c r="I330"/>
    </row>
    <row r="331" spans="3:9" s="79" customFormat="1">
      <c r="C331"/>
      <c r="D331" s="46"/>
      <c r="E331" s="46"/>
      <c r="F331" s="59"/>
      <c r="G331" s="359"/>
      <c r="H331"/>
      <c r="I331"/>
    </row>
    <row r="332" spans="3:9" s="79" customFormat="1">
      <c r="C332"/>
      <c r="D332" s="46">
        <f>SUM(D329:D331)</f>
        <v>233.33333333333334</v>
      </c>
      <c r="E332" s="46">
        <f>SUM(E329:E331)</f>
        <v>13.333333333333334</v>
      </c>
      <c r="F332" s="59" t="s">
        <v>983</v>
      </c>
      <c r="G332" s="359"/>
      <c r="H332"/>
      <c r="I332"/>
    </row>
    <row r="333" spans="3:9" s="79" customFormat="1">
      <c r="C333"/>
      <c r="D333" s="63"/>
      <c r="F333" s="16"/>
      <c r="G333" s="359"/>
      <c r="H333"/>
      <c r="I333"/>
    </row>
    <row r="334" spans="3:9" s="79" customFormat="1">
      <c r="C334"/>
      <c r="D334" s="63"/>
      <c r="F334" s="16"/>
      <c r="G334" s="359"/>
      <c r="H334"/>
      <c r="I334"/>
    </row>
    <row r="335" spans="3:9" s="79" customFormat="1">
      <c r="C335"/>
      <c r="D335" s="68">
        <f>D332*$D324</f>
        <v>66500</v>
      </c>
      <c r="E335" s="68">
        <f>E332*$D324</f>
        <v>3800</v>
      </c>
      <c r="F335" s="47" t="s">
        <v>53</v>
      </c>
      <c r="G335" s="359"/>
      <c r="H335"/>
      <c r="I335"/>
    </row>
    <row r="336" spans="3:9" s="79" customFormat="1">
      <c r="G336" s="1119"/>
    </row>
    <row r="337" spans="3:25" s="79" customFormat="1">
      <c r="D337">
        <f>ROUNDUP(D338/21,0)</f>
        <v>12</v>
      </c>
      <c r="E337">
        <f>ROUNDUP(E338/21,0)</f>
        <v>1</v>
      </c>
      <c r="F337" s="359" t="s">
        <v>739</v>
      </c>
    </row>
    <row r="338" spans="3:25" s="79" customFormat="1">
      <c r="D338" s="532">
        <f>D332</f>
        <v>233.33333333333334</v>
      </c>
      <c r="E338" s="532">
        <f>E332</f>
        <v>13.333333333333334</v>
      </c>
      <c r="F338" s="359" t="s">
        <v>793</v>
      </c>
    </row>
    <row r="339" spans="3:25" s="79" customFormat="1">
      <c r="G339" s="1119"/>
    </row>
    <row r="340" spans="3:25" s="79" customFormat="1">
      <c r="C340" s="225" t="s">
        <v>70</v>
      </c>
      <c r="D340" s="230"/>
      <c r="E340" s="224" t="s">
        <v>156</v>
      </c>
      <c r="F340" s="212"/>
      <c r="G340" s="1108"/>
      <c r="H340" s="212"/>
      <c r="I340" s="119"/>
    </row>
    <row r="341" spans="3:25" s="79" customFormat="1">
      <c r="C341" s="212"/>
      <c r="D341" s="230"/>
      <c r="E341" s="224"/>
      <c r="F341" s="212"/>
      <c r="G341" s="1108"/>
      <c r="H341" s="212"/>
      <c r="I341" s="119"/>
    </row>
    <row r="342" spans="3:25" s="79" customFormat="1">
      <c r="C342" s="212"/>
      <c r="D342" s="57" t="s">
        <v>1322</v>
      </c>
      <c r="E342" s="124" t="s">
        <v>901</v>
      </c>
      <c r="F342" s="212"/>
      <c r="G342" s="1108"/>
      <c r="H342" s="212"/>
      <c r="I342" s="119"/>
    </row>
    <row r="343" spans="3:25" s="79" customFormat="1">
      <c r="C343" s="212"/>
      <c r="D343" s="222">
        <f>D312</f>
        <v>233.33333333333334</v>
      </c>
      <c r="E343" s="222">
        <f>E312</f>
        <v>13.333333333333334</v>
      </c>
      <c r="F343" s="213" t="s">
        <v>157</v>
      </c>
      <c r="G343" s="1108"/>
      <c r="H343" s="212"/>
      <c r="I343" s="119"/>
    </row>
    <row r="344" spans="3:25" s="79" customFormat="1">
      <c r="C344" s="212"/>
      <c r="D344" s="229">
        <f>FLOOR(D343,1)</f>
        <v>233</v>
      </c>
      <c r="E344" s="229">
        <f>FLOOR(E343,1)</f>
        <v>13</v>
      </c>
      <c r="F344" s="213" t="s">
        <v>73</v>
      </c>
      <c r="G344" s="1108"/>
      <c r="H344" s="212"/>
      <c r="I344" s="119"/>
    </row>
    <row r="345" spans="3:25" s="79" customFormat="1">
      <c r="C345" s="212"/>
      <c r="D345" s="228">
        <f>D344*$D291</f>
        <v>466</v>
      </c>
      <c r="E345" s="228">
        <f>E344*$D291</f>
        <v>26</v>
      </c>
      <c r="F345" s="214" t="s">
        <v>175</v>
      </c>
      <c r="G345" s="1108"/>
      <c r="H345" s="212"/>
      <c r="I345" s="119"/>
    </row>
    <row r="346" spans="3:25" s="79" customFormat="1">
      <c r="C346" s="212"/>
      <c r="D346" s="227"/>
      <c r="F346" s="214" t="s">
        <v>88</v>
      </c>
      <c r="G346" s="1108"/>
      <c r="H346" s="212"/>
    </row>
    <row r="347" spans="3:25" s="79" customFormat="1">
      <c r="C347" s="212"/>
      <c r="D347" s="226">
        <f>D345*$D304</f>
        <v>97860</v>
      </c>
      <c r="E347" s="226">
        <f>E345*$D304</f>
        <v>5460</v>
      </c>
      <c r="F347" s="221" t="s">
        <v>74</v>
      </c>
      <c r="G347" s="1108"/>
      <c r="H347" s="212"/>
      <c r="J347" s="276"/>
      <c r="K347" s="276"/>
      <c r="L347" s="276"/>
      <c r="M347" s="276"/>
    </row>
    <row r="348" spans="3:25" s="79" customFormat="1">
      <c r="D348" s="282"/>
      <c r="E348" s="76"/>
      <c r="G348" s="1119"/>
      <c r="J348" s="122"/>
      <c r="K348" s="136"/>
      <c r="L348" s="119"/>
      <c r="M348" s="119"/>
    </row>
    <row r="349" spans="3:25" s="79" customFormat="1">
      <c r="C349" s="79" t="s">
        <v>4</v>
      </c>
      <c r="D349" s="57" t="s">
        <v>1322</v>
      </c>
      <c r="E349" s="124" t="s">
        <v>901</v>
      </c>
      <c r="M349" s="16"/>
      <c r="N349" s="34"/>
      <c r="Y349" s="16"/>
    </row>
    <row r="350" spans="3:25" s="79" customFormat="1">
      <c r="D350" s="79">
        <f>$D252</f>
        <v>40</v>
      </c>
      <c r="E350" s="79">
        <f>$D252</f>
        <v>40</v>
      </c>
      <c r="F350" s="79" t="s">
        <v>1324</v>
      </c>
      <c r="M350" s="16"/>
      <c r="N350" s="34"/>
      <c r="Y350" s="16"/>
    </row>
    <row r="351" spans="3:25" s="79" customFormat="1">
      <c r="D351" s="129">
        <f>D299</f>
        <v>7000</v>
      </c>
      <c r="E351" s="129">
        <f>D300</f>
        <v>700</v>
      </c>
      <c r="F351" s="79" t="s">
        <v>1325</v>
      </c>
      <c r="M351" s="16"/>
      <c r="N351" s="34"/>
      <c r="Y351" s="16"/>
    </row>
    <row r="352" spans="3:25" s="79" customFormat="1">
      <c r="D352" s="1606">
        <f>D350*D351</f>
        <v>280000</v>
      </c>
      <c r="E352" s="1597">
        <f>E350*E351</f>
        <v>28000</v>
      </c>
      <c r="F352" s="274" t="s">
        <v>1330</v>
      </c>
      <c r="M352" s="16"/>
      <c r="N352" s="34"/>
      <c r="Y352" s="16"/>
    </row>
    <row r="353" spans="3:25" s="79" customFormat="1">
      <c r="M353" s="16"/>
      <c r="N353" s="34"/>
      <c r="Y353" s="16"/>
    </row>
    <row r="354" spans="3:25" s="79" customFormat="1">
      <c r="M354" s="16"/>
      <c r="N354" s="34"/>
      <c r="Y354" s="16"/>
    </row>
    <row r="355" spans="3:25" s="79" customFormat="1">
      <c r="C355" s="79" t="s">
        <v>21</v>
      </c>
      <c r="D355" s="781">
        <v>10000</v>
      </c>
      <c r="E355" s="401"/>
      <c r="F355" s="118" t="s">
        <v>1336</v>
      </c>
      <c r="M355" s="16"/>
      <c r="N355" s="34"/>
      <c r="Y355" s="16"/>
    </row>
    <row r="356" spans="3:25" s="79" customFormat="1">
      <c r="D356" s="1740">
        <v>10</v>
      </c>
      <c r="E356" s="284"/>
      <c r="F356" s="78" t="s">
        <v>1356</v>
      </c>
      <c r="G356" s="1119"/>
      <c r="J356" s="122"/>
      <c r="K356" s="136"/>
      <c r="L356" s="119"/>
      <c r="M356" s="119"/>
    </row>
    <row r="357" spans="3:25" s="79" customFormat="1">
      <c r="D357" s="283"/>
      <c r="E357" s="76"/>
      <c r="G357" s="1119" t="s">
        <v>1328</v>
      </c>
      <c r="I357" s="79" t="s">
        <v>1329</v>
      </c>
      <c r="J357" s="122"/>
      <c r="K357" s="136"/>
      <c r="L357" s="119"/>
      <c r="M357" s="119"/>
    </row>
    <row r="358" spans="3:25" s="79" customFormat="1">
      <c r="D358" s="143" t="s">
        <v>172</v>
      </c>
      <c r="E358" s="144" t="s">
        <v>155</v>
      </c>
      <c r="F358" s="144" t="s">
        <v>174</v>
      </c>
      <c r="G358" s="1622" t="s">
        <v>1333</v>
      </c>
      <c r="H358" s="144" t="s">
        <v>69</v>
      </c>
      <c r="I358" s="144" t="s">
        <v>391</v>
      </c>
      <c r="J358" s="144" t="s">
        <v>1202</v>
      </c>
      <c r="K358" s="144" t="s">
        <v>69</v>
      </c>
      <c r="L358" s="619" t="s">
        <v>391</v>
      </c>
    </row>
    <row r="359" spans="3:25" s="79" customFormat="1">
      <c r="D359" s="135" t="s">
        <v>3</v>
      </c>
      <c r="E359" s="136"/>
      <c r="F359" s="122"/>
      <c r="G359" s="1623">
        <f>D316</f>
        <v>105000</v>
      </c>
      <c r="H359" s="119" t="s">
        <v>486</v>
      </c>
      <c r="I359" s="79">
        <f>D260</f>
        <v>20</v>
      </c>
      <c r="J359" s="1092">
        <f>E316</f>
        <v>6000</v>
      </c>
      <c r="K359" s="119" t="s">
        <v>486</v>
      </c>
      <c r="L359" s="1624">
        <f>D261</f>
        <v>1</v>
      </c>
    </row>
    <row r="360" spans="3:25" s="79" customFormat="1">
      <c r="D360" s="135" t="s">
        <v>132</v>
      </c>
      <c r="E360" s="136"/>
      <c r="F360" s="141"/>
      <c r="G360" s="1623">
        <f>D335</f>
        <v>66500</v>
      </c>
      <c r="H360" s="119" t="s">
        <v>53</v>
      </c>
      <c r="I360" s="79">
        <f>I359</f>
        <v>20</v>
      </c>
      <c r="J360" s="1092">
        <f>E335</f>
        <v>3800</v>
      </c>
      <c r="K360" s="119" t="s">
        <v>53</v>
      </c>
      <c r="L360" s="1624">
        <f>L359</f>
        <v>1</v>
      </c>
    </row>
    <row r="361" spans="3:25" s="79" customFormat="1">
      <c r="D361" s="135" t="s">
        <v>1331</v>
      </c>
      <c r="E361" s="136"/>
      <c r="F361" s="141"/>
      <c r="G361" s="1623">
        <f>SUM(G365:G366)</f>
        <v>377860</v>
      </c>
      <c r="H361" s="119" t="s">
        <v>1334</v>
      </c>
      <c r="I361" s="79">
        <f>I360</f>
        <v>20</v>
      </c>
      <c r="J361" s="1092">
        <f>SUM(J365:J366)</f>
        <v>33460</v>
      </c>
      <c r="K361" s="119" t="s">
        <v>1334</v>
      </c>
      <c r="L361" s="1624">
        <f>L360</f>
        <v>1</v>
      </c>
    </row>
    <row r="362" spans="3:25" s="79" customFormat="1">
      <c r="D362" s="135" t="s">
        <v>21</v>
      </c>
      <c r="E362" s="136"/>
      <c r="F362" s="141"/>
      <c r="G362" s="1623">
        <f>D355</f>
        <v>10000</v>
      </c>
      <c r="H362" s="119" t="s">
        <v>21</v>
      </c>
      <c r="I362" s="336">
        <f>D356</f>
        <v>10</v>
      </c>
      <c r="J362" s="1092" t="s">
        <v>1197</v>
      </c>
      <c r="K362" s="119" t="s">
        <v>21</v>
      </c>
      <c r="L362" s="1624"/>
    </row>
    <row r="363" spans="3:25" s="79" customFormat="1">
      <c r="D363" s="117"/>
      <c r="E363" s="185"/>
      <c r="F363" s="186"/>
      <c r="G363" s="1628">
        <f>SUM(G359:G361)</f>
        <v>549360</v>
      </c>
      <c r="H363" s="1629" t="s">
        <v>165</v>
      </c>
      <c r="I363" s="401"/>
      <c r="J363" s="1620">
        <f>SUM(J359:J361)</f>
        <v>43260</v>
      </c>
      <c r="K363" s="401"/>
      <c r="L363" s="1621" t="s">
        <v>165</v>
      </c>
    </row>
    <row r="364" spans="3:25" s="79" customFormat="1">
      <c r="D364" s="107"/>
      <c r="E364" s="2556"/>
      <c r="F364" s="320"/>
      <c r="G364" s="1623"/>
      <c r="H364" s="119"/>
      <c r="J364" s="1092"/>
      <c r="L364" s="358"/>
    </row>
    <row r="365" spans="3:25" s="79" customFormat="1">
      <c r="D365" s="1611" t="s">
        <v>169</v>
      </c>
      <c r="E365" s="1612"/>
      <c r="F365" s="1613"/>
      <c r="G365" s="1625">
        <f>D347</f>
        <v>97860</v>
      </c>
      <c r="H365" s="1609" t="s">
        <v>74</v>
      </c>
      <c r="I365" s="1209"/>
      <c r="J365" s="1607">
        <f>E347</f>
        <v>5460</v>
      </c>
      <c r="K365" s="1608"/>
      <c r="L365" s="1610" t="s">
        <v>74</v>
      </c>
    </row>
    <row r="366" spans="3:25" s="79" customFormat="1">
      <c r="D366" s="1614" t="s">
        <v>1332</v>
      </c>
      <c r="E366" s="1615"/>
      <c r="F366" s="1616"/>
      <c r="G366" s="1626">
        <f>D352</f>
        <v>280000</v>
      </c>
      <c r="H366" s="1627" t="s">
        <v>1335</v>
      </c>
      <c r="I366" s="812"/>
      <c r="J366" s="1617">
        <f>E352</f>
        <v>28000</v>
      </c>
      <c r="K366" s="1618"/>
      <c r="L366" s="1619" t="s">
        <v>1335</v>
      </c>
    </row>
    <row r="367" spans="3:25" s="79" customFormat="1">
      <c r="D367" s="122"/>
      <c r="E367" s="147"/>
      <c r="F367" s="122"/>
      <c r="G367" s="1092"/>
      <c r="H367" s="119"/>
    </row>
    <row r="368" spans="3:25" s="351" customFormat="1">
      <c r="D368" s="352"/>
      <c r="E368" s="353"/>
      <c r="G368" s="1122"/>
    </row>
    <row r="369" spans="3:12" s="7" customFormat="1">
      <c r="D369" s="69"/>
      <c r="E369" s="36"/>
      <c r="G369" s="1089"/>
    </row>
    <row r="370" spans="3:12" s="7" customFormat="1">
      <c r="D370" s="977"/>
      <c r="E370" s="35"/>
      <c r="G370" s="1089"/>
    </row>
    <row r="371" spans="3:12" s="79" customFormat="1">
      <c r="D371" s="279"/>
      <c r="E371" s="76"/>
    </row>
    <row r="372" spans="3:12" s="79" customFormat="1">
      <c r="C372" s="233" t="s">
        <v>226</v>
      </c>
      <c r="D372" s="232" t="s">
        <v>2315</v>
      </c>
      <c r="E372" s="76"/>
      <c r="G372" s="76"/>
      <c r="H372" s="92"/>
      <c r="I372" s="76"/>
      <c r="J372" s="65"/>
      <c r="L372" s="491"/>
    </row>
    <row r="373" spans="3:12" s="79" customFormat="1">
      <c r="D373" s="489"/>
      <c r="E373" s="66"/>
      <c r="G373" s="76"/>
      <c r="H373" s="76"/>
      <c r="I373" s="76"/>
      <c r="J373" s="65"/>
      <c r="L373" s="496"/>
    </row>
    <row r="374" spans="3:12" s="79" customFormat="1">
      <c r="D374" s="76"/>
      <c r="E374" s="66"/>
      <c r="L374" s="496"/>
    </row>
    <row r="375" spans="3:12" s="79" customFormat="1">
      <c r="C375" s="1" t="s">
        <v>4</v>
      </c>
      <c r="D375" s="23" t="s">
        <v>128</v>
      </c>
      <c r="E375" s="34"/>
      <c r="F375" s="9"/>
      <c r="H375" s="494"/>
      <c r="I375" s="495" t="s">
        <v>221</v>
      </c>
      <c r="J375" s="494"/>
      <c r="L375" s="497"/>
    </row>
    <row r="376" spans="3:12" s="79" customFormat="1">
      <c r="C376" s="9"/>
      <c r="D376" s="293">
        <v>5</v>
      </c>
      <c r="E376" s="124" t="s">
        <v>510</v>
      </c>
      <c r="F376" s="147"/>
      <c r="H376" s="498">
        <v>2000</v>
      </c>
      <c r="I376" s="499" t="s">
        <v>220</v>
      </c>
      <c r="J376" s="500"/>
    </row>
    <row r="377" spans="3:12" s="79" customFormat="1">
      <c r="C377" s="9"/>
      <c r="D377" s="293">
        <v>5</v>
      </c>
      <c r="E377" s="124" t="s">
        <v>1992</v>
      </c>
      <c r="F377" s="147"/>
      <c r="H377" s="501">
        <v>2000</v>
      </c>
      <c r="I377" s="499" t="s">
        <v>1994</v>
      </c>
      <c r="J377" s="500"/>
    </row>
    <row r="378" spans="3:12" s="79" customFormat="1">
      <c r="C378" s="9"/>
      <c r="D378" s="292"/>
      <c r="E378" s="124"/>
      <c r="F378" s="147"/>
      <c r="G378" s="492"/>
      <c r="H378" s="502"/>
      <c r="I378" s="503"/>
      <c r="J378" s="503"/>
    </row>
    <row r="379" spans="3:12" s="79" customFormat="1">
      <c r="C379" s="9"/>
      <c r="D379" s="505">
        <v>0.5</v>
      </c>
      <c r="E379" s="124" t="s">
        <v>248</v>
      </c>
      <c r="F379" s="147"/>
      <c r="G379" s="492"/>
      <c r="H379" s="492"/>
      <c r="I379" s="492"/>
      <c r="J379" s="493"/>
      <c r="K379" s="213"/>
    </row>
    <row r="380" spans="3:12" s="79" customFormat="1">
      <c r="C380" s="9"/>
      <c r="D380" s="505">
        <v>2</v>
      </c>
      <c r="E380" s="124" t="s">
        <v>1993</v>
      </c>
      <c r="F380" s="147"/>
      <c r="G380" s="492"/>
      <c r="H380" s="492"/>
      <c r="I380" s="492"/>
      <c r="J380" s="493"/>
      <c r="K380" s="213"/>
    </row>
    <row r="381" spans="3:12" s="79" customFormat="1">
      <c r="C381" s="9"/>
      <c r="D381" s="505"/>
      <c r="E381" s="124"/>
      <c r="F381" s="147"/>
      <c r="G381" s="492"/>
      <c r="H381" s="492"/>
      <c r="I381" s="492"/>
      <c r="J381" s="493"/>
      <c r="K381" s="213"/>
    </row>
    <row r="382" spans="3:12" s="79" customFormat="1">
      <c r="C382"/>
      <c r="D382" s="504">
        <f>H376</f>
        <v>2000</v>
      </c>
      <c r="E382" s="124" t="s">
        <v>129</v>
      </c>
      <c r="F382" s="147"/>
      <c r="G382" s="490"/>
    </row>
    <row r="383" spans="3:12" s="79" customFormat="1">
      <c r="C383" s="9"/>
      <c r="D383" s="504">
        <f>H377</f>
        <v>2000</v>
      </c>
      <c r="E383" s="124" t="s">
        <v>129</v>
      </c>
      <c r="F383" s="147"/>
      <c r="G383" s="212"/>
    </row>
    <row r="384" spans="3:12" s="79" customFormat="1">
      <c r="C384" s="9"/>
      <c r="D384" s="504"/>
      <c r="E384" s="124"/>
      <c r="F384" s="147"/>
      <c r="G384" s="288"/>
    </row>
    <row r="385" spans="3:12" s="79" customFormat="1">
      <c r="C385" s="9"/>
      <c r="G385" s="288"/>
    </row>
    <row r="386" spans="3:12" s="79" customFormat="1">
      <c r="C386" s="9"/>
      <c r="D386" s="79">
        <f>'Overall Assumptions'!$C$6</f>
        <v>100</v>
      </c>
      <c r="E386" s="122" t="s">
        <v>451</v>
      </c>
      <c r="F386" s="213"/>
      <c r="G386" s="213"/>
    </row>
    <row r="387" spans="3:12" s="79" customFormat="1">
      <c r="C387" s="9"/>
      <c r="D387" s="294">
        <f>ROUNDUP(D376/100*$D$386,0)</f>
        <v>5</v>
      </c>
      <c r="E387" s="16" t="s">
        <v>310</v>
      </c>
      <c r="F387" s="147"/>
      <c r="G387" s="216"/>
    </row>
    <row r="388" spans="3:12" s="79" customFormat="1">
      <c r="C388" s="9"/>
      <c r="D388" s="294">
        <f>ROUNDUP(D377/100*$D$386,0)</f>
        <v>5</v>
      </c>
      <c r="E388" s="16" t="s">
        <v>310</v>
      </c>
      <c r="F388" s="147"/>
      <c r="G388" s="216"/>
      <c r="H388" s="288"/>
      <c r="I388" s="288"/>
      <c r="J388" s="289"/>
      <c r="K388" s="216"/>
    </row>
    <row r="389" spans="3:12" s="79" customFormat="1">
      <c r="C389" s="9"/>
      <c r="D389" s="294"/>
      <c r="E389" s="16"/>
      <c r="F389" s="147"/>
      <c r="G389" s="216"/>
      <c r="H389" s="288"/>
      <c r="I389" s="288"/>
      <c r="J389" s="289"/>
      <c r="K389" s="216"/>
    </row>
    <row r="390" spans="3:12" s="79" customFormat="1">
      <c r="C390" s="9"/>
      <c r="F390" s="147"/>
      <c r="G390" s="216"/>
      <c r="H390" s="288"/>
      <c r="I390" s="288"/>
      <c r="J390" s="289"/>
      <c r="K390" s="216"/>
    </row>
    <row r="391" spans="3:12" s="79" customFormat="1">
      <c r="C391" s="9"/>
      <c r="D391" s="288"/>
      <c r="E391" s="288"/>
      <c r="F391" s="289"/>
      <c r="G391" s="216"/>
      <c r="H391" s="288"/>
      <c r="I391" s="288"/>
      <c r="J391" s="289"/>
      <c r="K391" s="216"/>
    </row>
    <row r="392" spans="3:12" s="79" customFormat="1">
      <c r="C392" s="9"/>
      <c r="G392" s="288"/>
      <c r="H392" s="288"/>
      <c r="I392" s="288"/>
      <c r="J392" s="289"/>
      <c r="K392" s="216"/>
    </row>
    <row r="393" spans="3:12" s="79" customFormat="1">
      <c r="C393" s="9"/>
      <c r="D393" s="74">
        <f>SUMPRODUCT(D387:D389,D382:D384)</f>
        <v>20000</v>
      </c>
      <c r="E393" s="39" t="s">
        <v>67</v>
      </c>
      <c r="F393"/>
      <c r="G393" s="288"/>
      <c r="H393" s="288"/>
      <c r="I393" s="288"/>
      <c r="J393" s="289"/>
      <c r="K393" s="216"/>
    </row>
    <row r="394" spans="3:12" s="79" customFormat="1">
      <c r="C394" s="9"/>
      <c r="D394" s="339">
        <v>10</v>
      </c>
      <c r="E394" s="218" t="s">
        <v>261</v>
      </c>
      <c r="G394" s="288"/>
      <c r="H394" s="288"/>
      <c r="I394" s="288"/>
      <c r="J394" s="289"/>
      <c r="K394" s="216"/>
    </row>
    <row r="395" spans="3:12" s="79" customFormat="1">
      <c r="C395" s="9"/>
      <c r="D395" s="290"/>
      <c r="E395" s="124"/>
      <c r="F395" s="147"/>
      <c r="G395" s="288"/>
      <c r="H395" s="288"/>
      <c r="I395" s="288"/>
      <c r="J395" s="289"/>
      <c r="K395" s="216"/>
    </row>
    <row r="396" spans="3:12" s="79" customFormat="1" ht="19">
      <c r="C396" t="s">
        <v>50</v>
      </c>
      <c r="D396" s="37" t="s">
        <v>81</v>
      </c>
      <c r="E396" s="24"/>
      <c r="F396" s="1"/>
      <c r="G396" s="3"/>
      <c r="H396" s="286"/>
      <c r="I396" s="286"/>
      <c r="J396" s="289"/>
      <c r="K396" s="216"/>
    </row>
    <row r="397" spans="3:12" s="79" customFormat="1">
      <c r="C397"/>
      <c r="D397" s="24" t="s">
        <v>519</v>
      </c>
      <c r="E397" s="16"/>
      <c r="F397" s="1"/>
      <c r="G397" s="3"/>
      <c r="J397" s="248"/>
      <c r="K397" s="248"/>
      <c r="L397" s="122"/>
    </row>
    <row r="398" spans="3:12" s="79" customFormat="1">
      <c r="C398"/>
      <c r="D398" s="160" t="s">
        <v>514</v>
      </c>
      <c r="E398" s="16"/>
      <c r="F398"/>
      <c r="G398"/>
      <c r="J398" s="248"/>
      <c r="K398" s="288"/>
      <c r="L398" s="122"/>
    </row>
    <row r="399" spans="3:12" s="79" customFormat="1">
      <c r="C399"/>
      <c r="D399" s="50"/>
      <c r="E399" s="16"/>
      <c r="F399"/>
      <c r="G399"/>
      <c r="J399" s="286"/>
      <c r="K399" s="286"/>
      <c r="L399" s="122"/>
    </row>
    <row r="400" spans="3:12" s="79" customFormat="1">
      <c r="C400"/>
      <c r="D400" s="51" t="s">
        <v>82</v>
      </c>
      <c r="E400" s="39"/>
      <c r="F400"/>
      <c r="G400"/>
      <c r="H400" s="212"/>
      <c r="I400" s="212"/>
      <c r="J400" s="216"/>
      <c r="K400" s="216"/>
    </row>
    <row r="401" spans="3:11" s="79" customFormat="1" ht="19">
      <c r="C401"/>
      <c r="D401" s="54">
        <f>'Overall Assumptions'!$C$68</f>
        <v>225</v>
      </c>
      <c r="E401" s="1215" t="s">
        <v>99</v>
      </c>
      <c r="F401" s="246"/>
      <c r="G401"/>
      <c r="J401" s="65"/>
      <c r="K401" s="66"/>
    </row>
    <row r="402" spans="3:11" s="79" customFormat="1">
      <c r="C402"/>
      <c r="D402" s="54">
        <f>'Overall Assumptions'!$C$130</f>
        <v>2</v>
      </c>
      <c r="E402" s="76" t="s">
        <v>84</v>
      </c>
      <c r="F402" s="246"/>
      <c r="G402"/>
      <c r="J402" s="65"/>
      <c r="K402" s="66"/>
    </row>
    <row r="403" spans="3:11" s="79" customFormat="1">
      <c r="C403"/>
      <c r="D403" s="467"/>
      <c r="E403" s="43"/>
      <c r="F403"/>
      <c r="G403"/>
      <c r="J403" s="65"/>
      <c r="K403" s="66"/>
    </row>
    <row r="404" spans="3:11" s="79" customFormat="1">
      <c r="C404"/>
      <c r="D404" s="506">
        <f>D379</f>
        <v>0.5</v>
      </c>
      <c r="E404" s="43" t="s">
        <v>248</v>
      </c>
      <c r="F404"/>
      <c r="G404"/>
      <c r="J404" s="65"/>
      <c r="K404" s="66"/>
    </row>
    <row r="405" spans="3:11" s="79" customFormat="1">
      <c r="C405"/>
      <c r="D405" s="506">
        <f>D380</f>
        <v>2</v>
      </c>
      <c r="E405" s="43" t="s">
        <v>1993</v>
      </c>
      <c r="F405"/>
      <c r="G405"/>
      <c r="J405" s="65"/>
      <c r="K405" s="66"/>
    </row>
    <row r="406" spans="3:11" s="79" customFormat="1">
      <c r="C406"/>
      <c r="D406" s="506"/>
      <c r="E406" s="43"/>
      <c r="F406"/>
      <c r="G406"/>
      <c r="J406" s="65"/>
      <c r="K406" s="66"/>
    </row>
    <row r="407" spans="3:11" s="79" customFormat="1">
      <c r="C407"/>
      <c r="D407" s="54">
        <f>D387</f>
        <v>5</v>
      </c>
      <c r="E407" s="43" t="s">
        <v>249</v>
      </c>
      <c r="F407"/>
      <c r="G407"/>
      <c r="J407" s="65"/>
      <c r="K407" s="66"/>
    </row>
    <row r="408" spans="3:11" s="79" customFormat="1">
      <c r="C408"/>
      <c r="D408" s="54">
        <f>D388</f>
        <v>5</v>
      </c>
      <c r="E408" s="43" t="s">
        <v>1995</v>
      </c>
      <c r="F408"/>
      <c r="G408"/>
      <c r="J408" s="65"/>
      <c r="K408" s="66"/>
    </row>
    <row r="409" spans="3:11" s="79" customFormat="1">
      <c r="C409"/>
      <c r="D409" s="54"/>
      <c r="E409" s="43"/>
      <c r="F409"/>
      <c r="G409"/>
      <c r="J409" s="65"/>
      <c r="K409" s="66"/>
    </row>
    <row r="410" spans="3:11" s="79" customFormat="1">
      <c r="C410"/>
      <c r="D410" s="507">
        <f>SQRT(D386)/2</f>
        <v>5</v>
      </c>
      <c r="E410" s="508" t="s">
        <v>520</v>
      </c>
      <c r="F410"/>
      <c r="G410"/>
      <c r="J410" s="65"/>
      <c r="K410" s="66"/>
    </row>
    <row r="411" spans="3:11" s="79" customFormat="1">
      <c r="C411"/>
      <c r="D411" s="507">
        <f>SUM(D407:D409)</f>
        <v>10</v>
      </c>
      <c r="E411" s="508" t="s">
        <v>521</v>
      </c>
      <c r="F411"/>
      <c r="G411"/>
      <c r="J411" s="65"/>
      <c r="K411" s="66"/>
    </row>
    <row r="412" spans="3:11" s="79" customFormat="1">
      <c r="C412"/>
      <c r="D412" s="54">
        <f>'Overall Assumptions'!$C$10</f>
        <v>0</v>
      </c>
      <c r="E412" s="43" t="s">
        <v>85</v>
      </c>
      <c r="F412"/>
      <c r="G412"/>
      <c r="J412" s="65"/>
      <c r="K412" s="66"/>
    </row>
    <row r="413" spans="3:11" s="79" customFormat="1">
      <c r="C413"/>
      <c r="D413" s="54">
        <f>'Overall Assumptions'!$C$90</f>
        <v>80</v>
      </c>
      <c r="E413" s="43" t="s">
        <v>86</v>
      </c>
      <c r="F413"/>
      <c r="G413"/>
      <c r="J413" s="65"/>
      <c r="K413" s="66"/>
    </row>
    <row r="414" spans="3:11" s="79" customFormat="1">
      <c r="C414"/>
      <c r="D414" s="56">
        <f>'Overall Assumptions'!$C$81</f>
        <v>210</v>
      </c>
      <c r="E414" s="45" t="s">
        <v>87</v>
      </c>
      <c r="F414"/>
      <c r="G414"/>
      <c r="J414" s="65"/>
      <c r="K414" s="66"/>
    </row>
    <row r="415" spans="3:11" s="79" customFormat="1">
      <c r="C415"/>
      <c r="D415" s="57"/>
      <c r="E415" s="16"/>
      <c r="F415"/>
      <c r="G415"/>
      <c r="J415" s="65"/>
      <c r="K415" s="66"/>
    </row>
    <row r="416" spans="3:11" s="79" customFormat="1">
      <c r="C416" s="21"/>
      <c r="D416" s="296">
        <f>2*D412/D413/7.5</f>
        <v>0</v>
      </c>
      <c r="E416" s="59" t="s">
        <v>95</v>
      </c>
      <c r="F416"/>
      <c r="G416"/>
      <c r="J416" s="129"/>
      <c r="K416" s="76"/>
    </row>
    <row r="417" spans="3:11" s="79" customFormat="1">
      <c r="C417" s="21"/>
      <c r="D417" s="296"/>
      <c r="E417" s="60" t="s">
        <v>100</v>
      </c>
      <c r="F417"/>
      <c r="G417"/>
      <c r="J417" s="65"/>
      <c r="K417" s="66"/>
    </row>
    <row r="418" spans="3:11" s="79" customFormat="1">
      <c r="C418" s="21"/>
      <c r="D418" s="296">
        <f>2*D410*D411/D413/7.5</f>
        <v>0.16666666666666666</v>
      </c>
      <c r="E418" s="124" t="s">
        <v>523</v>
      </c>
      <c r="F418"/>
      <c r="G418"/>
    </row>
    <row r="419" spans="3:11" s="79" customFormat="1">
      <c r="C419" s="21"/>
      <c r="D419" s="297">
        <f>SUMPRODUCT(D404:D406,D407:D409)</f>
        <v>12.5</v>
      </c>
      <c r="E419" s="59" t="s">
        <v>1996</v>
      </c>
    </row>
    <row r="420" spans="3:11" s="79" customFormat="1" ht="28">
      <c r="C420" s="21"/>
      <c r="D420" s="296">
        <f>D416+D418+D419</f>
        <v>12.666666666666666</v>
      </c>
      <c r="E420" s="16" t="s">
        <v>157</v>
      </c>
      <c r="F420" s="19"/>
      <c r="G420"/>
    </row>
    <row r="421" spans="3:11" s="122" customFormat="1">
      <c r="C421" s="9"/>
      <c r="D421" s="105"/>
      <c r="E421" s="34" t="s">
        <v>88</v>
      </c>
      <c r="F421" s="9"/>
      <c r="G421" s="9"/>
    </row>
    <row r="422" spans="3:11" s="79" customFormat="1">
      <c r="C422"/>
      <c r="D422" s="77">
        <f>D420*D402</f>
        <v>25.333333333333332</v>
      </c>
      <c r="E422" s="16" t="s">
        <v>133</v>
      </c>
      <c r="F422"/>
      <c r="G422"/>
    </row>
    <row r="423" spans="3:11" s="79" customFormat="1">
      <c r="C423"/>
      <c r="D423" s="77"/>
      <c r="E423" s="16"/>
      <c r="F423"/>
      <c r="G423"/>
    </row>
    <row r="424" spans="3:11" s="79" customFormat="1">
      <c r="C424" s="21"/>
      <c r="D424" s="64">
        <f>D422*D401</f>
        <v>5700</v>
      </c>
      <c r="E424" s="47" t="s">
        <v>329</v>
      </c>
      <c r="F424"/>
      <c r="G424"/>
      <c r="H424" s="276"/>
      <c r="I424" s="276"/>
    </row>
    <row r="425" spans="3:11" s="79" customFormat="1">
      <c r="C425" s="21"/>
      <c r="H425" s="119"/>
      <c r="I425" s="119"/>
    </row>
    <row r="426" spans="3:11" s="79" customFormat="1">
      <c r="C426" s="21"/>
      <c r="D426" s="46">
        <f>D420</f>
        <v>12.666666666666666</v>
      </c>
      <c r="E426" s="359" t="s">
        <v>795</v>
      </c>
      <c r="H426" s="119"/>
      <c r="I426" s="119"/>
    </row>
    <row r="427" spans="3:11" s="79" customFormat="1">
      <c r="C427" s="21"/>
      <c r="D427" s="75">
        <f>ROUNDUP((D426/21),0)</f>
        <v>1</v>
      </c>
      <c r="E427" s="99" t="s">
        <v>739</v>
      </c>
      <c r="H427" s="119"/>
      <c r="I427" s="119"/>
    </row>
    <row r="428" spans="3:11" s="79" customFormat="1">
      <c r="C428" s="21"/>
      <c r="H428" s="119"/>
      <c r="I428" s="119"/>
    </row>
    <row r="429" spans="3:11" s="79" customFormat="1" ht="19">
      <c r="C429" s="2" t="s">
        <v>132</v>
      </c>
      <c r="D429" s="37" t="s">
        <v>89</v>
      </c>
      <c r="E429" s="16"/>
      <c r="F429"/>
      <c r="G429"/>
      <c r="H429"/>
      <c r="I429"/>
    </row>
    <row r="430" spans="3:11" s="79" customFormat="1">
      <c r="C430" t="s">
        <v>54</v>
      </c>
      <c r="E430" s="16"/>
      <c r="F430"/>
      <c r="G430"/>
      <c r="H430"/>
      <c r="I430"/>
    </row>
    <row r="431" spans="3:11" s="79" customFormat="1">
      <c r="C431"/>
      <c r="D431" s="160" t="s">
        <v>251</v>
      </c>
      <c r="E431" s="16"/>
      <c r="F431"/>
      <c r="G431"/>
      <c r="H431"/>
      <c r="I431"/>
    </row>
    <row r="432" spans="3:11" s="79" customFormat="1">
      <c r="C432"/>
      <c r="D432" s="16"/>
      <c r="E432" s="16"/>
      <c r="F432"/>
      <c r="G432"/>
      <c r="H432"/>
      <c r="I432"/>
    </row>
    <row r="433" spans="3:9" s="79" customFormat="1">
      <c r="C433"/>
      <c r="D433" s="67" t="s">
        <v>91</v>
      </c>
      <c r="E433" s="41"/>
      <c r="F433"/>
      <c r="G433"/>
      <c r="H433"/>
      <c r="I433"/>
    </row>
    <row r="434" spans="3:9" s="79" customFormat="1">
      <c r="C434"/>
      <c r="D434" s="52">
        <f>'Overall Assumptions'!$C$93</f>
        <v>285</v>
      </c>
      <c r="E434" s="41" t="s">
        <v>93</v>
      </c>
      <c r="F434"/>
      <c r="G434"/>
      <c r="H434"/>
      <c r="I434"/>
    </row>
    <row r="435" spans="3:9" s="79" customFormat="1">
      <c r="C435"/>
      <c r="D435" s="56"/>
      <c r="E435" s="45"/>
      <c r="F435"/>
      <c r="G435"/>
      <c r="H435"/>
      <c r="I435"/>
    </row>
    <row r="436" spans="3:9" s="79" customFormat="1">
      <c r="C436"/>
      <c r="D436" s="75"/>
      <c r="E436" s="76"/>
      <c r="F436"/>
      <c r="G436"/>
      <c r="H436"/>
      <c r="I436"/>
    </row>
    <row r="437" spans="3:9" s="79" customFormat="1">
      <c r="C437"/>
      <c r="D437" s="50">
        <f>D416</f>
        <v>0</v>
      </c>
      <c r="E437" s="59" t="s">
        <v>97</v>
      </c>
      <c r="F437"/>
      <c r="G437"/>
      <c r="H437"/>
      <c r="I437"/>
    </row>
    <row r="438" spans="3:9" s="79" customFormat="1">
      <c r="C438"/>
      <c r="D438" s="50">
        <f>D418</f>
        <v>0.16666666666666666</v>
      </c>
      <c r="E438" s="59" t="s">
        <v>98</v>
      </c>
      <c r="F438"/>
      <c r="G438"/>
      <c r="H438"/>
      <c r="I438"/>
    </row>
    <row r="439" spans="3:9" s="79" customFormat="1">
      <c r="C439"/>
      <c r="D439" s="50">
        <f>D419</f>
        <v>12.5</v>
      </c>
      <c r="E439" s="59" t="s">
        <v>244</v>
      </c>
      <c r="F439"/>
      <c r="G439"/>
      <c r="H439"/>
      <c r="I439"/>
    </row>
    <row r="440" spans="3:9" s="79" customFormat="1">
      <c r="C440"/>
      <c r="D440" s="50">
        <f>SUM(D437:D439)</f>
        <v>12.666666666666666</v>
      </c>
      <c r="E440" s="59" t="s">
        <v>135</v>
      </c>
      <c r="F440"/>
      <c r="G440"/>
      <c r="H440"/>
      <c r="I440"/>
    </row>
    <row r="441" spans="3:9" s="79" customFormat="1">
      <c r="C441"/>
      <c r="D441" s="63"/>
      <c r="E441" s="16"/>
      <c r="F441"/>
      <c r="G441"/>
      <c r="H441"/>
      <c r="I441"/>
    </row>
    <row r="442" spans="3:9" s="79" customFormat="1">
      <c r="C442"/>
      <c r="D442" s="63"/>
      <c r="E442" s="16"/>
      <c r="F442"/>
      <c r="G442"/>
      <c r="H442"/>
      <c r="I442"/>
    </row>
    <row r="443" spans="3:9" s="79" customFormat="1">
      <c r="C443"/>
      <c r="D443" s="68">
        <f>D440*D434</f>
        <v>3610</v>
      </c>
      <c r="E443" s="47" t="s">
        <v>500</v>
      </c>
      <c r="F443"/>
      <c r="G443"/>
      <c r="H443"/>
      <c r="I443"/>
    </row>
    <row r="444" spans="3:9" s="79" customFormat="1"/>
    <row r="445" spans="3:9" s="79" customFormat="1">
      <c r="D445" s="46">
        <f>D440</f>
        <v>12.666666666666666</v>
      </c>
      <c r="E445" s="359" t="s">
        <v>795</v>
      </c>
    </row>
    <row r="446" spans="3:9" s="79" customFormat="1">
      <c r="D446" s="75">
        <f>ROUNDUP((D445/21),0)</f>
        <v>1</v>
      </c>
      <c r="E446" s="99" t="s">
        <v>739</v>
      </c>
      <c r="F446" s="46"/>
    </row>
    <row r="447" spans="3:9" s="79" customFormat="1">
      <c r="F447" s="75"/>
    </row>
    <row r="448" spans="3:9" s="79" customFormat="1">
      <c r="D448" s="75"/>
      <c r="E448" s="99"/>
      <c r="F448" s="75"/>
    </row>
    <row r="449" spans="3:9" s="79" customFormat="1">
      <c r="C449" s="225" t="s">
        <v>70</v>
      </c>
      <c r="D449" s="230"/>
      <c r="E449" s="224" t="s">
        <v>156</v>
      </c>
      <c r="F449" s="212"/>
      <c r="G449" s="212"/>
      <c r="H449" s="212"/>
      <c r="I449" s="119"/>
    </row>
    <row r="450" spans="3:9" s="79" customFormat="1">
      <c r="C450" s="212"/>
      <c r="D450" s="230"/>
      <c r="E450" s="224"/>
      <c r="F450" s="212"/>
      <c r="G450" s="212"/>
      <c r="H450" s="212"/>
      <c r="I450" s="119"/>
    </row>
    <row r="451" spans="3:9" s="79" customFormat="1">
      <c r="C451" s="212"/>
      <c r="D451" s="230"/>
      <c r="E451" s="224"/>
      <c r="F451" s="212"/>
      <c r="G451" s="212"/>
      <c r="H451" s="212"/>
      <c r="I451" s="119"/>
    </row>
    <row r="452" spans="3:9" s="79" customFormat="1">
      <c r="C452" s="212"/>
      <c r="D452" s="222">
        <f>D420</f>
        <v>12.666666666666666</v>
      </c>
      <c r="E452" s="213" t="s">
        <v>157</v>
      </c>
      <c r="F452" s="212"/>
      <c r="G452" s="212"/>
      <c r="H452" s="212"/>
      <c r="I452" s="119"/>
    </row>
    <row r="453" spans="3:9" s="79" customFormat="1">
      <c r="C453" s="212"/>
      <c r="D453" s="229">
        <f>FLOOR(D452,1)</f>
        <v>12</v>
      </c>
      <c r="E453" s="213" t="s">
        <v>73</v>
      </c>
      <c r="F453" s="212"/>
      <c r="G453" s="212"/>
      <c r="H453" s="212"/>
      <c r="I453" s="119"/>
    </row>
    <row r="454" spans="3:9" s="79" customFormat="1">
      <c r="C454" s="212"/>
      <c r="D454" s="228">
        <f>D453*D402</f>
        <v>24</v>
      </c>
      <c r="E454" s="214" t="s">
        <v>175</v>
      </c>
      <c r="F454" s="212"/>
      <c r="G454" s="212"/>
      <c r="H454" s="212"/>
      <c r="I454" s="119"/>
    </row>
    <row r="455" spans="3:9" s="79" customFormat="1">
      <c r="C455" s="212"/>
      <c r="D455" s="227"/>
      <c r="E455" s="214" t="s">
        <v>88</v>
      </c>
      <c r="F455" s="212"/>
      <c r="G455" s="212"/>
      <c r="H455" s="212"/>
    </row>
    <row r="456" spans="3:9" s="79" customFormat="1">
      <c r="C456" s="212"/>
      <c r="D456" s="226">
        <f>D454*D414</f>
        <v>5040</v>
      </c>
      <c r="E456" s="221" t="s">
        <v>74</v>
      </c>
      <c r="F456" s="212"/>
      <c r="G456" s="212"/>
      <c r="H456" s="212"/>
    </row>
    <row r="457" spans="3:9" s="79" customFormat="1">
      <c r="D457" s="282"/>
      <c r="E457" s="76"/>
    </row>
    <row r="458" spans="3:9" s="79" customFormat="1">
      <c r="D458" s="283"/>
      <c r="E458" s="284"/>
      <c r="F458" s="78"/>
    </row>
    <row r="459" spans="3:9" s="79" customFormat="1">
      <c r="D459" s="283"/>
      <c r="E459" s="76"/>
    </row>
    <row r="460" spans="3:9" s="79" customFormat="1">
      <c r="D460" s="143" t="s">
        <v>172</v>
      </c>
      <c r="E460" s="144" t="s">
        <v>155</v>
      </c>
      <c r="F460" s="144" t="s">
        <v>174</v>
      </c>
      <c r="G460" s="144" t="s">
        <v>166</v>
      </c>
      <c r="H460" s="145" t="s">
        <v>69</v>
      </c>
      <c r="I460" s="276" t="s">
        <v>391</v>
      </c>
    </row>
    <row r="461" spans="3:9" s="79" customFormat="1">
      <c r="D461" s="135" t="s">
        <v>3</v>
      </c>
      <c r="E461" s="136">
        <f>D422</f>
        <v>25.333333333333332</v>
      </c>
      <c r="F461" s="122"/>
      <c r="G461" s="119">
        <f>D424</f>
        <v>5700</v>
      </c>
      <c r="H461" s="119" t="str">
        <f>E424</f>
        <v>Cost for person hours</v>
      </c>
      <c r="I461" s="79">
        <f>D394</f>
        <v>10</v>
      </c>
    </row>
    <row r="462" spans="3:9" s="79" customFormat="1">
      <c r="D462" s="135" t="s">
        <v>132</v>
      </c>
      <c r="E462" s="136"/>
      <c r="F462" s="141">
        <f>D412</f>
        <v>0</v>
      </c>
      <c r="G462" s="119">
        <f>D443</f>
        <v>3610</v>
      </c>
      <c r="H462" s="119" t="str">
        <f>E443</f>
        <v>Cost for ute hire</v>
      </c>
      <c r="I462" s="79">
        <f>I461</f>
        <v>10</v>
      </c>
    </row>
    <row r="463" spans="3:9" s="79" customFormat="1">
      <c r="D463" s="135" t="s">
        <v>169</v>
      </c>
      <c r="E463" s="136">
        <f>D454</f>
        <v>24</v>
      </c>
      <c r="F463" s="141"/>
      <c r="G463" s="119">
        <f>D456</f>
        <v>5040</v>
      </c>
      <c r="H463" s="119" t="str">
        <f>E456</f>
        <v>Accomodation + Food Cost</v>
      </c>
      <c r="I463" s="79">
        <f t="shared" ref="I463:I464" si="45">I462</f>
        <v>10</v>
      </c>
    </row>
    <row r="464" spans="3:9" s="79" customFormat="1">
      <c r="D464" s="135" t="s">
        <v>252</v>
      </c>
      <c r="E464" s="136"/>
      <c r="F464" s="122"/>
      <c r="G464" s="119">
        <f>D393</f>
        <v>20000</v>
      </c>
      <c r="H464" s="119" t="str">
        <f>E393</f>
        <v>Consumables cost</v>
      </c>
      <c r="I464" s="79">
        <f t="shared" si="45"/>
        <v>10</v>
      </c>
    </row>
    <row r="465" spans="3:10" s="79" customFormat="1">
      <c r="D465" s="135"/>
      <c r="E465" s="136"/>
      <c r="F465" s="122"/>
      <c r="G465" s="119"/>
      <c r="H465" s="119"/>
    </row>
    <row r="466" spans="3:10" s="79" customFormat="1">
      <c r="D466" s="137"/>
      <c r="E466" s="138"/>
      <c r="F466" s="142"/>
      <c r="G466" s="139">
        <f>SUM(G461:G465)</f>
        <v>34350</v>
      </c>
      <c r="H466" s="140" t="s">
        <v>165</v>
      </c>
    </row>
    <row r="467" spans="3:10" s="79" customFormat="1">
      <c r="D467" s="278"/>
      <c r="E467" s="76"/>
      <c r="F467" s="10"/>
      <c r="G467" s="397"/>
    </row>
    <row r="468" spans="3:10" s="79" customFormat="1">
      <c r="D468" s="277"/>
      <c r="E468" s="76"/>
    </row>
    <row r="469" spans="3:10">
      <c r="D469" s="25"/>
      <c r="G469"/>
    </row>
    <row r="470" spans="3:10" s="7" customFormat="1">
      <c r="D470" s="134"/>
      <c r="E470" s="134"/>
    </row>
    <row r="471" spans="3:10">
      <c r="D471" s="432"/>
      <c r="E471" s="24"/>
    </row>
    <row r="472" spans="3:10" s="7" customFormat="1">
      <c r="D472" s="35"/>
      <c r="E472" s="36"/>
      <c r="G472" s="1089"/>
    </row>
    <row r="473" spans="3:10">
      <c r="C473" t="s">
        <v>1002</v>
      </c>
    </row>
    <row r="475" spans="3:10">
      <c r="D475" s="66" t="s">
        <v>1004</v>
      </c>
      <c r="E475" s="76"/>
      <c r="F475" s="79"/>
      <c r="G475" s="1119"/>
    </row>
    <row r="476" spans="3:10">
      <c r="D476" s="329"/>
      <c r="E476" s="76"/>
      <c r="F476" s="79"/>
      <c r="G476" s="1119"/>
    </row>
    <row r="477" spans="3:10">
      <c r="D477" s="117" t="s">
        <v>91</v>
      </c>
      <c r="E477" s="118"/>
      <c r="F477" s="9"/>
      <c r="G477" s="1119"/>
    </row>
    <row r="478" spans="3:10">
      <c r="D478" s="114">
        <v>0.3</v>
      </c>
      <c r="E478" s="115" t="s">
        <v>262</v>
      </c>
      <c r="F478" s="9"/>
      <c r="G478" s="1119"/>
    </row>
    <row r="479" spans="3:10">
      <c r="D479" s="472">
        <v>1</v>
      </c>
      <c r="E479" s="97" t="s">
        <v>260</v>
      </c>
      <c r="F479" s="9"/>
      <c r="G479" s="1119"/>
    </row>
    <row r="480" spans="3:10">
      <c r="D480" s="825"/>
      <c r="E480" s="825"/>
      <c r="H480" s="1" t="s">
        <v>788</v>
      </c>
      <c r="I480" s="1" t="s">
        <v>779</v>
      </c>
      <c r="J480" s="1" t="s">
        <v>789</v>
      </c>
    </row>
    <row r="481" spans="3:12">
      <c r="D481" s="617" t="str">
        <f t="shared" ref="D481:K484" si="46">D205</f>
        <v>Component</v>
      </c>
      <c r="E481" s="618" t="str">
        <f t="shared" si="46"/>
        <v>Days</v>
      </c>
      <c r="F481" s="618" t="str">
        <f t="shared" si="46"/>
        <v>Days</v>
      </c>
      <c r="G481" s="1103" t="str">
        <f t="shared" si="46"/>
        <v>Days</v>
      </c>
      <c r="H481" s="618" t="str">
        <f t="shared" si="46"/>
        <v>Cost</v>
      </c>
      <c r="I481" s="618" t="str">
        <f t="shared" si="46"/>
        <v>Cost</v>
      </c>
      <c r="J481" s="618" t="str">
        <f t="shared" si="46"/>
        <v>Cost</v>
      </c>
      <c r="K481" s="619" t="str">
        <f t="shared" si="46"/>
        <v>Description</v>
      </c>
    </row>
    <row r="482" spans="3:12">
      <c r="D482" s="404" t="str">
        <f t="shared" si="46"/>
        <v>Labour</v>
      </c>
      <c r="E482" s="90">
        <f t="shared" si="46"/>
        <v>6.2541106128550075</v>
      </c>
      <c r="F482" s="531">
        <f t="shared" si="46"/>
        <v>7.449925261584454</v>
      </c>
      <c r="G482" s="359">
        <f t="shared" si="46"/>
        <v>9.8415545590433489</v>
      </c>
      <c r="H482" s="432">
        <f t="shared" si="46"/>
        <v>1407.1748878923768</v>
      </c>
      <c r="I482" s="432">
        <f t="shared" si="46"/>
        <v>1676.2331838565024</v>
      </c>
      <c r="J482" s="432">
        <f t="shared" si="46"/>
        <v>2214.3497757847535</v>
      </c>
      <c r="K482" s="830" t="str">
        <f t="shared" si="46"/>
        <v>Cost for labour</v>
      </c>
      <c r="L482">
        <v>1</v>
      </c>
    </row>
    <row r="483" spans="3:12">
      <c r="D483" s="404" t="str">
        <f t="shared" si="46"/>
        <v>transport</v>
      </c>
      <c r="E483" s="90">
        <f t="shared" si="46"/>
        <v>3.1270553064275037</v>
      </c>
      <c r="F483" s="531">
        <f t="shared" si="46"/>
        <v>3.724962630792227</v>
      </c>
      <c r="G483" s="1104">
        <f t="shared" si="46"/>
        <v>4.9207772795216744</v>
      </c>
      <c r="H483" s="432">
        <f t="shared" si="46"/>
        <v>891.21076233183862</v>
      </c>
      <c r="I483" s="432">
        <f t="shared" si="46"/>
        <v>1061.6143497757848</v>
      </c>
      <c r="J483" s="432">
        <f t="shared" si="46"/>
        <v>1402.4215246636772</v>
      </c>
      <c r="K483" s="830" t="str">
        <f t="shared" si="46"/>
        <v>Cost for ute hire for the whole activity</v>
      </c>
      <c r="L483">
        <v>1</v>
      </c>
    </row>
    <row r="484" spans="3:12">
      <c r="D484" s="404" t="str">
        <f t="shared" si="46"/>
        <v>Consumables (Accomodation)</v>
      </c>
      <c r="E484" s="90">
        <f t="shared" si="46"/>
        <v>6</v>
      </c>
      <c r="F484" s="531">
        <f t="shared" si="46"/>
        <v>6</v>
      </c>
      <c r="G484" s="359">
        <f t="shared" si="46"/>
        <v>8</v>
      </c>
      <c r="H484" s="432">
        <f t="shared" si="46"/>
        <v>1260</v>
      </c>
      <c r="I484" s="432">
        <f t="shared" si="46"/>
        <v>1260</v>
      </c>
      <c r="J484" s="432">
        <f t="shared" si="46"/>
        <v>1680</v>
      </c>
      <c r="K484" s="830" t="str">
        <f t="shared" si="46"/>
        <v>Accomodation + Food Cost</v>
      </c>
      <c r="L484">
        <v>1</v>
      </c>
    </row>
    <row r="485" spans="3:12">
      <c r="D485" s="404"/>
      <c r="E485" s="90"/>
      <c r="F485" s="531"/>
      <c r="H485" s="432"/>
      <c r="I485" s="259"/>
      <c r="J485" s="259"/>
      <c r="K485" s="830"/>
      <c r="L485" s="558"/>
    </row>
    <row r="486" spans="3:12">
      <c r="D486" s="404"/>
      <c r="E486" s="90"/>
      <c r="F486" s="531"/>
      <c r="H486" s="432"/>
      <c r="I486" s="259"/>
      <c r="J486" s="259"/>
      <c r="K486" s="830"/>
    </row>
    <row r="487" spans="3:12">
      <c r="D487" s="405"/>
      <c r="E487" s="439"/>
      <c r="F487" s="439"/>
      <c r="G487" s="1098"/>
      <c r="H487" s="622">
        <f>SUM(H482:H486)</f>
        <v>3558.3856502242152</v>
      </c>
      <c r="I487" s="622">
        <f>SUM(I482:I486)</f>
        <v>3997.8475336322872</v>
      </c>
      <c r="J487" s="622">
        <f>SUM(J482:J486)</f>
        <v>5296.7713004484303</v>
      </c>
      <c r="K487" s="623" t="s">
        <v>165</v>
      </c>
    </row>
    <row r="488" spans="3:12">
      <c r="D488"/>
      <c r="E488"/>
      <c r="F488" s="432"/>
      <c r="G488" s="1099"/>
    </row>
    <row r="489" spans="3:12">
      <c r="D489"/>
      <c r="E489"/>
      <c r="F489" s="432"/>
      <c r="G489" s="1099"/>
    </row>
    <row r="491" spans="3:12" s="7" customFormat="1">
      <c r="D491" s="35"/>
      <c r="E491" s="36"/>
      <c r="G491" s="1089"/>
    </row>
    <row r="492" spans="3:12" s="9" customFormat="1">
      <c r="D492" s="105"/>
      <c r="E492" s="34"/>
      <c r="G492" s="572"/>
    </row>
    <row r="493" spans="3:12" s="9" customFormat="1">
      <c r="C493" s="120" t="s">
        <v>247</v>
      </c>
      <c r="D493" s="105"/>
      <c r="E493" s="34"/>
      <c r="G493" s="572"/>
    </row>
    <row r="494" spans="3:12" s="9" customFormat="1">
      <c r="D494" s="34" t="s">
        <v>2317</v>
      </c>
      <c r="E494" s="34"/>
      <c r="G494" s="572"/>
    </row>
    <row r="495" spans="3:12" s="9" customFormat="1">
      <c r="D495" s="38" t="s">
        <v>91</v>
      </c>
      <c r="E495" s="39"/>
      <c r="F495" s="105"/>
      <c r="G495" s="572"/>
    </row>
    <row r="496" spans="3:12" s="9" customFormat="1">
      <c r="D496" s="402"/>
      <c r="E496" s="161"/>
      <c r="G496" s="572"/>
    </row>
    <row r="497" spans="3:10" s="9" customFormat="1">
      <c r="D497" s="332">
        <f>'Overall Assumptions'!$C$125</f>
        <v>3</v>
      </c>
      <c r="E497" s="131" t="str">
        <f>'Overall Assumptions'!$D$115</f>
        <v>weeks</v>
      </c>
      <c r="G497" s="572"/>
    </row>
    <row r="498" spans="3:10" s="9" customFormat="1">
      <c r="C498" s="105"/>
      <c r="D498" s="332">
        <f>D497*5</f>
        <v>15</v>
      </c>
      <c r="E498" s="43" t="str">
        <f>'Overall Assumptions'!$D$116</f>
        <v>days</v>
      </c>
      <c r="G498" s="572"/>
    </row>
    <row r="499" spans="3:10" s="9" customFormat="1">
      <c r="C499" s="105"/>
      <c r="D499" s="332"/>
      <c r="E499" s="43"/>
      <c r="G499" s="572"/>
    </row>
    <row r="500" spans="3:10" s="9" customFormat="1">
      <c r="C500" s="105"/>
      <c r="D500" s="268">
        <v>1</v>
      </c>
      <c r="E500" s="43" t="s">
        <v>259</v>
      </c>
      <c r="G500" s="572"/>
    </row>
    <row r="501" spans="3:10" s="9" customFormat="1">
      <c r="C501" s="105"/>
      <c r="D501" s="332"/>
      <c r="E501" s="43"/>
      <c r="G501" s="572"/>
    </row>
    <row r="502" spans="3:10" s="9" customFormat="1">
      <c r="C502" s="105"/>
      <c r="D502" s="332"/>
      <c r="E502" s="246"/>
      <c r="G502" s="572"/>
    </row>
    <row r="503" spans="3:10" s="9" customFormat="1">
      <c r="D503" s="614">
        <f>'Overall Assumptions'!$C$68</f>
        <v>225</v>
      </c>
      <c r="E503" s="246" t="str">
        <f>'Overall Assumptions'!$B$67</f>
        <v>Labour 1- APS Low (Entry lvl)</v>
      </c>
      <c r="G503" s="572"/>
    </row>
    <row r="504" spans="3:10" s="9" customFormat="1">
      <c r="D504" s="399">
        <f>'Overall Assumptions'!$C$72</f>
        <v>337.5</v>
      </c>
      <c r="E504" s="530" t="str">
        <f>'Overall Assumptions'!$B$71</f>
        <v>Labour 2 - APS High (Experienced)</v>
      </c>
      <c r="G504" s="572"/>
    </row>
    <row r="505" spans="3:10" s="9" customFormat="1">
      <c r="D505" s="112">
        <f>'Overall Assumptions'!$C$76</f>
        <v>487.5</v>
      </c>
      <c r="E505" s="45" t="str">
        <f>'Overall Assumptions'!$B$75</f>
        <v>Labour 3 - EL (Management)</v>
      </c>
      <c r="G505" s="572"/>
    </row>
    <row r="506" spans="3:10" s="9" customFormat="1">
      <c r="D506" s="33"/>
      <c r="E506" s="34"/>
      <c r="G506" s="572"/>
    </row>
    <row r="507" spans="3:10">
      <c r="C507" s="9"/>
      <c r="D507" s="247"/>
      <c r="E507" s="33"/>
      <c r="F507" s="9"/>
      <c r="G507" s="572"/>
      <c r="H507" s="9"/>
      <c r="I507" s="9"/>
      <c r="J507" s="9"/>
    </row>
    <row r="508" spans="3:10">
      <c r="C508" s="9"/>
      <c r="D508" s="33"/>
      <c r="E508" s="34"/>
      <c r="F508" s="9"/>
      <c r="G508" s="572"/>
      <c r="H508" s="9"/>
      <c r="I508" s="9"/>
      <c r="J508" s="9"/>
    </row>
    <row r="509" spans="3:10">
      <c r="C509" s="9"/>
      <c r="D509" s="33"/>
      <c r="E509" s="34"/>
      <c r="F509" s="9"/>
      <c r="G509" s="572"/>
      <c r="H509" s="9"/>
      <c r="I509" s="9"/>
      <c r="J509" s="9"/>
    </row>
    <row r="510" spans="3:10">
      <c r="C510" s="9"/>
      <c r="D510" s="33"/>
      <c r="E510" s="34"/>
      <c r="F510" s="9"/>
      <c r="G510" s="572"/>
      <c r="H510" s="9"/>
      <c r="I510" s="9"/>
      <c r="J510" s="9"/>
    </row>
    <row r="511" spans="3:10">
      <c r="C511" s="9"/>
      <c r="D511" s="175"/>
      <c r="E511" s="164" t="s">
        <v>155</v>
      </c>
      <c r="F511" s="255" t="s">
        <v>166</v>
      </c>
      <c r="G511" s="1090" t="s">
        <v>69</v>
      </c>
      <c r="H511" s="161"/>
      <c r="I511" s="9"/>
      <c r="J511" s="9"/>
    </row>
    <row r="512" spans="3:10">
      <c r="C512" s="9"/>
      <c r="D512" s="405" t="s">
        <v>3</v>
      </c>
      <c r="E512" s="1256">
        <f>D498</f>
        <v>15</v>
      </c>
      <c r="F512" s="321">
        <f>D498*D504</f>
        <v>5062.5</v>
      </c>
      <c r="G512" s="1091" t="s">
        <v>182</v>
      </c>
      <c r="H512" s="162"/>
      <c r="I512" s="9"/>
      <c r="J512" s="9"/>
    </row>
    <row r="513" spans="1:42">
      <c r="H513" s="9"/>
    </row>
    <row r="516" spans="1:42" s="182" customFormat="1">
      <c r="D516" s="183"/>
      <c r="E516" s="184"/>
      <c r="G516" s="1131"/>
    </row>
    <row r="517" spans="1:42">
      <c r="C517" s="1" t="s">
        <v>139</v>
      </c>
    </row>
    <row r="518" spans="1:42">
      <c r="C518" s="199">
        <f>'Overall Assumptions'!$C$6</f>
        <v>100</v>
      </c>
      <c r="D518" s="200" t="s">
        <v>195</v>
      </c>
    </row>
    <row r="519" spans="1:42">
      <c r="C519" s="201">
        <f>C518*100</f>
        <v>10000</v>
      </c>
      <c r="D519" s="202" t="s">
        <v>196</v>
      </c>
    </row>
    <row r="521" spans="1:42">
      <c r="C521" s="198"/>
    </row>
    <row r="523" spans="1:42">
      <c r="C523" s="160"/>
    </row>
    <row r="524" spans="1:42">
      <c r="C524" t="s">
        <v>280</v>
      </c>
    </row>
    <row r="525" spans="1:42">
      <c r="C525" t="s">
        <v>284</v>
      </c>
    </row>
    <row r="526" spans="1:42" s="359" customFormat="1">
      <c r="A526"/>
      <c r="B526"/>
      <c r="C526" t="s">
        <v>1032</v>
      </c>
      <c r="D526" s="1081">
        <v>234</v>
      </c>
      <c r="E526" s="16"/>
      <c r="F526"/>
      <c r="H526"/>
      <c r="I526"/>
      <c r="J526"/>
      <c r="K526"/>
      <c r="L526"/>
      <c r="M526"/>
      <c r="N526"/>
      <c r="O526"/>
      <c r="P526"/>
      <c r="Q526" s="2791"/>
      <c r="R526" s="2791"/>
      <c r="S526" s="2791"/>
      <c r="T526"/>
      <c r="U526"/>
      <c r="V526"/>
      <c r="W526"/>
      <c r="X526"/>
      <c r="Y526"/>
      <c r="Z526"/>
      <c r="AA526"/>
      <c r="AB526"/>
      <c r="AC526"/>
      <c r="AD526"/>
      <c r="AE526"/>
      <c r="AF526"/>
      <c r="AG526"/>
      <c r="AH526"/>
      <c r="AI526"/>
      <c r="AJ526"/>
      <c r="AK526"/>
      <c r="AL526"/>
      <c r="AM526"/>
      <c r="AN526"/>
      <c r="AO526"/>
      <c r="AP526"/>
    </row>
    <row r="527" spans="1:42" s="359" customFormat="1">
      <c r="A527"/>
      <c r="B527"/>
      <c r="C527" t="s">
        <v>285</v>
      </c>
      <c r="D527" s="58">
        <f>C519*2.34</f>
        <v>23400</v>
      </c>
      <c r="E527" s="16"/>
      <c r="F527"/>
      <c r="H527"/>
      <c r="I527"/>
      <c r="J527"/>
      <c r="K527"/>
      <c r="L527"/>
      <c r="M527"/>
      <c r="N527"/>
      <c r="O527"/>
      <c r="P527"/>
      <c r="Q527" s="2791"/>
      <c r="R527" s="2791"/>
      <c r="S527" s="2791"/>
      <c r="T527"/>
      <c r="U527"/>
      <c r="V527"/>
      <c r="W527"/>
      <c r="X527"/>
      <c r="Y527"/>
      <c r="Z527"/>
      <c r="AA527"/>
      <c r="AB527"/>
      <c r="AC527"/>
      <c r="AD527"/>
      <c r="AE527"/>
      <c r="AF527"/>
      <c r="AG527"/>
      <c r="AH527"/>
      <c r="AI527"/>
      <c r="AJ527"/>
      <c r="AK527"/>
      <c r="AL527"/>
      <c r="AM527"/>
      <c r="AN527"/>
      <c r="AO527"/>
      <c r="AP527"/>
    </row>
    <row r="529" spans="1:42" s="359" customFormat="1">
      <c r="A529"/>
      <c r="B529"/>
      <c r="C529" s="90" t="s">
        <v>281</v>
      </c>
      <c r="D529"/>
      <c r="E529" s="16"/>
      <c r="F529"/>
      <c r="H529"/>
      <c r="I529"/>
      <c r="J529"/>
      <c r="K529"/>
      <c r="L529"/>
      <c r="M529"/>
      <c r="N529"/>
      <c r="O529"/>
      <c r="P529"/>
      <c r="Q529" s="2791"/>
      <c r="R529" s="2791"/>
      <c r="S529" s="2791"/>
      <c r="T529"/>
      <c r="U529"/>
      <c r="V529"/>
      <c r="W529"/>
      <c r="X529"/>
      <c r="Y529"/>
      <c r="Z529"/>
      <c r="AA529"/>
      <c r="AB529"/>
      <c r="AC529"/>
      <c r="AD529"/>
      <c r="AE529"/>
      <c r="AF529"/>
      <c r="AG529"/>
      <c r="AH529"/>
      <c r="AI529"/>
      <c r="AJ529"/>
      <c r="AK529"/>
      <c r="AL529"/>
      <c r="AM529"/>
      <c r="AN529"/>
      <c r="AO529"/>
      <c r="AP529"/>
    </row>
    <row r="530" spans="1:42" s="359" customFormat="1" ht="24" customHeight="1">
      <c r="A530"/>
      <c r="B530"/>
      <c r="C530" s="436" t="s">
        <v>282</v>
      </c>
      <c r="D530" s="24"/>
      <c r="E530" s="16"/>
      <c r="F530"/>
      <c r="H530"/>
      <c r="I530"/>
      <c r="J530"/>
      <c r="K530"/>
      <c r="L530"/>
      <c r="M530"/>
      <c r="N530"/>
      <c r="O530"/>
      <c r="P530"/>
      <c r="Q530" s="2791"/>
      <c r="R530" s="2791"/>
      <c r="S530" s="2791"/>
      <c r="T530"/>
      <c r="U530"/>
      <c r="V530"/>
      <c r="W530"/>
      <c r="X530"/>
      <c r="Y530"/>
      <c r="Z530"/>
      <c r="AA530"/>
      <c r="AB530"/>
      <c r="AC530"/>
      <c r="AD530"/>
      <c r="AE530"/>
      <c r="AF530"/>
      <c r="AG530"/>
      <c r="AH530"/>
      <c r="AI530"/>
      <c r="AJ530"/>
      <c r="AK530"/>
      <c r="AL530"/>
      <c r="AM530"/>
      <c r="AN530"/>
      <c r="AO530"/>
      <c r="AP530"/>
    </row>
    <row r="531" spans="1:42" s="359" customFormat="1">
      <c r="A531"/>
      <c r="B531"/>
      <c r="C531" t="s">
        <v>283</v>
      </c>
      <c r="D531" s="58">
        <f>3883+0.84*(C519)</f>
        <v>12283</v>
      </c>
      <c r="E531" s="16"/>
      <c r="F531"/>
      <c r="H531"/>
      <c r="I531"/>
      <c r="J531"/>
      <c r="K531"/>
      <c r="L531"/>
      <c r="M531"/>
      <c r="N531"/>
      <c r="O531"/>
      <c r="P531"/>
      <c r="Q531" s="2791"/>
      <c r="R531" s="2791"/>
      <c r="S531" s="2791"/>
      <c r="T531"/>
      <c r="U531"/>
      <c r="V531"/>
      <c r="W531"/>
      <c r="X531"/>
      <c r="Y531"/>
      <c r="Z531"/>
      <c r="AA531"/>
      <c r="AB531"/>
      <c r="AC531"/>
      <c r="AD531"/>
      <c r="AE531"/>
      <c r="AF531"/>
      <c r="AG531"/>
      <c r="AH531"/>
      <c r="AI531"/>
      <c r="AJ531"/>
      <c r="AK531"/>
      <c r="AL531"/>
      <c r="AM531"/>
      <c r="AN531"/>
      <c r="AO531"/>
      <c r="AP531"/>
    </row>
    <row r="532" spans="1:42" s="359" customFormat="1">
      <c r="A532"/>
      <c r="B532"/>
      <c r="C532" t="s">
        <v>1033</v>
      </c>
      <c r="D532" s="58">
        <f>D531/100</f>
        <v>122.83</v>
      </c>
      <c r="E532" s="16"/>
      <c r="F532"/>
      <c r="H532"/>
      <c r="I532"/>
      <c r="J532"/>
      <c r="K532"/>
      <c r="L532"/>
      <c r="M532"/>
      <c r="N532"/>
      <c r="O532"/>
      <c r="P532"/>
      <c r="Q532" s="2791"/>
      <c r="R532" s="2791"/>
      <c r="S532" s="2791"/>
      <c r="T532"/>
      <c r="U532"/>
      <c r="V532"/>
      <c r="W532"/>
      <c r="X532"/>
      <c r="Y532"/>
      <c r="Z532"/>
      <c r="AA532"/>
      <c r="AB532"/>
      <c r="AC532"/>
      <c r="AD532"/>
      <c r="AE532"/>
      <c r="AF532"/>
      <c r="AG532"/>
      <c r="AH532"/>
      <c r="AI532"/>
      <c r="AJ532"/>
      <c r="AK532"/>
      <c r="AL532"/>
      <c r="AM532"/>
      <c r="AN532"/>
      <c r="AO532"/>
      <c r="AP532"/>
    </row>
    <row r="533" spans="1:42" s="359" customFormat="1">
      <c r="A533"/>
      <c r="B533"/>
      <c r="C533" s="204"/>
      <c r="D533" s="24"/>
      <c r="E533" s="16"/>
      <c r="F533"/>
      <c r="H533"/>
      <c r="I533"/>
      <c r="J533"/>
      <c r="K533"/>
      <c r="L533"/>
      <c r="M533"/>
      <c r="N533"/>
      <c r="O533"/>
      <c r="P533"/>
      <c r="Q533" s="2791"/>
      <c r="R533" s="2791"/>
      <c r="S533" s="2791"/>
      <c r="T533"/>
      <c r="U533"/>
      <c r="V533"/>
      <c r="W533"/>
      <c r="X533"/>
      <c r="Y533"/>
      <c r="Z533"/>
      <c r="AA533"/>
      <c r="AB533"/>
      <c r="AC533"/>
      <c r="AD533"/>
      <c r="AE533"/>
      <c r="AF533"/>
      <c r="AG533"/>
      <c r="AH533"/>
      <c r="AI533"/>
      <c r="AJ533"/>
      <c r="AK533"/>
      <c r="AL533"/>
      <c r="AM533"/>
      <c r="AN533"/>
      <c r="AO533"/>
      <c r="AP533"/>
    </row>
    <row r="535" spans="1:42" s="359" customFormat="1">
      <c r="A535"/>
      <c r="B535"/>
      <c r="C535" s="206"/>
      <c r="D535" s="24"/>
      <c r="E535" s="16"/>
      <c r="F535" s="2"/>
      <c r="H535"/>
      <c r="I535"/>
      <c r="J535"/>
      <c r="K535"/>
      <c r="L535"/>
      <c r="M535"/>
      <c r="N535"/>
      <c r="O535"/>
      <c r="P535"/>
      <c r="Q535" s="2791"/>
      <c r="R535" s="2791"/>
      <c r="S535" s="2791"/>
      <c r="T535"/>
      <c r="U535"/>
      <c r="V535"/>
      <c r="W535"/>
      <c r="X535"/>
      <c r="Y535"/>
      <c r="Z535"/>
      <c r="AA535"/>
      <c r="AB535"/>
      <c r="AC535"/>
      <c r="AD535"/>
      <c r="AE535"/>
      <c r="AF535"/>
      <c r="AG535"/>
      <c r="AH535"/>
      <c r="AI535"/>
      <c r="AJ535"/>
      <c r="AK535"/>
      <c r="AL535"/>
      <c r="AM535"/>
      <c r="AN535"/>
      <c r="AO535"/>
      <c r="AP535"/>
    </row>
    <row r="536" spans="1:42" s="359" customFormat="1" ht="15" customHeight="1">
      <c r="A536"/>
      <c r="B536"/>
      <c r="C536" s="2"/>
      <c r="D536" s="207"/>
      <c r="E536" s="16"/>
      <c r="F536" s="2"/>
      <c r="H536"/>
      <c r="I536"/>
      <c r="J536"/>
      <c r="K536"/>
      <c r="L536"/>
      <c r="M536"/>
      <c r="N536"/>
      <c r="O536"/>
      <c r="P536"/>
      <c r="Q536" s="2791"/>
      <c r="R536" s="2791"/>
      <c r="S536" s="2791"/>
      <c r="T536"/>
      <c r="U536"/>
      <c r="V536"/>
      <c r="W536"/>
      <c r="X536"/>
      <c r="Y536"/>
      <c r="Z536"/>
      <c r="AA536"/>
      <c r="AB536"/>
      <c r="AC536"/>
      <c r="AD536"/>
      <c r="AE536"/>
      <c r="AF536"/>
      <c r="AG536"/>
      <c r="AH536"/>
      <c r="AI536"/>
      <c r="AJ536"/>
      <c r="AK536"/>
      <c r="AL536"/>
      <c r="AM536"/>
      <c r="AN536"/>
      <c r="AO536"/>
      <c r="AP536"/>
    </row>
    <row r="537" spans="1:42" s="359" customFormat="1" ht="15" customHeight="1">
      <c r="A537"/>
      <c r="B537"/>
      <c r="C537" s="2"/>
      <c r="D537" s="207"/>
      <c r="E537" s="16"/>
      <c r="F537" s="2"/>
      <c r="H537"/>
      <c r="I537"/>
      <c r="J537"/>
      <c r="K537"/>
      <c r="L537"/>
      <c r="M537"/>
      <c r="N537"/>
      <c r="O537"/>
      <c r="P537"/>
      <c r="Q537" s="2791"/>
      <c r="R537" s="2791"/>
      <c r="S537" s="2791"/>
      <c r="T537"/>
      <c r="U537"/>
      <c r="V537"/>
      <c r="W537"/>
      <c r="X537"/>
      <c r="Y537"/>
      <c r="Z537"/>
      <c r="AA537"/>
      <c r="AB537"/>
      <c r="AC537"/>
      <c r="AD537"/>
      <c r="AE537"/>
      <c r="AF537"/>
      <c r="AG537"/>
      <c r="AH537"/>
      <c r="AI537"/>
      <c r="AJ537"/>
      <c r="AK537"/>
      <c r="AL537"/>
      <c r="AM537"/>
      <c r="AN537"/>
      <c r="AO537"/>
      <c r="AP537"/>
    </row>
    <row r="538" spans="1:42" s="359" customFormat="1" ht="15" customHeight="1">
      <c r="A538"/>
      <c r="B538"/>
      <c r="C538" s="2"/>
      <c r="D538" s="207"/>
      <c r="E538" s="16"/>
      <c r="F538" s="2"/>
      <c r="H538"/>
      <c r="I538"/>
      <c r="J538"/>
      <c r="K538"/>
      <c r="L538"/>
      <c r="M538"/>
      <c r="N538"/>
      <c r="O538"/>
      <c r="P538"/>
      <c r="Q538" s="2791"/>
      <c r="R538" s="2791"/>
      <c r="S538" s="2791"/>
      <c r="T538"/>
      <c r="U538"/>
      <c r="V538"/>
      <c r="W538"/>
      <c r="X538"/>
      <c r="Y538"/>
      <c r="Z538"/>
      <c r="AA538"/>
      <c r="AB538"/>
      <c r="AC538"/>
      <c r="AD538"/>
      <c r="AE538"/>
      <c r="AF538"/>
      <c r="AG538"/>
      <c r="AH538"/>
      <c r="AI538"/>
      <c r="AJ538"/>
      <c r="AK538"/>
      <c r="AL538"/>
      <c r="AM538"/>
      <c r="AN538"/>
      <c r="AO538"/>
      <c r="AP538"/>
    </row>
    <row r="539" spans="1:42" s="359" customFormat="1" ht="15" customHeight="1">
      <c r="A539"/>
      <c r="B539"/>
      <c r="C539" s="2"/>
      <c r="D539" s="207"/>
      <c r="E539" s="16"/>
      <c r="F539" s="2"/>
      <c r="H539"/>
      <c r="I539"/>
      <c r="J539"/>
      <c r="K539"/>
      <c r="L539"/>
      <c r="M539"/>
      <c r="N539"/>
      <c r="O539"/>
      <c r="P539"/>
      <c r="Q539" s="2791"/>
      <c r="R539" s="2791"/>
      <c r="S539" s="2791"/>
      <c r="T539"/>
      <c r="U539"/>
      <c r="V539"/>
      <c r="W539"/>
      <c r="X539"/>
      <c r="Y539"/>
      <c r="Z539"/>
      <c r="AA539"/>
      <c r="AB539"/>
      <c r="AC539"/>
      <c r="AD539"/>
      <c r="AE539"/>
      <c r="AF539"/>
      <c r="AG539"/>
      <c r="AH539"/>
      <c r="AI539"/>
      <c r="AJ539"/>
      <c r="AK539"/>
      <c r="AL539"/>
      <c r="AM539"/>
      <c r="AN539"/>
      <c r="AO539"/>
      <c r="AP539"/>
    </row>
    <row r="540" spans="1:42" s="359" customFormat="1" ht="15" customHeight="1">
      <c r="A540"/>
      <c r="B540"/>
      <c r="C540" s="206"/>
      <c r="D540" s="207"/>
      <c r="E540" s="16"/>
      <c r="F540" s="2"/>
      <c r="H540"/>
      <c r="I540"/>
      <c r="J540"/>
      <c r="K540"/>
      <c r="L540"/>
      <c r="M540"/>
      <c r="N540"/>
      <c r="O540"/>
      <c r="P540"/>
      <c r="Q540" s="2791"/>
      <c r="R540" s="2791"/>
      <c r="S540" s="2791"/>
      <c r="T540"/>
      <c r="U540"/>
      <c r="V540"/>
      <c r="W540"/>
      <c r="X540"/>
      <c r="Y540"/>
      <c r="Z540"/>
      <c r="AA540"/>
      <c r="AB540"/>
      <c r="AC540"/>
      <c r="AD540"/>
      <c r="AE540"/>
      <c r="AF540"/>
      <c r="AG540"/>
      <c r="AH540"/>
      <c r="AI540"/>
      <c r="AJ540"/>
      <c r="AK540"/>
      <c r="AL540"/>
      <c r="AM540"/>
      <c r="AN540"/>
      <c r="AO540"/>
      <c r="AP540"/>
    </row>
    <row r="541" spans="1:42" s="359" customFormat="1" ht="15" customHeight="1">
      <c r="A541"/>
      <c r="B541"/>
      <c r="C541"/>
      <c r="D541" s="207"/>
      <c r="E541" s="16"/>
      <c r="F541"/>
      <c r="H541"/>
      <c r="I541"/>
      <c r="J541"/>
      <c r="K541"/>
      <c r="L541"/>
      <c r="M541"/>
      <c r="N541"/>
      <c r="O541"/>
      <c r="P541"/>
      <c r="Q541" s="2791"/>
      <c r="R541" s="2791"/>
      <c r="S541" s="2791"/>
      <c r="T541"/>
      <c r="U541"/>
      <c r="V541"/>
      <c r="W541"/>
      <c r="X541"/>
      <c r="Y541"/>
      <c r="Z541"/>
      <c r="AA541"/>
      <c r="AB541"/>
      <c r="AC541"/>
      <c r="AD541"/>
      <c r="AE541"/>
      <c r="AF541"/>
      <c r="AG541"/>
      <c r="AH541"/>
      <c r="AI541"/>
      <c r="AJ541"/>
      <c r="AK541"/>
      <c r="AL541"/>
      <c r="AM541"/>
      <c r="AN541"/>
      <c r="AO541"/>
      <c r="AP541"/>
    </row>
    <row r="542" spans="1:42" ht="15" customHeight="1">
      <c r="D542" s="207"/>
      <c r="E542" s="2"/>
      <c r="F542" s="2"/>
    </row>
    <row r="543" spans="1:42" ht="15" customHeight="1">
      <c r="D543" s="207"/>
      <c r="F543" s="2"/>
    </row>
    <row r="544" spans="1:42" ht="15" customHeight="1">
      <c r="D544" s="207"/>
      <c r="F544" s="2"/>
    </row>
    <row r="545" spans="3:8" ht="15" customHeight="1">
      <c r="D545" s="207"/>
    </row>
    <row r="546" spans="3:8" ht="15" customHeight="1">
      <c r="D546" s="207"/>
    </row>
    <row r="547" spans="3:8" ht="15" customHeight="1">
      <c r="D547" s="57"/>
    </row>
    <row r="548" spans="3:8">
      <c r="D548" s="16"/>
    </row>
    <row r="549" spans="3:8">
      <c r="C549" s="206"/>
      <c r="D549" s="208"/>
      <c r="E549" s="6"/>
    </row>
    <row r="550" spans="3:8">
      <c r="D550" s="207"/>
    </row>
    <row r="551" spans="3:8">
      <c r="D551" s="207"/>
      <c r="F551" s="2"/>
    </row>
    <row r="552" spans="3:8">
      <c r="D552" s="207"/>
      <c r="F552" s="2"/>
    </row>
    <row r="553" spans="3:8">
      <c r="D553" s="156"/>
      <c r="F553" s="2"/>
    </row>
    <row r="554" spans="3:8">
      <c r="C554" s="206"/>
      <c r="F554" s="2"/>
    </row>
    <row r="555" spans="3:8">
      <c r="C555" s="206"/>
      <c r="D555" s="207"/>
      <c r="F555" s="2"/>
    </row>
    <row r="556" spans="3:8">
      <c r="D556" s="207"/>
      <c r="G556" s="99"/>
    </row>
    <row r="557" spans="3:8">
      <c r="D557" s="16"/>
      <c r="G557" s="99"/>
      <c r="H557" s="16"/>
    </row>
    <row r="558" spans="3:8">
      <c r="D558" s="207"/>
      <c r="G558" s="1132"/>
    </row>
    <row r="559" spans="3:8">
      <c r="D559" s="207"/>
      <c r="G559" s="1133"/>
    </row>
    <row r="560" spans="3:8">
      <c r="G560" s="99"/>
    </row>
    <row r="561" spans="2:42">
      <c r="D561" s="57"/>
      <c r="G561" s="1102"/>
      <c r="H561" s="16"/>
    </row>
    <row r="562" spans="2:42">
      <c r="G562" s="1102"/>
      <c r="H562" s="16"/>
    </row>
    <row r="563" spans="2:42">
      <c r="D563" s="156"/>
      <c r="J563" s="16"/>
    </row>
    <row r="564" spans="2:42">
      <c r="D564" s="156"/>
      <c r="J564" s="16"/>
    </row>
    <row r="566" spans="2:42">
      <c r="D566" s="16"/>
    </row>
    <row r="567" spans="2:42">
      <c r="D567" s="16"/>
    </row>
    <row r="568" spans="2:42">
      <c r="D568" s="16"/>
    </row>
    <row r="569" spans="2:42">
      <c r="D569" s="16"/>
    </row>
    <row r="572" spans="2:42" s="24" customFormat="1">
      <c r="B572"/>
      <c r="C572" s="206"/>
      <c r="E572" s="16"/>
      <c r="F572"/>
      <c r="G572" s="359"/>
      <c r="H572"/>
      <c r="I572"/>
      <c r="J572"/>
      <c r="K572"/>
      <c r="L572"/>
      <c r="M572"/>
      <c r="N572"/>
      <c r="O572"/>
      <c r="P572"/>
      <c r="Q572" s="2791"/>
      <c r="R572" s="2791"/>
      <c r="S572" s="2791"/>
      <c r="T572"/>
      <c r="U572"/>
      <c r="V572"/>
      <c r="W572"/>
      <c r="X572"/>
      <c r="Y572"/>
      <c r="Z572"/>
      <c r="AA572"/>
      <c r="AB572"/>
      <c r="AC572"/>
      <c r="AD572"/>
      <c r="AE572"/>
      <c r="AF572"/>
      <c r="AG572"/>
      <c r="AH572"/>
      <c r="AI572"/>
      <c r="AJ572"/>
      <c r="AK572"/>
      <c r="AL572"/>
      <c r="AM572"/>
      <c r="AN572"/>
      <c r="AO572"/>
      <c r="AP572"/>
    </row>
    <row r="573" spans="2:42" s="24" customFormat="1">
      <c r="B573"/>
      <c r="C573" s="206"/>
      <c r="E573" s="16"/>
      <c r="F573"/>
      <c r="G573" s="359"/>
      <c r="H573"/>
      <c r="I573"/>
      <c r="J573"/>
      <c r="K573"/>
      <c r="L573"/>
      <c r="M573"/>
      <c r="N573"/>
      <c r="O573"/>
      <c r="P573"/>
      <c r="Q573" s="2791"/>
      <c r="R573" s="2791"/>
      <c r="S573" s="2791"/>
      <c r="T573"/>
      <c r="U573"/>
      <c r="V573"/>
      <c r="W573"/>
      <c r="X573"/>
      <c r="Y573"/>
      <c r="Z573"/>
      <c r="AA573"/>
      <c r="AB573"/>
      <c r="AC573"/>
      <c r="AD573"/>
      <c r="AE573"/>
      <c r="AF573"/>
      <c r="AG573"/>
      <c r="AH573"/>
      <c r="AI573"/>
      <c r="AJ573"/>
      <c r="AK573"/>
      <c r="AL573"/>
      <c r="AM573"/>
      <c r="AN573"/>
      <c r="AO573"/>
      <c r="AP573"/>
    </row>
    <row r="574" spans="2:42" s="24" customFormat="1">
      <c r="B574"/>
      <c r="C574" s="206"/>
      <c r="E574" s="16"/>
      <c r="F574"/>
      <c r="G574" s="359"/>
      <c r="H574"/>
      <c r="I574"/>
      <c r="J574"/>
      <c r="K574"/>
      <c r="L574"/>
      <c r="M574"/>
      <c r="N574"/>
      <c r="O574"/>
      <c r="P574"/>
      <c r="Q574" s="2791"/>
      <c r="R574" s="2791"/>
      <c r="S574" s="2791"/>
      <c r="T574"/>
      <c r="U574"/>
      <c r="V574"/>
      <c r="W574"/>
      <c r="X574"/>
      <c r="Y574"/>
      <c r="Z574"/>
      <c r="AA574"/>
      <c r="AB574"/>
      <c r="AC574"/>
      <c r="AD574"/>
      <c r="AE574"/>
      <c r="AF574"/>
      <c r="AG574"/>
      <c r="AH574"/>
      <c r="AI574"/>
      <c r="AJ574"/>
      <c r="AK574"/>
      <c r="AL574"/>
      <c r="AM574"/>
      <c r="AN574"/>
      <c r="AO574"/>
      <c r="AP574"/>
    </row>
    <row r="575" spans="2:42" s="24" customFormat="1">
      <c r="B575"/>
      <c r="C575" s="206"/>
      <c r="E575" s="16"/>
      <c r="F575"/>
      <c r="G575" s="359"/>
      <c r="H575"/>
      <c r="I575"/>
      <c r="J575"/>
      <c r="K575"/>
      <c r="L575"/>
      <c r="M575"/>
      <c r="N575"/>
      <c r="O575"/>
      <c r="P575"/>
      <c r="Q575" s="2791"/>
      <c r="R575" s="2791"/>
      <c r="S575" s="2791"/>
      <c r="T575"/>
      <c r="U575"/>
      <c r="V575"/>
      <c r="W575"/>
      <c r="X575"/>
      <c r="Y575"/>
      <c r="Z575"/>
      <c r="AA575"/>
      <c r="AB575"/>
      <c r="AC575"/>
      <c r="AD575"/>
      <c r="AE575"/>
      <c r="AF575"/>
      <c r="AG575"/>
      <c r="AH575"/>
      <c r="AI575"/>
      <c r="AJ575"/>
      <c r="AK575"/>
      <c r="AL575"/>
      <c r="AM575"/>
      <c r="AN575"/>
      <c r="AO575"/>
      <c r="AP575"/>
    </row>
    <row r="576" spans="2:42" s="24" customFormat="1">
      <c r="B576"/>
      <c r="C576" s="206"/>
      <c r="E576" s="16"/>
      <c r="F576"/>
      <c r="G576" s="359"/>
      <c r="H576"/>
      <c r="I576"/>
      <c r="J576"/>
      <c r="K576"/>
      <c r="L576"/>
      <c r="M576"/>
      <c r="N576"/>
      <c r="O576"/>
      <c r="P576"/>
      <c r="Q576" s="2791"/>
      <c r="R576" s="2791"/>
      <c r="S576" s="2791"/>
      <c r="T576"/>
      <c r="U576"/>
      <c r="V576"/>
      <c r="W576"/>
      <c r="X576"/>
      <c r="Y576"/>
      <c r="Z576"/>
      <c r="AA576"/>
      <c r="AB576"/>
      <c r="AC576"/>
      <c r="AD576"/>
      <c r="AE576"/>
      <c r="AF576"/>
      <c r="AG576"/>
      <c r="AH576"/>
      <c r="AI576"/>
      <c r="AJ576"/>
      <c r="AK576"/>
      <c r="AL576"/>
      <c r="AM576"/>
      <c r="AN576"/>
      <c r="AO576"/>
      <c r="AP576"/>
    </row>
    <row r="577" spans="2:42" s="24" customFormat="1">
      <c r="B577"/>
      <c r="C577" s="206"/>
      <c r="E577" s="16"/>
      <c r="F577"/>
      <c r="G577" s="359"/>
      <c r="H577"/>
      <c r="I577"/>
      <c r="J577"/>
      <c r="K577"/>
      <c r="L577"/>
      <c r="M577"/>
      <c r="N577"/>
      <c r="O577"/>
      <c r="P577"/>
      <c r="Q577" s="2791"/>
      <c r="R577" s="2791"/>
      <c r="S577" s="2791"/>
      <c r="T577"/>
      <c r="U577"/>
      <c r="V577"/>
      <c r="W577"/>
      <c r="X577"/>
      <c r="Y577"/>
      <c r="Z577"/>
      <c r="AA577"/>
      <c r="AB577"/>
      <c r="AC577"/>
      <c r="AD577"/>
      <c r="AE577"/>
      <c r="AF577"/>
      <c r="AG577"/>
      <c r="AH577"/>
      <c r="AI577"/>
      <c r="AJ577"/>
      <c r="AK577"/>
      <c r="AL577"/>
      <c r="AM577"/>
      <c r="AN577"/>
      <c r="AO577"/>
      <c r="AP577"/>
    </row>
    <row r="578" spans="2:42" s="24" customFormat="1">
      <c r="B578"/>
      <c r="C578" s="206"/>
      <c r="E578" s="16"/>
      <c r="F578"/>
      <c r="G578" s="359"/>
      <c r="H578"/>
      <c r="I578"/>
      <c r="J578"/>
      <c r="K578"/>
      <c r="L578"/>
      <c r="M578"/>
      <c r="N578"/>
      <c r="O578"/>
      <c r="P578"/>
      <c r="Q578" s="2791"/>
      <c r="R578" s="2791"/>
      <c r="S578" s="2791"/>
      <c r="T578"/>
      <c r="U578"/>
      <c r="V578"/>
      <c r="W578"/>
      <c r="X578"/>
      <c r="Y578"/>
      <c r="Z578"/>
      <c r="AA578"/>
      <c r="AB578"/>
      <c r="AC578"/>
      <c r="AD578"/>
      <c r="AE578"/>
      <c r="AF578"/>
      <c r="AG578"/>
      <c r="AH578"/>
      <c r="AI578"/>
      <c r="AJ578"/>
      <c r="AK578"/>
      <c r="AL578"/>
      <c r="AM578"/>
      <c r="AN578"/>
      <c r="AO578"/>
      <c r="AP578"/>
    </row>
  </sheetData>
  <sortState xmlns:xlrd2="http://schemas.microsoft.com/office/spreadsheetml/2017/richdata2" ref="O3:P11">
    <sortCondition descending="1" ref="P3"/>
  </sortState>
  <mergeCells count="53">
    <mergeCell ref="D59:D62"/>
    <mergeCell ref="C47:C50"/>
    <mergeCell ref="D47:D50"/>
    <mergeCell ref="D35:D38"/>
    <mergeCell ref="C39:C42"/>
    <mergeCell ref="D39:D42"/>
    <mergeCell ref="C43:C46"/>
    <mergeCell ref="D43:D46"/>
    <mergeCell ref="C51:C54"/>
    <mergeCell ref="D51:D54"/>
    <mergeCell ref="C55:C58"/>
    <mergeCell ref="D55:D58"/>
    <mergeCell ref="C23:C26"/>
    <mergeCell ref="D23:D26"/>
    <mergeCell ref="D27:D30"/>
    <mergeCell ref="D31:D34"/>
    <mergeCell ref="Z21:Z22"/>
    <mergeCell ref="P21:P22"/>
    <mergeCell ref="U21:U22"/>
    <mergeCell ref="V21:V22"/>
    <mergeCell ref="W21:W22"/>
    <mergeCell ref="X21:X22"/>
    <mergeCell ref="Q21:Q22"/>
    <mergeCell ref="R21:R22"/>
    <mergeCell ref="S21:S22"/>
    <mergeCell ref="AH19:AK20"/>
    <mergeCell ref="C21:C22"/>
    <mergeCell ref="D21:D22"/>
    <mergeCell ref="E21:E22"/>
    <mergeCell ref="F21:G21"/>
    <mergeCell ref="H21:I21"/>
    <mergeCell ref="L21:M21"/>
    <mergeCell ref="N21:N22"/>
    <mergeCell ref="O21:O22"/>
    <mergeCell ref="AK21:AK22"/>
    <mergeCell ref="AA21:AA22"/>
    <mergeCell ref="AB21:AB22"/>
    <mergeCell ref="AD21:AD22"/>
    <mergeCell ref="AE21:AE22"/>
    <mergeCell ref="AJ21:AJ22"/>
    <mergeCell ref="Q17:S20"/>
    <mergeCell ref="AC6:AC9"/>
    <mergeCell ref="AF6:AF9"/>
    <mergeCell ref="B17:K20"/>
    <mergeCell ref="L17:P18"/>
    <mergeCell ref="U17:AC18"/>
    <mergeCell ref="L19:P20"/>
    <mergeCell ref="U19:U20"/>
    <mergeCell ref="V19:Z20"/>
    <mergeCell ref="AA19:AB20"/>
    <mergeCell ref="AC19:AC22"/>
    <mergeCell ref="Y21:Y22"/>
    <mergeCell ref="AD19:AE20"/>
  </mergeCells>
  <hyperlinks>
    <hyperlink ref="X267" r:id="rId1" xr:uid="{00000000-0004-0000-0800-000000000000}"/>
  </hyperlinks>
  <pageMargins left="0.7" right="0.7" top="0.75" bottom="0.75" header="0.3" footer="0.3"/>
  <pageSetup paperSize="9" orientation="portrait" horizontalDpi="0" verticalDpi="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B1:W182"/>
  <sheetViews>
    <sheetView showGridLines="0" zoomScaleNormal="100" workbookViewId="0">
      <selection activeCell="H36" sqref="H36"/>
    </sheetView>
  </sheetViews>
  <sheetFormatPr baseColWidth="10" defaultColWidth="11" defaultRowHeight="16" outlineLevelRow="1"/>
  <cols>
    <col min="1" max="1" width="4.6640625" customWidth="1"/>
    <col min="2" max="2" width="17.5" customWidth="1"/>
    <col min="3" max="3" width="29" customWidth="1"/>
    <col min="4" max="4" width="16.83203125" customWidth="1"/>
    <col min="5" max="5" width="13.33203125" customWidth="1"/>
    <col min="6" max="7" width="14.33203125" customWidth="1"/>
    <col min="8" max="8" width="18.1640625" customWidth="1"/>
    <col min="9" max="9" width="16.6640625" customWidth="1"/>
    <col min="10" max="10" width="14.33203125" customWidth="1"/>
    <col min="11" max="13" width="11.83203125" customWidth="1"/>
    <col min="14" max="14" width="12.1640625" customWidth="1"/>
    <col min="15" max="18" width="13.5" customWidth="1"/>
  </cols>
  <sheetData>
    <row r="1" spans="2:22">
      <c r="B1" s="8" t="s">
        <v>1035</v>
      </c>
    </row>
    <row r="3" spans="2:22">
      <c r="B3" s="8" t="s">
        <v>844</v>
      </c>
      <c r="G3" s="692"/>
      <c r="H3" s="692"/>
      <c r="I3" s="692"/>
      <c r="J3" s="692"/>
    </row>
    <row r="4" spans="2:22" ht="17" thickBot="1">
      <c r="B4" t="s">
        <v>839</v>
      </c>
      <c r="C4" t="s">
        <v>845</v>
      </c>
      <c r="D4" s="1"/>
      <c r="E4" s="1"/>
      <c r="F4" s="1"/>
      <c r="G4" s="1"/>
      <c r="H4" s="1"/>
    </row>
    <row r="5" spans="2:22">
      <c r="C5" s="804" t="s">
        <v>838</v>
      </c>
      <c r="D5" s="805" t="s">
        <v>860</v>
      </c>
      <c r="E5" s="805"/>
      <c r="F5" s="805"/>
      <c r="G5" s="805"/>
      <c r="H5" s="805"/>
    </row>
    <row r="6" spans="2:22">
      <c r="C6" s="807" t="s">
        <v>827</v>
      </c>
      <c r="D6" t="s">
        <v>2175</v>
      </c>
      <c r="H6" s="79"/>
    </row>
    <row r="7" spans="2:22">
      <c r="C7" s="807" t="s">
        <v>827</v>
      </c>
      <c r="D7" s="2791" t="s">
        <v>2369</v>
      </c>
      <c r="H7" s="79"/>
    </row>
    <row r="8" spans="2:22">
      <c r="C8" s="807"/>
      <c r="H8" s="79"/>
    </row>
    <row r="9" spans="2:22">
      <c r="C9" s="807"/>
      <c r="H9" s="79"/>
    </row>
    <row r="10" spans="2:22">
      <c r="C10" s="807"/>
      <c r="H10" s="79"/>
    </row>
    <row r="11" spans="2:22" ht="17" thickBot="1">
      <c r="C11" s="808"/>
      <c r="D11" s="574"/>
      <c r="E11" s="574"/>
      <c r="F11" s="574"/>
      <c r="G11" s="574"/>
      <c r="H11" s="574"/>
      <c r="V11" s="587">
        <v>0</v>
      </c>
    </row>
    <row r="12" spans="2:22">
      <c r="C12" s="360" t="s">
        <v>851</v>
      </c>
      <c r="V12" s="587"/>
    </row>
    <row r="13" spans="2:22">
      <c r="V13" s="587"/>
    </row>
    <row r="14" spans="2:22">
      <c r="B14" t="s">
        <v>942</v>
      </c>
      <c r="C14" s="359" t="s">
        <v>848</v>
      </c>
      <c r="V14" s="587"/>
    </row>
    <row r="16" spans="2:22">
      <c r="B16" s="8" t="s">
        <v>730</v>
      </c>
    </row>
    <row r="17" spans="2:10" ht="17">
      <c r="B17" s="3" t="s">
        <v>847</v>
      </c>
      <c r="G17" s="562"/>
      <c r="H17" s="562"/>
      <c r="I17" s="562"/>
      <c r="J17" s="562"/>
    </row>
    <row r="18" spans="2:10" ht="17">
      <c r="C18" t="s">
        <v>1866</v>
      </c>
      <c r="G18" s="562"/>
      <c r="H18" s="562"/>
      <c r="I18" s="562"/>
      <c r="J18" s="562"/>
    </row>
    <row r="19" spans="2:10">
      <c r="G19" s="692"/>
      <c r="H19" s="692"/>
      <c r="I19" s="692"/>
      <c r="J19" s="692"/>
    </row>
    <row r="20" spans="2:10">
      <c r="C20" s="1" t="s">
        <v>1906</v>
      </c>
      <c r="G20" s="692"/>
      <c r="H20" s="692"/>
      <c r="I20" s="692"/>
      <c r="J20" s="692"/>
    </row>
    <row r="21" spans="2:10" ht="17">
      <c r="C21" t="s">
        <v>843</v>
      </c>
      <c r="G21" s="562"/>
      <c r="H21" s="562"/>
      <c r="I21" s="562"/>
      <c r="J21" s="562"/>
    </row>
    <row r="22" spans="2:10" ht="17">
      <c r="C22" t="s">
        <v>867</v>
      </c>
      <c r="D22" s="31"/>
      <c r="G22" s="562"/>
      <c r="H22" s="562"/>
      <c r="I22" s="562"/>
      <c r="J22" s="562"/>
    </row>
    <row r="23" spans="2:10" ht="17">
      <c r="D23" s="31"/>
      <c r="G23" s="562"/>
      <c r="H23" s="562"/>
      <c r="I23" s="562"/>
      <c r="J23" s="562"/>
    </row>
    <row r="24" spans="2:10" ht="17">
      <c r="D24" s="31"/>
      <c r="G24" s="562"/>
      <c r="H24" s="562"/>
      <c r="I24" s="562"/>
      <c r="J24" s="562"/>
    </row>
    <row r="25" spans="2:10" ht="17">
      <c r="D25" s="31"/>
      <c r="G25" s="562"/>
      <c r="H25" s="562"/>
      <c r="I25" s="562"/>
      <c r="J25" s="562"/>
    </row>
    <row r="26" spans="2:10" ht="17">
      <c r="B26" s="3" t="s">
        <v>846</v>
      </c>
      <c r="G26" s="562"/>
      <c r="H26" s="562"/>
      <c r="I26" s="562"/>
      <c r="J26" s="562"/>
    </row>
    <row r="27" spans="2:10" ht="17">
      <c r="G27" s="562"/>
      <c r="H27" s="562"/>
      <c r="I27" s="562"/>
      <c r="J27" s="562"/>
    </row>
    <row r="28" spans="2:10" ht="17">
      <c r="C28" s="693" t="s">
        <v>1868</v>
      </c>
      <c r="D28" s="31"/>
      <c r="G28" s="562"/>
      <c r="H28" s="562"/>
      <c r="I28" s="562"/>
      <c r="J28" s="562"/>
    </row>
    <row r="29" spans="2:10">
      <c r="C29" s="693"/>
      <c r="G29" s="692"/>
      <c r="H29" s="692"/>
      <c r="I29" s="692"/>
      <c r="J29" s="692"/>
    </row>
    <row r="30" spans="2:10" ht="17">
      <c r="G30" s="562"/>
      <c r="H30" s="562"/>
      <c r="I30" s="562"/>
      <c r="J30" s="562"/>
    </row>
    <row r="31" spans="2:10">
      <c r="G31" s="692"/>
      <c r="H31" s="692"/>
      <c r="I31" s="692"/>
      <c r="J31" s="692"/>
    </row>
    <row r="32" spans="2:10">
      <c r="C32" t="s">
        <v>836</v>
      </c>
      <c r="G32" s="692"/>
      <c r="H32" s="692"/>
      <c r="I32" s="692"/>
      <c r="J32" s="692"/>
    </row>
    <row r="33" spans="2:23">
      <c r="D33" t="s">
        <v>2370</v>
      </c>
      <c r="G33" s="692"/>
      <c r="H33" s="692"/>
      <c r="I33" s="692"/>
      <c r="J33" s="692"/>
    </row>
    <row r="34" spans="2:23">
      <c r="H34" s="692"/>
      <c r="I34" s="692"/>
      <c r="J34" s="692"/>
      <c r="K34" s="692"/>
      <c r="L34" s="692"/>
    </row>
    <row r="35" spans="2:23">
      <c r="H35" s="692"/>
      <c r="I35" s="692"/>
      <c r="J35" s="692"/>
      <c r="K35" s="692"/>
      <c r="L35" s="692"/>
    </row>
    <row r="36" spans="2:23">
      <c r="G36" s="692"/>
      <c r="H36" s="692"/>
      <c r="I36" s="692"/>
      <c r="J36" s="692"/>
    </row>
    <row r="37" spans="2:23">
      <c r="B37" s="1"/>
      <c r="C37" s="360"/>
      <c r="V37" s="587"/>
    </row>
    <row r="38" spans="2:23">
      <c r="B38" s="8" t="s">
        <v>1036</v>
      </c>
      <c r="C38" s="100"/>
      <c r="F38" s="3881"/>
      <c r="G38" s="3881"/>
      <c r="H38" s="3881"/>
      <c r="J38" s="1" t="s">
        <v>1430</v>
      </c>
      <c r="K38" s="1"/>
      <c r="L38" s="1"/>
      <c r="V38" s="587"/>
    </row>
    <row r="39" spans="2:23">
      <c r="B39" t="s">
        <v>841</v>
      </c>
      <c r="N39" t="s">
        <v>1053</v>
      </c>
      <c r="V39" s="587"/>
    </row>
    <row r="40" spans="2:23">
      <c r="C40" t="s">
        <v>829</v>
      </c>
      <c r="J40" s="259">
        <f>'Overall Assumptions'!$C$179</f>
        <v>208.4</v>
      </c>
      <c r="V40" s="587"/>
    </row>
    <row r="41" spans="2:23">
      <c r="C41" s="360" t="s">
        <v>1052</v>
      </c>
      <c r="D41" s="1"/>
      <c r="E41" s="1"/>
      <c r="J41" s="3882"/>
      <c r="K41" s="3882"/>
      <c r="L41" s="3882"/>
      <c r="V41" s="587"/>
    </row>
    <row r="42" spans="2:23">
      <c r="C42" s="4" t="s">
        <v>730</v>
      </c>
      <c r="D42" s="593" t="s">
        <v>832</v>
      </c>
      <c r="F42" s="3741" t="s">
        <v>1869</v>
      </c>
      <c r="G42" s="3742"/>
      <c r="H42" s="3743"/>
      <c r="I42" s="2555"/>
      <c r="J42" s="3741" t="s">
        <v>1870</v>
      </c>
      <c r="K42" s="3742"/>
      <c r="L42" s="3743"/>
      <c r="N42" s="255">
        <v>0</v>
      </c>
      <c r="O42" s="255">
        <v>1</v>
      </c>
      <c r="P42" s="255">
        <v>2</v>
      </c>
      <c r="Q42" s="161">
        <v>3</v>
      </c>
      <c r="W42" s="587"/>
    </row>
    <row r="43" spans="2:23" ht="16" customHeight="1">
      <c r="C43" s="480" t="s">
        <v>819</v>
      </c>
      <c r="D43" s="3828" t="s">
        <v>801</v>
      </c>
      <c r="F43" s="3883"/>
      <c r="G43" s="3884"/>
      <c r="H43" s="3885"/>
      <c r="I43" s="2100"/>
      <c r="J43" s="3886"/>
      <c r="K43" s="3887"/>
      <c r="L43" s="3888"/>
      <c r="N43" s="402" t="s">
        <v>821</v>
      </c>
      <c r="O43" s="255"/>
      <c r="P43" s="255"/>
      <c r="Q43" s="161"/>
      <c r="W43" s="587"/>
    </row>
    <row r="44" spans="2:23" ht="16" customHeight="1">
      <c r="C44" s="591"/>
      <c r="D44" s="3829"/>
      <c r="F44" s="3889"/>
      <c r="G44" s="3890"/>
      <c r="H44" s="3891"/>
      <c r="I44" s="2553"/>
      <c r="J44" s="3892"/>
      <c r="K44" s="3893"/>
      <c r="L44" s="3894"/>
      <c r="N44" s="480" t="s">
        <v>3</v>
      </c>
      <c r="O44" s="161" t="s">
        <v>132</v>
      </c>
      <c r="P44" s="161" t="s">
        <v>4</v>
      </c>
      <c r="Q44" s="161" t="s">
        <v>21</v>
      </c>
      <c r="W44" s="587"/>
    </row>
    <row r="45" spans="2:23" ht="16" customHeight="1">
      <c r="C45" s="591"/>
      <c r="D45" s="3829"/>
      <c r="F45" s="3895" t="s">
        <v>796</v>
      </c>
      <c r="G45" s="3896"/>
      <c r="H45" s="3897"/>
      <c r="I45" s="2554"/>
      <c r="J45" s="3886" t="s">
        <v>796</v>
      </c>
      <c r="K45" s="3887"/>
      <c r="L45" s="3888"/>
      <c r="N45" s="2552"/>
      <c r="O45" s="2554"/>
      <c r="P45" s="2554"/>
      <c r="Q45" s="246"/>
      <c r="W45" s="587"/>
    </row>
    <row r="46" spans="2:23">
      <c r="B46" s="79"/>
      <c r="C46" s="481"/>
      <c r="D46" s="3830"/>
      <c r="F46" s="404" t="s">
        <v>802</v>
      </c>
      <c r="G46" s="79" t="s">
        <v>803</v>
      </c>
      <c r="H46" s="246" t="s">
        <v>733</v>
      </c>
      <c r="I46" s="246"/>
      <c r="J46" s="404" t="s">
        <v>802</v>
      </c>
      <c r="K46" s="79" t="s">
        <v>803</v>
      </c>
      <c r="L46" s="246" t="s">
        <v>733</v>
      </c>
      <c r="N46" s="481"/>
      <c r="O46" s="162"/>
      <c r="P46" s="162"/>
      <c r="Q46" s="162"/>
      <c r="W46" s="587"/>
    </row>
    <row r="47" spans="2:23">
      <c r="B47" s="480" t="s">
        <v>862</v>
      </c>
      <c r="C47" s="246" t="s">
        <v>57</v>
      </c>
      <c r="D47" s="606"/>
      <c r="F47" s="1181">
        <f>'Critical Sites Access'!$AB$23</f>
        <v>114.0749999999999</v>
      </c>
      <c r="G47" s="1182">
        <f>'Critical Sites Access'!$AB$23</f>
        <v>114.0749999999999</v>
      </c>
      <c r="H47" s="1183">
        <f>'Critical Sites Access'!$AB$23</f>
        <v>114.0749999999999</v>
      </c>
      <c r="I47" s="384"/>
      <c r="J47" s="2094"/>
      <c r="K47" s="2095"/>
      <c r="L47" s="2096"/>
      <c r="N47" s="1208">
        <f ca="1">OFFSET('Critical Sites Access'!$AC$23,N$42+$R47,0)</f>
        <v>1</v>
      </c>
      <c r="O47" s="1208" t="str">
        <f ca="1">OFFSET('Critical Sites Access'!$AC$23,O$42+$R47,0)</f>
        <v/>
      </c>
      <c r="P47" s="1208" t="str">
        <f ca="1">OFFSET('Critical Sites Access'!$AC$23,P$42+$R47,0)</f>
        <v/>
      </c>
      <c r="Q47" s="1208" t="str">
        <f ca="1">OFFSET('Critical Sites Access'!$AC$23,Q$42+$R47,0)</f>
        <v/>
      </c>
      <c r="R47" s="587">
        <v>0</v>
      </c>
      <c r="S47" s="578">
        <f t="shared" ref="S47:S52" ca="1" si="0">SUM(N47:Q47)</f>
        <v>1</v>
      </c>
      <c r="W47" s="587"/>
    </row>
    <row r="48" spans="2:23" ht="16" customHeight="1">
      <c r="B48" s="591" t="s">
        <v>863</v>
      </c>
      <c r="C48" s="389" t="s">
        <v>1001</v>
      </c>
      <c r="D48" s="606"/>
      <c r="F48" s="841">
        <f>'Critical Sites Access'!$AB$27</f>
        <v>56.921695067264523</v>
      </c>
      <c r="G48" s="337">
        <f>'Critical Sites Access'!$AB$31</f>
        <v>64.360260089686051</v>
      </c>
      <c r="H48" s="842">
        <f>'Critical Sites Access'!$AB$35</f>
        <v>85.243390134529079</v>
      </c>
      <c r="I48" s="384"/>
      <c r="J48" s="2882">
        <f>'Critical Sites Access'!$S$28</f>
        <v>0.99999999999999911</v>
      </c>
      <c r="K48" s="2333">
        <f>'Critical Sites Access'!$S$32</f>
        <v>0.99999999999999911</v>
      </c>
      <c r="L48" s="3104">
        <f>'Critical Sites Access'!$S$36</f>
        <v>0.99999999999999911</v>
      </c>
      <c r="N48" s="751">
        <f ca="1">OFFSET('Critical Sites Access'!$AC$23,N$42+$R48,0)</f>
        <v>0.45956785255615878</v>
      </c>
      <c r="O48" s="751">
        <f ca="1">OFFSET('Critical Sites Access'!$AC$23,O$42+$R48,0)</f>
        <v>0.2238920307324877</v>
      </c>
      <c r="P48" s="751">
        <f ca="1">OFFSET('Critical Sites Access'!$AC$23,P$42+$R48,0)</f>
        <v>0.31654011671135351</v>
      </c>
      <c r="Q48" s="751">
        <f ca="1">OFFSET('Critical Sites Access'!$AC$23,Q$42+$R48,0)</f>
        <v>0</v>
      </c>
      <c r="R48" s="587">
        <v>4</v>
      </c>
      <c r="S48" s="578">
        <f t="shared" ca="1" si="0"/>
        <v>1</v>
      </c>
      <c r="W48" s="587"/>
    </row>
    <row r="49" spans="2:23" ht="16" customHeight="1">
      <c r="B49" s="591" t="s">
        <v>862</v>
      </c>
      <c r="C49" s="165" t="s">
        <v>1914</v>
      </c>
      <c r="D49" s="842">
        <f>'Critical Sites Access'!$AB$39</f>
        <v>1566629.9999999986</v>
      </c>
      <c r="F49" s="2588"/>
      <c r="G49" s="2589"/>
      <c r="H49" s="2590"/>
      <c r="I49" s="2589"/>
      <c r="J49" s="3191"/>
      <c r="K49" s="3192"/>
      <c r="L49" s="3193"/>
      <c r="M49" s="2588"/>
      <c r="N49" s="751">
        <f ca="1">OFFSET('Critical Sites Access'!$AC$23,N$42+$R49,0)</f>
        <v>1</v>
      </c>
      <c r="O49" s="751" t="str">
        <f ca="1">OFFSET('Critical Sites Access'!$AC$23,O$42+$R49,0)</f>
        <v/>
      </c>
      <c r="P49" s="751" t="str">
        <f ca="1">OFFSET('Critical Sites Access'!$AC$23,P$42+$R49,0)</f>
        <v/>
      </c>
      <c r="Q49" s="751" t="str">
        <f ca="1">OFFSET('Critical Sites Access'!$AC$23,Q$42+$R49,0)</f>
        <v/>
      </c>
      <c r="R49" s="587">
        <v>16</v>
      </c>
      <c r="S49" s="578">
        <f t="shared" ca="1" si="0"/>
        <v>1</v>
      </c>
      <c r="W49" s="587"/>
    </row>
    <row r="50" spans="2:23">
      <c r="B50" s="591" t="s">
        <v>862</v>
      </c>
      <c r="C50" s="2559" t="s">
        <v>1998</v>
      </c>
      <c r="D50" s="606"/>
      <c r="F50" s="841">
        <f>'Critical Sites Access'!$AB$43</f>
        <v>58.048458864236459</v>
      </c>
      <c r="G50" s="337">
        <f>'Critical Sites Access'!$AB$43</f>
        <v>58.048458864236459</v>
      </c>
      <c r="H50" s="842">
        <f>'Critical Sites Access'!$AB$43</f>
        <v>58.048458864236459</v>
      </c>
      <c r="I50" s="384"/>
      <c r="J50" s="2882">
        <f>'Critical Sites Access'!$S$44</f>
        <v>0.11854898493282347</v>
      </c>
      <c r="K50" s="2333">
        <f>'Critical Sites Access'!$S$44</f>
        <v>0.11854898493282347</v>
      </c>
      <c r="L50" s="3104">
        <f>'Critical Sites Access'!$S$44</f>
        <v>0.11854898493282347</v>
      </c>
      <c r="N50" s="751">
        <f ca="1">OFFSET('Critical Sites Access'!$AC$23,N$42+$R50,0)</f>
        <v>0.21640206021345507</v>
      </c>
      <c r="O50" s="751">
        <f ca="1">OFFSET('Critical Sites Access'!$AC$23,O$42+$R50,0)</f>
        <v>0.10542664471937559</v>
      </c>
      <c r="P50" s="751">
        <f ca="1">OFFSET('Critical Sites Access'!$AC$23,P$42+$R50,0)</f>
        <v>0.14718844581320026</v>
      </c>
      <c r="Q50" s="751">
        <f ca="1">OFFSET('Critical Sites Access'!$AC$23,Q$42+$R50,0)</f>
        <v>0.5309828492539691</v>
      </c>
      <c r="R50" s="587">
        <f>R49+4</f>
        <v>20</v>
      </c>
      <c r="S50" s="578">
        <f t="shared" ca="1" si="0"/>
        <v>1</v>
      </c>
      <c r="W50" s="587"/>
    </row>
    <row r="51" spans="2:23">
      <c r="B51" s="591" t="s">
        <v>863</v>
      </c>
      <c r="C51" s="389" t="s">
        <v>1044</v>
      </c>
      <c r="D51" s="606"/>
      <c r="F51" s="841">
        <f>'Critical Sites Access'!$AB$47</f>
        <v>56.921695067264523</v>
      </c>
      <c r="G51" s="337">
        <f>'Critical Sites Access'!$AB$51</f>
        <v>64.360260089686051</v>
      </c>
      <c r="H51" s="842">
        <f>'Critical Sites Access'!$AB$55</f>
        <v>85.243390134529079</v>
      </c>
      <c r="I51" s="384"/>
      <c r="J51" s="2882">
        <f>'Critical Sites Access'!$S$48</f>
        <v>0.99999999999999911</v>
      </c>
      <c r="K51" s="2333">
        <f>'Critical Sites Access'!$S$52</f>
        <v>0.99999999999999911</v>
      </c>
      <c r="L51" s="3104">
        <f>'Critical Sites Access'!$S$56</f>
        <v>0.99999999999999911</v>
      </c>
      <c r="N51" s="751">
        <f ca="1">OFFSET('Critical Sites Access'!$AC$23,N$42+$R51,0)</f>
        <v>0.45956785255615878</v>
      </c>
      <c r="O51" s="751">
        <f ca="1">OFFSET('Critical Sites Access'!$AC$23,O$42+$R51,0)</f>
        <v>0.2238920307324877</v>
      </c>
      <c r="P51" s="751">
        <f ca="1">OFFSET('Critical Sites Access'!$AC$23,P$42+$R51,0)</f>
        <v>0.31654011671135351</v>
      </c>
      <c r="Q51" s="751" t="str">
        <f ca="1">OFFSET('Critical Sites Access'!$AC$23,Q$42+$R51,0)</f>
        <v/>
      </c>
      <c r="R51" s="587">
        <f t="shared" ref="R51" si="1">R50+4</f>
        <v>24</v>
      </c>
      <c r="S51" s="578">
        <f t="shared" ca="1" si="0"/>
        <v>1</v>
      </c>
    </row>
    <row r="52" spans="2:23">
      <c r="B52" s="481" t="s">
        <v>862</v>
      </c>
      <c r="C52" s="162" t="s">
        <v>736</v>
      </c>
      <c r="D52" s="607"/>
      <c r="F52" s="1263">
        <f>'Critical Sites Access'!$AB$59</f>
        <v>85.55624999999992</v>
      </c>
      <c r="G52" s="338">
        <f>'Critical Sites Access'!$AB$59</f>
        <v>85.55624999999992</v>
      </c>
      <c r="H52" s="1264">
        <f>'Critical Sites Access'!$AB$59</f>
        <v>85.55624999999992</v>
      </c>
      <c r="I52" s="384"/>
      <c r="J52" s="3184"/>
      <c r="K52" s="3185"/>
      <c r="L52" s="3194"/>
      <c r="N52" s="752">
        <f ca="1">OFFSET('Critical Sites Access'!$AC$23,N$42+$R52,0)</f>
        <v>1</v>
      </c>
      <c r="O52" s="752" t="str">
        <f ca="1">OFFSET('Critical Sites Access'!$AC$23,O$42+$R52,0)</f>
        <v/>
      </c>
      <c r="P52" s="752" t="str">
        <f ca="1">OFFSET('Critical Sites Access'!$AC$23,P$42+$R52,0)</f>
        <v/>
      </c>
      <c r="Q52" s="752" t="str">
        <f ca="1">OFFSET('Critical Sites Access'!$AC$23,Q$42+$R52,0)</f>
        <v/>
      </c>
      <c r="R52" s="587">
        <f>R51+12</f>
        <v>36</v>
      </c>
      <c r="S52" s="578">
        <f t="shared" ca="1" si="0"/>
        <v>1</v>
      </c>
    </row>
    <row r="53" spans="2:23">
      <c r="C53" s="771" t="s">
        <v>833</v>
      </c>
      <c r="D53" s="778">
        <f>SUM(D47:D52)</f>
        <v>1566629.9999999986</v>
      </c>
      <c r="E53" s="2089" t="s">
        <v>826</v>
      </c>
      <c r="F53" s="1265">
        <f>SUM(F47:F52)</f>
        <v>371.52309899876531</v>
      </c>
      <c r="G53" s="1260">
        <f>SUM(G47:G52)</f>
        <v>386.40022904360836</v>
      </c>
      <c r="H53" s="1266">
        <f>SUM(H47:H52)</f>
        <v>428.16648913329442</v>
      </c>
      <c r="I53" s="1271" t="s">
        <v>2226</v>
      </c>
      <c r="J53" s="3108">
        <f>SUM(J47:J52)</f>
        <v>2.1185489849328216</v>
      </c>
      <c r="K53" s="3109">
        <f>SUM(K47:K52)</f>
        <v>2.1185489849328216</v>
      </c>
      <c r="L53" s="3168">
        <f>SUM(L47:L52)</f>
        <v>2.1185489849328216</v>
      </c>
      <c r="N53" s="609"/>
      <c r="O53" s="609"/>
      <c r="P53" s="609"/>
      <c r="Q53" s="1"/>
      <c r="R53" s="1"/>
    </row>
    <row r="54" spans="2:23">
      <c r="B54" s="811"/>
      <c r="E54" s="16"/>
      <c r="F54" s="454">
        <f>F53</f>
        <v>371.52309899876531</v>
      </c>
      <c r="G54" s="3624">
        <f>G53-$F53</f>
        <v>14.877130044843057</v>
      </c>
      <c r="H54" s="3624">
        <f>H53-$F53</f>
        <v>56.643390134529113</v>
      </c>
      <c r="Q54" s="609"/>
      <c r="R54" s="609"/>
      <c r="S54" s="609"/>
    </row>
    <row r="55" spans="2:23">
      <c r="B55" s="811"/>
      <c r="C55" s="16"/>
      <c r="D55" s="16"/>
      <c r="L55" s="543"/>
      <c r="N55" s="609"/>
    </row>
    <row r="56" spans="2:23">
      <c r="B56" s="811"/>
      <c r="C56" s="28" t="s">
        <v>822</v>
      </c>
      <c r="D56" s="28"/>
      <c r="E56" s="3"/>
      <c r="F56" s="3"/>
      <c r="G56" s="3"/>
      <c r="H56" s="3"/>
      <c r="I56" s="3"/>
      <c r="L56" s="543"/>
      <c r="N56" s="609"/>
    </row>
    <row r="57" spans="2:23" ht="15" customHeight="1">
      <c r="B57" s="480" t="s">
        <v>862</v>
      </c>
      <c r="C57" s="246" t="s">
        <v>57</v>
      </c>
      <c r="D57" s="606"/>
      <c r="F57" s="1181">
        <f>'Critical Sites Access'!$Z$23</f>
        <v>46.57499999999996</v>
      </c>
      <c r="G57" s="1182">
        <f>'Critical Sites Access'!$Z$23</f>
        <v>46.57499999999996</v>
      </c>
      <c r="H57" s="1183">
        <f>'Critical Sites Access'!$Z$23</f>
        <v>46.57499999999996</v>
      </c>
      <c r="I57" s="768"/>
      <c r="J57" s="748"/>
      <c r="K57" s="748"/>
      <c r="L57" s="748"/>
      <c r="N57" s="609"/>
    </row>
    <row r="58" spans="2:23" ht="16" customHeight="1">
      <c r="B58" s="591" t="s">
        <v>863</v>
      </c>
      <c r="C58" s="389" t="s">
        <v>1001</v>
      </c>
      <c r="D58" s="606"/>
      <c r="F58" s="841">
        <f>'Critical Sites Access'!$Z$27</f>
        <v>21.337838565022402</v>
      </c>
      <c r="G58" s="337">
        <f>'Critical Sites Access'!$Z$31</f>
        <v>24.381784753363213</v>
      </c>
      <c r="H58" s="842">
        <f>'Critical Sites Access'!$Z$35</f>
        <v>32.275677130044819</v>
      </c>
      <c r="I58" s="779"/>
      <c r="J58" s="79"/>
      <c r="K58" s="79"/>
      <c r="L58" s="79"/>
      <c r="N58" s="609"/>
    </row>
    <row r="59" spans="2:23" ht="16" customHeight="1">
      <c r="B59" s="591" t="s">
        <v>862</v>
      </c>
      <c r="C59" s="165" t="s">
        <v>1914</v>
      </c>
      <c r="D59" s="842">
        <f>'Critical Sites Access'!$Z$39</f>
        <v>639629.99999999953</v>
      </c>
      <c r="F59" s="2588"/>
      <c r="G59" s="2589"/>
      <c r="H59" s="2590"/>
      <c r="I59" s="779"/>
      <c r="J59" s="79"/>
      <c r="K59" s="79"/>
      <c r="L59" s="79"/>
      <c r="N59" s="609"/>
    </row>
    <row r="60" spans="2:23" outlineLevel="1">
      <c r="B60" s="591" t="s">
        <v>862</v>
      </c>
      <c r="C60" s="2559" t="s">
        <v>1998</v>
      </c>
      <c r="D60" s="606"/>
      <c r="F60" s="841">
        <f>'Critical Sites Access'!$Z$43</f>
        <v>17.326882539811606</v>
      </c>
      <c r="G60" s="337">
        <f>'Critical Sites Access'!$Z$43</f>
        <v>17.326882539811606</v>
      </c>
      <c r="H60" s="842">
        <f>'Critical Sites Access'!$Z$43</f>
        <v>17.326882539811606</v>
      </c>
      <c r="I60" s="779"/>
      <c r="N60" s="609"/>
    </row>
    <row r="61" spans="2:23" outlineLevel="1">
      <c r="B61" s="591" t="s">
        <v>863</v>
      </c>
      <c r="C61" s="389" t="s">
        <v>1044</v>
      </c>
      <c r="D61" s="606"/>
      <c r="F61" s="841">
        <f>'Critical Sites Access'!$Z$47</f>
        <v>21.337838565022402</v>
      </c>
      <c r="G61" s="337">
        <f>'Critical Sites Access'!$Z$51</f>
        <v>24.381784753363213</v>
      </c>
      <c r="H61" s="842">
        <f>'Critical Sites Access'!$Z$55</f>
        <v>32.275677130044819</v>
      </c>
      <c r="I61" s="779"/>
      <c r="N61" s="609"/>
    </row>
    <row r="62" spans="2:23" outlineLevel="1">
      <c r="B62" s="481" t="s">
        <v>862</v>
      </c>
      <c r="C62" s="162" t="s">
        <v>736</v>
      </c>
      <c r="D62" s="607"/>
      <c r="F62" s="1263">
        <f>'Critical Sites Access'!$Z$59</f>
        <v>34.931249999999963</v>
      </c>
      <c r="G62" s="338">
        <f>'Critical Sites Access'!$Z$59</f>
        <v>34.931249999999963</v>
      </c>
      <c r="H62" s="1264">
        <f>'Critical Sites Access'!$Z$59</f>
        <v>34.931249999999963</v>
      </c>
      <c r="I62" s="779"/>
      <c r="N62" s="609"/>
    </row>
    <row r="63" spans="2:23">
      <c r="C63" s="771" t="s">
        <v>833</v>
      </c>
      <c r="D63" s="778">
        <f>SUM(D57:D62)</f>
        <v>639629.99999999953</v>
      </c>
      <c r="E63" s="2089" t="s">
        <v>826</v>
      </c>
      <c r="F63" s="1265">
        <f>SUM(F57:F62)</f>
        <v>141.5088096698563</v>
      </c>
      <c r="G63" s="1260">
        <f>SUM(G57:G62)</f>
        <v>147.59670204653793</v>
      </c>
      <c r="H63" s="1266">
        <f>SUM(H57:H62)</f>
        <v>163.38448679990114</v>
      </c>
      <c r="I63" s="779"/>
      <c r="L63" s="543"/>
      <c r="N63" s="609"/>
    </row>
    <row r="66" spans="22:22">
      <c r="V66" s="587"/>
    </row>
    <row r="105" spans="2:5" s="2953" customFormat="1">
      <c r="B105" s="4" t="s">
        <v>2427</v>
      </c>
      <c r="C105" s="401"/>
      <c r="D105" s="401"/>
      <c r="E105" s="274"/>
    </row>
    <row r="106" spans="2:5" s="2953" customFormat="1">
      <c r="C106" s="2953" t="s">
        <v>2403</v>
      </c>
    </row>
    <row r="107" spans="2:5" s="2953" customFormat="1">
      <c r="C107" s="1" t="s">
        <v>2404</v>
      </c>
    </row>
    <row r="108" spans="2:5" s="2953" customFormat="1">
      <c r="C108" s="1" t="s">
        <v>2412</v>
      </c>
    </row>
    <row r="109" spans="2:5" s="2953" customFormat="1">
      <c r="C109" s="2953" t="s">
        <v>2435</v>
      </c>
    </row>
    <row r="110" spans="2:5" s="2953" customFormat="1">
      <c r="C110" s="1" t="s">
        <v>2433</v>
      </c>
    </row>
    <row r="111" spans="2:5" s="2953" customFormat="1"/>
    <row r="112" spans="2:5" s="2953" customFormat="1">
      <c r="B112" s="3623" t="s">
        <v>2436</v>
      </c>
    </row>
    <row r="113" spans="3:5" s="2953" customFormat="1">
      <c r="C113" s="1" t="s">
        <v>2431</v>
      </c>
    </row>
    <row r="114" spans="3:5" s="2953" customFormat="1">
      <c r="C114" s="100" t="s">
        <v>749</v>
      </c>
      <c r="D114" s="197">
        <f>E149</f>
        <v>0</v>
      </c>
    </row>
    <row r="115" spans="3:5" s="2953" customFormat="1">
      <c r="C115" s="100" t="s">
        <v>750</v>
      </c>
      <c r="D115" s="197">
        <f>E150</f>
        <v>0</v>
      </c>
    </row>
    <row r="116" spans="3:5" s="2953" customFormat="1">
      <c r="C116" s="100" t="s">
        <v>769</v>
      </c>
      <c r="D116" s="197">
        <f>E151</f>
        <v>0</v>
      </c>
    </row>
    <row r="117" spans="3:5" s="2953" customFormat="1">
      <c r="C117" s="1" t="s">
        <v>2430</v>
      </c>
    </row>
    <row r="118" spans="3:5" s="2953" customFormat="1">
      <c r="C118" s="100" t="s">
        <v>749</v>
      </c>
      <c r="D118" s="259">
        <f>E176</f>
        <v>0</v>
      </c>
    </row>
    <row r="119" spans="3:5" s="2953" customFormat="1">
      <c r="C119" s="100" t="s">
        <v>750</v>
      </c>
      <c r="D119" s="259">
        <f>E177</f>
        <v>0</v>
      </c>
    </row>
    <row r="120" spans="3:5" s="2953" customFormat="1">
      <c r="C120" s="100" t="s">
        <v>769</v>
      </c>
      <c r="D120" s="259">
        <f>E178</f>
        <v>0</v>
      </c>
    </row>
    <row r="121" spans="3:5" s="2953" customFormat="1">
      <c r="C121" s="1" t="s">
        <v>2432</v>
      </c>
      <c r="D121" s="259"/>
    </row>
    <row r="122" spans="3:5" s="2953" customFormat="1">
      <c r="C122" s="100" t="s">
        <v>2308</v>
      </c>
      <c r="D122" s="259">
        <f>D182</f>
        <v>0</v>
      </c>
    </row>
    <row r="123" spans="3:5" s="2953" customFormat="1">
      <c r="D123" s="259"/>
    </row>
    <row r="124" spans="3:5" s="2953" customFormat="1"/>
    <row r="125" spans="3:5" s="2953" customFormat="1">
      <c r="C125" s="360" t="s">
        <v>2440</v>
      </c>
      <c r="D125" s="259"/>
    </row>
    <row r="126" spans="3:5" s="2953" customFormat="1">
      <c r="D126" s="2953" t="s">
        <v>2437</v>
      </c>
      <c r="E126" s="2953" t="s">
        <v>2438</v>
      </c>
    </row>
    <row r="127" spans="3:5" s="2953" customFormat="1">
      <c r="C127" s="2953" t="str">
        <f>D149</f>
        <v>Low resistance</v>
      </c>
      <c r="D127" s="266">
        <v>75</v>
      </c>
      <c r="E127" s="266">
        <v>100</v>
      </c>
    </row>
    <row r="128" spans="3:5" s="2953" customFormat="1">
      <c r="C128" s="2953" t="str">
        <f>D150</f>
        <v>Medium resistance</v>
      </c>
      <c r="D128" s="266">
        <v>50</v>
      </c>
      <c r="E128" s="266">
        <v>200</v>
      </c>
    </row>
    <row r="129" spans="2:6" s="2953" customFormat="1">
      <c r="C129" s="2953" t="str">
        <f>D151</f>
        <v>High resistance</v>
      </c>
      <c r="D129" s="266">
        <v>25</v>
      </c>
      <c r="E129" s="266">
        <v>300</v>
      </c>
    </row>
    <row r="130" spans="2:6" s="2953" customFormat="1">
      <c r="C130" s="2953" t="s">
        <v>463</v>
      </c>
      <c r="D130" s="2953">
        <f>SUM(D127:D129)</f>
        <v>150</v>
      </c>
    </row>
    <row r="131" spans="2:6" s="2953" customFormat="1"/>
    <row r="132" spans="2:6" s="2953" customFormat="1">
      <c r="C132" s="402" t="s">
        <v>2439</v>
      </c>
      <c r="D132" s="3618">
        <f>SUMPRODUCT(D114:D116,D127:D129)</f>
        <v>0</v>
      </c>
    </row>
    <row r="133" spans="2:6" s="2953" customFormat="1">
      <c r="C133" s="404" t="s">
        <v>2428</v>
      </c>
      <c r="D133" s="3619">
        <f>SUMPRODUCT(D127:D129,E127:E129,D118:D120)</f>
        <v>0</v>
      </c>
    </row>
    <row r="134" spans="2:6" s="2953" customFormat="1">
      <c r="C134" s="404" t="s">
        <v>2358</v>
      </c>
      <c r="D134" s="3620">
        <f>D182</f>
        <v>0</v>
      </c>
    </row>
    <row r="135" spans="2:6" s="2953" customFormat="1">
      <c r="C135" s="3621" t="s">
        <v>833</v>
      </c>
      <c r="D135" s="3622">
        <f>SUM(D132:D134)</f>
        <v>0</v>
      </c>
    </row>
    <row r="136" spans="2:6" s="2953" customFormat="1"/>
    <row r="137" spans="2:6" s="2953" customFormat="1"/>
    <row r="138" spans="2:6" s="2953" customFormat="1">
      <c r="B138" s="198" t="s">
        <v>2441</v>
      </c>
    </row>
    <row r="139" spans="2:6" s="2953" customFormat="1">
      <c r="C139" s="1" t="s">
        <v>2404</v>
      </c>
    </row>
    <row r="140" spans="2:6" s="2953" customFormat="1"/>
    <row r="141" spans="2:6" s="2953" customFormat="1">
      <c r="D141" s="1"/>
      <c r="F141" s="3" t="s">
        <v>600</v>
      </c>
    </row>
    <row r="142" spans="2:6" s="2953" customFormat="1">
      <c r="C142" s="100" t="s">
        <v>2405</v>
      </c>
      <c r="D142" s="2953" t="s">
        <v>2402</v>
      </c>
      <c r="E142" s="454">
        <f>F55</f>
        <v>0</v>
      </c>
      <c r="F142" s="3" t="s">
        <v>2409</v>
      </c>
    </row>
    <row r="143" spans="2:6" s="2953" customFormat="1">
      <c r="C143" s="100" t="s">
        <v>2406</v>
      </c>
      <c r="D143" s="2953" t="s">
        <v>2401</v>
      </c>
      <c r="E143" s="454">
        <f>G55</f>
        <v>0</v>
      </c>
      <c r="F143" s="3" t="s">
        <v>2410</v>
      </c>
    </row>
    <row r="144" spans="2:6" s="2953" customFormat="1">
      <c r="C144" s="100" t="s">
        <v>2407</v>
      </c>
      <c r="D144" s="2953" t="s">
        <v>2396</v>
      </c>
      <c r="E144" s="454">
        <f>H56</f>
        <v>0</v>
      </c>
      <c r="F144" s="3" t="s">
        <v>2411</v>
      </c>
    </row>
    <row r="145" spans="3:10" s="2953" customFormat="1">
      <c r="D145" s="2953" t="s">
        <v>2399</v>
      </c>
      <c r="E145" s="454">
        <f>I56</f>
        <v>0</v>
      </c>
      <c r="F145" s="3" t="s">
        <v>2411</v>
      </c>
    </row>
    <row r="146" spans="3:10" s="2953" customFormat="1">
      <c r="I146" s="3613" t="s">
        <v>2395</v>
      </c>
    </row>
    <row r="147" spans="3:10" s="2953" customFormat="1">
      <c r="I147" s="3613" t="s">
        <v>2394</v>
      </c>
    </row>
    <row r="148" spans="3:10" s="2953" customFormat="1">
      <c r="D148" s="617" t="s">
        <v>2408</v>
      </c>
      <c r="E148" s="161"/>
      <c r="I148" s="2953" t="s">
        <v>2397</v>
      </c>
      <c r="J148" s="2953" t="s">
        <v>2398</v>
      </c>
    </row>
    <row r="149" spans="3:10" s="2953" customFormat="1">
      <c r="D149" s="2489" t="s">
        <v>749</v>
      </c>
      <c r="E149" s="1673" cm="1">
        <f t="array" ref="E149">SUM($E$142:$E$143)+SUMPRODUCT($E$144:$E$145,TRANSPOSE(I149:J149))</f>
        <v>0</v>
      </c>
      <c r="H149" s="2953" t="s">
        <v>735</v>
      </c>
      <c r="I149" s="2953">
        <f>IF(H149="Medium",1,0)</f>
        <v>0</v>
      </c>
      <c r="J149" s="2953">
        <f>IF(H149="High",1,0)</f>
        <v>0</v>
      </c>
    </row>
    <row r="150" spans="3:10" s="2953" customFormat="1">
      <c r="D150" s="2489" t="s">
        <v>750</v>
      </c>
      <c r="E150" s="1673" cm="1">
        <f t="array" ref="E150">SUM($E$142:$E$143)+SUMPRODUCT($E$144:$E$145,TRANSPOSE(I150:J150))</f>
        <v>0</v>
      </c>
      <c r="H150" s="2953" t="s">
        <v>218</v>
      </c>
      <c r="I150" s="2953">
        <f>IF(H150="Medium",1,0)</f>
        <v>1</v>
      </c>
      <c r="J150" s="2953">
        <f>IF(H150="High",1,0)</f>
        <v>0</v>
      </c>
    </row>
    <row r="151" spans="3:10" s="2953" customFormat="1">
      <c r="D151" s="2491" t="s">
        <v>769</v>
      </c>
      <c r="E151" s="3614" cm="1">
        <f t="array" ref="E151">SUM($E$142:$E$143)+SUMPRODUCT($E$144:$E$145,TRANSPOSE(I151:J151))</f>
        <v>0</v>
      </c>
      <c r="H151" s="2953" t="s">
        <v>733</v>
      </c>
      <c r="I151" s="2953">
        <f>IF(H151="Medium",1,0)</f>
        <v>0</v>
      </c>
      <c r="J151" s="2953">
        <f>IF(H151="High",1,0)</f>
        <v>1</v>
      </c>
    </row>
    <row r="152" spans="3:10" s="2953" customFormat="1"/>
    <row r="153" spans="3:10" s="2953" customFormat="1">
      <c r="D153" s="2953" t="s">
        <v>2369</v>
      </c>
    </row>
    <row r="154" spans="3:10" s="2953" customFormat="1"/>
    <row r="155" spans="3:10" s="2953" customFormat="1"/>
    <row r="156" spans="3:10" s="2953" customFormat="1">
      <c r="C156" s="1" t="s">
        <v>2412</v>
      </c>
    </row>
    <row r="157" spans="3:10" s="2953" customFormat="1">
      <c r="C157" s="2" t="s">
        <v>2434</v>
      </c>
    </row>
    <row r="158" spans="3:10" s="2953" customFormat="1"/>
    <row r="159" spans="3:10" s="2953" customFormat="1">
      <c r="E159" s="2953" t="s">
        <v>735</v>
      </c>
      <c r="F159" s="2953" t="s">
        <v>218</v>
      </c>
      <c r="G159" s="2953" t="s">
        <v>733</v>
      </c>
    </row>
    <row r="160" spans="3:10" s="2953" customFormat="1">
      <c r="D160" s="2953" t="s">
        <v>2424</v>
      </c>
      <c r="E160" s="90">
        <f>K55</f>
        <v>0</v>
      </c>
      <c r="F160" s="90">
        <f>L55</f>
        <v>0</v>
      </c>
      <c r="G160" s="90">
        <f>M55</f>
        <v>0</v>
      </c>
    </row>
    <row r="161" spans="2:8" s="2953" customFormat="1"/>
    <row r="162" spans="2:8" s="2953" customFormat="1">
      <c r="D162" s="2953" t="s">
        <v>2414</v>
      </c>
    </row>
    <row r="163" spans="2:8" s="2953" customFormat="1">
      <c r="D163" s="3617" t="s">
        <v>2413</v>
      </c>
      <c r="E163" s="9">
        <v>1</v>
      </c>
      <c r="F163" s="9">
        <f>E163</f>
        <v>1</v>
      </c>
      <c r="G163" s="9">
        <f>F163</f>
        <v>1</v>
      </c>
      <c r="H163" s="2953" t="s">
        <v>2415</v>
      </c>
    </row>
    <row r="164" spans="2:8" s="2953" customFormat="1">
      <c r="D164" s="100" t="s">
        <v>2416</v>
      </c>
      <c r="E164" s="2953">
        <v>80</v>
      </c>
      <c r="F164" s="2953">
        <f t="shared" ref="F164:G166" si="2">E164</f>
        <v>80</v>
      </c>
      <c r="G164" s="2953">
        <f t="shared" si="2"/>
        <v>80</v>
      </c>
      <c r="H164" s="2953" t="s">
        <v>2417</v>
      </c>
    </row>
    <row r="165" spans="2:8" s="2953" customFormat="1">
      <c r="D165" s="100" t="s">
        <v>2418</v>
      </c>
      <c r="E165" s="454">
        <f>K42</f>
        <v>0</v>
      </c>
      <c r="F165" s="2953">
        <f t="shared" si="2"/>
        <v>0</v>
      </c>
      <c r="G165" s="2953">
        <f t="shared" si="2"/>
        <v>0</v>
      </c>
    </row>
    <row r="166" spans="2:8" s="2953" customFormat="1">
      <c r="D166" s="100" t="s">
        <v>2419</v>
      </c>
      <c r="E166" s="2953">
        <v>2</v>
      </c>
      <c r="F166" s="2953">
        <f t="shared" si="2"/>
        <v>2</v>
      </c>
      <c r="G166" s="2953">
        <f t="shared" si="2"/>
        <v>2</v>
      </c>
    </row>
    <row r="167" spans="2:8" s="2953" customFormat="1">
      <c r="B167" s="692"/>
      <c r="D167" s="1" t="s">
        <v>2429</v>
      </c>
      <c r="E167" s="2953">
        <f>E163/E164*E165*E166</f>
        <v>0</v>
      </c>
      <c r="F167" s="2953">
        <f t="shared" ref="F167:G167" si="3">F163/F164*F165*F166</f>
        <v>0</v>
      </c>
      <c r="G167" s="2953">
        <f t="shared" si="3"/>
        <v>0</v>
      </c>
    </row>
    <row r="168" spans="2:8" s="2953" customFormat="1">
      <c r="B168" s="692"/>
      <c r="D168" s="360" t="s">
        <v>2420</v>
      </c>
      <c r="F168" s="2953">
        <f t="shared" ref="F168:G171" si="4">E168</f>
        <v>0</v>
      </c>
      <c r="G168" s="2953">
        <f t="shared" si="4"/>
        <v>0</v>
      </c>
    </row>
    <row r="169" spans="2:8" s="2953" customFormat="1">
      <c r="D169" s="100" t="s">
        <v>2422</v>
      </c>
      <c r="E169" s="15">
        <v>0.01</v>
      </c>
      <c r="F169" s="15">
        <f t="shared" si="4"/>
        <v>0.01</v>
      </c>
      <c r="G169" s="15">
        <f t="shared" si="4"/>
        <v>0.01</v>
      </c>
    </row>
    <row r="170" spans="2:8" s="2953" customFormat="1">
      <c r="D170" s="3617" t="s">
        <v>2421</v>
      </c>
      <c r="E170" s="9">
        <v>1</v>
      </c>
      <c r="F170" s="9">
        <f t="shared" si="4"/>
        <v>1</v>
      </c>
      <c r="G170" s="9">
        <f t="shared" si="4"/>
        <v>1</v>
      </c>
      <c r="H170" s="2953" t="s">
        <v>195</v>
      </c>
    </row>
    <row r="171" spans="2:8" s="2953" customFormat="1">
      <c r="D171" s="100" t="s">
        <v>2423</v>
      </c>
      <c r="E171" s="2953">
        <f>E170*E169</f>
        <v>0.01</v>
      </c>
      <c r="F171" s="2953">
        <f t="shared" si="4"/>
        <v>0.01</v>
      </c>
      <c r="G171" s="2953">
        <f t="shared" si="4"/>
        <v>0.01</v>
      </c>
    </row>
    <row r="172" spans="2:8" s="2953" customFormat="1"/>
    <row r="173" spans="2:8" s="2953" customFormat="1">
      <c r="D173" s="2" t="s">
        <v>2425</v>
      </c>
      <c r="E173" s="197">
        <f>E167*E171</f>
        <v>0</v>
      </c>
      <c r="F173" s="197">
        <f t="shared" ref="F173:G173" si="5">F167*F171</f>
        <v>0</v>
      </c>
      <c r="G173" s="197">
        <f t="shared" si="5"/>
        <v>0</v>
      </c>
    </row>
    <row r="174" spans="2:8" s="2953" customFormat="1">
      <c r="F174" s="259"/>
      <c r="G174" s="259"/>
    </row>
    <row r="175" spans="2:8" s="2953" customFormat="1">
      <c r="D175" s="617" t="s">
        <v>2425</v>
      </c>
      <c r="E175" s="161"/>
    </row>
    <row r="176" spans="2:8" s="2953" customFormat="1">
      <c r="D176" s="2489" t="s">
        <v>749</v>
      </c>
      <c r="E176" s="3615">
        <f>E173</f>
        <v>0</v>
      </c>
    </row>
    <row r="177" spans="3:6" s="2953" customFormat="1">
      <c r="D177" s="2489" t="s">
        <v>779</v>
      </c>
      <c r="E177" s="3615">
        <f>F173</f>
        <v>0</v>
      </c>
    </row>
    <row r="178" spans="3:6" s="2953" customFormat="1">
      <c r="D178" s="2491" t="s">
        <v>789</v>
      </c>
      <c r="E178" s="3616">
        <f>G173</f>
        <v>0</v>
      </c>
    </row>
    <row r="179" spans="3:6" s="2953" customFormat="1"/>
    <row r="180" spans="3:6" s="2953" customFormat="1"/>
    <row r="181" spans="3:6" s="2953" customFormat="1">
      <c r="C181" s="2953" t="s">
        <v>2426</v>
      </c>
    </row>
    <row r="182" spans="3:6" s="2953" customFormat="1">
      <c r="D182" s="454">
        <f>D55</f>
        <v>0</v>
      </c>
      <c r="E182" s="2953" t="s">
        <v>2400</v>
      </c>
      <c r="F182" s="2953" t="str">
        <f>C51</f>
        <v>Post-action monitoring (Ground)</v>
      </c>
    </row>
  </sheetData>
  <mergeCells count="11">
    <mergeCell ref="F38:H38"/>
    <mergeCell ref="J41:L41"/>
    <mergeCell ref="F42:H42"/>
    <mergeCell ref="J42:L42"/>
    <mergeCell ref="D43:D46"/>
    <mergeCell ref="F43:H43"/>
    <mergeCell ref="J43:L43"/>
    <mergeCell ref="F44:H44"/>
    <mergeCell ref="J44:L44"/>
    <mergeCell ref="F45:H45"/>
    <mergeCell ref="J45:L45"/>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P396"/>
  <sheetViews>
    <sheetView showGridLines="0" zoomScaleNormal="100" workbookViewId="0"/>
  </sheetViews>
  <sheetFormatPr baseColWidth="10" defaultColWidth="11" defaultRowHeight="16"/>
  <cols>
    <col min="1" max="1" width="2.6640625" customWidth="1"/>
    <col min="2" max="2" width="6.5" customWidth="1"/>
    <col min="3" max="3" width="43.5" customWidth="1"/>
    <col min="4" max="4" width="33.1640625" style="24" customWidth="1"/>
    <col min="5" max="5" width="14.83203125" style="16" customWidth="1"/>
    <col min="6" max="11" width="14.5" customWidth="1"/>
    <col min="12" max="12" width="13.5" customWidth="1"/>
    <col min="13" max="13" width="14.6640625" customWidth="1"/>
    <col min="14" max="14" width="21" customWidth="1"/>
    <col min="15" max="15" width="15.6640625" customWidth="1"/>
    <col min="16" max="16" width="15.33203125" customWidth="1"/>
    <col min="17" max="19" width="15.33203125" style="2791" customWidth="1"/>
    <col min="20" max="20" width="15.33203125" customWidth="1"/>
    <col min="21" max="21" width="19.83203125" customWidth="1"/>
    <col min="22" max="24" width="12.6640625" customWidth="1"/>
    <col min="25" max="25" width="16.5" customWidth="1"/>
    <col min="26" max="26" width="15.33203125" customWidth="1"/>
    <col min="27" max="28" width="19.83203125" customWidth="1"/>
    <col min="29" max="29" width="19.33203125" customWidth="1"/>
    <col min="30" max="30" width="21" customWidth="1"/>
    <col min="31" max="31" width="23.5" customWidth="1"/>
    <col min="32" max="32" width="37.5" customWidth="1"/>
    <col min="34" max="34" width="14.33203125" customWidth="1"/>
    <col min="35" max="35" width="12.6640625" bestFit="1" customWidth="1"/>
    <col min="42" max="42" width="12.5" bestFit="1" customWidth="1"/>
  </cols>
  <sheetData>
    <row r="1" spans="2:35">
      <c r="B1" s="3" t="s">
        <v>19</v>
      </c>
      <c r="C1" s="24"/>
      <c r="D1" s="6" t="s">
        <v>580</v>
      </c>
      <c r="E1" s="6"/>
    </row>
    <row r="2" spans="2:35">
      <c r="C2" s="24" t="s">
        <v>10</v>
      </c>
      <c r="D2" s="407" t="s">
        <v>581</v>
      </c>
      <c r="E2"/>
    </row>
    <row r="3" spans="2:35">
      <c r="C3" s="24" t="s">
        <v>0</v>
      </c>
      <c r="D3" s="239" t="s">
        <v>502</v>
      </c>
      <c r="E3"/>
    </row>
    <row r="4" spans="2:35">
      <c r="B4" s="3"/>
      <c r="C4" s="24" t="s">
        <v>1</v>
      </c>
      <c r="D4" s="16" t="s">
        <v>1056</v>
      </c>
      <c r="E4"/>
    </row>
    <row r="5" spans="2:35">
      <c r="B5" s="3" t="s">
        <v>20</v>
      </c>
      <c r="C5" s="24"/>
      <c r="D5" s="16"/>
      <c r="E5"/>
      <c r="F5" s="1"/>
    </row>
    <row r="6" spans="2:35">
      <c r="C6" s="24" t="s">
        <v>2</v>
      </c>
      <c r="D6" s="239" t="s">
        <v>501</v>
      </c>
      <c r="E6"/>
      <c r="F6" s="6"/>
      <c r="T6" s="15"/>
    </row>
    <row r="7" spans="2:35">
      <c r="C7" s="24" t="s">
        <v>22</v>
      </c>
      <c r="D7" s="239" t="s">
        <v>1108</v>
      </c>
      <c r="E7"/>
      <c r="F7" s="6"/>
    </row>
    <row r="8" spans="2:35">
      <c r="C8" s="24" t="s">
        <v>7</v>
      </c>
      <c r="D8" s="238" t="s">
        <v>582</v>
      </c>
      <c r="E8"/>
      <c r="F8" s="6"/>
      <c r="W8" s="15"/>
    </row>
    <row r="9" spans="2:35">
      <c r="C9" s="24" t="s">
        <v>8</v>
      </c>
      <c r="D9" s="238" t="s">
        <v>583</v>
      </c>
      <c r="E9"/>
      <c r="F9" s="6"/>
      <c r="U9" s="5"/>
    </row>
    <row r="10" spans="2:35">
      <c r="C10" s="24"/>
      <c r="D10" s="238"/>
      <c r="E10"/>
      <c r="F10" s="6"/>
      <c r="U10" s="5"/>
    </row>
    <row r="11" spans="2:35" ht="19">
      <c r="B11" s="904" t="s">
        <v>140</v>
      </c>
      <c r="C11" s="113"/>
      <c r="D11" s="16"/>
      <c r="F11" s="359"/>
      <c r="G11" s="359"/>
      <c r="I11" s="359"/>
      <c r="AA11" s="2953" t="s">
        <v>2305</v>
      </c>
      <c r="AB11" s="2953"/>
      <c r="AC11" s="1191"/>
      <c r="AF11" s="1192"/>
    </row>
    <row r="12" spans="2:35" ht="19">
      <c r="C12" s="31" t="s">
        <v>960</v>
      </c>
      <c r="D12" s="16"/>
      <c r="F12" s="359"/>
      <c r="G12" s="359"/>
      <c r="I12" s="359"/>
      <c r="AA12" s="204">
        <f>SUMIF(T23:T104,"L",AA23:AA104)-AA13-AA15</f>
        <v>74.416963221241616</v>
      </c>
      <c r="AB12" s="2953" t="s">
        <v>2303</v>
      </c>
      <c r="AC12" s="1191"/>
      <c r="AF12" s="1192"/>
    </row>
    <row r="13" spans="2:35" ht="19">
      <c r="C13" s="955" t="s">
        <v>961</v>
      </c>
      <c r="D13" s="16"/>
      <c r="F13" s="359"/>
      <c r="G13" s="359"/>
      <c r="I13" s="359"/>
      <c r="AA13" s="454">
        <v>0</v>
      </c>
      <c r="AB13" s="2953" t="s">
        <v>2304</v>
      </c>
      <c r="AC13" s="1191"/>
      <c r="AF13" s="1192"/>
    </row>
    <row r="14" spans="2:35" ht="16" customHeight="1">
      <c r="C14" t="s">
        <v>976</v>
      </c>
      <c r="D14" s="16"/>
      <c r="F14" s="359"/>
      <c r="G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f>
        <v>30.608074385223155</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1188"/>
      <c r="C21" s="3767" t="s">
        <v>185</v>
      </c>
      <c r="D21" s="3769" t="s">
        <v>13</v>
      </c>
      <c r="E21" s="3769" t="s">
        <v>30</v>
      </c>
      <c r="F21" s="3904" t="s">
        <v>2335</v>
      </c>
      <c r="G21" s="3905"/>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1193"/>
      <c r="AG21" s="1193"/>
      <c r="AH21" s="909" t="s">
        <v>66</v>
      </c>
      <c r="AI21" s="895"/>
      <c r="AJ21" s="3748" t="s">
        <v>190</v>
      </c>
      <c r="AK21" s="3748" t="s">
        <v>181</v>
      </c>
    </row>
    <row r="22" spans="1:37" s="893" customFormat="1" ht="38" customHeight="1">
      <c r="B22" s="1189"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1193"/>
      <c r="AG22" s="893" t="s">
        <v>732</v>
      </c>
      <c r="AH22" s="1190" t="s">
        <v>17</v>
      </c>
      <c r="AI22" s="898" t="s">
        <v>18</v>
      </c>
      <c r="AJ22" s="3749"/>
      <c r="AK22" s="3749"/>
    </row>
    <row r="23" spans="1:37" ht="19" customHeight="1">
      <c r="B23" s="260">
        <v>1</v>
      </c>
      <c r="C23" s="3844" t="s">
        <v>201</v>
      </c>
      <c r="D23" s="3847" t="s">
        <v>131</v>
      </c>
      <c r="E23" s="12" t="s">
        <v>3</v>
      </c>
      <c r="F23" s="1172"/>
      <c r="G23" s="1172">
        <f>$E$94</f>
        <v>30</v>
      </c>
      <c r="H23" s="188">
        <f>F94</f>
        <v>10125</v>
      </c>
      <c r="I23" s="921" t="s">
        <v>407</v>
      </c>
      <c r="J23" s="377" t="str">
        <f>IF(K23=1,"Annual","Done every "&amp;K23&amp;" years")</f>
        <v>Done every 10 years</v>
      </c>
      <c r="K23" s="11">
        <f>$D$81</f>
        <v>10</v>
      </c>
      <c r="L23" s="1043">
        <f>$L$16/K23</f>
        <v>8</v>
      </c>
      <c r="M23" s="171">
        <f>$L$16/L23</f>
        <v>10</v>
      </c>
      <c r="N23" s="240">
        <f>$H23*(1-(1+$L$15)^-(L23*M23))/((1+$L$15)^M23-1)*(1+((1+$L$15)^M23-1))</f>
        <v>29854.081353817986</v>
      </c>
      <c r="O23" s="191">
        <f t="shared" ref="O23:O42" si="0">N23/(1+$L$15)*($L$15)/(1-(1+$L$15)^-$L$16)</f>
        <v>1200.3084724448374</v>
      </c>
      <c r="P23" s="195">
        <f>SUM(O23:O26)</f>
        <v>1200.3084724448374</v>
      </c>
      <c r="Q23" s="2859"/>
      <c r="R23" s="2859"/>
      <c r="S23" s="2859"/>
      <c r="T23" s="1031" t="s">
        <v>808</v>
      </c>
      <c r="U23" s="583">
        <f>O23/$U$16</f>
        <v>12.003084724448374</v>
      </c>
      <c r="V23" s="583">
        <f>IF($T23="L",SUM($U23:U23)*V$16,"")</f>
        <v>3.600925417334512</v>
      </c>
      <c r="W23" s="1474"/>
      <c r="X23" s="583">
        <f>IF($U23="","",SUM($U23:W23)*X$16)</f>
        <v>4.6812030425348654</v>
      </c>
      <c r="Y23" s="240">
        <f t="shared" ref="Y23:Y29" si="1">IF($U23="","",SUM(V23:X23))</f>
        <v>8.2821284598693765</v>
      </c>
      <c r="Z23" s="240">
        <f>SUM(V23:X26)</f>
        <v>8.2821284598693765</v>
      </c>
      <c r="AA23" s="191">
        <f t="shared" ref="AA23:AA29" si="2">IF($U23="","",SUM(U23,Y23))</f>
        <v>20.285213184317751</v>
      </c>
      <c r="AB23" s="195">
        <f>SUM(AA23:AA26)</f>
        <v>20.285213184317751</v>
      </c>
      <c r="AC23" s="889">
        <f t="shared" ref="AC23:AC29" ca="1" si="3">IF(AA23="","",AA23/OFFSET($AB$23,AF23,0))</f>
        <v>1</v>
      </c>
      <c r="AD23" s="941"/>
      <c r="AE23" s="1063"/>
      <c r="AF23" s="587">
        <v>0</v>
      </c>
      <c r="AG23" s="816">
        <f ca="1">SUM(AC23:AC26)-1</f>
        <v>0</v>
      </c>
      <c r="AH23" s="13">
        <f>$AH$16/K23</f>
        <v>0.5</v>
      </c>
      <c r="AI23" s="13">
        <f>$AH$16/AH23</f>
        <v>10</v>
      </c>
      <c r="AJ23" s="14">
        <f>$H23*(1-(1+$L$15)^-(AH23*AI23))/((1+$L$15)^AI23-1)*(1+((1+$L$15)^AI23-1))</f>
        <v>5557.3024642074006</v>
      </c>
      <c r="AK23" s="191">
        <f>SUM(AJ23:AJ26)</f>
        <v>5557.3024642074006</v>
      </c>
    </row>
    <row r="24" spans="1:37" ht="19" customHeight="1">
      <c r="B24" s="261"/>
      <c r="C24" s="3845"/>
      <c r="D24" s="3848"/>
      <c r="E24" s="12" t="s">
        <v>308</v>
      </c>
      <c r="F24" s="1172"/>
      <c r="G24" s="1172"/>
      <c r="H24" s="188"/>
      <c r="I24" s="921"/>
      <c r="J24" s="377"/>
      <c r="K24" s="11"/>
      <c r="L24" s="1044"/>
      <c r="M24" s="944"/>
      <c r="N24" s="241"/>
      <c r="O24" s="342">
        <f t="shared" si="0"/>
        <v>0</v>
      </c>
      <c r="P24" s="193"/>
      <c r="Q24" s="2860">
        <v>0</v>
      </c>
      <c r="R24" s="2860">
        <v>0</v>
      </c>
      <c r="S24" s="2860">
        <v>0</v>
      </c>
      <c r="T24" s="1032" t="s">
        <v>809</v>
      </c>
      <c r="U24" s="585"/>
      <c r="V24" s="585" t="str">
        <f>IF($T24="L",SUM($U24:U24)*V$16,"")</f>
        <v/>
      </c>
      <c r="W24" s="1475"/>
      <c r="X24" s="585" t="str">
        <f>IF($U24="","",SUM($U24:W24)*X$16)</f>
        <v/>
      </c>
      <c r="Y24" s="242" t="str">
        <f t="shared" si="1"/>
        <v/>
      </c>
      <c r="Z24" s="242"/>
      <c r="AA24" s="342" t="str">
        <f t="shared" si="2"/>
        <v/>
      </c>
      <c r="AB24" s="193"/>
      <c r="AC24" s="890" t="str">
        <f t="shared" ca="1" si="3"/>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f t="shared" si="0"/>
        <v>0</v>
      </c>
      <c r="P25" s="193"/>
      <c r="Q25" s="2860"/>
      <c r="R25" s="2860"/>
      <c r="S25" s="2860"/>
      <c r="T25" s="1032" t="s">
        <v>810</v>
      </c>
      <c r="U25" s="585"/>
      <c r="V25" s="585" t="str">
        <f>IF($T25="L",SUM($U25:U25)*V$16,"")</f>
        <v/>
      </c>
      <c r="W25" s="1475"/>
      <c r="X25" s="585" t="str">
        <f>IF($U25="","",SUM($U25:W25)*X$16)</f>
        <v/>
      </c>
      <c r="Y25" s="242" t="str">
        <f t="shared" si="1"/>
        <v/>
      </c>
      <c r="Z25" s="242"/>
      <c r="AA25" s="342" t="str">
        <f t="shared" si="2"/>
        <v/>
      </c>
      <c r="AB25" s="193"/>
      <c r="AC25" s="890" t="str">
        <f t="shared" ca="1" si="3"/>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f t="shared" si="0"/>
        <v>0</v>
      </c>
      <c r="P26" s="196"/>
      <c r="Q26" s="2861"/>
      <c r="R26" s="2861"/>
      <c r="S26" s="2861"/>
      <c r="T26" s="1033" t="s">
        <v>811</v>
      </c>
      <c r="U26" s="891"/>
      <c r="V26" s="891" t="str">
        <f>IF($T26="L",SUM($U26:U26)*V$16,"")</f>
        <v/>
      </c>
      <c r="W26" s="1478"/>
      <c r="X26" s="891" t="str">
        <f>IF($U26="","",SUM($U26:W26)*X$16)</f>
        <v/>
      </c>
      <c r="Y26" s="244" t="str">
        <f t="shared" si="1"/>
        <v/>
      </c>
      <c r="Z26" s="244"/>
      <c r="AA26" s="343" t="str">
        <f t="shared" si="2"/>
        <v/>
      </c>
      <c r="AB26" s="196"/>
      <c r="AC26" s="892" t="str">
        <f t="shared" ca="1" si="3"/>
        <v/>
      </c>
      <c r="AD26" s="942"/>
      <c r="AE26" s="1065"/>
      <c r="AF26" s="587">
        <f>AF25</f>
        <v>0</v>
      </c>
      <c r="AG26" s="587"/>
      <c r="AH26" s="13"/>
      <c r="AI26" s="13"/>
      <c r="AJ26" s="189"/>
      <c r="AK26" s="342"/>
    </row>
    <row r="27" spans="1:37" ht="18" customHeight="1">
      <c r="A27" s="390"/>
      <c r="B27" s="710">
        <f>B23+1.1</f>
        <v>2.1</v>
      </c>
      <c r="C27" s="1194" t="s">
        <v>1099</v>
      </c>
      <c r="D27" s="3850" t="s">
        <v>2606</v>
      </c>
      <c r="E27" s="373" t="s">
        <v>3</v>
      </c>
      <c r="F27" s="1176"/>
      <c r="G27" s="1176">
        <f>$D$158</f>
        <v>22.891479820627801</v>
      </c>
      <c r="H27" s="370">
        <f>H195</f>
        <v>5150.582959641255</v>
      </c>
      <c r="I27" s="613" t="s">
        <v>475</v>
      </c>
      <c r="J27" s="375" t="str">
        <f>IF(K27=1,"Annual","Done every "&amp;K27&amp;" years")</f>
        <v>Done every 10 years</v>
      </c>
      <c r="K27" s="371">
        <f>L195</f>
        <v>10</v>
      </c>
      <c r="L27" s="386">
        <f t="shared" ref="L27:M29" si="4">$L$16/K27</f>
        <v>8</v>
      </c>
      <c r="M27" s="371">
        <f t="shared" si="4"/>
        <v>10</v>
      </c>
      <c r="N27" s="370">
        <f>$H27*(1-(1+$L$15)^-(L27*M27))/((1+$L$15)^M27-1)*(1+((1+$L$15)^M27-1))</f>
        <v>15186.757797206781</v>
      </c>
      <c r="O27" s="640">
        <f t="shared" si="0"/>
        <v>610.59638167776848</v>
      </c>
      <c r="P27" s="980">
        <f>SUM(O27:O30)</f>
        <v>1545.0037337966664</v>
      </c>
      <c r="Q27" s="3049"/>
      <c r="R27" s="3049"/>
      <c r="S27" s="3049"/>
      <c r="T27" s="1034" t="s">
        <v>808</v>
      </c>
      <c r="U27" s="642">
        <f t="shared" ref="U27:U33" si="5">O27/$U$16</f>
        <v>6.1059638167776846</v>
      </c>
      <c r="V27" s="644">
        <f>IF($T27="L",SUM($U27:U27)*V$16,"")</f>
        <v>1.8317891450333053</v>
      </c>
      <c r="W27" s="644">
        <f>IF($U27="","",IF(OR($T27="L",$T27="T",$T27="C"),SUM($U27:V27)*W$16,""))</f>
        <v>0.79377529618109899</v>
      </c>
      <c r="X27" s="644">
        <f>IF($U27="","",SUM($U27:W27)*X$16)</f>
        <v>2.6194584773976266</v>
      </c>
      <c r="Y27" s="388">
        <f t="shared" si="1"/>
        <v>5.2450229186120314</v>
      </c>
      <c r="Z27" s="392">
        <f>SUM(V27:X30)</f>
        <v>9.2629745327232929</v>
      </c>
      <c r="AA27" s="734">
        <f t="shared" si="2"/>
        <v>11.350986735389716</v>
      </c>
      <c r="AB27" s="392">
        <f>SUM(AA27:AA30)</f>
        <v>24.713011870689957</v>
      </c>
      <c r="AC27" s="888">
        <f t="shared" ca="1" si="3"/>
        <v>0.45931215485928589</v>
      </c>
      <c r="AD27" s="641"/>
      <c r="AE27" s="1066"/>
      <c r="AF27" s="587">
        <f>AF23+4</f>
        <v>4</v>
      </c>
      <c r="AG27" s="816">
        <f ca="1">SUM(AC27:AC30)-1</f>
        <v>0</v>
      </c>
      <c r="AH27" s="387">
        <f>$AH$16/K27</f>
        <v>0.5</v>
      </c>
      <c r="AI27" s="387">
        <f>$AH$16/AH27</f>
        <v>10</v>
      </c>
      <c r="AJ27" s="370">
        <f>$H27*(1-(1+$L$15)^-(AH27*AI27))/((1+$L$15)^AI27-1)*(1+((1+$L$15)^AI27-1))</f>
        <v>2826.9972714784185</v>
      </c>
      <c r="AK27" s="980">
        <f>SUM(AJ27:AJ30)</f>
        <v>7153.2054085642012</v>
      </c>
    </row>
    <row r="28" spans="1:37" ht="19" customHeight="1">
      <c r="A28" s="390"/>
      <c r="B28" s="710"/>
      <c r="C28" s="1195" t="s">
        <v>749</v>
      </c>
      <c r="D28" s="3851"/>
      <c r="E28" s="373" t="s">
        <v>308</v>
      </c>
      <c r="F28" s="1176">
        <f>D182</f>
        <v>1</v>
      </c>
      <c r="G28" s="1176">
        <f>D181</f>
        <v>11.4457399103139</v>
      </c>
      <c r="H28" s="370">
        <f>H196</f>
        <v>3262.0358744394616</v>
      </c>
      <c r="I28" s="613" t="s">
        <v>797</v>
      </c>
      <c r="J28" s="375" t="str">
        <f>IF(K28=1,"Annual","Done every "&amp;K28&amp;" years")</f>
        <v>Done every 10 years</v>
      </c>
      <c r="K28" s="371">
        <f>L196</f>
        <v>10</v>
      </c>
      <c r="L28" s="386">
        <f t="shared" si="4"/>
        <v>8</v>
      </c>
      <c r="M28" s="371">
        <f t="shared" si="4"/>
        <v>10</v>
      </c>
      <c r="N28" s="370">
        <f>$H28*(1-(1+$L$15)^-(L28*M28))/((1+$L$15)^M28-1)*(1+((1+$L$15)^M28-1))</f>
        <v>9618.2799382309622</v>
      </c>
      <c r="O28" s="640">
        <f t="shared" si="0"/>
        <v>386.7110417292534</v>
      </c>
      <c r="P28" s="981"/>
      <c r="Q28" s="2956">
        <f>1*(1-(1+$L$15)^-(L28*M28))/((1+$L$15)^M28-1)*(1+((1+$L$15)^M28-1))</f>
        <v>2.9485512448215299</v>
      </c>
      <c r="R28" s="2956">
        <f>Q28/(1+$L$15)*($L$15)/(1-(1+$L$15)^-$L$16)</f>
        <v>0.11854898493282347</v>
      </c>
      <c r="S28" s="2956">
        <f>F28*R28</f>
        <v>0.11854898493282347</v>
      </c>
      <c r="T28" s="1034" t="s">
        <v>809</v>
      </c>
      <c r="U28" s="639">
        <f t="shared" si="5"/>
        <v>3.8671104172925341</v>
      </c>
      <c r="V28" s="644" t="str">
        <f>IF($T28="L",SUM($U28:U28)*V$16,"")</f>
        <v/>
      </c>
      <c r="W28" s="644">
        <f>IF($U28="","",IF(OR($T28="L",$T28="T",$T28="C"),SUM($U28:V28)*W$16,""))</f>
        <v>0.38671104172925341</v>
      </c>
      <c r="X28" s="644">
        <f>IF($U28="","",SUM($U28:W28)*X$16)</f>
        <v>1.2761464377065364</v>
      </c>
      <c r="Y28" s="394">
        <f t="shared" si="1"/>
        <v>1.6628574794357898</v>
      </c>
      <c r="Z28" s="392"/>
      <c r="AA28" s="734">
        <f t="shared" si="2"/>
        <v>5.5299678967283237</v>
      </c>
      <c r="AB28" s="392"/>
      <c r="AC28" s="729">
        <f t="shared" ca="1" si="3"/>
        <v>0.22376746005965212</v>
      </c>
      <c r="AD28" s="641"/>
      <c r="AE28" s="1066"/>
      <c r="AF28" s="587">
        <f>AF27</f>
        <v>4</v>
      </c>
      <c r="AG28" s="587"/>
      <c r="AH28" s="387">
        <f>$AH$16/K28</f>
        <v>0.5</v>
      </c>
      <c r="AI28" s="387">
        <f>$AH$16/AH28</f>
        <v>10</v>
      </c>
      <c r="AJ28" s="370">
        <f>$H28*(1-(1+$L$15)^-(AH28*AI28))/((1+$L$15)^AI28-1)*(1+((1+$L$15)^AI28-1))</f>
        <v>1790.4316052696654</v>
      </c>
      <c r="AK28" s="981"/>
    </row>
    <row r="29" spans="1:37" ht="19" customHeight="1">
      <c r="A29" s="390"/>
      <c r="B29" s="710"/>
      <c r="C29" s="1195"/>
      <c r="D29" s="3851"/>
      <c r="E29" s="373" t="s">
        <v>4</v>
      </c>
      <c r="F29" s="1176"/>
      <c r="G29" s="1176"/>
      <c r="H29" s="370">
        <f>H197</f>
        <v>4620</v>
      </c>
      <c r="I29" s="613" t="s">
        <v>70</v>
      </c>
      <c r="J29" s="375" t="str">
        <f>IF(K29=1,"Annual","Done every "&amp;K29&amp;" years")</f>
        <v>Done every 10 years</v>
      </c>
      <c r="K29" s="371">
        <f>L197</f>
        <v>10</v>
      </c>
      <c r="L29" s="386">
        <f t="shared" si="4"/>
        <v>8</v>
      </c>
      <c r="M29" s="371">
        <f t="shared" si="4"/>
        <v>10</v>
      </c>
      <c r="N29" s="370">
        <f>$H29*(1-(1+$L$15)^-(L29*M29))/((1+$L$15)^M29-1)*(1+((1+$L$15)^M29-1))</f>
        <v>13622.306751075468</v>
      </c>
      <c r="O29" s="640">
        <f t="shared" si="0"/>
        <v>547.69631038964451</v>
      </c>
      <c r="P29" s="982"/>
      <c r="Q29" s="2956"/>
      <c r="R29" s="2956"/>
      <c r="S29" s="2956"/>
      <c r="T29" s="1034" t="s">
        <v>810</v>
      </c>
      <c r="U29" s="639">
        <f t="shared" si="5"/>
        <v>5.4769631038964448</v>
      </c>
      <c r="V29" s="644" t="str">
        <f>IF($T29="L",SUM($U29:U29)*V$16,"")</f>
        <v/>
      </c>
      <c r="W29" s="644">
        <f>IF($U29="","",IF(OR($T29="L",$T29="T",$T29="C"),SUM($U29:V29)*W$16,""))</f>
        <v>0.5476963103896445</v>
      </c>
      <c r="X29" s="644">
        <f>IF($U29="","",SUM($U29:W29)*X$16)</f>
        <v>1.8073978242858268</v>
      </c>
      <c r="Y29" s="394">
        <f t="shared" si="1"/>
        <v>2.3550941346754715</v>
      </c>
      <c r="Z29" s="393"/>
      <c r="AA29" s="735">
        <f t="shared" si="2"/>
        <v>7.8320572385719167</v>
      </c>
      <c r="AB29" s="393"/>
      <c r="AC29" s="729">
        <f t="shared" ca="1" si="3"/>
        <v>0.31692038508106196</v>
      </c>
      <c r="AD29" s="643"/>
      <c r="AE29" s="1066"/>
      <c r="AF29" s="587">
        <f>AF28</f>
        <v>4</v>
      </c>
      <c r="AG29" s="587"/>
      <c r="AH29" s="387">
        <f>$AH$16/K29</f>
        <v>0.5</v>
      </c>
      <c r="AI29" s="387">
        <f>$AH$16/AH29</f>
        <v>10</v>
      </c>
      <c r="AJ29" s="370">
        <f>$H29*(1-(1+$L$15)^-(AH29*AI29))/((1+$L$15)^AI29-1)*(1+((1+$L$15)^AI29-1))</f>
        <v>2535.7765318161173</v>
      </c>
      <c r="AK29" s="982"/>
    </row>
    <row r="30" spans="1:37" ht="19" customHeight="1">
      <c r="A30" s="390"/>
      <c r="B30" s="710"/>
      <c r="C30" s="1195"/>
      <c r="D30" s="3851"/>
      <c r="E30" s="373" t="s">
        <v>21</v>
      </c>
      <c r="F30" s="1176"/>
      <c r="G30" s="1176"/>
      <c r="H30" s="370"/>
      <c r="I30" s="1086"/>
      <c r="J30" s="375"/>
      <c r="K30" s="371"/>
      <c r="L30" s="386"/>
      <c r="M30" s="371"/>
      <c r="N30" s="370"/>
      <c r="O30" s="640">
        <f t="shared" si="0"/>
        <v>0</v>
      </c>
      <c r="P30" s="982"/>
      <c r="Q30" s="2956"/>
      <c r="R30" s="2956"/>
      <c r="S30" s="2956"/>
      <c r="T30" s="1034" t="s">
        <v>811</v>
      </c>
      <c r="U30" s="639">
        <f t="shared" si="5"/>
        <v>0</v>
      </c>
      <c r="V30" s="644" t="str">
        <f>IF($T30="L",SUM($U30:U30)*V$16,"")</f>
        <v/>
      </c>
      <c r="W30" s="644" t="str">
        <f>IF($U30="","",IF(OR($T30="L",$T30="T",$T30="C"),SUM($U30:V30)*W$16,""))</f>
        <v/>
      </c>
      <c r="X30" s="644">
        <f>IF($U30="","",SUM($U30:W30)*X$16)</f>
        <v>0</v>
      </c>
      <c r="Y30" s="394"/>
      <c r="Z30" s="393"/>
      <c r="AA30" s="735"/>
      <c r="AB30" s="393"/>
      <c r="AC30" s="729"/>
      <c r="AD30" s="643"/>
      <c r="AE30" s="1066"/>
      <c r="AF30" s="587">
        <f>AF29</f>
        <v>4</v>
      </c>
      <c r="AG30" s="587"/>
      <c r="AH30" s="387"/>
      <c r="AI30" s="387"/>
      <c r="AJ30" s="370"/>
      <c r="AK30" s="982"/>
    </row>
    <row r="31" spans="1:37" ht="18" customHeight="1">
      <c r="A31" s="676"/>
      <c r="B31" s="711">
        <f>B27+0.1</f>
        <v>2.2000000000000002</v>
      </c>
      <c r="C31" s="1199" t="s">
        <v>202</v>
      </c>
      <c r="D31" s="3852" t="str">
        <f>D27</f>
        <v>1) Surveying area and collecting disease samples by foot 2) scoping out the perimeter for signs/hygiene station by vehicle</v>
      </c>
      <c r="E31" s="685" t="s">
        <v>3</v>
      </c>
      <c r="F31" s="1177"/>
      <c r="G31" s="1177">
        <f>$E$158</f>
        <v>26.87752864972596</v>
      </c>
      <c r="H31" s="665">
        <f>I195</f>
        <v>6047.4439461883412</v>
      </c>
      <c r="I31" s="818" t="str">
        <f>I27</f>
        <v xml:space="preserve">Labour to get tracking done, cameras, sandpads and collars. </v>
      </c>
      <c r="J31" s="666" t="str">
        <f>IF(K31=1,"Annual","Done every "&amp;K31&amp;" years")</f>
        <v>Done every 10 years</v>
      </c>
      <c r="K31" s="667">
        <f>K27</f>
        <v>10</v>
      </c>
      <c r="L31" s="671">
        <f t="shared" ref="L31:M33" si="6">$L$16/K31</f>
        <v>8</v>
      </c>
      <c r="M31" s="880">
        <f t="shared" si="6"/>
        <v>10</v>
      </c>
      <c r="N31" s="883">
        <f>$H31*(1-(1+$L$15)^-(L31*M31))/((1+$L$15)^M31-1)*(1+((1+$L$15)^M31-1))</f>
        <v>17831.198375522057</v>
      </c>
      <c r="O31" s="673">
        <f t="shared" si="0"/>
        <v>716.91834125877608</v>
      </c>
      <c r="P31" s="983">
        <f>SUM(O31:O34)</f>
        <v>1818.244081789217</v>
      </c>
      <c r="Q31" s="3050"/>
      <c r="R31" s="3050"/>
      <c r="S31" s="3050"/>
      <c r="T31" s="1035" t="s">
        <v>808</v>
      </c>
      <c r="U31" s="675">
        <f t="shared" si="5"/>
        <v>7.1691834125877607</v>
      </c>
      <c r="V31" s="675">
        <f>IF($T31="L",SUM($U31:U31)*V$16,"")</f>
        <v>2.1507550237763282</v>
      </c>
      <c r="W31" s="675">
        <f>IF($U31="","",IF(OR($T31="L",$T31="T",$T31="C"),SUM($U31:V31)*W$16,""))</f>
        <v>0.93199384363640891</v>
      </c>
      <c r="X31" s="675">
        <f>IF($U31="","",SUM($U31:W31)*X$16)</f>
        <v>3.0755796840001492</v>
      </c>
      <c r="Y31" s="670">
        <f>IF($U31="","",SUM(V31:X31))</f>
        <v>6.158328551412886</v>
      </c>
      <c r="Z31" s="716">
        <f>SUM(V31:X34)</f>
        <v>10.894029235693781</v>
      </c>
      <c r="AA31" s="736">
        <f>IF($U31="","",SUM(U31,Y31))</f>
        <v>13.327511964000646</v>
      </c>
      <c r="AB31" s="716">
        <f>SUM(AA31:AA34)</f>
        <v>29.07647005358595</v>
      </c>
      <c r="AC31" s="730">
        <f ca="1">IF(AA31="","",AA31/OFFSET($AB$23,AF31,0))</f>
        <v>0.4583607274005046</v>
      </c>
      <c r="AD31" s="674"/>
      <c r="AE31" s="1067"/>
      <c r="AF31" s="587">
        <f>AF27+4</f>
        <v>8</v>
      </c>
      <c r="AG31" s="816">
        <f ca="1">SUM(AC31:AC34)-1</f>
        <v>0</v>
      </c>
      <c r="AH31" s="669">
        <f>$AH$16/K31</f>
        <v>0.5</v>
      </c>
      <c r="AI31" s="669">
        <f>$AH$16/AH31</f>
        <v>10</v>
      </c>
      <c r="AJ31" s="665">
        <f>$H31*(1-(1+$L$15)^-(AH31*AI31))/((1+$L$15)^AI31-1)*(1+((1+$L$15)^AI31-1))</f>
        <v>3319.2568043761571</v>
      </c>
      <c r="AK31" s="983">
        <f>SUM(AJ31:AJ34)</f>
        <v>8418.2795908091957</v>
      </c>
    </row>
    <row r="32" spans="1:37" ht="18" customHeight="1">
      <c r="A32" s="676"/>
      <c r="B32" s="712"/>
      <c r="C32" s="1200" t="s">
        <v>779</v>
      </c>
      <c r="D32" s="3853"/>
      <c r="E32" s="685" t="s">
        <v>308</v>
      </c>
      <c r="F32" s="1177">
        <f>E182</f>
        <v>1</v>
      </c>
      <c r="G32" s="1177">
        <f>E181</f>
        <v>13.43876432486298</v>
      </c>
      <c r="H32" s="665">
        <f>I196</f>
        <v>3830.0478325859494</v>
      </c>
      <c r="I32" s="818" t="str">
        <f>I28</f>
        <v>Transport at site</v>
      </c>
      <c r="J32" s="666" t="str">
        <f>IF(K32=1,"Annual","Done every "&amp;K32&amp;" years")</f>
        <v>Done every 10 years</v>
      </c>
      <c r="K32" s="667">
        <f>K28</f>
        <v>10</v>
      </c>
      <c r="L32" s="668">
        <f t="shared" si="6"/>
        <v>8</v>
      </c>
      <c r="M32" s="667">
        <f t="shared" si="6"/>
        <v>10</v>
      </c>
      <c r="N32" s="665">
        <f>$H32*(1-(1+$L$15)^-(L32*M32))/((1+$L$15)^M32-1)*(1+((1+$L$15)^M32-1))</f>
        <v>11293.092304497302</v>
      </c>
      <c r="O32" s="680">
        <f t="shared" si="0"/>
        <v>454.04828279722489</v>
      </c>
      <c r="P32" s="984"/>
      <c r="Q32" s="3051">
        <f>1*(1-(1+$L$15)^-(L32*M32))/((1+$L$15)^M32-1)*(1+((1+$L$15)^M32-1))</f>
        <v>2.9485512448215299</v>
      </c>
      <c r="R32" s="3051">
        <f>Q32/(1+$L$15)*($L$15)/(1-(1+$L$15)^-$L$16)</f>
        <v>0.11854898493282347</v>
      </c>
      <c r="S32" s="3051">
        <f>F32*R32</f>
        <v>0.11854898493282347</v>
      </c>
      <c r="T32" s="1036" t="s">
        <v>809</v>
      </c>
      <c r="U32" s="675">
        <f t="shared" si="5"/>
        <v>4.5404828279722489</v>
      </c>
      <c r="V32" s="682" t="str">
        <f>IF($T32="L",SUM($U32:U32)*V$16,"")</f>
        <v/>
      </c>
      <c r="W32" s="682">
        <f>IF($U32="","",IF(OR($T32="L",$T32="T",$T32="C"),SUM($U32:V32)*W$16,""))</f>
        <v>0.45404828279722492</v>
      </c>
      <c r="X32" s="682">
        <f>IF($U32="","",SUM($U32:W32)*X$16)</f>
        <v>1.498359333230842</v>
      </c>
      <c r="Y32" s="679">
        <f>IF($U32="","",SUM(V32:X32))</f>
        <v>1.952407616028067</v>
      </c>
      <c r="Z32" s="720"/>
      <c r="AA32" s="737">
        <f>IF($U32="","",SUM(U32,Y32))</f>
        <v>6.4928904440003157</v>
      </c>
      <c r="AB32" s="720"/>
      <c r="AC32" s="730">
        <f ca="1">IF(AA32="","",AA32/OFFSET($AB$23,AF32,0))</f>
        <v>0.2233039441181946</v>
      </c>
      <c r="AD32" s="681"/>
      <c r="AE32" s="1067"/>
      <c r="AF32" s="587">
        <f>AF31</f>
        <v>8</v>
      </c>
      <c r="AG32" s="587"/>
      <c r="AH32" s="669">
        <f>$AH$16/K32</f>
        <v>0.5</v>
      </c>
      <c r="AI32" s="669">
        <f>$AH$16/AH32</f>
        <v>10</v>
      </c>
      <c r="AJ32" s="665">
        <f>$H32*(1-(1+$L$15)^-(AH32*AI32))/((1+$L$15)^AI32-1)*(1+((1+$L$15)^AI32-1))</f>
        <v>2102.1959761048997</v>
      </c>
      <c r="AK32" s="984"/>
    </row>
    <row r="33" spans="1:37" ht="18" customHeight="1">
      <c r="A33" s="676"/>
      <c r="B33" s="712"/>
      <c r="C33" s="1200"/>
      <c r="D33" s="3853"/>
      <c r="E33" s="685" t="s">
        <v>4</v>
      </c>
      <c r="F33" s="1177"/>
      <c r="G33" s="1177"/>
      <c r="H33" s="665">
        <f>I197</f>
        <v>5460</v>
      </c>
      <c r="I33" s="818" t="str">
        <f>I29</f>
        <v>Accomodation</v>
      </c>
      <c r="J33" s="666" t="str">
        <f>IF(K33=1,"Annual","Done every "&amp;K33&amp;" years")</f>
        <v>Done every 10 years</v>
      </c>
      <c r="K33" s="667">
        <f>K29</f>
        <v>10</v>
      </c>
      <c r="L33" s="668">
        <f t="shared" si="6"/>
        <v>8</v>
      </c>
      <c r="M33" s="667">
        <f t="shared" si="6"/>
        <v>10</v>
      </c>
      <c r="N33" s="665">
        <f>$H33*(1-(1+$L$15)^-(L33*M33))/((1+$L$15)^M33-1)*(1+((1+$L$15)^M33-1))</f>
        <v>16099.08979672555</v>
      </c>
      <c r="O33" s="680">
        <f t="shared" si="0"/>
        <v>647.27745773321601</v>
      </c>
      <c r="P33" s="985"/>
      <c r="Q33" s="3051"/>
      <c r="R33" s="3051"/>
      <c r="S33" s="3051"/>
      <c r="T33" s="1036" t="s">
        <v>810</v>
      </c>
      <c r="U33" s="675">
        <f t="shared" si="5"/>
        <v>6.4727745773321601</v>
      </c>
      <c r="V33" s="684" t="str">
        <f>IF($T33="L",SUM($U33:U33)*V$16,"")</f>
        <v/>
      </c>
      <c r="W33" s="684">
        <f>IF($U33="","",IF(OR($T33="L",$T33="T",$T33="C"),SUM($U33:V33)*W$16,""))</f>
        <v>0.6472774577332161</v>
      </c>
      <c r="X33" s="684">
        <f>IF($U33="","",SUM($U33:W33)*X$16)</f>
        <v>2.1360156105196126</v>
      </c>
      <c r="Y33" s="1024">
        <f>IF($U33="","",SUM(V33:X33))</f>
        <v>2.7832930682528287</v>
      </c>
      <c r="Z33" s="721"/>
      <c r="AA33" s="738">
        <f>IF($U33="","",SUM(U33,Y33))</f>
        <v>9.256067645584988</v>
      </c>
      <c r="AB33" s="721"/>
      <c r="AC33" s="730">
        <f ca="1">IF(AA33="","",AA33/OFFSET($AB$23,AF33,0))</f>
        <v>0.31833532848130075</v>
      </c>
      <c r="AD33" s="683"/>
      <c r="AE33" s="1067"/>
      <c r="AF33" s="587">
        <f>AF32</f>
        <v>8</v>
      </c>
      <c r="AG33" s="587"/>
      <c r="AH33" s="669">
        <f>$AH$16/K33</f>
        <v>0.5</v>
      </c>
      <c r="AI33" s="669">
        <f>$AH$16/AH33</f>
        <v>10</v>
      </c>
      <c r="AJ33" s="665">
        <f>$H33*(1-(1+$L$15)^-(AH33*AI33))/((1+$L$15)^AI33-1)*(1+((1+$L$15)^AI33-1))</f>
        <v>2996.8268103281384</v>
      </c>
      <c r="AK33" s="985"/>
    </row>
    <row r="34" spans="1:37" ht="18" customHeight="1">
      <c r="A34" s="676"/>
      <c r="B34" s="712"/>
      <c r="C34" s="1200"/>
      <c r="D34" s="3854"/>
      <c r="E34" s="1082" t="s">
        <v>21</v>
      </c>
      <c r="F34" s="1177"/>
      <c r="G34" s="1177"/>
      <c r="H34" s="665"/>
      <c r="I34" s="818"/>
      <c r="J34" s="666"/>
      <c r="K34" s="667"/>
      <c r="L34" s="668"/>
      <c r="M34" s="667"/>
      <c r="N34" s="665"/>
      <c r="O34" s="680">
        <f t="shared" si="0"/>
        <v>0</v>
      </c>
      <c r="P34" s="985"/>
      <c r="Q34" s="3051"/>
      <c r="R34" s="3051"/>
      <c r="S34" s="3051"/>
      <c r="T34" s="1036" t="s">
        <v>811</v>
      </c>
      <c r="U34" s="675"/>
      <c r="V34" s="684" t="str">
        <f>IF($T34="L",SUM($U34:U34)*V$16,"")</f>
        <v/>
      </c>
      <c r="W34" s="684" t="str">
        <f>IF($U34="","",IF(OR($T34="L",$T34="T",$T34="C"),SUM($U34:V34)*W$16,""))</f>
        <v/>
      </c>
      <c r="X34" s="684" t="str">
        <f>IF($U34="","",SUM($U34:W34)*X$16)</f>
        <v/>
      </c>
      <c r="Y34" s="1024"/>
      <c r="Z34" s="721"/>
      <c r="AA34" s="738"/>
      <c r="AB34" s="721"/>
      <c r="AC34" s="730"/>
      <c r="AD34" s="683"/>
      <c r="AE34" s="1067"/>
      <c r="AF34" s="587">
        <f>AF33</f>
        <v>8</v>
      </c>
      <c r="AG34" s="587"/>
      <c r="AH34" s="669"/>
      <c r="AI34" s="669"/>
      <c r="AJ34" s="665"/>
      <c r="AK34" s="985"/>
    </row>
    <row r="35" spans="1:37" ht="18" customHeight="1">
      <c r="A35" s="656"/>
      <c r="B35" s="713">
        <f>B31+0.1</f>
        <v>2.3000000000000003</v>
      </c>
      <c r="C35" s="1201" t="s">
        <v>202</v>
      </c>
      <c r="D35" s="3852" t="str">
        <f>D31</f>
        <v>1) Surveying area and collecting disease samples by foot 2) scoping out the perimeter for signs/hygiene station by vehicle</v>
      </c>
      <c r="E35" s="686" t="s">
        <v>3</v>
      </c>
      <c r="F35" s="1178"/>
      <c r="G35" s="1178">
        <f>$F$158</f>
        <v>34.849626307922271</v>
      </c>
      <c r="H35" s="645">
        <f>J195</f>
        <v>7841.1659192825109</v>
      </c>
      <c r="I35" s="820" t="s">
        <v>475</v>
      </c>
      <c r="J35" s="646" t="str">
        <f>IF(K35=1,"Annual","Done every "&amp;K35&amp;" years")</f>
        <v>Done every 10 years</v>
      </c>
      <c r="K35" s="647">
        <f>K31</f>
        <v>10</v>
      </c>
      <c r="L35" s="651">
        <f t="shared" ref="L35:M37" si="7">$L$16/K35</f>
        <v>8</v>
      </c>
      <c r="M35" s="881">
        <f t="shared" si="7"/>
        <v>10</v>
      </c>
      <c r="N35" s="884">
        <f>$H35*(1-(1+$L$15)^-(L35*M35))/((1+$L$15)^M35-1)*(1+((1+$L$15)^M35-1))</f>
        <v>23120.079532152602</v>
      </c>
      <c r="O35" s="653">
        <f t="shared" si="0"/>
        <v>929.56226042079118</v>
      </c>
      <c r="P35" s="931">
        <f>SUM(O35:O38)</f>
        <v>2364.7247777743182</v>
      </c>
      <c r="Q35" s="3052"/>
      <c r="R35" s="3052"/>
      <c r="S35" s="3052"/>
      <c r="T35" s="1037" t="s">
        <v>808</v>
      </c>
      <c r="U35" s="655">
        <f>O35/$U$16</f>
        <v>9.295622604207912</v>
      </c>
      <c r="V35" s="655">
        <f>IF($T35="L",SUM($U35:U35)*V$16,"")</f>
        <v>2.7886867812623737</v>
      </c>
      <c r="W35" s="655">
        <f>IF($U35="","",IF(OR($T35="L",$T35="T",$T35="C"),SUM($U35:V35)*W$16,""))</f>
        <v>1.2084309385470287</v>
      </c>
      <c r="X35" s="655">
        <f>IF($U35="","",SUM($U35:W35)*X$16)</f>
        <v>3.9878220972051941</v>
      </c>
      <c r="Y35" s="650">
        <f>IF($U35="","",SUM(V35:X35))</f>
        <v>7.9849398170145971</v>
      </c>
      <c r="Z35" s="717">
        <f>SUM(V35:X38)</f>
        <v>14.156138641634763</v>
      </c>
      <c r="AA35" s="739">
        <f>IF($U35="","",SUM(U35,Y35))</f>
        <v>17.280562421222509</v>
      </c>
      <c r="AB35" s="717">
        <f>SUM(AA35:AA38)</f>
        <v>37.803386419377944</v>
      </c>
      <c r="AC35" s="731">
        <f ca="1">IF(AA35="","",AA35/OFFSET($AB$23,AF35,0))</f>
        <v>0.45711678391765787</v>
      </c>
      <c r="AD35" s="654"/>
      <c r="AE35" s="1068"/>
      <c r="AF35" s="587">
        <f>AF31+4</f>
        <v>12</v>
      </c>
      <c r="AG35" s="816">
        <f ca="1">SUM(AC35:AC38)-1</f>
        <v>0</v>
      </c>
      <c r="AH35" s="649">
        <f>$AH$16/K35</f>
        <v>0.5</v>
      </c>
      <c r="AI35" s="649">
        <f>$AH$16/AH35</f>
        <v>10</v>
      </c>
      <c r="AJ35" s="645">
        <f>$H35*(1-(1+$L$15)^-(AH35*AI35))/((1+$L$15)^AI35-1)*(1+((1+$L$15)^AI35-1))</f>
        <v>4303.775870171633</v>
      </c>
      <c r="AK35" s="931">
        <f>SUM(AJ35:AJ38)</f>
        <v>10948.427955299181</v>
      </c>
    </row>
    <row r="36" spans="1:37" ht="19" customHeight="1">
      <c r="A36" s="656"/>
      <c r="B36" s="714"/>
      <c r="C36" s="1202" t="s">
        <v>789</v>
      </c>
      <c r="D36" s="3853"/>
      <c r="E36" s="686" t="s">
        <v>308</v>
      </c>
      <c r="F36" s="1178">
        <f>F182</f>
        <v>1</v>
      </c>
      <c r="G36" s="1178">
        <f>F181</f>
        <v>17.424813153961136</v>
      </c>
      <c r="H36" s="645">
        <f>J196</f>
        <v>4966.0717488789232</v>
      </c>
      <c r="I36" s="820" t="s">
        <v>797</v>
      </c>
      <c r="J36" s="646" t="str">
        <f>IF(K36=1,"Annual","Done every "&amp;K36&amp;" years")</f>
        <v>Done every 10 years</v>
      </c>
      <c r="K36" s="647">
        <f>K32</f>
        <v>10</v>
      </c>
      <c r="L36" s="648">
        <f t="shared" si="7"/>
        <v>8</v>
      </c>
      <c r="M36" s="647">
        <f t="shared" si="7"/>
        <v>10</v>
      </c>
      <c r="N36" s="645">
        <f>$H36*(1-(1+$L$15)^-(L36*M36))/((1+$L$15)^M36-1)*(1+((1+$L$15)^M36-1))</f>
        <v>14642.717037029981</v>
      </c>
      <c r="O36" s="660">
        <f t="shared" si="0"/>
        <v>588.7227649331677</v>
      </c>
      <c r="P36" s="932"/>
      <c r="Q36" s="3053">
        <f>1*(1-(1+$L$15)^-(L36*M36))/((1+$L$15)^M36-1)*(1+((1+$L$15)^M36-1))</f>
        <v>2.9485512448215299</v>
      </c>
      <c r="R36" s="3053">
        <f>Q36/(1+$L$15)*($L$15)/(1-(1+$L$15)^-$L$16)</f>
        <v>0.11854898493282347</v>
      </c>
      <c r="S36" s="3053">
        <f>F36*R36</f>
        <v>0.11854898493282347</v>
      </c>
      <c r="T36" s="1038" t="s">
        <v>809</v>
      </c>
      <c r="U36" s="655">
        <f>O36/$U$16</f>
        <v>5.8872276493316766</v>
      </c>
      <c r="V36" s="662" t="str">
        <f>IF($T36="L",SUM($U36:U36)*V$16,"")</f>
        <v/>
      </c>
      <c r="W36" s="662">
        <f>IF($U36="","",IF(OR($T36="L",$T36="T",$T36="C"),SUM($U36:V36)*W$16,""))</f>
        <v>0.58872276493316766</v>
      </c>
      <c r="X36" s="662">
        <f>IF($U36="","",SUM($U36:W36)*X$16)</f>
        <v>1.9427851242794532</v>
      </c>
      <c r="Y36" s="659">
        <f>IF($U36="","",SUM(V36:X36))</f>
        <v>2.5315078892126208</v>
      </c>
      <c r="Z36" s="722"/>
      <c r="AA36" s="740">
        <f>IF($U36="","",SUM(U36,Y36))</f>
        <v>8.418735538544297</v>
      </c>
      <c r="AB36" s="722"/>
      <c r="AC36" s="731">
        <f ca="1">IF(AA36="","",AA36/OFFSET($AB$23,AF36,0))</f>
        <v>0.22269792037014094</v>
      </c>
      <c r="AD36" s="661"/>
      <c r="AE36" s="1068"/>
      <c r="AF36" s="587">
        <f>AF35</f>
        <v>12</v>
      </c>
      <c r="AG36" s="587"/>
      <c r="AH36" s="649">
        <f>$AH$16/K36</f>
        <v>0.5</v>
      </c>
      <c r="AI36" s="649">
        <f>$AH$16/AH36</f>
        <v>10</v>
      </c>
      <c r="AJ36" s="645">
        <f>$H36*(1-(1+$L$15)^-(AH36*AI36))/((1+$L$15)^AI36-1)*(1+((1+$L$15)^AI36-1))</f>
        <v>2725.724717775367</v>
      </c>
      <c r="AK36" s="932"/>
    </row>
    <row r="37" spans="1:37" ht="19" customHeight="1">
      <c r="A37" s="656"/>
      <c r="B37" s="714"/>
      <c r="C37" s="1202"/>
      <c r="D37" s="3853"/>
      <c r="E37" s="686" t="s">
        <v>4</v>
      </c>
      <c r="F37" s="1178"/>
      <c r="G37" s="1178"/>
      <c r="H37" s="645">
        <f>J197</f>
        <v>7140</v>
      </c>
      <c r="I37" s="820" t="s">
        <v>70</v>
      </c>
      <c r="J37" s="646" t="str">
        <f>IF(K37=1,"Annual","Done every "&amp;K37&amp;" years")</f>
        <v>Done every 10 years</v>
      </c>
      <c r="K37" s="647">
        <f>K33</f>
        <v>10</v>
      </c>
      <c r="L37" s="648">
        <f t="shared" si="7"/>
        <v>8</v>
      </c>
      <c r="M37" s="647">
        <f t="shared" si="7"/>
        <v>10</v>
      </c>
      <c r="N37" s="645">
        <f>$H37*(1-(1+$L$15)^-(L37*M37))/((1+$L$15)^M37-1)*(1+((1+$L$15)^M37-1))</f>
        <v>21052.655888025722</v>
      </c>
      <c r="O37" s="660">
        <f t="shared" si="0"/>
        <v>846.43975242035947</v>
      </c>
      <c r="P37" s="933"/>
      <c r="Q37" s="3053"/>
      <c r="R37" s="3053"/>
      <c r="S37" s="3053"/>
      <c r="T37" s="1038" t="s">
        <v>810</v>
      </c>
      <c r="U37" s="655">
        <f>O37/$U$16</f>
        <v>8.4643975242035943</v>
      </c>
      <c r="V37" s="664" t="str">
        <f>IF($T37="L",SUM($U37:U37)*V$16,"")</f>
        <v/>
      </c>
      <c r="W37" s="664">
        <f>IF($U37="","",IF(OR($T37="L",$T37="T",$T37="C"),SUM($U37:V37)*W$16,""))</f>
        <v>0.84643975242035951</v>
      </c>
      <c r="X37" s="664">
        <f>IF($U37="","",SUM($U37:W37)*X$16)</f>
        <v>2.793251182987186</v>
      </c>
      <c r="Y37" s="1025">
        <f>IF($U37="","",SUM(V37:X37))</f>
        <v>3.6396909354075455</v>
      </c>
      <c r="Z37" s="723"/>
      <c r="AA37" s="741">
        <f>IF($U37="","",SUM(U37,Y37))</f>
        <v>12.104088459611139</v>
      </c>
      <c r="AB37" s="723"/>
      <c r="AC37" s="731">
        <f ca="1">IF(AA37="","",AA37/OFFSET($AB$23,AF37,0))</f>
        <v>0.32018529571220122</v>
      </c>
      <c r="AD37" s="663"/>
      <c r="AE37" s="1068"/>
      <c r="AF37" s="587">
        <f>AF36</f>
        <v>12</v>
      </c>
      <c r="AG37" s="587"/>
      <c r="AH37" s="649">
        <f>$AH$16/K37</f>
        <v>0.5</v>
      </c>
      <c r="AI37" s="649">
        <f>$AH$16/AH37</f>
        <v>10</v>
      </c>
      <c r="AJ37" s="645">
        <f>$H37*(1-(1+$L$15)^-(AH37*AI37))/((1+$L$15)^AI37-1)*(1+((1+$L$15)^AI37-1))</f>
        <v>3918.9273673521807</v>
      </c>
      <c r="AK37" s="933"/>
    </row>
    <row r="38" spans="1:37" ht="19" customHeight="1">
      <c r="A38" s="656"/>
      <c r="B38" s="714"/>
      <c r="C38" s="1203"/>
      <c r="D38" s="3854"/>
      <c r="E38" s="686" t="s">
        <v>21</v>
      </c>
      <c r="F38" s="1178"/>
      <c r="G38" s="1178"/>
      <c r="H38" s="645"/>
      <c r="I38" s="1087"/>
      <c r="J38" s="646"/>
      <c r="K38" s="647"/>
      <c r="L38" s="648"/>
      <c r="M38" s="647"/>
      <c r="N38" s="645"/>
      <c r="O38" s="660">
        <f t="shared" si="0"/>
        <v>0</v>
      </c>
      <c r="P38" s="934"/>
      <c r="Q38" s="3054"/>
      <c r="R38" s="3054"/>
      <c r="S38" s="3054"/>
      <c r="T38" s="1038"/>
      <c r="U38" s="655"/>
      <c r="V38" s="664" t="str">
        <f>IF($T38="L",SUM($U38:U38)*V$16,"")</f>
        <v/>
      </c>
      <c r="W38" s="664" t="str">
        <f>IF($U38="","",IF(OR($T38="L",$T38="T",$T38="C"),SUM($U38:V38)*W$16,""))</f>
        <v/>
      </c>
      <c r="X38" s="664" t="str">
        <f>IF($U38="","",SUM($U38:W38)*X$16)</f>
        <v/>
      </c>
      <c r="Y38" s="1025"/>
      <c r="Z38" s="723"/>
      <c r="AA38" s="741"/>
      <c r="AB38" s="723"/>
      <c r="AC38" s="731"/>
      <c r="AD38" s="663"/>
      <c r="AE38" s="1068"/>
      <c r="AF38" s="587">
        <f>AF37</f>
        <v>12</v>
      </c>
      <c r="AG38" s="587"/>
      <c r="AH38" s="649"/>
      <c r="AI38" s="649"/>
      <c r="AJ38" s="645"/>
      <c r="AK38" s="933"/>
    </row>
    <row r="39" spans="1:37" ht="19" customHeight="1">
      <c r="B39" s="26">
        <v>3</v>
      </c>
      <c r="C39" s="3898" t="s">
        <v>316</v>
      </c>
      <c r="D39" s="3901" t="s">
        <v>1087</v>
      </c>
      <c r="E39" s="593" t="s">
        <v>3</v>
      </c>
      <c r="F39" s="1174"/>
      <c r="G39" s="1174">
        <f>$D$258</f>
        <v>45.366666666666667</v>
      </c>
      <c r="H39" s="150">
        <f>G297</f>
        <v>10207.5</v>
      </c>
      <c r="I39" s="150" t="str">
        <f>H297</f>
        <v>Cost for person hours</v>
      </c>
      <c r="J39" s="376" t="str">
        <f t="shared" ref="J39:J42" si="8">IF(K39=1,"Annual","Done every "&amp;K39&amp;" years")</f>
        <v>Done every 10 years</v>
      </c>
      <c r="K39" s="341">
        <f>I297</f>
        <v>10</v>
      </c>
      <c r="L39" s="379">
        <f t="shared" ref="L39:M42" si="9">$L$16/K39</f>
        <v>8</v>
      </c>
      <c r="M39" s="272">
        <f t="shared" si="9"/>
        <v>10</v>
      </c>
      <c r="N39" s="150">
        <f t="shared" ref="N39:N42" si="10">$H39*(1-(1+$L$15)^-(L39*M39))/((1+$L$15)^M39-1)*(1+((1+$L$15)^M39-1))</f>
        <v>30097.336831515764</v>
      </c>
      <c r="O39" s="915">
        <f t="shared" si="0"/>
        <v>1210.0887637017954</v>
      </c>
      <c r="P39" s="245">
        <f>SUM(O39:O42)</f>
        <v>12555.78972945143</v>
      </c>
      <c r="Q39" s="3015"/>
      <c r="R39" s="3015"/>
      <c r="S39" s="3015"/>
      <c r="T39" s="1031" t="s">
        <v>808</v>
      </c>
      <c r="U39" s="916">
        <f t="shared" ref="U39:U42" si="11">O39/$U$16</f>
        <v>12.100887637017955</v>
      </c>
      <c r="V39" s="588">
        <f>IF($T39="L",SUM($U39:U39)*V$16,"")</f>
        <v>3.6302662911053862</v>
      </c>
      <c r="W39" s="588">
        <f>IF($U39="","",IF(OR($T39="L",$T39="T",$T39="C"),SUM($U39:V39)*W$16,""))</f>
        <v>1.5731153928123343</v>
      </c>
      <c r="X39" s="588">
        <f>IF($U39="","",SUM($U39:W39)*X$16)</f>
        <v>5.1912807962807017</v>
      </c>
      <c r="Y39" s="383">
        <f t="shared" ref="Y39:Y46" si="12">IF($U39="","",SUM(V39:X39))</f>
        <v>10.394662480198424</v>
      </c>
      <c r="Z39" s="245">
        <f>SUM(V39:X42)</f>
        <v>46.85208219990821</v>
      </c>
      <c r="AA39" s="917">
        <f t="shared" ref="AA39:AA46" si="13">IF($U39="","",SUM(U39,Y39))</f>
        <v>22.495550117216379</v>
      </c>
      <c r="AB39" s="245">
        <f>SUM(AA39:AA42)</f>
        <v>172.40997949442252</v>
      </c>
      <c r="AC39" s="918">
        <f t="shared" ref="AC39:AC46" ca="1" si="14">IF(AA39="","",AA39/OFFSET($AB$23,AF39,0))</f>
        <v>0.13047707669348751</v>
      </c>
      <c r="AD39" s="589"/>
      <c r="AE39" s="573"/>
      <c r="AF39" s="587">
        <f>AF35+4</f>
        <v>16</v>
      </c>
      <c r="AG39" s="816">
        <f ca="1">SUM(AC39:AC42)-1</f>
        <v>0</v>
      </c>
      <c r="AH39" s="13">
        <f t="shared" ref="AH39:AH42" si="15">$AH$16/K39</f>
        <v>0.5</v>
      </c>
      <c r="AI39" s="13">
        <f t="shared" ref="AI39:AI42" si="16">$AH$16/AH39</f>
        <v>10</v>
      </c>
      <c r="AJ39" s="188">
        <f t="shared" ref="AJ39:AJ42" si="17">$H39*(1-(1+$L$15)^-(AH39*AI39))/((1+$L$15)^AI39-1)*(1+((1+$L$15)^AI39-1))</f>
        <v>5602.5841879898298</v>
      </c>
      <c r="AK39" s="191">
        <f>SUM(AJ39:AJ42)</f>
        <v>58131.990905160506</v>
      </c>
    </row>
    <row r="40" spans="1:37" ht="19" customHeight="1">
      <c r="B40" s="612"/>
      <c r="C40" s="3899"/>
      <c r="D40" s="3902"/>
      <c r="E40" s="593" t="s">
        <v>308</v>
      </c>
      <c r="F40" s="1174">
        <f>$D$263</f>
        <v>2</v>
      </c>
      <c r="G40" s="1174">
        <f>$D$262</f>
        <v>22.683333333333334</v>
      </c>
      <c r="H40" s="150">
        <f t="shared" ref="H40:I42" si="18">G298</f>
        <v>6464.75</v>
      </c>
      <c r="I40" s="150" t="str">
        <f t="shared" si="18"/>
        <v>Cost for ute hire</v>
      </c>
      <c r="J40" s="376" t="str">
        <f t="shared" si="8"/>
        <v>Done every 10 years</v>
      </c>
      <c r="K40" s="341">
        <f>I298</f>
        <v>10</v>
      </c>
      <c r="L40" s="379">
        <f t="shared" si="9"/>
        <v>8</v>
      </c>
      <c r="M40" s="272">
        <f t="shared" si="9"/>
        <v>10</v>
      </c>
      <c r="N40" s="150">
        <f t="shared" si="10"/>
        <v>19061.646659959984</v>
      </c>
      <c r="O40" s="915">
        <f t="shared" si="0"/>
        <v>766.38955034447054</v>
      </c>
      <c r="P40" s="382"/>
      <c r="Q40" s="2854">
        <f>1*(1-(1+$L$15)^-(L40*M40))/((1+$L$15)^M40-1)*(1+((1+$L$15)^M40-1))</f>
        <v>2.9485512448215299</v>
      </c>
      <c r="R40" s="2854">
        <f>Q40/(1+$L$15)*($L$15)/(1-(1+$L$15)^-$L$16)</f>
        <v>0.11854898493282347</v>
      </c>
      <c r="S40" s="2854">
        <f>F40*R40</f>
        <v>0.23709796986564693</v>
      </c>
      <c r="T40" s="1032" t="s">
        <v>809</v>
      </c>
      <c r="U40" s="588">
        <f t="shared" si="11"/>
        <v>7.6638955034447056</v>
      </c>
      <c r="V40" s="919" t="str">
        <f>IF($T40="L",SUM($U40:U40)*V$16,"")</f>
        <v/>
      </c>
      <c r="W40" s="919">
        <f>IF($U40="","",IF(OR($T40="L",$T40="T",$T40="C"),SUM($U40:V40)*W$16,""))</f>
        <v>0.76638955034447065</v>
      </c>
      <c r="X40" s="919">
        <f>IF($U40="","",SUM($U40:W40)*X$16)</f>
        <v>2.5290855161367531</v>
      </c>
      <c r="Y40" s="384">
        <f t="shared" si="12"/>
        <v>3.2954750664812238</v>
      </c>
      <c r="Z40" s="382"/>
      <c r="AA40" s="920">
        <f t="shared" si="13"/>
        <v>10.95937056992593</v>
      </c>
      <c r="AB40" s="382"/>
      <c r="AC40" s="918">
        <f t="shared" ca="1" si="14"/>
        <v>6.3565755312211883E-2</v>
      </c>
      <c r="AD40" s="590"/>
      <c r="AE40" s="573"/>
      <c r="AF40" s="587">
        <f>AF39</f>
        <v>16</v>
      </c>
      <c r="AG40" s="587"/>
      <c r="AH40" s="13">
        <f t="shared" si="15"/>
        <v>0.5</v>
      </c>
      <c r="AI40" s="13">
        <f t="shared" si="16"/>
        <v>10</v>
      </c>
      <c r="AJ40" s="188">
        <f t="shared" si="17"/>
        <v>3548.3033190602259</v>
      </c>
      <c r="AK40" s="342"/>
    </row>
    <row r="41" spans="1:37" ht="16" customHeight="1">
      <c r="B41" s="612"/>
      <c r="C41" s="3899"/>
      <c r="D41" s="3902"/>
      <c r="E41" s="593" t="s">
        <v>4</v>
      </c>
      <c r="F41" s="1174"/>
      <c r="G41" s="1174"/>
      <c r="H41" s="150">
        <f t="shared" si="18"/>
        <v>9240</v>
      </c>
      <c r="I41" s="150" t="str">
        <f t="shared" si="18"/>
        <v>Accomodation + Food Cost</v>
      </c>
      <c r="J41" s="376" t="str">
        <f t="shared" si="8"/>
        <v>Done every 10 years</v>
      </c>
      <c r="K41" s="341">
        <f>I299</f>
        <v>10</v>
      </c>
      <c r="L41" s="379">
        <f t="shared" si="9"/>
        <v>8</v>
      </c>
      <c r="M41" s="272">
        <f t="shared" si="9"/>
        <v>10</v>
      </c>
      <c r="N41" s="150">
        <f t="shared" si="10"/>
        <v>27244.613502150936</v>
      </c>
      <c r="O41" s="915">
        <f t="shared" si="0"/>
        <v>1095.392620779289</v>
      </c>
      <c r="P41" s="382"/>
      <c r="Q41" s="2854"/>
      <c r="R41" s="2854"/>
      <c r="S41" s="2854"/>
      <c r="T41" s="1032" t="s">
        <v>810</v>
      </c>
      <c r="U41" s="588">
        <f t="shared" si="11"/>
        <v>10.95392620779289</v>
      </c>
      <c r="V41" s="919" t="str">
        <f>IF($T41="L",SUM($U41:U41)*V$16,"")</f>
        <v/>
      </c>
      <c r="W41" s="919">
        <f>IF($U41="","",IF(OR($T41="L",$T41="T",$T41="C"),SUM($U41:V41)*W$16,""))</f>
        <v>1.095392620779289</v>
      </c>
      <c r="X41" s="919">
        <f>IF($U41="","",SUM($U41:W41)*X$16)</f>
        <v>3.6147956485716537</v>
      </c>
      <c r="Y41" s="384">
        <f t="shared" si="12"/>
        <v>4.7101882693509429</v>
      </c>
      <c r="Z41" s="382"/>
      <c r="AA41" s="920">
        <f t="shared" si="13"/>
        <v>15.664114477143833</v>
      </c>
      <c r="AB41" s="382"/>
      <c r="AC41" s="918">
        <f t="shared" ca="1" si="14"/>
        <v>9.0853873558117151E-2</v>
      </c>
      <c r="AD41" s="589"/>
      <c r="AE41" s="573"/>
      <c r="AF41" s="587">
        <f>AF40</f>
        <v>16</v>
      </c>
      <c r="AG41" s="587"/>
      <c r="AH41" s="13">
        <f t="shared" si="15"/>
        <v>0.5</v>
      </c>
      <c r="AI41" s="13">
        <f t="shared" si="16"/>
        <v>10</v>
      </c>
      <c r="AJ41" s="188">
        <f t="shared" si="17"/>
        <v>5071.5530636322346</v>
      </c>
      <c r="AK41" s="342"/>
    </row>
    <row r="42" spans="1:37" ht="19" customHeight="1">
      <c r="B42" s="612"/>
      <c r="C42" s="3900"/>
      <c r="D42" s="3903"/>
      <c r="E42" s="593" t="s">
        <v>21</v>
      </c>
      <c r="F42" s="1174"/>
      <c r="G42" s="1174"/>
      <c r="H42" s="150">
        <f t="shared" si="18"/>
        <v>80000</v>
      </c>
      <c r="I42" s="150" t="str">
        <f t="shared" si="18"/>
        <v>Consumables cost</v>
      </c>
      <c r="J42" s="376" t="str">
        <f t="shared" si="8"/>
        <v>Done every 10 years</v>
      </c>
      <c r="K42" s="341">
        <f>I300</f>
        <v>10</v>
      </c>
      <c r="L42" s="379">
        <f t="shared" si="9"/>
        <v>8</v>
      </c>
      <c r="M42" s="272">
        <f t="shared" si="9"/>
        <v>10</v>
      </c>
      <c r="N42" s="150">
        <f t="shared" si="10"/>
        <v>235884.09958572238</v>
      </c>
      <c r="O42" s="915">
        <f t="shared" si="0"/>
        <v>9483.9187946258753</v>
      </c>
      <c r="P42" s="382"/>
      <c r="Q42" s="2854"/>
      <c r="R42" s="2854"/>
      <c r="S42" s="2854"/>
      <c r="T42" s="1033" t="s">
        <v>811</v>
      </c>
      <c r="U42" s="588">
        <f t="shared" si="11"/>
        <v>94.839187946258747</v>
      </c>
      <c r="V42" s="919" t="str">
        <f>IF($T42="L",SUM($U42:U42)*V$16,"")</f>
        <v/>
      </c>
      <c r="W42" s="919" t="str">
        <f>IF($U42="","",IF(OR($T42="L",$T42="T",$T42="C"),SUM($U42:V42)*W$16,""))</f>
        <v/>
      </c>
      <c r="X42" s="919">
        <f>IF($U42="","",SUM($U42:W42)*X$16)</f>
        <v>28.451756383877623</v>
      </c>
      <c r="Y42" s="384">
        <f t="shared" si="12"/>
        <v>28.451756383877623</v>
      </c>
      <c r="Z42" s="382"/>
      <c r="AA42" s="920">
        <f t="shared" si="13"/>
        <v>123.29094433013637</v>
      </c>
      <c r="AB42" s="382"/>
      <c r="AC42" s="918">
        <f t="shared" ca="1" si="14"/>
        <v>0.71510329443618337</v>
      </c>
      <c r="AD42" s="589"/>
      <c r="AE42" s="1257"/>
      <c r="AF42" s="587">
        <f>AF41</f>
        <v>16</v>
      </c>
      <c r="AG42" s="587"/>
      <c r="AH42" s="13">
        <f t="shared" si="15"/>
        <v>0.5</v>
      </c>
      <c r="AI42" s="13">
        <f t="shared" si="16"/>
        <v>10</v>
      </c>
      <c r="AJ42" s="188">
        <f t="shared" si="17"/>
        <v>43909.550334478219</v>
      </c>
      <c r="AK42" s="342"/>
    </row>
    <row r="43" spans="1:37" ht="19" customHeight="1">
      <c r="B43" s="926">
        <v>7</v>
      </c>
      <c r="C43" s="1196" t="s">
        <v>397</v>
      </c>
      <c r="D43" s="3847" t="s">
        <v>192</v>
      </c>
      <c r="E43" s="12" t="s">
        <v>3</v>
      </c>
      <c r="F43" s="1172"/>
      <c r="G43" s="1172">
        <f>$E$330</f>
        <v>30</v>
      </c>
      <c r="H43" s="188">
        <f>F330</f>
        <v>10125</v>
      </c>
      <c r="I43" s="188" t="str">
        <f>G330</f>
        <v>Cost for reporting, analysis and feedback</v>
      </c>
      <c r="J43" s="377" t="str">
        <f>IF(K43=1,"Annual","Done every "&amp;K43&amp;" years")</f>
        <v>Done every 10 years</v>
      </c>
      <c r="K43" s="586">
        <f>D318</f>
        <v>10</v>
      </c>
      <c r="L43" s="158">
        <f>$L$16/K43</f>
        <v>8</v>
      </c>
      <c r="M43" s="586">
        <f>$L$16/L43</f>
        <v>10</v>
      </c>
      <c r="N43" s="188">
        <f>$H43*(1-(1+$L$15)^-(L43*M43))/((1+$L$15)^M43-1)*(1+((1+$L$15)^M43-1))</f>
        <v>29854.081353817986</v>
      </c>
      <c r="O43" s="242">
        <f t="shared" ref="O43" si="19">N43/(1+$L$15)*($L$15)/(1-(1+$L$15)^-$L$16)</f>
        <v>1200.3084724448374</v>
      </c>
      <c r="P43" s="192">
        <f>SUM(O43:O46)</f>
        <v>1200.3084724448374</v>
      </c>
      <c r="Q43" s="2817"/>
      <c r="R43" s="2817"/>
      <c r="S43" s="2817"/>
      <c r="T43" s="1039" t="s">
        <v>808</v>
      </c>
      <c r="U43" s="583">
        <f>O43/$U$16</f>
        <v>12.003084724448374</v>
      </c>
      <c r="V43" s="583">
        <f>IF($T43="L",SUM($U43:U43)*V$16,"")</f>
        <v>3.600925417334512</v>
      </c>
      <c r="W43" s="1474"/>
      <c r="X43" s="583">
        <f>IF($U43="","",SUM($U43:W43)*X$16)</f>
        <v>4.6812030425348654</v>
      </c>
      <c r="Y43" s="240">
        <f t="shared" si="12"/>
        <v>8.2821284598693765</v>
      </c>
      <c r="Z43" s="192">
        <f>SUM(V43:X46)</f>
        <v>8.2821284598693765</v>
      </c>
      <c r="AA43" s="742">
        <f t="shared" si="13"/>
        <v>20.285213184317751</v>
      </c>
      <c r="AB43" s="192">
        <f>SUM(AA43:AA46)</f>
        <v>20.285213184317751</v>
      </c>
      <c r="AC43" s="727">
        <f t="shared" ca="1" si="14"/>
        <v>1</v>
      </c>
      <c r="AD43" s="589"/>
      <c r="AE43" s="573"/>
      <c r="AF43" s="587">
        <v>20</v>
      </c>
      <c r="AG43" s="816">
        <f ca="1">SUM(AC43:AC46)-1</f>
        <v>0</v>
      </c>
      <c r="AH43" s="13">
        <f>$AH$16/K43</f>
        <v>0.5</v>
      </c>
      <c r="AI43" s="13">
        <f>$AH$16/AH43</f>
        <v>10</v>
      </c>
      <c r="AJ43" s="188">
        <f>$H43*(1-(1+$L$15)^-(AH43*AI43))/((1+$L$15)^AI43-1)*(1+((1+$L$15)^AI43-1))</f>
        <v>5557.3024642074006</v>
      </c>
      <c r="AK43" s="191">
        <f>SUM(AJ43:AJ46)</f>
        <v>5557.3024642074006</v>
      </c>
    </row>
    <row r="44" spans="1:37" ht="19" customHeight="1">
      <c r="B44" s="261"/>
      <c r="C44" s="1197"/>
      <c r="D44" s="3848"/>
      <c r="E44" s="12" t="s">
        <v>308</v>
      </c>
      <c r="F44" s="1172"/>
      <c r="G44" s="1172"/>
      <c r="H44" s="188"/>
      <c r="I44" s="921"/>
      <c r="J44" s="377"/>
      <c r="K44" s="586"/>
      <c r="L44" s="158"/>
      <c r="M44" s="586"/>
      <c r="N44" s="188"/>
      <c r="O44" s="242"/>
      <c r="P44" s="194"/>
      <c r="Q44" s="2819">
        <v>0</v>
      </c>
      <c r="R44" s="2819">
        <v>0</v>
      </c>
      <c r="S44" s="2819">
        <v>0</v>
      </c>
      <c r="T44" s="1034" t="s">
        <v>809</v>
      </c>
      <c r="U44" s="585"/>
      <c r="V44" s="585" t="str">
        <f>IF($T44="L",SUM($U44:U44)*V$16,"")</f>
        <v/>
      </c>
      <c r="W44" s="1475"/>
      <c r="X44" s="585" t="str">
        <f>IF($U44="","",SUM($U44:W44)*X$16)</f>
        <v/>
      </c>
      <c r="Y44" s="242" t="str">
        <f t="shared" si="12"/>
        <v/>
      </c>
      <c r="Z44" s="194"/>
      <c r="AA44" s="733" t="str">
        <f t="shared" si="13"/>
        <v/>
      </c>
      <c r="AB44" s="194"/>
      <c r="AC44" s="728" t="str">
        <f t="shared" ca="1" si="14"/>
        <v/>
      </c>
      <c r="AD44" s="589"/>
      <c r="AE44" s="1072"/>
      <c r="AF44" s="587">
        <f>AF43</f>
        <v>20</v>
      </c>
      <c r="AG44" s="587"/>
      <c r="AH44" s="13"/>
      <c r="AI44" s="13"/>
      <c r="AJ44" s="209"/>
      <c r="AK44" s="342"/>
    </row>
    <row r="45" spans="1:37" ht="19" customHeight="1">
      <c r="B45" s="261"/>
      <c r="C45" s="1197"/>
      <c r="D45" s="3848"/>
      <c r="E45" s="12" t="s">
        <v>4</v>
      </c>
      <c r="F45" s="1172"/>
      <c r="G45" s="1172"/>
      <c r="H45" s="188"/>
      <c r="I45" s="921"/>
      <c r="J45" s="377"/>
      <c r="K45" s="586"/>
      <c r="L45" s="158"/>
      <c r="M45" s="586"/>
      <c r="N45" s="188"/>
      <c r="O45" s="241"/>
      <c r="P45" s="210"/>
      <c r="Q45" s="2819"/>
      <c r="R45" s="2819"/>
      <c r="S45" s="2819"/>
      <c r="T45" s="1034" t="s">
        <v>810</v>
      </c>
      <c r="U45" s="584"/>
      <c r="V45" s="584" t="str">
        <f>IF($T45="L",SUM($U45:U45)*V$16,"")</f>
        <v/>
      </c>
      <c r="W45" s="1475"/>
      <c r="X45" s="584" t="str">
        <f>IF($U45="","",SUM($U45:W45)*X$16)</f>
        <v/>
      </c>
      <c r="Y45" s="241" t="str">
        <f t="shared" si="12"/>
        <v/>
      </c>
      <c r="Z45" s="210"/>
      <c r="AA45" s="746" t="str">
        <f t="shared" si="13"/>
        <v/>
      </c>
      <c r="AB45" s="210"/>
      <c r="AC45" s="732" t="str">
        <f t="shared" ca="1" si="14"/>
        <v/>
      </c>
      <c r="AD45" s="815"/>
      <c r="AE45" s="1072"/>
      <c r="AF45" s="587">
        <f>AF44</f>
        <v>20</v>
      </c>
      <c r="AG45" s="587"/>
      <c r="AH45" s="13"/>
      <c r="AI45" s="13"/>
      <c r="AJ45" s="188"/>
      <c r="AK45" s="477"/>
    </row>
    <row r="46" spans="1:37" ht="19" customHeight="1" thickBot="1">
      <c r="B46" s="261"/>
      <c r="C46" s="1198"/>
      <c r="D46" s="3849"/>
      <c r="E46" s="12" t="s">
        <v>21</v>
      </c>
      <c r="F46" s="1172"/>
      <c r="G46" s="1172"/>
      <c r="H46" s="188"/>
      <c r="I46" s="921"/>
      <c r="J46" s="377"/>
      <c r="K46" s="11"/>
      <c r="L46" s="1046"/>
      <c r="M46" s="1047"/>
      <c r="N46" s="1048"/>
      <c r="O46" s="726"/>
      <c r="P46" s="725"/>
      <c r="Q46" s="2858"/>
      <c r="R46" s="2858"/>
      <c r="S46" s="2858"/>
      <c r="T46" s="1040" t="s">
        <v>811</v>
      </c>
      <c r="U46" s="724"/>
      <c r="V46" s="724" t="str">
        <f>IF($T46="L",SUM($U46:U46)*V$16,"")</f>
        <v/>
      </c>
      <c r="W46" s="1478"/>
      <c r="X46" s="724" t="str">
        <f>IF($U46="","",SUM($U46:W46)*X$16)</f>
        <v/>
      </c>
      <c r="Y46" s="726" t="str">
        <f t="shared" si="12"/>
        <v/>
      </c>
      <c r="Z46" s="725"/>
      <c r="AA46" s="747" t="str">
        <f t="shared" si="13"/>
        <v/>
      </c>
      <c r="AB46" s="725"/>
      <c r="AC46" s="767" t="str">
        <f t="shared" ca="1" si="14"/>
        <v/>
      </c>
      <c r="AD46" s="1073"/>
      <c r="AE46" s="1074"/>
      <c r="AF46" s="587">
        <f>AF45</f>
        <v>20</v>
      </c>
      <c r="AG46" s="587"/>
      <c r="AH46" s="13"/>
      <c r="AI46" s="13"/>
      <c r="AJ46" s="188"/>
      <c r="AK46" s="478"/>
    </row>
    <row r="47" spans="1:37">
      <c r="C47" s="24"/>
      <c r="D47" s="238"/>
      <c r="E47"/>
      <c r="F47" s="359"/>
      <c r="G47" s="359"/>
      <c r="H47" s="6"/>
      <c r="I47" s="359"/>
      <c r="U47" s="5"/>
    </row>
    <row r="48" spans="1:37">
      <c r="C48" s="24"/>
      <c r="D48" s="238"/>
      <c r="E48"/>
      <c r="F48" s="359"/>
      <c r="G48" s="359"/>
      <c r="H48" s="6"/>
      <c r="I48" s="359"/>
      <c r="U48" s="5"/>
    </row>
    <row r="49" spans="3:21">
      <c r="C49" s="24"/>
      <c r="D49" s="238"/>
      <c r="E49"/>
      <c r="F49" s="359"/>
      <c r="G49" s="359"/>
      <c r="H49" s="6"/>
      <c r="I49" s="359"/>
      <c r="U49" s="5"/>
    </row>
    <row r="50" spans="3:21">
      <c r="C50" s="24"/>
      <c r="D50" s="238"/>
      <c r="E50"/>
      <c r="F50" s="359"/>
      <c r="G50" s="359"/>
      <c r="H50" s="6"/>
      <c r="I50" s="359"/>
      <c r="U50" s="5"/>
    </row>
    <row r="51" spans="3:21">
      <c r="C51" s="24"/>
      <c r="D51" s="238"/>
      <c r="E51"/>
      <c r="F51" s="359"/>
      <c r="G51" s="359"/>
      <c r="H51" s="6"/>
      <c r="I51" s="359"/>
      <c r="U51" s="5"/>
    </row>
    <row r="52" spans="3:21">
      <c r="C52" s="24"/>
      <c r="D52" s="238"/>
      <c r="E52"/>
      <c r="F52" s="359"/>
      <c r="G52" s="359"/>
      <c r="H52" s="6"/>
      <c r="I52" s="359"/>
      <c r="U52" s="5"/>
    </row>
    <row r="53" spans="3:21">
      <c r="C53" s="24"/>
      <c r="D53" s="238"/>
      <c r="E53"/>
      <c r="F53" s="359"/>
      <c r="G53" s="359"/>
      <c r="H53" s="6"/>
      <c r="I53" s="359"/>
      <c r="U53" s="5"/>
    </row>
    <row r="54" spans="3:21">
      <c r="C54" s="24"/>
      <c r="D54" s="238"/>
      <c r="E54"/>
      <c r="F54" s="359"/>
      <c r="G54" s="359"/>
      <c r="H54" s="6"/>
      <c r="I54" s="359"/>
      <c r="U54" s="5"/>
    </row>
    <row r="55" spans="3:21">
      <c r="C55" s="24"/>
      <c r="D55" s="238"/>
      <c r="E55"/>
      <c r="F55" s="359"/>
      <c r="G55" s="359"/>
      <c r="H55" s="6"/>
      <c r="I55" s="359"/>
      <c r="U55" s="5"/>
    </row>
    <row r="56" spans="3:21">
      <c r="C56" s="24"/>
      <c r="D56" s="238"/>
      <c r="E56"/>
      <c r="F56" s="359"/>
      <c r="G56" s="359"/>
      <c r="H56" s="6"/>
      <c r="I56" s="359"/>
      <c r="U56" s="5"/>
    </row>
    <row r="57" spans="3:21">
      <c r="C57" s="24"/>
      <c r="D57" s="238"/>
      <c r="E57"/>
      <c r="F57" s="359"/>
      <c r="G57" s="359"/>
      <c r="H57" s="6"/>
      <c r="I57" s="359"/>
      <c r="U57" s="5"/>
    </row>
    <row r="58" spans="3:21">
      <c r="C58" s="24"/>
      <c r="D58" s="238"/>
      <c r="E58"/>
      <c r="F58" s="359"/>
      <c r="G58" s="359"/>
      <c r="H58" s="6"/>
      <c r="I58" s="359"/>
      <c r="U58" s="5"/>
    </row>
    <row r="59" spans="3:21">
      <c r="C59" s="24"/>
      <c r="D59" s="238"/>
      <c r="E59"/>
      <c r="F59" s="359"/>
      <c r="G59" s="359"/>
      <c r="H59" s="6"/>
      <c r="I59" s="359"/>
      <c r="U59" s="5"/>
    </row>
    <row r="60" spans="3:21">
      <c r="C60" s="24"/>
      <c r="D60" s="238"/>
      <c r="E60"/>
      <c r="F60" s="359"/>
      <c r="G60" s="359"/>
      <c r="H60" s="6"/>
      <c r="I60" s="359"/>
      <c r="U60" s="5"/>
    </row>
    <row r="61" spans="3:21">
      <c r="C61" s="24"/>
      <c r="D61" s="238"/>
      <c r="E61"/>
      <c r="F61" s="359"/>
      <c r="G61" s="359"/>
      <c r="H61" s="6"/>
      <c r="I61" s="359"/>
      <c r="U61" s="5"/>
    </row>
    <row r="62" spans="3:21">
      <c r="C62" s="24"/>
      <c r="D62" s="238"/>
      <c r="E62"/>
      <c r="F62" s="359"/>
      <c r="G62" s="359"/>
      <c r="H62" s="6"/>
      <c r="I62" s="359"/>
      <c r="U62" s="5"/>
    </row>
    <row r="63" spans="3:21">
      <c r="C63" s="24"/>
      <c r="D63" s="238"/>
      <c r="E63"/>
      <c r="F63" s="359"/>
      <c r="G63" s="359"/>
      <c r="H63" s="6"/>
      <c r="I63" s="359"/>
      <c r="U63" s="5"/>
    </row>
    <row r="64" spans="3:21">
      <c r="C64" s="24"/>
      <c r="D64" s="238"/>
      <c r="E64"/>
      <c r="F64" s="359"/>
      <c r="G64" s="359"/>
      <c r="H64" s="6"/>
      <c r="I64" s="359"/>
      <c r="U64" s="5"/>
    </row>
    <row r="65" spans="3:21">
      <c r="C65" s="24"/>
      <c r="D65" s="238"/>
      <c r="E65"/>
      <c r="F65" s="359"/>
      <c r="G65" s="359"/>
      <c r="H65" s="6"/>
      <c r="I65" s="359"/>
      <c r="U65" s="5"/>
    </row>
    <row r="66" spans="3:21">
      <c r="C66" s="24"/>
      <c r="D66" s="238"/>
      <c r="E66"/>
      <c r="F66" s="359"/>
      <c r="G66" s="359"/>
      <c r="H66" s="6"/>
      <c r="I66" s="359"/>
      <c r="U66" s="5"/>
    </row>
    <row r="67" spans="3:21">
      <c r="C67" s="24"/>
      <c r="D67" s="238"/>
      <c r="E67"/>
      <c r="F67" s="359"/>
      <c r="G67" s="359"/>
      <c r="H67" s="6"/>
      <c r="I67" s="359"/>
      <c r="U67" s="5"/>
    </row>
    <row r="68" spans="3:21">
      <c r="C68" s="24"/>
      <c r="D68" s="238" t="s">
        <v>299</v>
      </c>
      <c r="E68"/>
      <c r="F68" s="359"/>
      <c r="G68" s="359"/>
      <c r="H68" s="6"/>
      <c r="I68" s="359"/>
      <c r="U68" s="5"/>
    </row>
    <row r="69" spans="3:21">
      <c r="C69" s="24"/>
      <c r="D69" s="238"/>
      <c r="E69"/>
      <c r="F69" s="359"/>
      <c r="G69" s="359"/>
      <c r="H69" s="6"/>
      <c r="I69" s="359"/>
      <c r="U69" s="5"/>
    </row>
    <row r="70" spans="3:21">
      <c r="C70" s="24"/>
      <c r="D70" s="238"/>
      <c r="E70"/>
      <c r="F70" s="359"/>
      <c r="G70" s="359"/>
      <c r="H70" s="6"/>
      <c r="I70" s="359"/>
      <c r="U70" s="5"/>
    </row>
    <row r="71" spans="3:21">
      <c r="C71" s="24"/>
      <c r="D71" s="238"/>
      <c r="E71"/>
      <c r="F71" s="359"/>
      <c r="G71" s="359"/>
      <c r="H71" s="6"/>
      <c r="I71" s="359"/>
      <c r="U71" s="5"/>
    </row>
    <row r="72" spans="3:21" s="7" customFormat="1">
      <c r="D72" s="35"/>
      <c r="E72" s="36"/>
    </row>
    <row r="73" spans="3:21" s="9" customFormat="1">
      <c r="D73" s="105"/>
      <c r="E73" s="34"/>
    </row>
    <row r="74" spans="3:21" s="9" customFormat="1">
      <c r="C74" s="120" t="s">
        <v>57</v>
      </c>
      <c r="D74" s="34" t="s">
        <v>1054</v>
      </c>
      <c r="E74" s="34"/>
    </row>
    <row r="75" spans="3:21" s="9" customFormat="1">
      <c r="D75" s="159" t="s">
        <v>1057</v>
      </c>
      <c r="E75" s="970"/>
    </row>
    <row r="76" spans="3:21" s="9" customFormat="1">
      <c r="D76" s="332" t="s">
        <v>91</v>
      </c>
      <c r="E76" s="43"/>
      <c r="F76" s="105"/>
    </row>
    <row r="77" spans="3:21" s="9" customFormat="1">
      <c r="D77" s="135">
        <f>'Overall Assumptions'!$C$6</f>
        <v>100</v>
      </c>
      <c r="E77" s="246" t="s">
        <v>967</v>
      </c>
    </row>
    <row r="78" spans="3:21" s="9" customFormat="1">
      <c r="D78" s="332">
        <f>'Overall Assumptions'!$C$125</f>
        <v>3</v>
      </c>
      <c r="E78" s="131" t="str">
        <f>'Overall Assumptions'!$D$115</f>
        <v>weeks</v>
      </c>
    </row>
    <row r="79" spans="3:21" s="9" customFormat="1">
      <c r="C79" s="105"/>
      <c r="D79" s="332">
        <f>D78*5</f>
        <v>15</v>
      </c>
      <c r="E79" s="43" t="str">
        <f>'Overall Assumptions'!$D$116</f>
        <v>days</v>
      </c>
    </row>
    <row r="80" spans="3:21" s="9" customFormat="1">
      <c r="C80" s="105"/>
      <c r="D80" s="332"/>
      <c r="E80" s="43"/>
    </row>
    <row r="81" spans="3:8" s="9" customFormat="1">
      <c r="C81" s="105"/>
      <c r="D81" s="268">
        <v>10</v>
      </c>
      <c r="E81" s="43" t="s">
        <v>245</v>
      </c>
    </row>
    <row r="82" spans="3:8" s="9" customFormat="1">
      <c r="C82" s="105"/>
      <c r="D82" s="332"/>
      <c r="E82" s="43"/>
    </row>
    <row r="83" spans="3:8" s="9" customFormat="1">
      <c r="C83" s="105"/>
      <c r="D83" s="332"/>
      <c r="E83" s="43"/>
    </row>
    <row r="84" spans="3:8" s="9" customFormat="1">
      <c r="C84" s="105"/>
      <c r="D84" s="332" t="str">
        <f>'Overall Assumptions'!$D$76</f>
        <v>Daily rate (AUD) for labour assuming 7.5 hours/day</v>
      </c>
      <c r="E84" s="246"/>
    </row>
    <row r="85" spans="3:8" s="9" customFormat="1">
      <c r="D85" s="614">
        <f>'Overall Assumptions'!$C$68</f>
        <v>225</v>
      </c>
      <c r="E85" s="246" t="str">
        <f>'Overall Assumptions'!$B$67</f>
        <v>Labour 1- APS Low (Entry lvl)</v>
      </c>
    </row>
    <row r="86" spans="3:8" s="9" customFormat="1">
      <c r="D86" s="399">
        <f>'Overall Assumptions'!$C$72</f>
        <v>337.5</v>
      </c>
      <c r="E86" s="530" t="str">
        <f>'Overall Assumptions'!$B$71</f>
        <v>Labour 2 - APS High (Experienced)</v>
      </c>
    </row>
    <row r="87" spans="3:8" s="9" customFormat="1">
      <c r="D87" s="112">
        <f>'Overall Assumptions'!$C$76</f>
        <v>487.5</v>
      </c>
      <c r="E87" s="45" t="str">
        <f>'Overall Assumptions'!$B$75</f>
        <v>Labour 3 - EL (Management)</v>
      </c>
    </row>
    <row r="88" spans="3:8" s="9" customFormat="1">
      <c r="D88" s="33"/>
      <c r="E88" s="34"/>
    </row>
    <row r="89" spans="3:8" s="9" customFormat="1">
      <c r="D89" s="33"/>
      <c r="E89" s="34"/>
    </row>
    <row r="90" spans="3:8" s="9" customFormat="1">
      <c r="C90" t="s">
        <v>593</v>
      </c>
      <c r="D90" s="65">
        <v>15</v>
      </c>
      <c r="E90" s="76" t="s">
        <v>793</v>
      </c>
      <c r="F90"/>
      <c r="G90"/>
      <c r="H90"/>
    </row>
    <row r="91" spans="3:8" s="9" customFormat="1">
      <c r="C91"/>
      <c r="D91" s="64">
        <f>D90*D86</f>
        <v>5062.5</v>
      </c>
      <c r="E91" s="39" t="s">
        <v>595</v>
      </c>
      <c r="F91"/>
      <c r="G91"/>
      <c r="H91"/>
    </row>
    <row r="92" spans="3:8" s="9" customFormat="1">
      <c r="C92"/>
      <c r="D92" s="65"/>
      <c r="E92" s="66"/>
      <c r="F92"/>
      <c r="G92"/>
      <c r="H92"/>
    </row>
    <row r="93" spans="3:8" s="9" customFormat="1">
      <c r="D93" s="175"/>
      <c r="E93" s="164" t="s">
        <v>155</v>
      </c>
      <c r="F93" s="255" t="s">
        <v>166</v>
      </c>
      <c r="G93" s="1090" t="s">
        <v>69</v>
      </c>
      <c r="H93" s="108"/>
    </row>
    <row r="94" spans="3:8" s="9" customFormat="1">
      <c r="D94" s="405" t="s">
        <v>3</v>
      </c>
      <c r="E94" s="509">
        <f>SUM(D79,D90)</f>
        <v>30</v>
      </c>
      <c r="F94" s="321">
        <f>E94*D86</f>
        <v>10125</v>
      </c>
      <c r="G94" s="1091" t="s">
        <v>162</v>
      </c>
      <c r="H94" s="323"/>
    </row>
    <row r="95" spans="3:8" s="9" customFormat="1">
      <c r="D95" s="105"/>
      <c r="E95" s="34"/>
    </row>
    <row r="96" spans="3:8" s="7" customFormat="1">
      <c r="D96" s="35"/>
      <c r="E96" s="36"/>
    </row>
    <row r="97" spans="3:8" s="9" customFormat="1">
      <c r="C97" s="120" t="s">
        <v>58</v>
      </c>
      <c r="D97" s="34" t="s">
        <v>163</v>
      </c>
      <c r="E97" s="34"/>
    </row>
    <row r="98" spans="3:8" s="9" customFormat="1">
      <c r="C98" s="120"/>
      <c r="D98" s="9" t="s">
        <v>558</v>
      </c>
      <c r="E98" s="34"/>
    </row>
    <row r="99" spans="3:8" s="9" customFormat="1">
      <c r="C99" s="120"/>
      <c r="D99" s="34" t="s">
        <v>562</v>
      </c>
      <c r="E99" s="34"/>
    </row>
    <row r="100" spans="3:8" s="9" customFormat="1">
      <c r="D100" s="34"/>
    </row>
    <row r="101" spans="3:8" s="9" customFormat="1">
      <c r="D101" s="117" t="s">
        <v>91</v>
      </c>
      <c r="E101" s="186"/>
      <c r="F101" s="186"/>
      <c r="G101" s="118"/>
    </row>
    <row r="102" spans="3:8" s="9" customFormat="1">
      <c r="D102" s="54">
        <f>'Overall Assumptions'!$C$6</f>
        <v>100</v>
      </c>
      <c r="E102" s="124" t="s">
        <v>503</v>
      </c>
      <c r="F102" s="122"/>
      <c r="G102" s="109"/>
    </row>
    <row r="103" spans="3:8" s="9" customFormat="1">
      <c r="D103" s="408">
        <v>1</v>
      </c>
      <c r="E103" s="116" t="s">
        <v>134</v>
      </c>
      <c r="F103" s="122"/>
      <c r="G103" s="109"/>
    </row>
    <row r="104" spans="3:8" s="9" customFormat="1">
      <c r="D104" s="1239">
        <f>'Overall Assumptions'!$C$132</f>
        <v>0.5</v>
      </c>
      <c r="E104" s="116" t="s">
        <v>585</v>
      </c>
      <c r="F104" s="122"/>
      <c r="G104" s="109"/>
    </row>
    <row r="105" spans="3:8" s="9" customFormat="1">
      <c r="D105" s="1217">
        <f>D102*D103/D104</f>
        <v>200</v>
      </c>
      <c r="E105" s="116" t="s">
        <v>1058</v>
      </c>
      <c r="F105" s="122"/>
      <c r="G105" s="109"/>
    </row>
    <row r="106" spans="3:8" s="9" customFormat="1">
      <c r="D106" s="1217">
        <f>SQRT(D102)*4</f>
        <v>40</v>
      </c>
      <c r="E106" s="124" t="s">
        <v>559</v>
      </c>
      <c r="F106" s="122"/>
      <c r="G106" s="109"/>
    </row>
    <row r="107" spans="3:8" s="9" customFormat="1">
      <c r="D107" s="135"/>
      <c r="E107" s="122"/>
      <c r="F107" s="122"/>
      <c r="G107" s="109"/>
    </row>
    <row r="108" spans="3:8" s="9" customFormat="1">
      <c r="D108" s="472">
        <v>10</v>
      </c>
      <c r="E108" s="322" t="s">
        <v>246</v>
      </c>
      <c r="F108" s="142"/>
      <c r="G108" s="323"/>
    </row>
    <row r="109" spans="3:8" s="9" customFormat="1">
      <c r="D109" s="124"/>
      <c r="E109" s="124"/>
      <c r="F109" s="122"/>
      <c r="G109" s="122"/>
    </row>
    <row r="110" spans="3:8" s="9" customFormat="1">
      <c r="D110" s="124"/>
      <c r="E110" s="124"/>
      <c r="F110" s="122"/>
      <c r="G110" s="122"/>
    </row>
    <row r="111" spans="3:8" s="9" customFormat="1">
      <c r="C111" s="9" t="s">
        <v>1061</v>
      </c>
      <c r="D111" s="151" t="s">
        <v>179</v>
      </c>
      <c r="E111" s="164"/>
      <c r="F111" s="255"/>
      <c r="G111" s="1090"/>
      <c r="H111" s="161"/>
    </row>
    <row r="112" spans="3:8" s="9" customFormat="1">
      <c r="D112" s="1242">
        <f>10/60</f>
        <v>0.16666666666666666</v>
      </c>
      <c r="E112" s="443" t="s">
        <v>1080</v>
      </c>
      <c r="F112" s="465"/>
      <c r="G112" s="1097"/>
      <c r="H112" s="466"/>
    </row>
    <row r="113" spans="3:10" s="9" customFormat="1">
      <c r="D113" s="446">
        <f>D105</f>
        <v>200</v>
      </c>
      <c r="E113" s="76" t="s">
        <v>253</v>
      </c>
      <c r="F113" s="79"/>
      <c r="G113" s="1119"/>
      <c r="H113" s="246"/>
    </row>
    <row r="114" spans="3:10" s="9" customFormat="1">
      <c r="D114" s="1221">
        <f>D112*D113/7.5</f>
        <v>4.4444444444444438</v>
      </c>
      <c r="E114" s="333" t="s">
        <v>1066</v>
      </c>
      <c r="F114" s="439"/>
      <c r="G114" s="1098"/>
      <c r="H114" s="162"/>
    </row>
    <row r="115" spans="3:10" s="9" customFormat="1">
      <c r="D115" s="152"/>
      <c r="E115" s="124"/>
      <c r="F115" s="79"/>
      <c r="G115" s="1119"/>
      <c r="H115" s="246"/>
    </row>
    <row r="116" spans="3:10" s="9" customFormat="1">
      <c r="D116" s="1242">
        <f>10/60</f>
        <v>0.16666666666666666</v>
      </c>
      <c r="E116" s="319" t="s">
        <v>1062</v>
      </c>
      <c r="F116" s="320"/>
      <c r="G116" s="320"/>
      <c r="H116" s="108"/>
    </row>
    <row r="117" spans="3:10" s="9" customFormat="1">
      <c r="D117" s="1217">
        <f>D106</f>
        <v>40</v>
      </c>
      <c r="E117" s="124" t="str">
        <f>E106</f>
        <v>Perimeter of Management area (10X10km)</v>
      </c>
      <c r="F117" s="122"/>
      <c r="G117" s="122"/>
      <c r="H117" s="109"/>
    </row>
    <row r="118" spans="3:10" s="9" customFormat="1">
      <c r="D118" s="1220">
        <f>D116*D117/7.5</f>
        <v>0.88888888888888884</v>
      </c>
      <c r="E118" s="333" t="s">
        <v>1063</v>
      </c>
      <c r="F118" s="439"/>
      <c r="G118" s="439"/>
      <c r="H118" s="323"/>
    </row>
    <row r="119" spans="3:10">
      <c r="H119" s="3"/>
      <c r="I119" s="3"/>
    </row>
    <row r="120" spans="3:10" ht="19">
      <c r="C120" t="s">
        <v>50</v>
      </c>
      <c r="D120" s="37" t="s">
        <v>81</v>
      </c>
      <c r="E120" s="24"/>
      <c r="F120" s="1"/>
      <c r="G120" s="3"/>
      <c r="H120" s="3"/>
      <c r="I120" s="3"/>
      <c r="J120" s="3"/>
    </row>
    <row r="121" spans="3:10">
      <c r="F121" s="1"/>
      <c r="G121" s="3"/>
      <c r="H121" s="3"/>
      <c r="I121" s="3"/>
      <c r="J121" s="3"/>
    </row>
    <row r="122" spans="3:10">
      <c r="D122" s="160" t="s">
        <v>563</v>
      </c>
    </row>
    <row r="124" spans="3:10">
      <c r="D124" s="50"/>
    </row>
    <row r="125" spans="3:10">
      <c r="D125" s="51" t="s">
        <v>82</v>
      </c>
      <c r="E125" s="273"/>
      <c r="F125" s="401"/>
      <c r="G125" s="274"/>
    </row>
    <row r="126" spans="3:10" ht="19">
      <c r="D126" s="54">
        <f>'Overall Assumptions'!$C$68</f>
        <v>225</v>
      </c>
      <c r="E126" s="1215" t="s">
        <v>99</v>
      </c>
      <c r="F126" s="79"/>
      <c r="G126" s="246"/>
    </row>
    <row r="127" spans="3:10">
      <c r="D127" s="354">
        <f>'Overall Assumptions'!$C$130</f>
        <v>2</v>
      </c>
      <c r="E127" s="76" t="s">
        <v>84</v>
      </c>
      <c r="F127" s="122"/>
      <c r="G127" s="246"/>
    </row>
    <row r="128" spans="3:10">
      <c r="D128" s="42">
        <f>'Overall Assumptions'!$C$53</f>
        <v>4.46</v>
      </c>
      <c r="E128" s="629" t="s">
        <v>780</v>
      </c>
      <c r="F128" s="79"/>
      <c r="G128" s="246"/>
    </row>
    <row r="129" spans="4:12">
      <c r="D129" s="42">
        <f>'Overall Assumptions'!$C$54</f>
        <v>3.3449999999999998</v>
      </c>
      <c r="E129" s="629" t="s">
        <v>781</v>
      </c>
      <c r="F129" s="79"/>
      <c r="G129" s="246"/>
    </row>
    <row r="130" spans="4:12">
      <c r="D130" s="42">
        <f>'Overall Assumptions'!$C$55</f>
        <v>2.23</v>
      </c>
      <c r="E130" s="629" t="s">
        <v>782</v>
      </c>
      <c r="F130" s="79"/>
      <c r="G130" s="246"/>
    </row>
    <row r="131" spans="4:12">
      <c r="D131" s="55"/>
      <c r="E131" s="76"/>
      <c r="F131" s="79"/>
      <c r="G131" s="246"/>
    </row>
    <row r="132" spans="4:12">
      <c r="D132" s="467">
        <f>D105</f>
        <v>200</v>
      </c>
      <c r="E132" s="124" t="s">
        <v>1059</v>
      </c>
      <c r="F132" s="79"/>
      <c r="G132" s="246"/>
    </row>
    <row r="133" spans="4:12">
      <c r="D133" s="1246">
        <f>D114</f>
        <v>4.4444444444444438</v>
      </c>
      <c r="E133" s="870" t="str">
        <f>E114</f>
        <v>Time needed for sampling in total (days)</v>
      </c>
      <c r="F133" s="79"/>
      <c r="G133" s="246"/>
    </row>
    <row r="134" spans="4:12">
      <c r="D134" s="152"/>
      <c r="E134" s="76"/>
      <c r="F134" s="79"/>
      <c r="G134" s="246"/>
    </row>
    <row r="135" spans="4:12">
      <c r="D135" s="44">
        <f>D106</f>
        <v>40</v>
      </c>
      <c r="E135" s="76" t="s">
        <v>560</v>
      </c>
      <c r="F135" s="79"/>
      <c r="G135" s="246"/>
    </row>
    <row r="136" spans="4:12">
      <c r="D136" s="44">
        <f>D118</f>
        <v>0.88888888888888884</v>
      </c>
      <c r="E136" s="76" t="s">
        <v>564</v>
      </c>
      <c r="F136" s="79"/>
      <c r="G136" s="246"/>
    </row>
    <row r="137" spans="4:12">
      <c r="D137" s="467"/>
      <c r="E137" s="124"/>
      <c r="F137" s="79"/>
      <c r="G137" s="246"/>
    </row>
    <row r="138" spans="4:12">
      <c r="D138" s="152"/>
      <c r="E138" s="76"/>
      <c r="F138" s="79"/>
      <c r="G138" s="246"/>
    </row>
    <row r="139" spans="4:12">
      <c r="D139" s="54">
        <f>'Overall Assumptions'!C10</f>
        <v>0</v>
      </c>
      <c r="E139" s="76" t="s">
        <v>85</v>
      </c>
      <c r="F139" s="79"/>
      <c r="G139" s="246"/>
      <c r="J139" s="79"/>
      <c r="K139" s="79"/>
      <c r="L139" s="79"/>
    </row>
    <row r="140" spans="4:12">
      <c r="D140" s="54">
        <f>'Overall Assumptions'!$C$90</f>
        <v>80</v>
      </c>
      <c r="E140" s="76" t="s">
        <v>86</v>
      </c>
      <c r="F140" s="79"/>
      <c r="G140" s="246"/>
      <c r="J140" s="79"/>
      <c r="K140" s="79"/>
      <c r="L140" s="79"/>
    </row>
    <row r="141" spans="4:12">
      <c r="D141" s="54">
        <f>'Overall Assumptions'!$C$91</f>
        <v>40</v>
      </c>
      <c r="E141" s="75" t="s">
        <v>1086</v>
      </c>
      <c r="F141" s="79"/>
      <c r="G141" s="246"/>
      <c r="J141" s="79"/>
      <c r="K141" s="79"/>
      <c r="L141" s="79"/>
    </row>
    <row r="142" spans="4:12">
      <c r="D142" s="56">
        <f>'Overall Assumptions'!$C$81</f>
        <v>210</v>
      </c>
      <c r="E142" s="333" t="s">
        <v>87</v>
      </c>
      <c r="F142" s="439"/>
      <c r="G142" s="162"/>
      <c r="J142" s="127"/>
      <c r="K142" s="79"/>
      <c r="L142" s="79"/>
    </row>
    <row r="143" spans="4:12">
      <c r="D143" s="57"/>
      <c r="J143" s="79"/>
      <c r="K143" s="79"/>
      <c r="L143" s="79"/>
    </row>
    <row r="144" spans="4:12">
      <c r="D144" s="57"/>
      <c r="J144" s="79"/>
      <c r="K144" s="79"/>
      <c r="L144" s="79"/>
    </row>
    <row r="145" spans="3:12">
      <c r="D145" s="630" t="s">
        <v>735</v>
      </c>
      <c r="E145" s="1" t="s">
        <v>218</v>
      </c>
      <c r="F145" s="1" t="s">
        <v>733</v>
      </c>
      <c r="G145" t="s">
        <v>796</v>
      </c>
      <c r="J145" s="79"/>
      <c r="K145" s="79"/>
      <c r="L145" s="79"/>
    </row>
    <row r="146" spans="3:12">
      <c r="D146" s="1218">
        <f>D128</f>
        <v>4.46</v>
      </c>
      <c r="E146" s="1219">
        <f>D129</f>
        <v>3.3449999999999998</v>
      </c>
      <c r="F146" s="1219">
        <f>D130</f>
        <v>2.23</v>
      </c>
      <c r="G146" t="s">
        <v>1060</v>
      </c>
      <c r="J146" s="79"/>
      <c r="K146" s="79"/>
      <c r="L146" s="79"/>
    </row>
    <row r="147" spans="3:12">
      <c r="D147" s="1218"/>
      <c r="E147" s="1219"/>
      <c r="F147" s="1219"/>
      <c r="J147" s="79"/>
      <c r="K147" s="79"/>
      <c r="L147" s="79"/>
    </row>
    <row r="148" spans="3:12">
      <c r="C148" s="21"/>
      <c r="D148" s="77">
        <f>2*D139/D140/7.5</f>
        <v>0</v>
      </c>
      <c r="E148" s="77">
        <f>D148</f>
        <v>0</v>
      </c>
      <c r="F148" s="90">
        <f>E148</f>
        <v>0</v>
      </c>
      <c r="G148" s="59" t="s">
        <v>95</v>
      </c>
      <c r="J148" s="128"/>
      <c r="K148" s="79"/>
      <c r="L148" s="79"/>
    </row>
    <row r="149" spans="3:12">
      <c r="C149" s="21"/>
      <c r="D149" s="77"/>
      <c r="G149" s="60"/>
      <c r="J149" s="79"/>
      <c r="K149" s="79"/>
      <c r="L149" s="79"/>
    </row>
    <row r="150" spans="3:12">
      <c r="C150" s="21"/>
      <c r="D150" s="77">
        <f>$D132/D146/7.5</f>
        <v>5.9790732436472345</v>
      </c>
      <c r="E150" s="77">
        <f>$D132/E146/7.5</f>
        <v>7.9720976581963141</v>
      </c>
      <c r="F150" s="77">
        <f>$D132/F146/7.5</f>
        <v>11.958146487294469</v>
      </c>
      <c r="G150" s="59" t="s">
        <v>1064</v>
      </c>
      <c r="J150" s="128"/>
      <c r="K150" s="79"/>
      <c r="L150" s="79"/>
    </row>
    <row r="151" spans="3:12" ht="18" customHeight="1">
      <c r="C151" s="21"/>
      <c r="D151" s="77">
        <f>$D133</f>
        <v>4.4444444444444438</v>
      </c>
      <c r="E151" s="77">
        <f>$D133</f>
        <v>4.4444444444444438</v>
      </c>
      <c r="F151" s="77">
        <f>$D133</f>
        <v>4.4444444444444438</v>
      </c>
      <c r="G151" s="59" t="s">
        <v>1065</v>
      </c>
      <c r="J151" s="79"/>
      <c r="K151" s="79"/>
      <c r="L151" s="79"/>
    </row>
    <row r="152" spans="3:12" ht="18" customHeight="1">
      <c r="C152" s="21"/>
      <c r="D152" s="77"/>
      <c r="F152" s="19"/>
      <c r="G152" s="59"/>
      <c r="J152" s="79"/>
      <c r="K152" s="79"/>
      <c r="L152" s="79"/>
    </row>
    <row r="153" spans="3:12" ht="18" customHeight="1">
      <c r="C153" s="21"/>
      <c r="D153" s="77">
        <f>D135/D141/7.5</f>
        <v>0.13333333333333333</v>
      </c>
      <c r="E153" s="77">
        <f>D153</f>
        <v>0.13333333333333333</v>
      </c>
      <c r="F153" s="77">
        <f>E153</f>
        <v>0.13333333333333333</v>
      </c>
      <c r="G153" s="59" t="s">
        <v>561</v>
      </c>
      <c r="J153" s="79"/>
      <c r="K153" s="79"/>
      <c r="L153" s="79"/>
    </row>
    <row r="154" spans="3:12" ht="18" customHeight="1">
      <c r="C154" s="21"/>
      <c r="D154" s="77">
        <f>$D136</f>
        <v>0.88888888888888884</v>
      </c>
      <c r="E154" s="77">
        <f>$D136</f>
        <v>0.88888888888888884</v>
      </c>
      <c r="F154" s="77">
        <f>$D136</f>
        <v>0.88888888888888884</v>
      </c>
      <c r="G154" s="59" t="s">
        <v>565</v>
      </c>
      <c r="H154" s="19"/>
      <c r="J154" s="79"/>
      <c r="K154" s="79"/>
      <c r="L154" s="79"/>
    </row>
    <row r="155" spans="3:12" ht="18" customHeight="1">
      <c r="C155" s="21"/>
      <c r="D155" s="77"/>
      <c r="G155" s="59"/>
      <c r="H155" s="19"/>
      <c r="J155" s="79"/>
      <c r="K155" s="79"/>
      <c r="L155" s="79"/>
    </row>
    <row r="156" spans="3:12" ht="18" customHeight="1">
      <c r="C156" s="21"/>
      <c r="D156" s="77">
        <f>SUM(D148:D154)</f>
        <v>11.4457399103139</v>
      </c>
      <c r="E156" s="77">
        <f>SUM(E148:E154)</f>
        <v>13.43876432486298</v>
      </c>
      <c r="F156" s="77">
        <f>SUM(F148:F154)</f>
        <v>17.424813153961136</v>
      </c>
      <c r="G156" s="59" t="s">
        <v>171</v>
      </c>
      <c r="H156" s="19"/>
      <c r="J156" s="79"/>
      <c r="K156" s="79"/>
      <c r="L156" s="79"/>
    </row>
    <row r="157" spans="3:12">
      <c r="C157" s="21"/>
      <c r="D157" s="16"/>
      <c r="G157" s="16"/>
      <c r="J157" s="79"/>
      <c r="K157" s="79"/>
      <c r="L157" s="79"/>
    </row>
    <row r="158" spans="3:12">
      <c r="C158" s="21"/>
      <c r="D158" s="77">
        <f>D156*$D127</f>
        <v>22.891479820627801</v>
      </c>
      <c r="E158" s="77">
        <f>E156*$D127</f>
        <v>26.87752864972596</v>
      </c>
      <c r="F158" s="77">
        <f>F156*$D127</f>
        <v>34.849626307922271</v>
      </c>
      <c r="G158" s="16" t="s">
        <v>566</v>
      </c>
      <c r="J158" s="128"/>
      <c r="K158" s="79"/>
      <c r="L158" s="79"/>
    </row>
    <row r="159" spans="3:12">
      <c r="C159" s="21"/>
      <c r="D159" s="77"/>
      <c r="G159" s="16"/>
      <c r="J159" s="128"/>
      <c r="K159" s="79"/>
      <c r="L159" s="79"/>
    </row>
    <row r="160" spans="3:12">
      <c r="G160" s="16"/>
      <c r="J160" s="79"/>
      <c r="K160" s="79"/>
      <c r="L160" s="79"/>
    </row>
    <row r="161" spans="3:12">
      <c r="D161" s="64">
        <f>D158*$D126</f>
        <v>5150.582959641255</v>
      </c>
      <c r="E161" s="905">
        <f>E158*$D126</f>
        <v>6047.4439461883412</v>
      </c>
      <c r="F161" s="905">
        <f>F158*$D126</f>
        <v>7841.1659192825109</v>
      </c>
      <c r="G161" s="47" t="s">
        <v>329</v>
      </c>
      <c r="J161" s="65"/>
      <c r="K161" s="66"/>
      <c r="L161" s="79"/>
    </row>
    <row r="162" spans="3:12">
      <c r="D162" s="65"/>
      <c r="E162" s="66"/>
      <c r="J162" s="65"/>
      <c r="K162" s="66"/>
      <c r="L162" s="79"/>
    </row>
    <row r="163" spans="3:12" ht="19">
      <c r="C163" s="2" t="s">
        <v>64</v>
      </c>
      <c r="D163" s="37" t="s">
        <v>89</v>
      </c>
    </row>
    <row r="164" spans="3:12">
      <c r="C164" t="s">
        <v>54</v>
      </c>
    </row>
    <row r="166" spans="3:12">
      <c r="D166" s="16"/>
    </row>
    <row r="167" spans="3:12">
      <c r="D167" s="67" t="s">
        <v>91</v>
      </c>
      <c r="E167" s="41"/>
      <c r="F167" s="161"/>
    </row>
    <row r="168" spans="3:12">
      <c r="D168" s="873">
        <f>'Overall Assumptions'!$C$93</f>
        <v>285</v>
      </c>
      <c r="E168" s="39" t="s">
        <v>93</v>
      </c>
      <c r="F168" s="162"/>
    </row>
    <row r="169" spans="3:12">
      <c r="D169" s="75"/>
      <c r="E169" s="76"/>
      <c r="J169" s="79"/>
      <c r="K169" s="79"/>
    </row>
    <row r="170" spans="3:12">
      <c r="D170" s="46">
        <f>D148</f>
        <v>0</v>
      </c>
      <c r="G170" s="59" t="s">
        <v>97</v>
      </c>
      <c r="J170" s="132"/>
      <c r="K170" s="133"/>
    </row>
    <row r="171" spans="3:12">
      <c r="D171" s="46">
        <f>SUM(D150:D151)</f>
        <v>10.423517688091678</v>
      </c>
      <c r="E171" s="46">
        <f>SUM(E150:E151)</f>
        <v>12.416542102640758</v>
      </c>
      <c r="F171" s="46">
        <f>SUM(F150:F151)</f>
        <v>16.402590931738914</v>
      </c>
      <c r="G171" s="59" t="s">
        <v>1070</v>
      </c>
      <c r="J171" s="79"/>
      <c r="K171" s="133"/>
    </row>
    <row r="172" spans="3:12">
      <c r="D172" s="46">
        <f>SUM(D153:D154)</f>
        <v>1.0222222222222221</v>
      </c>
      <c r="E172" s="46">
        <f>SUM(E153:E154)</f>
        <v>1.0222222222222221</v>
      </c>
      <c r="F172" s="46">
        <f>SUM(F153:F154)</f>
        <v>1.0222222222222221</v>
      </c>
      <c r="G172" s="59" t="s">
        <v>568</v>
      </c>
      <c r="J172" s="79"/>
      <c r="K172" s="133"/>
    </row>
    <row r="173" spans="3:12">
      <c r="D173" s="46">
        <f>SUM(D170:D172)</f>
        <v>11.4457399103139</v>
      </c>
      <c r="E173" s="46">
        <f>SUM(E170:E172)</f>
        <v>13.43876432486298</v>
      </c>
      <c r="F173" s="46">
        <f>SUM(F170:F172)</f>
        <v>17.424813153961136</v>
      </c>
      <c r="G173" s="59" t="s">
        <v>135</v>
      </c>
      <c r="J173" s="128"/>
      <c r="K173" s="79"/>
    </row>
    <row r="174" spans="3:12">
      <c r="D174" s="46"/>
      <c r="E174" s="46"/>
      <c r="F174" s="46"/>
      <c r="G174" s="59"/>
      <c r="J174" s="128"/>
      <c r="K174" s="79"/>
    </row>
    <row r="175" spans="3:12">
      <c r="D175" s="63">
        <f>$D168*D170</f>
        <v>0</v>
      </c>
      <c r="E175" s="63">
        <f>$D168*E170</f>
        <v>0</v>
      </c>
      <c r="F175" s="63">
        <f>$D168*F170</f>
        <v>0</v>
      </c>
      <c r="G175" s="16" t="s">
        <v>51</v>
      </c>
      <c r="J175" s="129"/>
      <c r="K175" s="76"/>
    </row>
    <row r="176" spans="3:12">
      <c r="D176" s="63">
        <f>$D168*D171</f>
        <v>2970.7025411061281</v>
      </c>
      <c r="E176" s="63">
        <f>$D168*E171</f>
        <v>3538.714499252616</v>
      </c>
      <c r="F176" s="63">
        <f>$D168*F171</f>
        <v>4674.7384155455902</v>
      </c>
      <c r="G176" s="16" t="s">
        <v>52</v>
      </c>
      <c r="J176" s="129"/>
      <c r="K176" s="76"/>
    </row>
    <row r="177" spans="1:11">
      <c r="D177" s="63">
        <f>$D168*D172</f>
        <v>291.33333333333331</v>
      </c>
      <c r="E177" s="63">
        <f>$D168*E172</f>
        <v>291.33333333333331</v>
      </c>
      <c r="F177" s="63">
        <f>$D168*F172</f>
        <v>291.33333333333331</v>
      </c>
      <c r="G177" s="59" t="s">
        <v>569</v>
      </c>
      <c r="J177" s="129"/>
      <c r="K177" s="76"/>
    </row>
    <row r="178" spans="1:11">
      <c r="D178" s="63"/>
      <c r="E178" s="63"/>
      <c r="F178" s="63"/>
      <c r="G178" s="59"/>
      <c r="J178" s="129"/>
      <c r="K178" s="76"/>
    </row>
    <row r="179" spans="1:11">
      <c r="D179" s="68">
        <f>SUM(D175:D177)</f>
        <v>3262.0358744394616</v>
      </c>
      <c r="E179" s="906">
        <f>SUM(E175:E177)</f>
        <v>3830.0478325859494</v>
      </c>
      <c r="F179" s="906">
        <f>SUM(F175:F177)</f>
        <v>4966.0717488789232</v>
      </c>
      <c r="G179" s="39" t="s">
        <v>500</v>
      </c>
      <c r="J179" s="65"/>
      <c r="K179" s="66"/>
    </row>
    <row r="180" spans="1:11">
      <c r="D180" s="92"/>
      <c r="E180" s="92"/>
      <c r="F180" s="92"/>
      <c r="G180" s="76"/>
      <c r="J180" s="65"/>
      <c r="K180" s="66"/>
    </row>
    <row r="181" spans="1:11">
      <c r="D181" s="46">
        <f>D173</f>
        <v>11.4457399103139</v>
      </c>
      <c r="E181" s="46">
        <f>E173</f>
        <v>13.43876432486298</v>
      </c>
      <c r="F181" s="46">
        <f>F173</f>
        <v>17.424813153961136</v>
      </c>
      <c r="G181" s="359" t="s">
        <v>795</v>
      </c>
      <c r="J181" s="65"/>
      <c r="K181" s="66"/>
    </row>
    <row r="182" spans="1:11">
      <c r="D182" s="75">
        <f>ROUNDUP((D181/21),0)</f>
        <v>1</v>
      </c>
      <c r="E182" s="75">
        <f>ROUNDUP((E181/21),0)</f>
        <v>1</v>
      </c>
      <c r="F182" s="75">
        <f>ROUNDUP((F181/21),0)</f>
        <v>1</v>
      </c>
      <c r="G182" s="99" t="s">
        <v>739</v>
      </c>
      <c r="J182" s="65"/>
      <c r="K182" s="66"/>
    </row>
    <row r="183" spans="1:11">
      <c r="D183" s="65"/>
      <c r="E183" s="66"/>
      <c r="J183" s="65"/>
      <c r="K183" s="66"/>
    </row>
    <row r="184" spans="1:11">
      <c r="C184" t="s">
        <v>70</v>
      </c>
      <c r="D184" s="58"/>
      <c r="E184" s="59" t="s">
        <v>156</v>
      </c>
      <c r="J184" s="65"/>
      <c r="K184" s="66"/>
    </row>
    <row r="185" spans="1:11">
      <c r="D185" s="160" t="s">
        <v>238</v>
      </c>
      <c r="E185" s="59"/>
      <c r="J185" s="65"/>
      <c r="K185" s="66"/>
    </row>
    <row r="186" spans="1:11">
      <c r="D186" s="58"/>
      <c r="E186" s="59"/>
      <c r="J186" s="65"/>
      <c r="K186" s="66"/>
    </row>
    <row r="187" spans="1:11">
      <c r="A187" s="1" t="s">
        <v>327</v>
      </c>
      <c r="D187" s="25">
        <f>D156</f>
        <v>11.4457399103139</v>
      </c>
      <c r="E187" s="25">
        <f>E156</f>
        <v>13.43876432486298</v>
      </c>
      <c r="F187" s="25">
        <f>F156</f>
        <v>17.424813153961136</v>
      </c>
      <c r="G187" s="16" t="s">
        <v>157</v>
      </c>
      <c r="J187" s="65"/>
      <c r="K187" s="66"/>
    </row>
    <row r="188" spans="1:11">
      <c r="D188" s="61">
        <f>FLOOR(D187,1)</f>
        <v>11</v>
      </c>
      <c r="E188" s="61">
        <f>FLOOR(E187,1)</f>
        <v>13</v>
      </c>
      <c r="F188" s="61">
        <f>FLOOR(F187,1)</f>
        <v>17</v>
      </c>
      <c r="G188" s="16" t="s">
        <v>73</v>
      </c>
      <c r="J188" s="65"/>
      <c r="K188" s="66"/>
    </row>
    <row r="189" spans="1:11">
      <c r="D189" s="65"/>
      <c r="E189" s="65"/>
      <c r="F189" s="65"/>
      <c r="G189" s="66"/>
      <c r="J189" s="65"/>
      <c r="K189" s="66"/>
    </row>
    <row r="190" spans="1:11">
      <c r="D190" s="65">
        <f>D188*$D127</f>
        <v>22</v>
      </c>
      <c r="E190" s="65">
        <f>E188*$D127</f>
        <v>26</v>
      </c>
      <c r="F190" s="65">
        <f>F188*$D127</f>
        <v>34</v>
      </c>
      <c r="G190" s="66" t="s">
        <v>88</v>
      </c>
      <c r="J190" s="65"/>
      <c r="K190" s="66"/>
    </row>
    <row r="191" spans="1:11">
      <c r="D191" s="102">
        <f>D190*$D142</f>
        <v>4620</v>
      </c>
      <c r="E191" s="102">
        <f>E190*$D142</f>
        <v>5460</v>
      </c>
      <c r="F191" s="102">
        <f>F190*$D142</f>
        <v>7140</v>
      </c>
      <c r="G191" s="39" t="s">
        <v>74</v>
      </c>
      <c r="J191" s="129"/>
      <c r="K191" s="76"/>
    </row>
    <row r="192" spans="1:11">
      <c r="C192" s="79"/>
      <c r="D192" s="488"/>
      <c r="E192" s="164"/>
      <c r="J192" s="129"/>
      <c r="K192" s="76"/>
    </row>
    <row r="193" spans="1:42">
      <c r="D193" s="400"/>
      <c r="E193" s="164"/>
      <c r="F193" s="255"/>
      <c r="G193" s="255"/>
      <c r="H193" s="618" t="s">
        <v>735</v>
      </c>
      <c r="I193" s="618" t="s">
        <v>987</v>
      </c>
      <c r="J193" s="618" t="s">
        <v>298</v>
      </c>
      <c r="K193" s="161"/>
    </row>
    <row r="194" spans="1:42">
      <c r="D194" s="437" t="s">
        <v>172</v>
      </c>
      <c r="E194" s="276" t="s">
        <v>155</v>
      </c>
      <c r="F194" s="276"/>
      <c r="G194" s="276"/>
      <c r="H194" s="276" t="s">
        <v>166</v>
      </c>
      <c r="I194" s="79"/>
      <c r="J194" s="79"/>
      <c r="K194" s="485" t="s">
        <v>69</v>
      </c>
      <c r="L194" s="276" t="s">
        <v>391</v>
      </c>
    </row>
    <row r="195" spans="1:42">
      <c r="D195" s="135" t="s">
        <v>3</v>
      </c>
      <c r="E195" s="136">
        <f>D158</f>
        <v>22.891479820627801</v>
      </c>
      <c r="F195" s="141"/>
      <c r="G195" s="79"/>
      <c r="H195" s="119">
        <f>D161</f>
        <v>5150.582959641255</v>
      </c>
      <c r="I195" s="119">
        <f>E161</f>
        <v>6047.4439461883412</v>
      </c>
      <c r="J195" s="119">
        <f>F161</f>
        <v>7841.1659192825109</v>
      </c>
      <c r="K195" s="358" t="str">
        <f>G161</f>
        <v>Cost for person hours</v>
      </c>
      <c r="L195">
        <f>$D$108</f>
        <v>10</v>
      </c>
    </row>
    <row r="196" spans="1:42">
      <c r="D196" s="135" t="s">
        <v>132</v>
      </c>
      <c r="E196" s="136">
        <f>D173</f>
        <v>11.4457399103139</v>
      </c>
      <c r="F196" s="141"/>
      <c r="G196" s="141"/>
      <c r="H196" s="119">
        <f>D179</f>
        <v>3262.0358744394616</v>
      </c>
      <c r="I196" s="119">
        <f>E179</f>
        <v>3830.0478325859494</v>
      </c>
      <c r="J196" s="119">
        <f>F179</f>
        <v>4966.0717488789232</v>
      </c>
      <c r="K196" s="358" t="str">
        <f>G179</f>
        <v>Cost for ute hire</v>
      </c>
      <c r="L196">
        <f>$D$108</f>
        <v>10</v>
      </c>
    </row>
    <row r="197" spans="1:42">
      <c r="D197" s="135" t="s">
        <v>169</v>
      </c>
      <c r="E197" s="136">
        <f>D190</f>
        <v>22</v>
      </c>
      <c r="F197" s="141"/>
      <c r="G197" s="141"/>
      <c r="H197" s="119">
        <f>D191</f>
        <v>4620</v>
      </c>
      <c r="I197" s="119">
        <f>E191</f>
        <v>5460</v>
      </c>
      <c r="J197" s="119">
        <f>F191</f>
        <v>7140</v>
      </c>
      <c r="K197" s="358" t="str">
        <f>G191</f>
        <v>Accomodation + Food Cost</v>
      </c>
      <c r="L197">
        <f>$D$108</f>
        <v>10</v>
      </c>
    </row>
    <row r="198" spans="1:42">
      <c r="D198" s="135"/>
      <c r="E198" s="136"/>
      <c r="F198" s="141"/>
      <c r="G198" s="122"/>
      <c r="H198" s="79"/>
      <c r="I198" s="79"/>
      <c r="J198" s="79"/>
      <c r="K198" s="246"/>
    </row>
    <row r="199" spans="1:42">
      <c r="D199" s="137"/>
      <c r="E199" s="486"/>
      <c r="F199" s="487"/>
      <c r="G199" s="142"/>
      <c r="H199" s="139">
        <f>SUM(H195:H197)</f>
        <v>13032.618834080717</v>
      </c>
      <c r="I199" s="139">
        <f>SUM(I195:I197)</f>
        <v>15337.491778774291</v>
      </c>
      <c r="J199" s="139">
        <f>SUM(J195:J197)</f>
        <v>19947.237668161433</v>
      </c>
      <c r="K199" s="140" t="s">
        <v>165</v>
      </c>
    </row>
    <row r="200" spans="1:42">
      <c r="D200" s="122"/>
      <c r="E200" s="147"/>
      <c r="F200" s="122"/>
      <c r="G200" s="122"/>
      <c r="H200" s="119"/>
      <c r="I200" s="119"/>
    </row>
    <row r="202" spans="1:42" s="212" customFormat="1" ht="18" customHeight="1">
      <c r="A202" s="219"/>
      <c r="B202" s="219"/>
      <c r="C202" s="219"/>
      <c r="D202" s="223"/>
      <c r="E202" s="220"/>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c r="AL202" s="219"/>
      <c r="AM202" s="219"/>
      <c r="AN202" s="219"/>
      <c r="AO202" s="219"/>
      <c r="AP202" s="219"/>
    </row>
    <row r="203" spans="1:42" s="212" customFormat="1" ht="18" customHeight="1">
      <c r="D203" s="222"/>
      <c r="E203" s="213"/>
    </row>
    <row r="204" spans="1:42" s="212" customFormat="1" ht="18" customHeight="1">
      <c r="A204" s="219"/>
      <c r="B204" s="219"/>
      <c r="C204" s="219"/>
      <c r="D204" s="223"/>
      <c r="E204" s="220"/>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219"/>
      <c r="AP204" s="219"/>
    </row>
    <row r="205" spans="1:42" s="212" customFormat="1" ht="18" customHeight="1">
      <c r="D205" s="222"/>
      <c r="E205" s="213"/>
    </row>
    <row r="206" spans="1:42" s="212" customFormat="1" ht="18" customHeight="1">
      <c r="A206" s="219"/>
      <c r="B206" s="219"/>
      <c r="C206" s="219"/>
      <c r="D206" s="223"/>
      <c r="E206" s="220"/>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c r="AL206" s="219"/>
      <c r="AM206" s="219"/>
      <c r="AN206" s="219"/>
      <c r="AO206" s="219"/>
      <c r="AP206" s="219"/>
    </row>
    <row r="207" spans="1:42" s="79" customFormat="1">
      <c r="D207" s="279"/>
      <c r="E207" s="76"/>
    </row>
    <row r="208" spans="1:42" s="79" customFormat="1">
      <c r="C208" s="233" t="s">
        <v>167</v>
      </c>
      <c r="D208" s="232" t="s">
        <v>222</v>
      </c>
      <c r="E208" s="76"/>
      <c r="G208" s="76"/>
      <c r="H208" s="92"/>
      <c r="I208" s="76"/>
      <c r="J208" s="65"/>
      <c r="K208" s="66"/>
    </row>
    <row r="209" spans="3:12" s="79" customFormat="1">
      <c r="D209" s="489" t="s">
        <v>1071</v>
      </c>
      <c r="E209" s="66"/>
      <c r="G209" s="76"/>
      <c r="H209" s="76"/>
      <c r="I209" s="76"/>
      <c r="J209" s="65"/>
      <c r="K209" s="66"/>
    </row>
    <row r="210" spans="3:12" s="79" customFormat="1">
      <c r="D210" s="76" t="s">
        <v>518</v>
      </c>
      <c r="E210" s="66"/>
      <c r="L210" s="491" t="s">
        <v>509</v>
      </c>
    </row>
    <row r="211" spans="3:12" s="79" customFormat="1">
      <c r="C211" s="1" t="s">
        <v>4</v>
      </c>
      <c r="D211" s="23" t="s">
        <v>128</v>
      </c>
      <c r="E211" s="34"/>
      <c r="F211" s="9"/>
      <c r="H211" s="494"/>
      <c r="I211" s="495" t="s">
        <v>221</v>
      </c>
      <c r="J211" s="494"/>
      <c r="K211" s="79" t="s">
        <v>391</v>
      </c>
      <c r="L211" s="496" t="s">
        <v>506</v>
      </c>
    </row>
    <row r="212" spans="3:12" s="79" customFormat="1">
      <c r="C212" s="9"/>
      <c r="D212" s="293">
        <v>5</v>
      </c>
      <c r="E212" s="124" t="s">
        <v>510</v>
      </c>
      <c r="F212" s="147"/>
      <c r="H212" s="498">
        <v>2000</v>
      </c>
      <c r="I212" s="499" t="s">
        <v>220</v>
      </c>
      <c r="J212" s="500"/>
      <c r="L212" s="496" t="s">
        <v>506</v>
      </c>
    </row>
    <row r="213" spans="3:12" s="79" customFormat="1">
      <c r="C213" s="9"/>
      <c r="D213" s="292">
        <v>5</v>
      </c>
      <c r="E213" s="124" t="s">
        <v>511</v>
      </c>
      <c r="F213" s="147"/>
      <c r="H213" s="501">
        <v>5000</v>
      </c>
      <c r="I213" s="499" t="s">
        <v>505</v>
      </c>
      <c r="J213" s="500"/>
      <c r="L213" s="497" t="s">
        <v>508</v>
      </c>
    </row>
    <row r="214" spans="3:12" s="79" customFormat="1">
      <c r="C214" s="9"/>
      <c r="D214" s="292">
        <v>1</v>
      </c>
      <c r="E214" s="124" t="s">
        <v>512</v>
      </c>
      <c r="F214" s="147"/>
      <c r="G214" s="492"/>
      <c r="H214" s="502">
        <v>45000</v>
      </c>
      <c r="I214" s="503" t="s">
        <v>507</v>
      </c>
      <c r="J214" s="503"/>
    </row>
    <row r="215" spans="3:12" s="79" customFormat="1">
      <c r="C215" s="9"/>
      <c r="D215" s="505">
        <v>0.5</v>
      </c>
      <c r="E215" s="124" t="s">
        <v>248</v>
      </c>
      <c r="F215" s="147"/>
      <c r="G215" s="492"/>
      <c r="H215" s="492"/>
      <c r="I215" s="492"/>
      <c r="J215" s="493"/>
      <c r="K215" s="213"/>
    </row>
    <row r="216" spans="3:12" s="79" customFormat="1">
      <c r="C216" s="9"/>
      <c r="D216" s="505">
        <v>2</v>
      </c>
      <c r="E216" s="124" t="s">
        <v>515</v>
      </c>
      <c r="F216" s="147"/>
      <c r="G216" s="492"/>
      <c r="H216" s="492"/>
      <c r="I216" s="492"/>
      <c r="J216" s="493"/>
      <c r="K216" s="213"/>
    </row>
    <row r="217" spans="3:12" s="79" customFormat="1">
      <c r="C217" s="9"/>
      <c r="D217" s="505">
        <v>10</v>
      </c>
      <c r="E217" s="124" t="s">
        <v>1072</v>
      </c>
      <c r="F217" s="147"/>
      <c r="G217" s="492"/>
      <c r="H217" s="492"/>
      <c r="I217" s="492"/>
      <c r="J217" s="493"/>
      <c r="K217" s="213"/>
    </row>
    <row r="218" spans="3:12" s="79" customFormat="1">
      <c r="C218"/>
      <c r="D218" s="504">
        <f>H212</f>
        <v>2000</v>
      </c>
      <c r="E218" s="124" t="s">
        <v>129</v>
      </c>
      <c r="F218" s="147"/>
      <c r="G218" s="490"/>
    </row>
    <row r="219" spans="3:12" s="79" customFormat="1">
      <c r="C219" s="9"/>
      <c r="D219" s="504">
        <f>H213</f>
        <v>5000</v>
      </c>
      <c r="E219" s="124" t="s">
        <v>129</v>
      </c>
      <c r="F219" s="147"/>
      <c r="G219" s="212"/>
    </row>
    <row r="220" spans="3:12" s="79" customFormat="1">
      <c r="C220" s="9"/>
      <c r="D220" s="504">
        <f>H214</f>
        <v>45000</v>
      </c>
      <c r="E220" s="124" t="s">
        <v>129</v>
      </c>
      <c r="F220" s="147"/>
      <c r="G220" s="288"/>
    </row>
    <row r="221" spans="3:12" s="79" customFormat="1">
      <c r="C221" s="9"/>
      <c r="G221" s="288"/>
    </row>
    <row r="222" spans="3:12" s="79" customFormat="1">
      <c r="C222" s="9"/>
      <c r="D222" s="79">
        <f>'Overall Assumptions'!$C$6</f>
        <v>100</v>
      </c>
      <c r="E222" s="122" t="s">
        <v>451</v>
      </c>
      <c r="F222" s="213"/>
      <c r="G222" s="213"/>
    </row>
    <row r="223" spans="3:12" s="79" customFormat="1">
      <c r="C223" s="9"/>
      <c r="D223" s="294">
        <f>ROUNDUP(D212/100*$D$222,0)</f>
        <v>5</v>
      </c>
      <c r="E223" s="16" t="s">
        <v>310</v>
      </c>
      <c r="F223" s="147"/>
      <c r="G223" s="216"/>
    </row>
    <row r="224" spans="3:12" s="79" customFormat="1">
      <c r="C224" s="9"/>
      <c r="D224" s="294">
        <f>ROUNDUP(D213/100*$D$222,0)</f>
        <v>5</v>
      </c>
      <c r="E224" s="16" t="s">
        <v>513</v>
      </c>
      <c r="F224" s="147"/>
      <c r="G224" s="216"/>
      <c r="H224" s="288"/>
      <c r="I224" s="288"/>
      <c r="J224" s="289"/>
      <c r="K224" s="216"/>
    </row>
    <row r="225" spans="3:12" s="79" customFormat="1">
      <c r="C225" s="9"/>
      <c r="D225" s="294">
        <f>ROUNDUP(D214/100*$D$222,0)</f>
        <v>1</v>
      </c>
      <c r="E225" s="16" t="s">
        <v>507</v>
      </c>
      <c r="F225" s="147"/>
      <c r="G225" s="216"/>
      <c r="H225" s="288"/>
      <c r="I225" s="288"/>
      <c r="J225" s="289"/>
      <c r="K225" s="216"/>
    </row>
    <row r="226" spans="3:12" s="79" customFormat="1">
      <c r="C226" s="9"/>
      <c r="F226" s="147"/>
      <c r="G226" s="216"/>
      <c r="H226" s="288"/>
      <c r="I226" s="288"/>
      <c r="J226" s="289"/>
      <c r="K226" s="216"/>
    </row>
    <row r="227" spans="3:12" s="79" customFormat="1">
      <c r="C227" s="9"/>
      <c r="D227" s="288"/>
      <c r="E227" s="288"/>
      <c r="F227" s="289"/>
      <c r="G227" s="216"/>
      <c r="H227" s="288"/>
      <c r="I227" s="288"/>
      <c r="J227" s="289"/>
      <c r="K227" s="216"/>
    </row>
    <row r="228" spans="3:12" s="79" customFormat="1">
      <c r="C228" s="9"/>
      <c r="G228" s="288"/>
      <c r="H228" s="288"/>
      <c r="I228" s="288"/>
      <c r="J228" s="289"/>
      <c r="K228" s="216"/>
    </row>
    <row r="229" spans="3:12" s="79" customFormat="1">
      <c r="C229" s="9"/>
      <c r="D229" s="74">
        <f>SUMPRODUCT(D223:D225,D218:D220)</f>
        <v>80000</v>
      </c>
      <c r="E229" s="39" t="s">
        <v>67</v>
      </c>
      <c r="F229"/>
      <c r="G229" s="288"/>
      <c r="H229" s="288"/>
      <c r="I229" s="288"/>
      <c r="J229" s="289"/>
      <c r="K229" s="216"/>
    </row>
    <row r="230" spans="3:12" s="79" customFormat="1">
      <c r="C230" s="9"/>
      <c r="D230" s="339">
        <v>10</v>
      </c>
      <c r="E230" s="218" t="s">
        <v>261</v>
      </c>
      <c r="G230" s="288"/>
      <c r="H230" s="288"/>
      <c r="I230" s="288"/>
      <c r="J230" s="289"/>
      <c r="K230" s="216"/>
    </row>
    <row r="231" spans="3:12" s="79" customFormat="1">
      <c r="C231" s="9"/>
      <c r="D231" s="290"/>
      <c r="E231" s="124"/>
      <c r="F231" s="147"/>
      <c r="G231" s="288"/>
      <c r="H231" s="288"/>
      <c r="I231" s="288"/>
      <c r="J231" s="289"/>
      <c r="K231" s="216"/>
    </row>
    <row r="232" spans="3:12" s="79" customFormat="1" ht="19">
      <c r="C232" t="s">
        <v>50</v>
      </c>
      <c r="D232" s="37" t="s">
        <v>81</v>
      </c>
      <c r="E232" s="24"/>
      <c r="F232" s="1"/>
      <c r="G232" s="3"/>
      <c r="H232" s="286"/>
      <c r="I232" s="286"/>
      <c r="J232" s="289"/>
      <c r="K232" s="216"/>
    </row>
    <row r="233" spans="3:12" s="79" customFormat="1">
      <c r="C233"/>
      <c r="D233" s="24" t="s">
        <v>519</v>
      </c>
      <c r="E233" s="16"/>
      <c r="F233" s="1"/>
      <c r="G233" s="3"/>
      <c r="J233" s="248"/>
      <c r="K233" s="248"/>
      <c r="L233" s="122"/>
    </row>
    <row r="234" spans="3:12" s="79" customFormat="1">
      <c r="C234"/>
      <c r="D234" s="160" t="s">
        <v>514</v>
      </c>
      <c r="E234" s="16"/>
      <c r="F234"/>
      <c r="G234"/>
      <c r="J234" s="248"/>
      <c r="K234" s="288"/>
      <c r="L234" s="122"/>
    </row>
    <row r="235" spans="3:12" s="79" customFormat="1">
      <c r="C235"/>
      <c r="D235" s="50"/>
      <c r="E235" s="16"/>
      <c r="F235"/>
      <c r="G235"/>
      <c r="J235" s="286"/>
      <c r="K235" s="286"/>
      <c r="L235" s="122"/>
    </row>
    <row r="236" spans="3:12" s="79" customFormat="1">
      <c r="C236"/>
      <c r="D236" s="51" t="s">
        <v>82</v>
      </c>
      <c r="E236" s="39"/>
      <c r="F236"/>
      <c r="G236"/>
      <c r="H236" s="212"/>
      <c r="I236" s="212"/>
      <c r="J236" s="216"/>
      <c r="K236" s="216"/>
    </row>
    <row r="237" spans="3:12" s="79" customFormat="1" ht="19">
      <c r="C237"/>
      <c r="D237" s="54">
        <f>'Overall Assumptions'!$C$68</f>
        <v>225</v>
      </c>
      <c r="E237" s="1215" t="s">
        <v>99</v>
      </c>
      <c r="F237" s="246"/>
      <c r="G237"/>
      <c r="J237" s="65"/>
      <c r="K237" s="66"/>
    </row>
    <row r="238" spans="3:12" s="79" customFormat="1">
      <c r="C238"/>
      <c r="D238" s="54">
        <f>'Overall Assumptions'!$C$130</f>
        <v>2</v>
      </c>
      <c r="E238" s="76" t="s">
        <v>84</v>
      </c>
      <c r="F238" s="246"/>
      <c r="G238"/>
      <c r="J238" s="65"/>
      <c r="K238" s="66"/>
    </row>
    <row r="239" spans="3:12" s="79" customFormat="1">
      <c r="C239"/>
      <c r="D239" s="467"/>
      <c r="E239" s="43"/>
      <c r="F239"/>
      <c r="G239"/>
      <c r="J239" s="65"/>
      <c r="K239" s="66"/>
    </row>
    <row r="240" spans="3:12" s="79" customFormat="1">
      <c r="C240"/>
      <c r="D240" s="506">
        <f>D215</f>
        <v>0.5</v>
      </c>
      <c r="E240" s="43" t="s">
        <v>248</v>
      </c>
      <c r="F240"/>
      <c r="G240"/>
      <c r="J240" s="65"/>
      <c r="K240" s="66"/>
    </row>
    <row r="241" spans="3:11" s="79" customFormat="1">
      <c r="C241"/>
      <c r="D241" s="506">
        <f>D216</f>
        <v>2</v>
      </c>
      <c r="E241" s="43" t="s">
        <v>515</v>
      </c>
      <c r="F241"/>
      <c r="G241"/>
      <c r="J241" s="65"/>
      <c r="K241" s="66"/>
    </row>
    <row r="242" spans="3:11" s="79" customFormat="1">
      <c r="C242"/>
      <c r="D242" s="506">
        <f>D217</f>
        <v>10</v>
      </c>
      <c r="E242" s="43" t="s">
        <v>1072</v>
      </c>
      <c r="F242"/>
      <c r="G242"/>
      <c r="J242" s="65"/>
      <c r="K242" s="66"/>
    </row>
    <row r="243" spans="3:11" s="79" customFormat="1">
      <c r="C243"/>
      <c r="D243" s="54">
        <f>D223</f>
        <v>5</v>
      </c>
      <c r="E243" s="43" t="s">
        <v>249</v>
      </c>
      <c r="F243"/>
      <c r="G243"/>
      <c r="J243" s="65"/>
      <c r="K243" s="66"/>
    </row>
    <row r="244" spans="3:11" s="79" customFormat="1">
      <c r="C244"/>
      <c r="D244" s="54">
        <f>D224</f>
        <v>5</v>
      </c>
      <c r="E244" s="43" t="s">
        <v>516</v>
      </c>
      <c r="F244"/>
      <c r="G244"/>
      <c r="J244" s="65"/>
      <c r="K244" s="66"/>
    </row>
    <row r="245" spans="3:11" s="79" customFormat="1">
      <c r="C245"/>
      <c r="D245" s="54">
        <f>D225</f>
        <v>1</v>
      </c>
      <c r="E245" s="43" t="s">
        <v>517</v>
      </c>
      <c r="F245"/>
      <c r="G245"/>
      <c r="J245" s="65"/>
      <c r="K245" s="66"/>
    </row>
    <row r="246" spans="3:11" s="79" customFormat="1">
      <c r="C246"/>
      <c r="D246" s="507">
        <f>SQRT(D222)/2</f>
        <v>5</v>
      </c>
      <c r="E246" s="508" t="s">
        <v>520</v>
      </c>
      <c r="F246"/>
      <c r="G246"/>
      <c r="J246" s="65"/>
      <c r="K246" s="66"/>
    </row>
    <row r="247" spans="3:11" s="79" customFormat="1">
      <c r="C247"/>
      <c r="D247" s="507">
        <f>SUM(D243:D245)</f>
        <v>11</v>
      </c>
      <c r="E247" s="508" t="s">
        <v>521</v>
      </c>
      <c r="F247"/>
      <c r="G247"/>
      <c r="J247" s="65"/>
      <c r="K247" s="66"/>
    </row>
    <row r="248" spans="3:11" s="79" customFormat="1">
      <c r="C248"/>
      <c r="D248" s="54">
        <f>'Overall Assumptions'!$C$10</f>
        <v>0</v>
      </c>
      <c r="E248" s="43" t="s">
        <v>85</v>
      </c>
      <c r="F248"/>
      <c r="G248"/>
      <c r="J248" s="65"/>
      <c r="K248" s="66"/>
    </row>
    <row r="249" spans="3:11" s="79" customFormat="1">
      <c r="C249"/>
      <c r="D249" s="54">
        <f>'Overall Assumptions'!$C$90</f>
        <v>80</v>
      </c>
      <c r="E249" s="43" t="s">
        <v>86</v>
      </c>
      <c r="F249"/>
      <c r="G249"/>
      <c r="J249" s="65"/>
      <c r="K249" s="66"/>
    </row>
    <row r="250" spans="3:11" s="79" customFormat="1">
      <c r="C250"/>
      <c r="D250" s="56">
        <f>'Overall Assumptions'!$C$81</f>
        <v>210</v>
      </c>
      <c r="E250" s="45" t="s">
        <v>87</v>
      </c>
      <c r="F250"/>
      <c r="G250"/>
      <c r="J250" s="65"/>
      <c r="K250" s="66"/>
    </row>
    <row r="251" spans="3:11" s="79" customFormat="1">
      <c r="C251"/>
      <c r="D251" s="57"/>
      <c r="E251" s="16"/>
      <c r="F251"/>
      <c r="G251"/>
      <c r="J251" s="65"/>
      <c r="K251" s="66"/>
    </row>
    <row r="252" spans="3:11" s="79" customFormat="1">
      <c r="C252" s="21"/>
      <c r="D252" s="296">
        <f>2*D248/D249/7.5</f>
        <v>0</v>
      </c>
      <c r="E252" s="59" t="s">
        <v>95</v>
      </c>
      <c r="F252"/>
      <c r="G252"/>
      <c r="J252" s="129"/>
      <c r="K252" s="76"/>
    </row>
    <row r="253" spans="3:11" s="79" customFormat="1">
      <c r="C253" s="21"/>
      <c r="D253" s="296"/>
      <c r="E253" s="60" t="s">
        <v>100</v>
      </c>
      <c r="F253"/>
      <c r="G253"/>
      <c r="J253" s="65"/>
      <c r="K253" s="66"/>
    </row>
    <row r="254" spans="3:11" s="79" customFormat="1">
      <c r="C254" s="21"/>
      <c r="D254" s="296">
        <f>2*D246*D247/D249/7.5</f>
        <v>0.18333333333333332</v>
      </c>
      <c r="E254" s="124" t="s">
        <v>523</v>
      </c>
      <c r="F254"/>
      <c r="G254"/>
    </row>
    <row r="255" spans="3:11" s="79" customFormat="1">
      <c r="C255" s="21"/>
      <c r="D255" s="297">
        <f>SUMPRODUCT(D240:D242,D243:D245)</f>
        <v>22.5</v>
      </c>
      <c r="E255" s="59" t="s">
        <v>522</v>
      </c>
    </row>
    <row r="256" spans="3:11" s="79" customFormat="1" ht="28">
      <c r="C256" s="21"/>
      <c r="D256" s="296">
        <f>D252+D254+D255</f>
        <v>22.683333333333334</v>
      </c>
      <c r="E256" s="16" t="s">
        <v>157</v>
      </c>
      <c r="F256" s="19"/>
      <c r="G256"/>
    </row>
    <row r="257" spans="3:9" s="122" customFormat="1">
      <c r="C257" s="9"/>
      <c r="D257" s="105"/>
      <c r="E257" s="34" t="s">
        <v>88</v>
      </c>
      <c r="F257" s="9"/>
      <c r="G257" s="9"/>
    </row>
    <row r="258" spans="3:9" s="79" customFormat="1">
      <c r="C258"/>
      <c r="D258" s="77">
        <f>D256*D238</f>
        <v>45.366666666666667</v>
      </c>
      <c r="E258" s="16" t="s">
        <v>133</v>
      </c>
      <c r="F258"/>
      <c r="G258"/>
    </row>
    <row r="259" spans="3:9" s="79" customFormat="1">
      <c r="C259"/>
      <c r="D259" s="77"/>
      <c r="E259" s="16"/>
      <c r="F259"/>
      <c r="G259"/>
    </row>
    <row r="260" spans="3:9" s="79" customFormat="1">
      <c r="C260" s="21"/>
      <c r="D260" s="64">
        <f>D258*D237</f>
        <v>10207.5</v>
      </c>
      <c r="E260" s="47" t="s">
        <v>329</v>
      </c>
      <c r="F260"/>
      <c r="G260"/>
      <c r="H260" s="276"/>
      <c r="I260" s="276"/>
    </row>
    <row r="261" spans="3:9" s="79" customFormat="1">
      <c r="C261" s="21"/>
      <c r="H261" s="119"/>
      <c r="I261" s="119"/>
    </row>
    <row r="262" spans="3:9" s="79" customFormat="1">
      <c r="C262" s="21"/>
      <c r="D262" s="46">
        <f>D256</f>
        <v>22.683333333333334</v>
      </c>
      <c r="E262" s="359" t="s">
        <v>795</v>
      </c>
      <c r="H262" s="119"/>
      <c r="I262" s="119"/>
    </row>
    <row r="263" spans="3:9" s="79" customFormat="1">
      <c r="C263" s="21"/>
      <c r="D263" s="75">
        <f>ROUNDUP((D262/21),0)</f>
        <v>2</v>
      </c>
      <c r="E263" s="99" t="s">
        <v>739</v>
      </c>
      <c r="H263" s="119"/>
      <c r="I263" s="119"/>
    </row>
    <row r="264" spans="3:9" s="79" customFormat="1">
      <c r="C264" s="21"/>
      <c r="H264" s="119"/>
      <c r="I264" s="119"/>
    </row>
    <row r="265" spans="3:9" s="79" customFormat="1" ht="19">
      <c r="C265" s="2" t="s">
        <v>132</v>
      </c>
      <c r="D265" s="37" t="s">
        <v>89</v>
      </c>
      <c r="E265" s="16"/>
      <c r="F265"/>
      <c r="G265"/>
      <c r="H265"/>
      <c r="I265"/>
    </row>
    <row r="266" spans="3:9" s="79" customFormat="1">
      <c r="C266" t="s">
        <v>54</v>
      </c>
      <c r="E266" s="16"/>
      <c r="F266"/>
      <c r="G266"/>
      <c r="H266"/>
      <c r="I266"/>
    </row>
    <row r="267" spans="3:9" s="79" customFormat="1">
      <c r="C267"/>
      <c r="D267" s="160" t="s">
        <v>251</v>
      </c>
      <c r="E267" s="16"/>
      <c r="F267"/>
      <c r="G267"/>
      <c r="H267"/>
      <c r="I267"/>
    </row>
    <row r="268" spans="3:9" s="79" customFormat="1">
      <c r="C268"/>
      <c r="D268" s="16"/>
      <c r="E268" s="16"/>
      <c r="F268"/>
      <c r="G268"/>
      <c r="H268"/>
      <c r="I268"/>
    </row>
    <row r="269" spans="3:9" s="79" customFormat="1">
      <c r="C269"/>
      <c r="D269" s="67" t="s">
        <v>91</v>
      </c>
      <c r="E269" s="41"/>
      <c r="F269"/>
      <c r="G269"/>
      <c r="H269"/>
      <c r="I269"/>
    </row>
    <row r="270" spans="3:9" s="79" customFormat="1">
      <c r="C270"/>
      <c r="D270" s="52">
        <f>'Overall Assumptions'!$C$93</f>
        <v>285</v>
      </c>
      <c r="E270" s="41" t="s">
        <v>93</v>
      </c>
      <c r="F270"/>
      <c r="G270"/>
      <c r="H270"/>
      <c r="I270"/>
    </row>
    <row r="271" spans="3:9" s="79" customFormat="1">
      <c r="C271"/>
      <c r="D271" s="56"/>
      <c r="E271" s="45"/>
      <c r="F271"/>
      <c r="G271"/>
      <c r="H271"/>
      <c r="I271"/>
    </row>
    <row r="272" spans="3:9" s="79" customFormat="1">
      <c r="C272"/>
      <c r="D272" s="75"/>
      <c r="E272" s="76"/>
      <c r="F272"/>
      <c r="G272"/>
      <c r="H272"/>
      <c r="I272"/>
    </row>
    <row r="273" spans="3:9" s="79" customFormat="1">
      <c r="C273"/>
      <c r="D273" s="50">
        <f>D252</f>
        <v>0</v>
      </c>
      <c r="E273" s="59" t="s">
        <v>97</v>
      </c>
      <c r="F273"/>
      <c r="G273"/>
      <c r="H273"/>
      <c r="I273"/>
    </row>
    <row r="274" spans="3:9" s="79" customFormat="1">
      <c r="C274"/>
      <c r="D274" s="50">
        <f>D254</f>
        <v>0.18333333333333332</v>
      </c>
      <c r="E274" s="59" t="s">
        <v>98</v>
      </c>
      <c r="F274"/>
      <c r="G274"/>
      <c r="H274"/>
      <c r="I274"/>
    </row>
    <row r="275" spans="3:9" s="79" customFormat="1">
      <c r="C275"/>
      <c r="D275" s="50">
        <f>D255</f>
        <v>22.5</v>
      </c>
      <c r="E275" s="59" t="s">
        <v>244</v>
      </c>
      <c r="F275"/>
      <c r="G275"/>
      <c r="H275"/>
      <c r="I275"/>
    </row>
    <row r="276" spans="3:9" s="79" customFormat="1">
      <c r="C276"/>
      <c r="D276" s="50">
        <f>SUM(D273:D275)</f>
        <v>22.683333333333334</v>
      </c>
      <c r="E276" s="59" t="s">
        <v>135</v>
      </c>
      <c r="F276"/>
      <c r="G276"/>
      <c r="H276"/>
      <c r="I276"/>
    </row>
    <row r="277" spans="3:9" s="79" customFormat="1">
      <c r="C277"/>
      <c r="D277" s="63"/>
      <c r="E277" s="16"/>
      <c r="F277"/>
      <c r="G277"/>
      <c r="H277"/>
      <c r="I277"/>
    </row>
    <row r="278" spans="3:9" s="79" customFormat="1">
      <c r="C278"/>
      <c r="D278" s="63"/>
      <c r="E278" s="16"/>
      <c r="F278"/>
      <c r="G278"/>
      <c r="H278"/>
      <c r="I278"/>
    </row>
    <row r="279" spans="3:9" s="79" customFormat="1">
      <c r="C279"/>
      <c r="D279" s="68">
        <f>D276*D270</f>
        <v>6464.75</v>
      </c>
      <c r="E279" s="47" t="s">
        <v>500</v>
      </c>
      <c r="F279"/>
      <c r="G279"/>
      <c r="H279"/>
      <c r="I279"/>
    </row>
    <row r="280" spans="3:9" s="79" customFormat="1"/>
    <row r="281" spans="3:9" s="79" customFormat="1">
      <c r="D281" s="46">
        <f>D276</f>
        <v>22.683333333333334</v>
      </c>
      <c r="E281" s="359" t="s">
        <v>795</v>
      </c>
    </row>
    <row r="282" spans="3:9" s="79" customFormat="1">
      <c r="D282" s="75">
        <f>ROUNDUP((D281/21),0)</f>
        <v>2</v>
      </c>
      <c r="E282" s="99" t="s">
        <v>739</v>
      </c>
      <c r="F282" s="46"/>
    </row>
    <row r="283" spans="3:9" s="79" customFormat="1">
      <c r="F283" s="75"/>
    </row>
    <row r="284" spans="3:9" s="79" customFormat="1">
      <c r="D284" s="75"/>
      <c r="E284" s="99"/>
      <c r="F284" s="75"/>
    </row>
    <row r="285" spans="3:9" s="79" customFormat="1">
      <c r="C285" s="225" t="s">
        <v>70</v>
      </c>
      <c r="D285" s="230"/>
      <c r="E285" s="224" t="s">
        <v>156</v>
      </c>
      <c r="F285" s="212"/>
      <c r="G285" s="212"/>
      <c r="H285" s="212"/>
      <c r="I285" s="119"/>
    </row>
    <row r="286" spans="3:9" s="79" customFormat="1">
      <c r="C286" s="212"/>
      <c r="D286" s="230"/>
      <c r="E286" s="224"/>
      <c r="F286" s="212"/>
      <c r="G286" s="212"/>
      <c r="H286" s="212"/>
      <c r="I286" s="119"/>
    </row>
    <row r="287" spans="3:9" s="79" customFormat="1">
      <c r="C287" s="212"/>
      <c r="D287" s="230"/>
      <c r="E287" s="224"/>
      <c r="F287" s="212"/>
      <c r="G287" s="212"/>
      <c r="H287" s="212"/>
      <c r="I287" s="119"/>
    </row>
    <row r="288" spans="3:9" s="79" customFormat="1">
      <c r="C288" s="212"/>
      <c r="D288" s="222">
        <f>D256</f>
        <v>22.683333333333334</v>
      </c>
      <c r="E288" s="213" t="s">
        <v>157</v>
      </c>
      <c r="F288" s="212"/>
      <c r="G288" s="212"/>
      <c r="H288" s="212"/>
      <c r="I288" s="119"/>
    </row>
    <row r="289" spans="3:9" s="79" customFormat="1">
      <c r="C289" s="212"/>
      <c r="D289" s="229">
        <f>FLOOR(D288,1)</f>
        <v>22</v>
      </c>
      <c r="E289" s="213" t="s">
        <v>73</v>
      </c>
      <c r="F289" s="212"/>
      <c r="G289" s="212"/>
      <c r="H289" s="212"/>
      <c r="I289" s="119"/>
    </row>
    <row r="290" spans="3:9" s="79" customFormat="1">
      <c r="C290" s="212"/>
      <c r="D290" s="228">
        <f>D289*D238</f>
        <v>44</v>
      </c>
      <c r="E290" s="214" t="s">
        <v>175</v>
      </c>
      <c r="F290" s="212"/>
      <c r="G290" s="212"/>
      <c r="H290" s="212"/>
      <c r="I290" s="119"/>
    </row>
    <row r="291" spans="3:9" s="79" customFormat="1">
      <c r="C291" s="212"/>
      <c r="D291" s="227"/>
      <c r="E291" s="214" t="s">
        <v>88</v>
      </c>
      <c r="F291" s="212"/>
      <c r="G291" s="212"/>
      <c r="H291" s="212"/>
    </row>
    <row r="292" spans="3:9" s="79" customFormat="1">
      <c r="C292" s="212"/>
      <c r="D292" s="226">
        <f>D290*D250</f>
        <v>9240</v>
      </c>
      <c r="E292" s="221" t="s">
        <v>74</v>
      </c>
      <c r="F292" s="212"/>
      <c r="G292" s="212"/>
      <c r="H292" s="212"/>
    </row>
    <row r="293" spans="3:9" s="79" customFormat="1">
      <c r="D293" s="282"/>
      <c r="E293" s="76"/>
    </row>
    <row r="294" spans="3:9" s="79" customFormat="1">
      <c r="D294" s="283"/>
      <c r="E294" s="284"/>
      <c r="F294" s="78"/>
    </row>
    <row r="295" spans="3:9" s="79" customFormat="1">
      <c r="D295" s="283"/>
      <c r="E295" s="76"/>
    </row>
    <row r="296" spans="3:9" s="79" customFormat="1">
      <c r="D296" s="143" t="s">
        <v>172</v>
      </c>
      <c r="E296" s="144" t="s">
        <v>155</v>
      </c>
      <c r="F296" s="144" t="s">
        <v>174</v>
      </c>
      <c r="G296" s="144" t="s">
        <v>166</v>
      </c>
      <c r="H296" s="145" t="s">
        <v>69</v>
      </c>
      <c r="I296" s="276" t="s">
        <v>391</v>
      </c>
    </row>
    <row r="297" spans="3:9" s="79" customFormat="1">
      <c r="D297" s="135" t="s">
        <v>3</v>
      </c>
      <c r="E297" s="136">
        <f>D258</f>
        <v>45.366666666666667</v>
      </c>
      <c r="F297" s="122"/>
      <c r="G297" s="119">
        <f>D260</f>
        <v>10207.5</v>
      </c>
      <c r="H297" s="119" t="str">
        <f>E260</f>
        <v>Cost for person hours</v>
      </c>
      <c r="I297" s="79">
        <f>$D$230</f>
        <v>10</v>
      </c>
    </row>
    <row r="298" spans="3:9" s="79" customFormat="1">
      <c r="D298" s="135" t="s">
        <v>132</v>
      </c>
      <c r="E298" s="136"/>
      <c r="F298" s="141">
        <f>D248</f>
        <v>0</v>
      </c>
      <c r="G298" s="119">
        <f>D279</f>
        <v>6464.75</v>
      </c>
      <c r="H298" s="119" t="str">
        <f>E279</f>
        <v>Cost for ute hire</v>
      </c>
      <c r="I298" s="79">
        <f>$D$230</f>
        <v>10</v>
      </c>
    </row>
    <row r="299" spans="3:9" s="79" customFormat="1">
      <c r="D299" s="135" t="s">
        <v>169</v>
      </c>
      <c r="E299" s="136">
        <f>D290</f>
        <v>44</v>
      </c>
      <c r="F299" s="141"/>
      <c r="G299" s="119">
        <f>D292</f>
        <v>9240</v>
      </c>
      <c r="H299" s="119" t="str">
        <f>E292</f>
        <v>Accomodation + Food Cost</v>
      </c>
      <c r="I299" s="79">
        <f>$D$230</f>
        <v>10</v>
      </c>
    </row>
    <row r="300" spans="3:9" s="79" customFormat="1">
      <c r="D300" s="135" t="s">
        <v>252</v>
      </c>
      <c r="E300" s="136"/>
      <c r="F300" s="122"/>
      <c r="G300" s="119">
        <f>D229</f>
        <v>80000</v>
      </c>
      <c r="H300" s="119" t="str">
        <f>E229</f>
        <v>Consumables cost</v>
      </c>
      <c r="I300" s="79">
        <f>$D$230</f>
        <v>10</v>
      </c>
    </row>
    <row r="301" spans="3:9" s="79" customFormat="1">
      <c r="D301" s="135"/>
      <c r="E301" s="136"/>
      <c r="F301" s="122"/>
      <c r="G301" s="119"/>
      <c r="H301" s="119"/>
    </row>
    <row r="302" spans="3:9" s="79" customFormat="1">
      <c r="D302" s="137"/>
      <c r="E302" s="138"/>
      <c r="F302" s="142"/>
      <c r="G302" s="139">
        <f>SUM(G297:G301)</f>
        <v>105912.25</v>
      </c>
      <c r="H302" s="140" t="s">
        <v>165</v>
      </c>
    </row>
    <row r="303" spans="3:9" s="79" customFormat="1">
      <c r="D303" s="278"/>
      <c r="E303" s="76"/>
      <c r="F303" s="10"/>
      <c r="G303" s="397"/>
    </row>
    <row r="304" spans="3:9" s="79" customFormat="1">
      <c r="D304" s="277"/>
      <c r="E304" s="76"/>
    </row>
    <row r="305" spans="3:7">
      <c r="D305" s="25"/>
    </row>
    <row r="306" spans="3:7" s="7" customFormat="1">
      <c r="D306" s="134"/>
      <c r="E306" s="134"/>
    </row>
    <row r="307" spans="3:7" s="9" customFormat="1">
      <c r="D307" s="116"/>
      <c r="E307" s="116"/>
    </row>
    <row r="308" spans="3:7" s="7" customFormat="1">
      <c r="D308" s="69"/>
      <c r="E308" s="36"/>
    </row>
    <row r="309" spans="3:7" s="7" customFormat="1">
      <c r="D309" s="35"/>
      <c r="E309" s="36"/>
    </row>
    <row r="310" spans="3:7" s="9" customFormat="1">
      <c r="D310" s="105"/>
      <c r="E310" s="34"/>
    </row>
    <row r="311" spans="3:7" s="9" customFormat="1">
      <c r="C311" s="120" t="s">
        <v>247</v>
      </c>
      <c r="D311" s="105"/>
      <c r="E311" s="34"/>
      <c r="G311" s="572"/>
    </row>
    <row r="312" spans="3:7" s="9" customFormat="1">
      <c r="D312" s="34" t="s">
        <v>258</v>
      </c>
      <c r="E312" s="34"/>
      <c r="G312" s="572"/>
    </row>
    <row r="313" spans="3:7" s="9" customFormat="1">
      <c r="D313" s="38" t="s">
        <v>91</v>
      </c>
      <c r="E313" s="39"/>
      <c r="F313" s="105"/>
      <c r="G313" s="572"/>
    </row>
    <row r="314" spans="3:7" s="9" customFormat="1">
      <c r="D314" s="402"/>
      <c r="E314" s="161"/>
      <c r="G314" s="572"/>
    </row>
    <row r="315" spans="3:7" s="9" customFormat="1">
      <c r="D315" s="332">
        <f>'Overall Assumptions'!$C$125</f>
        <v>3</v>
      </c>
      <c r="E315" s="131" t="str">
        <f>'Overall Assumptions'!$D$115</f>
        <v>weeks</v>
      </c>
      <c r="G315" s="572"/>
    </row>
    <row r="316" spans="3:7" s="9" customFormat="1">
      <c r="C316" s="105"/>
      <c r="D316" s="332">
        <f>D315*5</f>
        <v>15</v>
      </c>
      <c r="E316" s="43" t="str">
        <f>'Overall Assumptions'!$D$116</f>
        <v>days</v>
      </c>
      <c r="G316" s="572"/>
    </row>
    <row r="317" spans="3:7" s="9" customFormat="1">
      <c r="C317" s="105"/>
      <c r="D317" s="332"/>
      <c r="E317" s="43"/>
      <c r="G317" s="572"/>
    </row>
    <row r="318" spans="3:7" s="9" customFormat="1">
      <c r="C318" s="105"/>
      <c r="D318" s="268">
        <v>10</v>
      </c>
      <c r="E318" s="43" t="s">
        <v>259</v>
      </c>
      <c r="G318" s="572"/>
    </row>
    <row r="319" spans="3:7" s="9" customFormat="1">
      <c r="C319" s="105"/>
      <c r="D319" s="332"/>
      <c r="E319" s="43"/>
      <c r="G319" s="572"/>
    </row>
    <row r="320" spans="3:7" s="9" customFormat="1">
      <c r="C320" s="105"/>
      <c r="D320" s="332"/>
      <c r="E320" s="246"/>
      <c r="G320" s="572"/>
    </row>
    <row r="321" spans="2:42" s="9" customFormat="1">
      <c r="D321" s="614">
        <f>'Overall Assumptions'!$C$68</f>
        <v>225</v>
      </c>
      <c r="E321" s="246" t="str">
        <f>'Overall Assumptions'!$B$67</f>
        <v>Labour 1- APS Low (Entry lvl)</v>
      </c>
      <c r="G321" s="572"/>
    </row>
    <row r="322" spans="2:42" s="9" customFormat="1">
      <c r="D322" s="399">
        <f>'Overall Assumptions'!$C$72</f>
        <v>337.5</v>
      </c>
      <c r="E322" s="530" t="str">
        <f>'Overall Assumptions'!$B$71</f>
        <v>Labour 2 - APS High (Experienced)</v>
      </c>
      <c r="G322" s="572"/>
    </row>
    <row r="323" spans="2:42" s="9" customFormat="1">
      <c r="D323" s="112">
        <f>'Overall Assumptions'!$C$76</f>
        <v>487.5</v>
      </c>
      <c r="E323" s="45" t="str">
        <f>'Overall Assumptions'!$B$75</f>
        <v>Labour 3 - EL (Management)</v>
      </c>
      <c r="G323" s="572"/>
    </row>
    <row r="324" spans="2:42" s="9" customFormat="1">
      <c r="D324" s="33"/>
      <c r="E324" s="34"/>
      <c r="G324" s="572"/>
    </row>
    <row r="325" spans="2:42" s="9" customFormat="1">
      <c r="D325" s="247"/>
      <c r="E325" s="33"/>
      <c r="G325" s="572"/>
    </row>
    <row r="326" spans="2:42" s="9" customFormat="1">
      <c r="D326" s="65">
        <v>15</v>
      </c>
      <c r="E326" s="76" t="s">
        <v>793</v>
      </c>
      <c r="F326"/>
      <c r="G326" s="572"/>
    </row>
    <row r="327" spans="2:42">
      <c r="C327" s="9"/>
      <c r="D327" s="64">
        <f>D326*D322</f>
        <v>5062.5</v>
      </c>
      <c r="E327" s="39" t="s">
        <v>2607</v>
      </c>
      <c r="G327" s="572"/>
      <c r="H327" s="9"/>
      <c r="I327" s="9"/>
      <c r="J327" s="9"/>
    </row>
    <row r="328" spans="2:42">
      <c r="C328" s="9"/>
      <c r="D328" s="33"/>
      <c r="E328" s="34"/>
      <c r="F328" s="9"/>
      <c r="G328" s="572"/>
      <c r="H328" s="9"/>
      <c r="I328" s="9"/>
      <c r="J328" s="9"/>
    </row>
    <row r="329" spans="2:42">
      <c r="C329" s="9"/>
      <c r="D329" s="175"/>
      <c r="E329" s="164" t="s">
        <v>155</v>
      </c>
      <c r="F329" s="255" t="s">
        <v>166</v>
      </c>
      <c r="G329" s="1090" t="s">
        <v>69</v>
      </c>
      <c r="H329" s="161"/>
      <c r="I329" s="9"/>
      <c r="J329" s="9"/>
    </row>
    <row r="330" spans="2:42">
      <c r="C330" s="9"/>
      <c r="D330" s="405" t="s">
        <v>3</v>
      </c>
      <c r="E330" s="1256">
        <f>SUM(D316,D326)</f>
        <v>30</v>
      </c>
      <c r="F330" s="321">
        <f>E330*D322</f>
        <v>10125</v>
      </c>
      <c r="G330" s="1091" t="s">
        <v>182</v>
      </c>
      <c r="H330" s="162"/>
      <c r="I330" s="9"/>
      <c r="J330" s="9"/>
    </row>
    <row r="331" spans="2:42">
      <c r="H331" s="9"/>
    </row>
    <row r="334" spans="2:42" s="182" customFormat="1">
      <c r="D334" s="183"/>
      <c r="E334" s="184"/>
    </row>
    <row r="336" spans="2:42" s="16" customFormat="1">
      <c r="B336"/>
      <c r="C336" s="1" t="s">
        <v>139</v>
      </c>
      <c r="D336" s="24"/>
      <c r="F336"/>
      <c r="G336"/>
      <c r="H336"/>
      <c r="I336"/>
      <c r="J336"/>
      <c r="K336"/>
      <c r="L336"/>
      <c r="M336"/>
      <c r="N336"/>
      <c r="O336"/>
      <c r="P336"/>
      <c r="Q336" s="2791"/>
      <c r="R336" s="2791"/>
      <c r="S336" s="2791"/>
      <c r="T336"/>
      <c r="U336"/>
      <c r="V336"/>
      <c r="W336"/>
      <c r="X336"/>
      <c r="Y336"/>
      <c r="Z336"/>
      <c r="AA336"/>
      <c r="AB336"/>
      <c r="AC336"/>
      <c r="AD336"/>
      <c r="AE336"/>
      <c r="AF336"/>
      <c r="AG336"/>
      <c r="AH336"/>
      <c r="AI336"/>
      <c r="AJ336"/>
      <c r="AK336"/>
      <c r="AL336"/>
      <c r="AM336"/>
      <c r="AN336"/>
      <c r="AO336"/>
      <c r="AP336"/>
    </row>
    <row r="337" spans="2:42" s="16" customFormat="1">
      <c r="B337"/>
      <c r="C337" s="199">
        <f>'Overall Assumptions'!$C$6</f>
        <v>100</v>
      </c>
      <c r="D337" s="200" t="s">
        <v>195</v>
      </c>
      <c r="F337"/>
      <c r="G337"/>
      <c r="H337"/>
      <c r="I337"/>
      <c r="J337"/>
      <c r="K337"/>
      <c r="L337"/>
      <c r="M337"/>
      <c r="N337"/>
      <c r="O337"/>
      <c r="P337"/>
      <c r="Q337" s="2791"/>
      <c r="R337" s="2791"/>
      <c r="S337" s="2791"/>
      <c r="T337"/>
      <c r="U337"/>
      <c r="V337"/>
      <c r="W337"/>
      <c r="X337"/>
      <c r="Y337"/>
      <c r="Z337"/>
      <c r="AA337"/>
      <c r="AB337"/>
      <c r="AC337"/>
      <c r="AD337"/>
      <c r="AE337"/>
      <c r="AF337"/>
      <c r="AG337"/>
      <c r="AH337"/>
      <c r="AI337"/>
      <c r="AJ337"/>
      <c r="AK337"/>
      <c r="AL337"/>
      <c r="AM337"/>
      <c r="AN337"/>
      <c r="AO337"/>
      <c r="AP337"/>
    </row>
    <row r="338" spans="2:42" s="16" customFormat="1">
      <c r="B338"/>
      <c r="C338" s="201">
        <f>C337*100</f>
        <v>10000</v>
      </c>
      <c r="D338" s="202" t="s">
        <v>196</v>
      </c>
      <c r="F338"/>
      <c r="G338"/>
      <c r="H338"/>
      <c r="I338"/>
      <c r="J338"/>
      <c r="K338"/>
      <c r="L338"/>
      <c r="M338"/>
      <c r="N338"/>
      <c r="O338"/>
      <c r="P338"/>
      <c r="Q338" s="2791"/>
      <c r="R338" s="2791"/>
      <c r="S338" s="2791"/>
      <c r="T338"/>
      <c r="U338"/>
      <c r="V338"/>
      <c r="W338"/>
      <c r="X338"/>
      <c r="Y338"/>
      <c r="Z338"/>
      <c r="AA338"/>
      <c r="AB338"/>
      <c r="AC338"/>
      <c r="AD338"/>
      <c r="AE338"/>
      <c r="AF338"/>
      <c r="AG338"/>
      <c r="AH338"/>
      <c r="AI338"/>
      <c r="AJ338"/>
      <c r="AK338"/>
      <c r="AL338"/>
      <c r="AM338"/>
      <c r="AN338"/>
      <c r="AO338"/>
      <c r="AP338"/>
    </row>
    <row r="340" spans="2:42" s="16" customFormat="1">
      <c r="B340"/>
      <c r="C340" s="198"/>
      <c r="D340" s="24"/>
      <c r="F340"/>
      <c r="G340"/>
      <c r="H340"/>
      <c r="I340"/>
      <c r="J340"/>
      <c r="K340"/>
      <c r="L340"/>
      <c r="M340"/>
      <c r="N340"/>
      <c r="O340"/>
      <c r="P340"/>
      <c r="Q340" s="2791"/>
      <c r="R340" s="2791"/>
      <c r="S340" s="2791"/>
      <c r="T340"/>
      <c r="U340"/>
      <c r="V340"/>
      <c r="W340"/>
      <c r="X340"/>
      <c r="Y340"/>
      <c r="Z340"/>
      <c r="AA340"/>
      <c r="AB340"/>
      <c r="AC340"/>
      <c r="AD340"/>
      <c r="AE340"/>
      <c r="AF340"/>
      <c r="AG340"/>
      <c r="AH340"/>
      <c r="AI340"/>
      <c r="AJ340"/>
      <c r="AK340"/>
      <c r="AL340"/>
      <c r="AM340"/>
      <c r="AN340"/>
      <c r="AO340"/>
      <c r="AP340"/>
    </row>
    <row r="342" spans="2:42" s="16" customFormat="1">
      <c r="B342"/>
      <c r="C342" s="160"/>
      <c r="D342" s="24"/>
      <c r="F342"/>
      <c r="G342"/>
      <c r="H342"/>
      <c r="I342"/>
      <c r="J342"/>
      <c r="K342"/>
      <c r="L342"/>
      <c r="M342"/>
      <c r="N342"/>
      <c r="O342"/>
      <c r="P342"/>
      <c r="Q342" s="2791"/>
      <c r="R342" s="2791"/>
      <c r="S342" s="2791"/>
      <c r="T342"/>
      <c r="U342"/>
      <c r="V342"/>
      <c r="W342"/>
      <c r="X342"/>
      <c r="Y342"/>
      <c r="Z342"/>
      <c r="AA342"/>
      <c r="AB342"/>
      <c r="AC342"/>
      <c r="AD342"/>
      <c r="AE342"/>
      <c r="AF342"/>
      <c r="AG342"/>
      <c r="AH342"/>
      <c r="AI342"/>
      <c r="AJ342"/>
      <c r="AK342"/>
      <c r="AL342"/>
      <c r="AM342"/>
      <c r="AN342"/>
      <c r="AO342"/>
      <c r="AP342"/>
    </row>
    <row r="343" spans="2:42" s="16" customFormat="1">
      <c r="B343"/>
      <c r="C343" s="522" t="s">
        <v>530</v>
      </c>
      <c r="D343" s="34"/>
      <c r="E343" s="34"/>
      <c r="F343"/>
      <c r="G343"/>
      <c r="H343"/>
      <c r="I343"/>
      <c r="J343"/>
      <c r="K343"/>
      <c r="L343"/>
      <c r="M343"/>
      <c r="N343"/>
      <c r="O343"/>
      <c r="P343"/>
      <c r="Q343" s="2791"/>
      <c r="R343" s="2791"/>
      <c r="S343" s="2791"/>
      <c r="T343"/>
      <c r="U343"/>
      <c r="V343"/>
      <c r="W343"/>
      <c r="X343"/>
      <c r="Y343"/>
      <c r="Z343"/>
      <c r="AA343"/>
      <c r="AB343"/>
      <c r="AC343"/>
      <c r="AD343"/>
      <c r="AE343"/>
      <c r="AF343"/>
      <c r="AG343"/>
      <c r="AH343"/>
      <c r="AI343"/>
      <c r="AJ343"/>
      <c r="AK343"/>
      <c r="AL343"/>
      <c r="AM343"/>
      <c r="AN343"/>
      <c r="AO343"/>
      <c r="AP343"/>
    </row>
    <row r="344" spans="2:42" s="16" customFormat="1">
      <c r="B344"/>
      <c r="C344" s="60">
        <v>460</v>
      </c>
      <c r="D344" s="34" t="s">
        <v>529</v>
      </c>
      <c r="E344" s="34"/>
      <c r="F344"/>
      <c r="G344"/>
      <c r="H344"/>
      <c r="I344"/>
      <c r="J344"/>
      <c r="K344"/>
      <c r="L344"/>
      <c r="M344"/>
      <c r="N344"/>
      <c r="O344"/>
      <c r="P344"/>
      <c r="Q344" s="2791"/>
      <c r="R344" s="2791"/>
      <c r="S344" s="2791"/>
      <c r="T344"/>
      <c r="U344"/>
      <c r="V344"/>
      <c r="W344"/>
      <c r="X344"/>
      <c r="Y344"/>
      <c r="Z344"/>
      <c r="AA344"/>
      <c r="AB344"/>
      <c r="AC344"/>
      <c r="AD344"/>
      <c r="AE344"/>
      <c r="AF344"/>
      <c r="AG344"/>
      <c r="AH344"/>
      <c r="AI344"/>
      <c r="AJ344"/>
      <c r="AK344"/>
      <c r="AL344"/>
      <c r="AM344"/>
      <c r="AN344"/>
      <c r="AO344"/>
      <c r="AP344"/>
    </row>
    <row r="345" spans="2:42" s="16" customFormat="1">
      <c r="B345"/>
      <c r="C345" s="33">
        <f>C344*100</f>
        <v>46000</v>
      </c>
      <c r="D345" s="34" t="s">
        <v>527</v>
      </c>
      <c r="E345" s="34"/>
      <c r="F345"/>
      <c r="G345"/>
      <c r="H345"/>
      <c r="I345"/>
      <c r="J345"/>
      <c r="K345"/>
      <c r="L345"/>
      <c r="M345"/>
      <c r="N345"/>
      <c r="O345"/>
      <c r="P345"/>
      <c r="Q345" s="2791"/>
      <c r="R345" s="2791"/>
      <c r="S345" s="2791"/>
      <c r="T345"/>
      <c r="U345"/>
      <c r="V345"/>
      <c r="W345"/>
      <c r="X345"/>
      <c r="Y345"/>
      <c r="Z345"/>
      <c r="AA345"/>
      <c r="AB345"/>
      <c r="AC345"/>
      <c r="AD345"/>
      <c r="AE345"/>
      <c r="AF345"/>
      <c r="AG345"/>
      <c r="AH345"/>
      <c r="AI345"/>
      <c r="AJ345"/>
      <c r="AK345"/>
      <c r="AL345"/>
      <c r="AM345"/>
      <c r="AN345"/>
      <c r="AO345"/>
      <c r="AP345"/>
    </row>
    <row r="346" spans="2:42">
      <c r="C346" s="16">
        <v>2</v>
      </c>
      <c r="D346" s="16" t="s">
        <v>552</v>
      </c>
      <c r="E346" s="34"/>
    </row>
    <row r="347" spans="2:42" s="16" customFormat="1">
      <c r="B347"/>
      <c r="C347" s="207">
        <f>C345*100*C346</f>
        <v>9200000</v>
      </c>
      <c r="D347" s="34" t="s">
        <v>528</v>
      </c>
      <c r="E347" s="34"/>
      <c r="F347"/>
      <c r="G347"/>
      <c r="H347"/>
      <c r="I347"/>
      <c r="J347"/>
      <c r="K347"/>
      <c r="L347"/>
      <c r="M347"/>
      <c r="N347"/>
      <c r="O347"/>
      <c r="P347"/>
      <c r="Q347" s="2791"/>
      <c r="R347" s="2791"/>
      <c r="S347" s="2791"/>
      <c r="T347"/>
      <c r="U347"/>
      <c r="V347"/>
      <c r="W347"/>
      <c r="X347"/>
      <c r="Y347"/>
      <c r="Z347"/>
      <c r="AA347"/>
      <c r="AB347"/>
      <c r="AC347"/>
      <c r="AD347"/>
      <c r="AE347"/>
      <c r="AF347"/>
      <c r="AG347"/>
      <c r="AH347"/>
      <c r="AI347"/>
      <c r="AJ347"/>
      <c r="AK347"/>
      <c r="AL347"/>
      <c r="AM347"/>
      <c r="AN347"/>
      <c r="AO347"/>
      <c r="AP347"/>
    </row>
    <row r="348" spans="2:42" s="16" customFormat="1" ht="24" customHeight="1">
      <c r="B348"/>
      <c r="C348" s="514" t="s">
        <v>526</v>
      </c>
      <c r="D348" s="34"/>
      <c r="F348"/>
      <c r="G348"/>
      <c r="H348"/>
      <c r="I348"/>
      <c r="J348"/>
      <c r="K348"/>
      <c r="L348"/>
      <c r="M348"/>
      <c r="N348"/>
      <c r="O348"/>
      <c r="P348"/>
      <c r="Q348" s="2791"/>
      <c r="R348" s="2791"/>
      <c r="S348" s="2791"/>
      <c r="T348"/>
      <c r="U348"/>
      <c r="V348"/>
      <c r="W348"/>
      <c r="X348"/>
      <c r="Y348"/>
      <c r="Z348"/>
      <c r="AA348"/>
      <c r="AB348"/>
      <c r="AC348"/>
      <c r="AD348"/>
      <c r="AE348"/>
      <c r="AF348"/>
      <c r="AG348"/>
      <c r="AH348"/>
      <c r="AI348"/>
      <c r="AJ348"/>
      <c r="AK348"/>
      <c r="AL348"/>
      <c r="AM348"/>
      <c r="AN348"/>
      <c r="AO348"/>
      <c r="AP348"/>
    </row>
    <row r="349" spans="2:42" s="16" customFormat="1">
      <c r="B349"/>
      <c r="C349" s="514"/>
      <c r="D349" s="9"/>
      <c r="E349"/>
      <c r="F349"/>
      <c r="G349"/>
      <c r="H349"/>
      <c r="I349"/>
      <c r="J349"/>
      <c r="K349"/>
      <c r="L349"/>
      <c r="M349"/>
      <c r="N349"/>
      <c r="O349"/>
      <c r="P349"/>
      <c r="Q349" s="2791"/>
      <c r="R349" s="2791"/>
      <c r="S349" s="2791"/>
      <c r="T349"/>
      <c r="U349"/>
      <c r="V349"/>
      <c r="W349"/>
      <c r="X349"/>
      <c r="Y349"/>
      <c r="Z349"/>
      <c r="AA349"/>
      <c r="AB349"/>
      <c r="AC349"/>
      <c r="AD349"/>
      <c r="AE349"/>
      <c r="AF349"/>
      <c r="AG349"/>
      <c r="AH349"/>
      <c r="AI349"/>
      <c r="AJ349"/>
      <c r="AK349"/>
      <c r="AL349"/>
      <c r="AM349"/>
      <c r="AN349"/>
      <c r="AO349"/>
      <c r="AP349"/>
    </row>
    <row r="351" spans="2:42">
      <c r="C351" s="204"/>
    </row>
    <row r="353" spans="3:6">
      <c r="C353" s="206"/>
      <c r="F353" s="2"/>
    </row>
    <row r="354" spans="3:6" ht="15" customHeight="1">
      <c r="C354" s="2"/>
      <c r="D354" s="207"/>
      <c r="F354" s="2"/>
    </row>
    <row r="355" spans="3:6" ht="15" customHeight="1">
      <c r="C355" s="2"/>
      <c r="D355" s="207"/>
      <c r="F355" s="2"/>
    </row>
    <row r="356" spans="3:6" ht="15" customHeight="1">
      <c r="C356" s="2"/>
      <c r="D356" s="207"/>
      <c r="F356" s="2"/>
    </row>
    <row r="357" spans="3:6" ht="15" customHeight="1">
      <c r="C357" s="2"/>
      <c r="D357" s="207"/>
      <c r="F357" s="2"/>
    </row>
    <row r="358" spans="3:6" ht="15" customHeight="1">
      <c r="C358" s="206"/>
      <c r="D358" s="207"/>
      <c r="F358" s="2"/>
    </row>
    <row r="359" spans="3:6" ht="15" customHeight="1">
      <c r="D359" s="207"/>
    </row>
    <row r="360" spans="3:6" ht="15" customHeight="1">
      <c r="D360" s="207"/>
      <c r="E360" s="2"/>
      <c r="F360" s="2"/>
    </row>
    <row r="361" spans="3:6" ht="15" customHeight="1">
      <c r="D361" s="207"/>
      <c r="F361" s="2"/>
    </row>
    <row r="362" spans="3:6" ht="15" customHeight="1">
      <c r="D362" s="207"/>
      <c r="F362" s="2"/>
    </row>
    <row r="363" spans="3:6" ht="15" customHeight="1">
      <c r="D363" s="207"/>
    </row>
    <row r="364" spans="3:6" ht="15" customHeight="1">
      <c r="D364" s="207"/>
    </row>
    <row r="365" spans="3:6" ht="15" customHeight="1">
      <c r="D365" s="57"/>
    </row>
    <row r="366" spans="3:6">
      <c r="D366" s="16"/>
    </row>
    <row r="367" spans="3:6">
      <c r="C367" s="206"/>
      <c r="D367" s="208"/>
      <c r="E367" s="6"/>
    </row>
    <row r="368" spans="3:6">
      <c r="D368" s="207"/>
    </row>
    <row r="369" spans="3:10">
      <c r="D369" s="207"/>
      <c r="F369" s="2"/>
    </row>
    <row r="370" spans="3:10">
      <c r="D370" s="207"/>
      <c r="F370" s="2"/>
    </row>
    <row r="371" spans="3:10">
      <c r="D371" s="156"/>
      <c r="F371" s="2"/>
    </row>
    <row r="372" spans="3:10">
      <c r="C372" s="206"/>
      <c r="F372" s="2"/>
    </row>
    <row r="373" spans="3:10">
      <c r="C373" s="206"/>
      <c r="D373" s="207"/>
      <c r="F373" s="2"/>
    </row>
    <row r="374" spans="3:10">
      <c r="D374" s="207"/>
      <c r="G374" s="16"/>
    </row>
    <row r="375" spans="3:10">
      <c r="D375" s="16"/>
      <c r="G375" s="16"/>
      <c r="H375" s="16"/>
    </row>
    <row r="376" spans="3:10">
      <c r="D376" s="207"/>
      <c r="G376" s="207"/>
    </row>
    <row r="377" spans="3:10">
      <c r="D377" s="207"/>
      <c r="G377" s="204"/>
    </row>
    <row r="378" spans="3:10">
      <c r="G378" s="16"/>
    </row>
    <row r="379" spans="3:10">
      <c r="D379" s="57"/>
      <c r="G379" s="24"/>
      <c r="H379" s="16"/>
    </row>
    <row r="380" spans="3:10">
      <c r="G380" s="24"/>
      <c r="H380" s="16"/>
    </row>
    <row r="381" spans="3:10">
      <c r="D381" s="156"/>
      <c r="J381" s="16"/>
    </row>
    <row r="382" spans="3:10">
      <c r="D382" s="156"/>
      <c r="J382" s="16"/>
    </row>
    <row r="384" spans="3:10">
      <c r="D384" s="16"/>
    </row>
    <row r="385" spans="2:42">
      <c r="D385" s="16"/>
    </row>
    <row r="386" spans="2:42">
      <c r="D386" s="16"/>
    </row>
    <row r="387" spans="2:42">
      <c r="D387" s="16"/>
    </row>
    <row r="390" spans="2:42" s="24" customFormat="1">
      <c r="B390"/>
      <c r="C390" s="206"/>
      <c r="E390" s="16"/>
      <c r="F390"/>
      <c r="G390"/>
      <c r="H390"/>
      <c r="I390"/>
      <c r="J390"/>
      <c r="K390"/>
      <c r="L390"/>
      <c r="M390"/>
      <c r="N390"/>
      <c r="O390"/>
      <c r="P390"/>
      <c r="Q390" s="2791"/>
      <c r="R390" s="2791"/>
      <c r="S390" s="2791"/>
      <c r="T390"/>
      <c r="U390"/>
      <c r="V390"/>
      <c r="W390"/>
      <c r="X390"/>
      <c r="Y390"/>
      <c r="Z390"/>
      <c r="AA390"/>
      <c r="AB390"/>
      <c r="AC390"/>
      <c r="AD390"/>
      <c r="AE390"/>
      <c r="AF390"/>
      <c r="AG390"/>
      <c r="AH390"/>
      <c r="AI390"/>
      <c r="AJ390"/>
      <c r="AK390"/>
      <c r="AL390"/>
      <c r="AM390"/>
      <c r="AN390"/>
      <c r="AO390"/>
      <c r="AP390"/>
    </row>
    <row r="391" spans="2:42" s="24" customFormat="1">
      <c r="B391"/>
      <c r="C391" s="206"/>
      <c r="E391" s="16"/>
      <c r="F391"/>
      <c r="G391"/>
      <c r="H391"/>
      <c r="I391"/>
      <c r="J391"/>
      <c r="K391"/>
      <c r="L391"/>
      <c r="M391"/>
      <c r="N391"/>
      <c r="O391"/>
      <c r="P391"/>
      <c r="Q391" s="2791"/>
      <c r="R391" s="2791"/>
      <c r="S391" s="2791"/>
      <c r="T391"/>
      <c r="U391"/>
      <c r="V391"/>
      <c r="W391"/>
      <c r="X391"/>
      <c r="Y391"/>
      <c r="Z391"/>
      <c r="AA391"/>
      <c r="AB391"/>
      <c r="AC391"/>
      <c r="AD391"/>
      <c r="AE391"/>
      <c r="AF391"/>
      <c r="AG391"/>
      <c r="AH391"/>
      <c r="AI391"/>
      <c r="AJ391"/>
      <c r="AK391"/>
      <c r="AL391"/>
      <c r="AM391"/>
      <c r="AN391"/>
      <c r="AO391"/>
      <c r="AP391"/>
    </row>
    <row r="392" spans="2:42" s="24" customFormat="1">
      <c r="B392"/>
      <c r="C392" s="206"/>
      <c r="E392" s="16"/>
      <c r="F392"/>
      <c r="G392"/>
      <c r="H392"/>
      <c r="I392"/>
      <c r="J392"/>
      <c r="K392"/>
      <c r="L392"/>
      <c r="M392"/>
      <c r="N392"/>
      <c r="O392"/>
      <c r="P392"/>
      <c r="Q392" s="2791"/>
      <c r="R392" s="2791"/>
      <c r="S392" s="2791"/>
      <c r="T392"/>
      <c r="U392"/>
      <c r="V392"/>
      <c r="W392"/>
      <c r="X392"/>
      <c r="Y392"/>
      <c r="Z392"/>
      <c r="AA392"/>
      <c r="AB392"/>
      <c r="AC392"/>
      <c r="AD392"/>
      <c r="AE392"/>
      <c r="AF392"/>
      <c r="AG392"/>
      <c r="AH392"/>
      <c r="AI392"/>
      <c r="AJ392"/>
      <c r="AK392"/>
      <c r="AL392"/>
      <c r="AM392"/>
      <c r="AN392"/>
      <c r="AO392"/>
      <c r="AP392"/>
    </row>
    <row r="393" spans="2:42" s="24" customFormat="1">
      <c r="B393"/>
      <c r="C393" s="206"/>
      <c r="E393" s="16"/>
      <c r="F393"/>
      <c r="G393"/>
      <c r="H393"/>
      <c r="I393"/>
      <c r="J393"/>
      <c r="K393"/>
      <c r="L393"/>
      <c r="M393"/>
      <c r="N393"/>
      <c r="O393"/>
      <c r="P393"/>
      <c r="Q393" s="2791"/>
      <c r="R393" s="2791"/>
      <c r="S393" s="2791"/>
      <c r="T393"/>
      <c r="U393"/>
      <c r="V393"/>
      <c r="W393"/>
      <c r="X393"/>
      <c r="Y393"/>
      <c r="Z393"/>
      <c r="AA393"/>
      <c r="AB393"/>
      <c r="AC393"/>
      <c r="AD393"/>
      <c r="AE393"/>
      <c r="AF393"/>
      <c r="AG393"/>
      <c r="AH393"/>
      <c r="AI393"/>
      <c r="AJ393"/>
      <c r="AK393"/>
      <c r="AL393"/>
      <c r="AM393"/>
      <c r="AN393"/>
      <c r="AO393"/>
      <c r="AP393"/>
    </row>
    <row r="394" spans="2:42" s="24" customFormat="1">
      <c r="B394"/>
      <c r="C394" s="206"/>
      <c r="E394" s="16"/>
      <c r="F394"/>
      <c r="G394"/>
      <c r="H394"/>
      <c r="I394"/>
      <c r="J394"/>
      <c r="K394"/>
      <c r="L394"/>
      <c r="M394"/>
      <c r="N394"/>
      <c r="O394"/>
      <c r="P394"/>
      <c r="Q394" s="2791"/>
      <c r="R394" s="2791"/>
      <c r="S394" s="2791"/>
      <c r="T394"/>
      <c r="U394"/>
      <c r="V394"/>
      <c r="W394"/>
      <c r="X394"/>
      <c r="Y394"/>
      <c r="Z394"/>
      <c r="AA394"/>
      <c r="AB394"/>
      <c r="AC394"/>
      <c r="AD394"/>
      <c r="AE394"/>
      <c r="AF394"/>
      <c r="AG394"/>
      <c r="AH394"/>
      <c r="AI394"/>
      <c r="AJ394"/>
      <c r="AK394"/>
      <c r="AL394"/>
      <c r="AM394"/>
      <c r="AN394"/>
      <c r="AO394"/>
      <c r="AP394"/>
    </row>
    <row r="395" spans="2:42" s="24" customFormat="1">
      <c r="B395"/>
      <c r="C395" s="206"/>
      <c r="E395" s="16"/>
      <c r="F395"/>
      <c r="G395"/>
      <c r="H395"/>
      <c r="I395"/>
      <c r="J395"/>
      <c r="K395"/>
      <c r="L395"/>
      <c r="M395"/>
      <c r="N395"/>
      <c r="O395"/>
      <c r="P395"/>
      <c r="Q395" s="2791"/>
      <c r="R395" s="2791"/>
      <c r="S395" s="2791"/>
      <c r="T395"/>
      <c r="U395"/>
      <c r="V395"/>
      <c r="W395"/>
      <c r="X395"/>
      <c r="Y395"/>
      <c r="Z395"/>
      <c r="AA395"/>
      <c r="AB395"/>
      <c r="AC395"/>
      <c r="AD395"/>
      <c r="AE395"/>
      <c r="AF395"/>
      <c r="AG395"/>
      <c r="AH395"/>
      <c r="AI395"/>
      <c r="AJ395"/>
      <c r="AK395"/>
      <c r="AL395"/>
      <c r="AM395"/>
      <c r="AN395"/>
      <c r="AO395"/>
      <c r="AP395"/>
    </row>
    <row r="396" spans="2:42" s="24" customFormat="1">
      <c r="B396"/>
      <c r="C396" s="206"/>
      <c r="E396" s="16"/>
      <c r="F396"/>
      <c r="G396"/>
      <c r="H396"/>
      <c r="I396"/>
      <c r="J396"/>
      <c r="K396"/>
      <c r="L396"/>
      <c r="M396"/>
      <c r="N396"/>
      <c r="O396"/>
      <c r="P396"/>
      <c r="Q396" s="2791"/>
      <c r="R396" s="2791"/>
      <c r="S396" s="2791"/>
      <c r="T396"/>
      <c r="U396"/>
      <c r="V396"/>
      <c r="W396"/>
      <c r="X396"/>
      <c r="Y396"/>
      <c r="Z396"/>
      <c r="AA396"/>
      <c r="AB396"/>
      <c r="AC396"/>
      <c r="AD396"/>
      <c r="AE396"/>
      <c r="AF396"/>
      <c r="AG396"/>
      <c r="AH396"/>
      <c r="AI396"/>
      <c r="AJ396"/>
      <c r="AK396"/>
      <c r="AL396"/>
      <c r="AM396"/>
      <c r="AN396"/>
      <c r="AO396"/>
      <c r="AP396"/>
    </row>
  </sheetData>
  <mergeCells count="43">
    <mergeCell ref="AD19:AE20"/>
    <mergeCell ref="AA21:AA22"/>
    <mergeCell ref="AB21:AB22"/>
    <mergeCell ref="AD21:AD22"/>
    <mergeCell ref="AE21:AE22"/>
    <mergeCell ref="L19:P20"/>
    <mergeCell ref="U19:U20"/>
    <mergeCell ref="V19:Z20"/>
    <mergeCell ref="AA19:AB20"/>
    <mergeCell ref="AC19:AC22"/>
    <mergeCell ref="X21:X22"/>
    <mergeCell ref="Y21:Y22"/>
    <mergeCell ref="Z21:Z22"/>
    <mergeCell ref="Q17:S20"/>
    <mergeCell ref="Q21:Q22"/>
    <mergeCell ref="R21:R22"/>
    <mergeCell ref="S21:S22"/>
    <mergeCell ref="AH19:AK20"/>
    <mergeCell ref="C21:C22"/>
    <mergeCell ref="D21:D22"/>
    <mergeCell ref="E21:E22"/>
    <mergeCell ref="F21:G21"/>
    <mergeCell ref="H21:I21"/>
    <mergeCell ref="L21:M21"/>
    <mergeCell ref="N21:N22"/>
    <mergeCell ref="O21:O22"/>
    <mergeCell ref="P21:P22"/>
    <mergeCell ref="U21:U22"/>
    <mergeCell ref="V21:V22"/>
    <mergeCell ref="W21:W22"/>
    <mergeCell ref="B17:K20"/>
    <mergeCell ref="L17:P18"/>
    <mergeCell ref="U17:AE18"/>
    <mergeCell ref="D43:D46"/>
    <mergeCell ref="AJ21:AJ22"/>
    <mergeCell ref="AK21:AK22"/>
    <mergeCell ref="C39:C42"/>
    <mergeCell ref="D31:D34"/>
    <mergeCell ref="D35:D38"/>
    <mergeCell ref="D39:D42"/>
    <mergeCell ref="D27:D30"/>
    <mergeCell ref="C23:C26"/>
    <mergeCell ref="D23:D26"/>
  </mergeCells>
  <hyperlinks>
    <hyperlink ref="C348" r:id="rId1" xr:uid="{00000000-0004-0000-0A00-000000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B1:X62"/>
  <sheetViews>
    <sheetView showGridLines="0" zoomScaleNormal="100" workbookViewId="0"/>
  </sheetViews>
  <sheetFormatPr baseColWidth="10" defaultColWidth="11" defaultRowHeight="16"/>
  <cols>
    <col min="1" max="1" width="4.6640625" customWidth="1"/>
    <col min="2" max="2" width="17.5" customWidth="1"/>
    <col min="3" max="3" width="45.1640625" customWidth="1"/>
    <col min="4" max="4" width="15.33203125" customWidth="1"/>
    <col min="5" max="5" width="13.33203125" customWidth="1"/>
    <col min="6" max="8" width="14.33203125" customWidth="1"/>
    <col min="9" max="9" width="16.6640625" customWidth="1"/>
    <col min="10" max="10" width="19.1640625" customWidth="1"/>
    <col min="11" max="11" width="14.33203125" customWidth="1"/>
    <col min="12" max="12" width="11.83203125" customWidth="1"/>
    <col min="13" max="13" width="14.6640625" customWidth="1"/>
    <col min="14" max="14" width="11.83203125" customWidth="1"/>
    <col min="15" max="15" width="12.1640625" customWidth="1"/>
    <col min="16" max="19" width="13.5" customWidth="1"/>
  </cols>
  <sheetData>
    <row r="1" spans="2:23">
      <c r="B1" s="8" t="s">
        <v>1035</v>
      </c>
    </row>
    <row r="3" spans="2:23">
      <c r="B3" s="8" t="s">
        <v>844</v>
      </c>
      <c r="H3" s="692"/>
      <c r="I3" s="692"/>
      <c r="J3" s="692"/>
      <c r="K3" s="692"/>
    </row>
    <row r="4" spans="2:23" ht="17" thickBot="1">
      <c r="B4" t="s">
        <v>839</v>
      </c>
      <c r="C4" t="s">
        <v>845</v>
      </c>
      <c r="D4" s="1"/>
      <c r="E4" s="1"/>
      <c r="F4" s="1"/>
      <c r="G4" s="1"/>
      <c r="H4" s="1"/>
    </row>
    <row r="5" spans="2:23">
      <c r="C5" s="804" t="s">
        <v>838</v>
      </c>
      <c r="D5" s="805"/>
      <c r="E5" s="805"/>
      <c r="F5" s="805"/>
      <c r="G5" s="805"/>
      <c r="H5" s="805"/>
    </row>
    <row r="6" spans="2:23">
      <c r="C6" s="807" t="s">
        <v>827</v>
      </c>
      <c r="D6" t="s">
        <v>2175</v>
      </c>
    </row>
    <row r="7" spans="2:23">
      <c r="C7" s="807" t="s">
        <v>827</v>
      </c>
      <c r="D7" t="s">
        <v>2371</v>
      </c>
    </row>
    <row r="8" spans="2:23">
      <c r="C8" s="807"/>
    </row>
    <row r="9" spans="2:23">
      <c r="C9" s="807"/>
    </row>
    <row r="11" spans="2:23" ht="17" thickBot="1">
      <c r="C11" s="808"/>
      <c r="D11" s="574"/>
      <c r="E11" s="574"/>
      <c r="F11" s="574"/>
      <c r="G11" s="574"/>
      <c r="H11" s="574"/>
      <c r="W11" s="587">
        <v>0</v>
      </c>
    </row>
    <row r="12" spans="2:23">
      <c r="C12" s="360" t="s">
        <v>851</v>
      </c>
      <c r="W12" s="587"/>
    </row>
    <row r="13" spans="2:23">
      <c r="W13" s="587"/>
    </row>
    <row r="14" spans="2:23">
      <c r="B14" t="s">
        <v>942</v>
      </c>
      <c r="C14" s="359" t="s">
        <v>848</v>
      </c>
      <c r="W14" s="587"/>
    </row>
    <row r="16" spans="2:23">
      <c r="B16" s="8" t="s">
        <v>730</v>
      </c>
    </row>
    <row r="17" spans="2:11" ht="17">
      <c r="B17" s="3" t="s">
        <v>847</v>
      </c>
      <c r="H17" s="562"/>
      <c r="I17" s="562"/>
      <c r="J17" s="562"/>
      <c r="K17" s="562"/>
    </row>
    <row r="18" spans="2:11" ht="17">
      <c r="C18" t="s">
        <v>1984</v>
      </c>
      <c r="H18" s="562"/>
      <c r="I18" s="562"/>
      <c r="J18" s="562"/>
      <c r="K18" s="562"/>
    </row>
    <row r="19" spans="2:11">
      <c r="C19" t="s">
        <v>843</v>
      </c>
      <c r="H19" s="692"/>
      <c r="I19" s="692"/>
      <c r="J19" s="692"/>
      <c r="K19" s="692"/>
    </row>
    <row r="20" spans="2:11">
      <c r="C20" t="s">
        <v>867</v>
      </c>
      <c r="H20" s="692"/>
      <c r="I20" s="692"/>
      <c r="J20" s="692"/>
      <c r="K20" s="692"/>
    </row>
    <row r="21" spans="2:11" ht="17">
      <c r="H21" s="562"/>
      <c r="I21" s="562"/>
      <c r="J21" s="562"/>
      <c r="K21" s="562"/>
    </row>
    <row r="22" spans="2:11" ht="17">
      <c r="D22" s="31"/>
      <c r="H22" s="562"/>
      <c r="I22" s="562"/>
      <c r="J22" s="562"/>
      <c r="K22" s="562"/>
    </row>
    <row r="23" spans="2:11" ht="17">
      <c r="D23" s="31"/>
      <c r="H23" s="562"/>
      <c r="I23" s="562"/>
      <c r="J23" s="562"/>
      <c r="K23" s="562"/>
    </row>
    <row r="24" spans="2:11" ht="17">
      <c r="D24" s="31"/>
      <c r="H24" s="562"/>
      <c r="I24" s="562"/>
      <c r="J24" s="562"/>
      <c r="K24" s="562"/>
    </row>
    <row r="25" spans="2:11" ht="17">
      <c r="D25" s="31"/>
      <c r="H25" s="562"/>
      <c r="I25" s="562"/>
      <c r="J25" s="562"/>
      <c r="K25" s="562"/>
    </row>
    <row r="26" spans="2:11" ht="17">
      <c r="B26" s="3" t="s">
        <v>846</v>
      </c>
      <c r="H26" s="562"/>
      <c r="I26" s="562"/>
      <c r="J26" s="562"/>
      <c r="K26" s="562"/>
    </row>
    <row r="27" spans="2:11" ht="17">
      <c r="C27" t="s">
        <v>1106</v>
      </c>
      <c r="H27" s="562"/>
      <c r="I27" s="562"/>
      <c r="J27" s="562"/>
      <c r="K27" s="562"/>
    </row>
    <row r="28" spans="2:11" ht="17">
      <c r="C28" t="s">
        <v>836</v>
      </c>
      <c r="H28" s="562"/>
      <c r="I28" s="562"/>
      <c r="J28" s="562"/>
      <c r="K28" s="562"/>
    </row>
    <row r="29" spans="2:11">
      <c r="D29" t="s">
        <v>2370</v>
      </c>
      <c r="H29" s="692"/>
      <c r="I29" s="692"/>
      <c r="J29" s="692"/>
      <c r="K29" s="692"/>
    </row>
    <row r="30" spans="2:11" ht="17">
      <c r="H30" s="562"/>
      <c r="I30" s="562"/>
      <c r="J30" s="562"/>
      <c r="K30" s="562"/>
    </row>
    <row r="31" spans="2:11">
      <c r="H31" s="692"/>
      <c r="I31" s="692"/>
      <c r="J31" s="692"/>
      <c r="K31" s="692"/>
    </row>
    <row r="32" spans="2:11">
      <c r="H32" s="692"/>
      <c r="I32" s="692"/>
      <c r="J32" s="692"/>
      <c r="K32" s="692"/>
    </row>
    <row r="33" spans="2:24">
      <c r="H33" s="692"/>
      <c r="I33" s="692"/>
      <c r="J33" s="692"/>
      <c r="K33" s="692"/>
    </row>
    <row r="34" spans="2:24">
      <c r="H34" s="692"/>
      <c r="I34" s="692"/>
      <c r="J34" s="692"/>
      <c r="K34" s="692"/>
    </row>
    <row r="35" spans="2:24">
      <c r="H35" s="692"/>
      <c r="I35" s="692"/>
      <c r="J35" s="692"/>
      <c r="K35" s="692"/>
    </row>
    <row r="36" spans="2:24">
      <c r="H36" s="692"/>
      <c r="I36" s="692"/>
      <c r="J36" s="692"/>
      <c r="K36" s="692"/>
    </row>
    <row r="37" spans="2:24">
      <c r="B37" s="1"/>
      <c r="C37" s="360"/>
      <c r="W37" s="587"/>
    </row>
    <row r="38" spans="2:24">
      <c r="B38" s="8" t="s">
        <v>1036</v>
      </c>
      <c r="C38" s="100"/>
      <c r="F38" s="1" t="s">
        <v>1107</v>
      </c>
      <c r="G38" s="1258"/>
      <c r="H38" s="1258"/>
      <c r="J38" s="1" t="s">
        <v>1050</v>
      </c>
      <c r="L38" s="1"/>
      <c r="M38" s="1"/>
      <c r="W38" s="587"/>
    </row>
    <row r="39" spans="2:24">
      <c r="B39" t="s">
        <v>841</v>
      </c>
      <c r="O39" t="s">
        <v>1053</v>
      </c>
      <c r="W39" s="587"/>
    </row>
    <row r="40" spans="2:24">
      <c r="C40" t="s">
        <v>829</v>
      </c>
      <c r="J40" s="259">
        <f>'Overall Assumptions'!$C$179</f>
        <v>208.4</v>
      </c>
      <c r="M40" s="259"/>
      <c r="W40" s="587"/>
    </row>
    <row r="41" spans="2:24">
      <c r="C41" s="360" t="s">
        <v>1052</v>
      </c>
      <c r="D41" s="1"/>
      <c r="E41" s="1"/>
      <c r="M41" s="79"/>
      <c r="W41" s="587"/>
    </row>
    <row r="42" spans="2:24">
      <c r="C42" s="4" t="s">
        <v>730</v>
      </c>
      <c r="D42" s="593" t="s">
        <v>832</v>
      </c>
      <c r="F42" s="3739" t="s">
        <v>799</v>
      </c>
      <c r="G42" s="3744"/>
      <c r="H42" s="3740"/>
      <c r="I42" s="809"/>
      <c r="J42" s="3741" t="s">
        <v>1105</v>
      </c>
      <c r="K42" s="3742"/>
      <c r="L42" s="3743"/>
      <c r="M42" s="79"/>
      <c r="O42">
        <v>0</v>
      </c>
      <c r="P42">
        <v>1</v>
      </c>
      <c r="Q42">
        <v>2</v>
      </c>
      <c r="R42">
        <v>3</v>
      </c>
      <c r="X42" s="587"/>
    </row>
    <row r="43" spans="2:24" ht="16" customHeight="1">
      <c r="C43" s="480" t="s">
        <v>819</v>
      </c>
      <c r="D43" s="3828" t="s">
        <v>801</v>
      </c>
      <c r="F43" s="3883" t="s">
        <v>850</v>
      </c>
      <c r="G43" s="3884"/>
      <c r="H43" s="3884"/>
      <c r="I43" s="1272"/>
      <c r="J43" s="3741" t="s">
        <v>825</v>
      </c>
      <c r="K43" s="3742"/>
      <c r="L43" s="3742"/>
      <c r="M43" s="1323"/>
      <c r="O43" s="402" t="s">
        <v>821</v>
      </c>
      <c r="P43" s="255"/>
      <c r="Q43" s="255"/>
      <c r="R43" s="161"/>
      <c r="X43" s="587"/>
    </row>
    <row r="44" spans="2:24" ht="16" customHeight="1">
      <c r="C44" s="591"/>
      <c r="D44" s="3829"/>
      <c r="F44" s="3892"/>
      <c r="G44" s="3893"/>
      <c r="H44" s="3893"/>
      <c r="I44" s="604"/>
      <c r="J44" s="3889"/>
      <c r="K44" s="3890"/>
      <c r="L44" s="3890"/>
      <c r="M44" s="1323"/>
      <c r="O44" s="480" t="s">
        <v>3</v>
      </c>
      <c r="P44" s="161" t="s">
        <v>132</v>
      </c>
      <c r="Q44" s="161" t="s">
        <v>4</v>
      </c>
      <c r="R44" s="161" t="s">
        <v>21</v>
      </c>
      <c r="X44" s="587"/>
    </row>
    <row r="45" spans="2:24" ht="16" customHeight="1">
      <c r="C45" s="591"/>
      <c r="D45" s="3829"/>
      <c r="F45" s="3886" t="s">
        <v>796</v>
      </c>
      <c r="G45" s="3887"/>
      <c r="H45" s="3888"/>
      <c r="I45" s="1204"/>
      <c r="J45" s="3895"/>
      <c r="K45" s="3896"/>
      <c r="L45" s="3897"/>
      <c r="M45" s="1323"/>
      <c r="O45" s="1204"/>
      <c r="P45" s="604"/>
      <c r="Q45" s="604"/>
      <c r="R45" s="246"/>
      <c r="X45" s="587"/>
    </row>
    <row r="46" spans="2:24">
      <c r="B46" s="79"/>
      <c r="C46" s="481"/>
      <c r="D46" s="3830"/>
      <c r="F46" s="79" t="s">
        <v>802</v>
      </c>
      <c r="G46" s="79" t="s">
        <v>803</v>
      </c>
      <c r="H46" s="246" t="s">
        <v>733</v>
      </c>
      <c r="I46" s="591"/>
      <c r="J46" s="405" t="s">
        <v>802</v>
      </c>
      <c r="K46" s="439" t="s">
        <v>803</v>
      </c>
      <c r="L46" s="162" t="s">
        <v>733</v>
      </c>
      <c r="M46" s="1323"/>
      <c r="O46" s="481"/>
      <c r="P46" s="162"/>
      <c r="Q46" s="162"/>
      <c r="R46" s="162"/>
      <c r="X46" s="587"/>
    </row>
    <row r="47" spans="2:24">
      <c r="B47" s="480" t="s">
        <v>862</v>
      </c>
      <c r="C47" s="246" t="s">
        <v>57</v>
      </c>
      <c r="D47" s="606"/>
      <c r="F47" s="1181">
        <f>'Disease management (General)'!$AB$23</f>
        <v>20.285213184317751</v>
      </c>
      <c r="G47" s="1182">
        <f>'Disease management (General)'!$AB$23</f>
        <v>20.285213184317751</v>
      </c>
      <c r="H47" s="1183">
        <f>'Disease management (General)'!$AB$23</f>
        <v>20.285213184317751</v>
      </c>
      <c r="I47" s="1259"/>
      <c r="J47" s="1280"/>
      <c r="K47" s="1279"/>
      <c r="L47" s="1207"/>
      <c r="M47" s="122"/>
      <c r="O47" s="1208">
        <f ca="1">OFFSET('Disease management (General)'!$AC$23,O$42+$S47,0)</f>
        <v>1</v>
      </c>
      <c r="P47" s="1208" t="str">
        <f ca="1">OFFSET('Disease management (General)'!$AC$23,P$42+$S47,0)</f>
        <v/>
      </c>
      <c r="Q47" s="1208" t="str">
        <f ca="1">OFFSET('Disease management (General)'!$AC$23,Q$42+$S47,0)</f>
        <v/>
      </c>
      <c r="R47" s="1208" t="str">
        <f ca="1">OFFSET('Disease management (General)'!$AC$23,R$42+$S47,0)</f>
        <v/>
      </c>
      <c r="S47" s="587">
        <v>0</v>
      </c>
      <c r="T47" s="578">
        <f t="shared" ref="T47:T50" ca="1" si="0">SUM(O47:R47)</f>
        <v>1</v>
      </c>
      <c r="X47" s="587"/>
    </row>
    <row r="48" spans="2:24" ht="16" customHeight="1">
      <c r="B48" s="591" t="s">
        <v>863</v>
      </c>
      <c r="C48" s="109" t="s">
        <v>58</v>
      </c>
      <c r="D48" s="606"/>
      <c r="F48" s="841">
        <f>'Disease management (General)'!$AB$27</f>
        <v>24.713011870689957</v>
      </c>
      <c r="G48" s="337">
        <f>'Disease management (General)'!$AB$31</f>
        <v>29.07647005358595</v>
      </c>
      <c r="H48" s="842">
        <f>'Disease management (General)'!$AB$35</f>
        <v>37.803386419377944</v>
      </c>
      <c r="I48" s="1259"/>
      <c r="J48" s="2882">
        <f>'Disease management (General)'!$S$28</f>
        <v>0.11854898493282347</v>
      </c>
      <c r="K48" s="2333">
        <f>'Disease management (General)'!$S$32</f>
        <v>0.11854898493282347</v>
      </c>
      <c r="L48" s="3104">
        <f>'Disease management (General)'!$S$36</f>
        <v>0.11854898493282347</v>
      </c>
      <c r="M48" s="122"/>
      <c r="O48" s="751">
        <f ca="1">OFFSET('Disease management (General)'!$AC$23,O$42+$S48,0)</f>
        <v>0.45931215485928589</v>
      </c>
      <c r="P48" s="751">
        <f ca="1">OFFSET('Disease management (General)'!$AC$23,P$42+$S48,0)</f>
        <v>0.22376746005965212</v>
      </c>
      <c r="Q48" s="751">
        <f ca="1">OFFSET('Disease management (General)'!$AC$23,Q$42+$S48,0)</f>
        <v>0.31692038508106196</v>
      </c>
      <c r="R48" s="751">
        <f ca="1">OFFSET('Disease management (General)'!$AC$23,R$42+$S48,0)</f>
        <v>0</v>
      </c>
      <c r="S48" s="587">
        <v>4</v>
      </c>
      <c r="T48" s="578">
        <f t="shared" ca="1" si="0"/>
        <v>1</v>
      </c>
      <c r="X48" s="587"/>
    </row>
    <row r="49" spans="2:24">
      <c r="B49" s="591" t="s">
        <v>862</v>
      </c>
      <c r="C49" s="452" t="s">
        <v>1100</v>
      </c>
      <c r="D49" s="606"/>
      <c r="F49" s="841">
        <f>'Disease management (General)'!$AB$39</f>
        <v>172.40997949442252</v>
      </c>
      <c r="G49" s="337">
        <f>'Disease management (General)'!$AB$39</f>
        <v>172.40997949442252</v>
      </c>
      <c r="H49" s="842">
        <f>'Disease management (General)'!$AB$39</f>
        <v>172.40997949442252</v>
      </c>
      <c r="I49" s="1259"/>
      <c r="J49" s="2882">
        <f>'Disease management (General)'!$S$40</f>
        <v>0.23709796986564693</v>
      </c>
      <c r="K49" s="2333">
        <f>'Disease management (General)'!$S$40</f>
        <v>0.23709796986564693</v>
      </c>
      <c r="L49" s="3104">
        <f>'Disease management (General)'!$S$40</f>
        <v>0.23709796986564693</v>
      </c>
      <c r="M49" s="122"/>
      <c r="O49" s="751">
        <f ca="1">OFFSET('Disease management (General)'!$AC$23,O$42+$S49,0)</f>
        <v>0.13047707669348751</v>
      </c>
      <c r="P49" s="751">
        <f ca="1">OFFSET('Disease management (General)'!$AC$23,P$42+$S49,0)</f>
        <v>6.3565755312211883E-2</v>
      </c>
      <c r="Q49" s="751">
        <f ca="1">OFFSET('Disease management (General)'!$AC$23,Q$42+$S49,0)</f>
        <v>9.0853873558117151E-2</v>
      </c>
      <c r="R49" s="751">
        <f ca="1">OFFSET('Disease management (General)'!$AC$23,R$42+$S49,0)</f>
        <v>0.71510329443618337</v>
      </c>
      <c r="S49" s="587">
        <v>16</v>
      </c>
      <c r="T49" s="578">
        <f t="shared" ca="1" si="0"/>
        <v>0.99999999999999989</v>
      </c>
      <c r="X49" s="587"/>
    </row>
    <row r="50" spans="2:24">
      <c r="B50" s="481" t="s">
        <v>862</v>
      </c>
      <c r="C50" s="162" t="s">
        <v>1104</v>
      </c>
      <c r="D50" s="607"/>
      <c r="F50" s="1263">
        <f>'Disease management (General)'!$AB$43</f>
        <v>20.285213184317751</v>
      </c>
      <c r="G50" s="338">
        <f>'Disease management (General)'!$AB$43</f>
        <v>20.285213184317751</v>
      </c>
      <c r="H50" s="1264">
        <f>'Disease management (General)'!$AB$43</f>
        <v>20.285213184317751</v>
      </c>
      <c r="I50" s="1259"/>
      <c r="J50" s="3105"/>
      <c r="K50" s="3106"/>
      <c r="L50" s="3107"/>
      <c r="M50" s="122"/>
      <c r="O50" s="752">
        <f ca="1">OFFSET('Disease management (General)'!$AC$23,O$42+$S50,0)</f>
        <v>1</v>
      </c>
      <c r="P50" s="752" t="str">
        <f ca="1">OFFSET('Disease management (General)'!$AC$23,P$42+$S50,0)</f>
        <v/>
      </c>
      <c r="Q50" s="752" t="str">
        <f ca="1">OFFSET('Disease management (General)'!$AC$23,Q$42+$S50,0)</f>
        <v/>
      </c>
      <c r="R50" s="752" t="str">
        <f ca="1">OFFSET('Disease management (General)'!$AC$23,R$42+$S50,0)</f>
        <v/>
      </c>
      <c r="S50" s="587">
        <v>20</v>
      </c>
      <c r="T50" s="578">
        <f t="shared" ca="1" si="0"/>
        <v>1</v>
      </c>
    </row>
    <row r="51" spans="2:24">
      <c r="C51" s="771" t="s">
        <v>833</v>
      </c>
      <c r="D51" s="778">
        <f>SUM(D47:D50)</f>
        <v>0</v>
      </c>
      <c r="E51" s="771" t="s">
        <v>826</v>
      </c>
      <c r="F51" s="1265">
        <f>SUM(F47:F50)</f>
        <v>237.69341773374796</v>
      </c>
      <c r="G51" s="1260">
        <f>SUM(G47:G50)</f>
        <v>242.05687591664395</v>
      </c>
      <c r="H51" s="1260">
        <f>SUM(H47:H50)</f>
        <v>250.78379228243597</v>
      </c>
      <c r="I51" s="772" t="s">
        <v>2226</v>
      </c>
      <c r="J51" s="3108">
        <f>SUM(J47:J50)</f>
        <v>0.35564695479847042</v>
      </c>
      <c r="K51" s="3109">
        <f>SUM(K47:K50)</f>
        <v>0.35564695479847042</v>
      </c>
      <c r="L51" s="3109">
        <f>SUM(L47:L50)</f>
        <v>0.35564695479847042</v>
      </c>
      <c r="M51" s="276"/>
      <c r="O51" s="609"/>
      <c r="P51" s="609"/>
      <c r="Q51" s="609"/>
      <c r="R51" s="1"/>
      <c r="S51" s="1"/>
    </row>
    <row r="52" spans="2:24">
      <c r="B52" s="811"/>
      <c r="E52" s="16"/>
      <c r="F52" s="16"/>
      <c r="H52" s="1"/>
      <c r="R52" s="609"/>
      <c r="S52" s="609"/>
      <c r="T52" s="609"/>
    </row>
    <row r="53" spans="2:24">
      <c r="B53" s="811"/>
      <c r="C53" s="16"/>
      <c r="D53" s="16"/>
      <c r="O53" s="609"/>
    </row>
    <row r="54" spans="2:24">
      <c r="B54" s="811"/>
      <c r="C54" s="28" t="s">
        <v>822</v>
      </c>
      <c r="D54" s="28"/>
      <c r="E54" s="3"/>
      <c r="F54" s="3"/>
      <c r="G54" s="3"/>
      <c r="H54" s="3"/>
      <c r="I54" s="3"/>
      <c r="J54" s="3"/>
      <c r="O54" s="609"/>
    </row>
    <row r="55" spans="2:24" ht="15" customHeight="1">
      <c r="B55" s="811"/>
      <c r="C55" s="480" t="s">
        <v>57</v>
      </c>
      <c r="D55" s="749"/>
      <c r="E55" s="1209"/>
      <c r="F55" s="1181">
        <f>'Disease management (General)'!$Z$23</f>
        <v>8.2821284598693765</v>
      </c>
      <c r="G55" s="1182">
        <f>'Disease management (General)'!$Z$23</f>
        <v>8.2821284598693765</v>
      </c>
      <c r="H55" s="1183">
        <f>'Disease management (General)'!$Z$23</f>
        <v>8.2821284598693765</v>
      </c>
      <c r="I55" s="768"/>
      <c r="J55" s="768"/>
      <c r="O55" s="609"/>
    </row>
    <row r="56" spans="2:24">
      <c r="B56" s="811"/>
      <c r="C56" s="1179" t="s">
        <v>58</v>
      </c>
      <c r="D56" s="606"/>
      <c r="E56" s="1209"/>
      <c r="F56" s="841">
        <f>'Disease management (General)'!$Z$27</f>
        <v>9.2629745327232929</v>
      </c>
      <c r="G56" s="337">
        <f>'Disease management (General)'!$Z$31</f>
        <v>10.894029235693781</v>
      </c>
      <c r="H56" s="842">
        <f>'Disease management (General)'!$Z$35</f>
        <v>14.156138641634763</v>
      </c>
      <c r="I56" s="779"/>
      <c r="J56" s="779"/>
      <c r="K56" s="620"/>
      <c r="O56" s="609"/>
    </row>
    <row r="57" spans="2:24" ht="16" customHeight="1">
      <c r="B57" s="811"/>
      <c r="C57" s="1287" t="s">
        <v>1100</v>
      </c>
      <c r="D57" s="606"/>
      <c r="E57" s="1209"/>
      <c r="F57" s="841">
        <f>'Disease management (General)'!$Z$39</f>
        <v>46.85208219990821</v>
      </c>
      <c r="G57" s="337">
        <f>'Disease management (General)'!$Z$39</f>
        <v>46.85208219990821</v>
      </c>
      <c r="H57" s="842">
        <f>'Disease management (General)'!$Z$39</f>
        <v>46.85208219990821</v>
      </c>
      <c r="I57" s="779"/>
      <c r="J57" s="779"/>
      <c r="O57" s="609"/>
    </row>
    <row r="58" spans="2:24">
      <c r="B58" s="811"/>
      <c r="C58" s="481" t="s">
        <v>1104</v>
      </c>
      <c r="D58" s="607"/>
      <c r="E58" s="1209"/>
      <c r="F58" s="841">
        <f>'Disease management (General)'!$Z$43</f>
        <v>8.2821284598693765</v>
      </c>
      <c r="G58" s="337">
        <f>'Disease management (General)'!$Z$43</f>
        <v>8.2821284598693765</v>
      </c>
      <c r="H58" s="842">
        <f>'Disease management (General)'!$Z$43</f>
        <v>8.2821284598693765</v>
      </c>
      <c r="I58" s="779"/>
      <c r="J58" s="779"/>
      <c r="O58" s="609"/>
    </row>
    <row r="59" spans="2:24">
      <c r="B59" s="811"/>
      <c r="C59" s="764" t="s">
        <v>766</v>
      </c>
      <c r="D59" s="764"/>
      <c r="E59" s="812"/>
      <c r="F59" s="1267">
        <f>SUM(F55:F58)</f>
        <v>72.67931365237024</v>
      </c>
      <c r="G59" s="1268">
        <f>SUM(G55:G58)</f>
        <v>74.310368355340728</v>
      </c>
      <c r="H59" s="1268">
        <f>SUM(H55:H58)</f>
        <v>77.572477761281732</v>
      </c>
      <c r="I59" s="779"/>
      <c r="J59" s="779"/>
      <c r="O59" s="609"/>
    </row>
    <row r="62" spans="2:24">
      <c r="W62" s="587"/>
    </row>
  </sheetData>
  <mergeCells count="9">
    <mergeCell ref="F42:H42"/>
    <mergeCell ref="J42:L42"/>
    <mergeCell ref="J43:L43"/>
    <mergeCell ref="D43:D46"/>
    <mergeCell ref="F43:H43"/>
    <mergeCell ref="F44:H44"/>
    <mergeCell ref="F45:H45"/>
    <mergeCell ref="J44:L44"/>
    <mergeCell ref="J45:L45"/>
  </mergeCell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P617"/>
  <sheetViews>
    <sheetView showGridLines="0" zoomScaleNormal="100" workbookViewId="0"/>
  </sheetViews>
  <sheetFormatPr baseColWidth="10" defaultColWidth="11" defaultRowHeight="16" outlineLevelCol="1"/>
  <cols>
    <col min="1" max="1" width="2.6640625" customWidth="1"/>
    <col min="2" max="2" width="6.5" customWidth="1"/>
    <col min="3" max="3" width="28.5" customWidth="1"/>
    <col min="4" max="4" width="28.83203125" style="24" customWidth="1"/>
    <col min="5" max="5" width="14.83203125" style="16" customWidth="1"/>
    <col min="6" max="6" width="14.83203125" customWidth="1" outlineLevel="1"/>
    <col min="7" max="7" width="15.33203125" customWidth="1" outlineLevel="1"/>
    <col min="8" max="8" width="18.33203125" customWidth="1" outlineLevel="1"/>
    <col min="9" max="9" width="30.5" customWidth="1" outlineLevel="1"/>
    <col min="10" max="11" width="14.5" customWidth="1" outlineLevel="1"/>
    <col min="12" max="12" width="13.5" customWidth="1" outlineLevel="1" collapsed="1"/>
    <col min="13" max="13" width="14.6640625" customWidth="1" outlineLevel="1"/>
    <col min="14" max="14" width="21" customWidth="1" outlineLevel="1"/>
    <col min="15" max="15" width="15.6640625" customWidth="1" outlineLevel="1"/>
    <col min="16" max="16" width="15.33203125" customWidth="1" outlineLevel="1"/>
    <col min="17" max="18" width="15.33203125" style="2791" customWidth="1" outlineLevel="1"/>
    <col min="19" max="19" width="28.5" style="2791" customWidth="1" outlineLevel="1"/>
    <col min="20" max="20" width="15.33203125" customWidth="1" outlineLevel="1"/>
    <col min="21" max="21" width="19.83203125" customWidth="1"/>
    <col min="22" max="24" width="12.6640625" customWidth="1"/>
    <col min="25" max="25" width="16.5" customWidth="1"/>
    <col min="26" max="26" width="15.33203125" customWidth="1"/>
    <col min="27" max="28" width="19.83203125" customWidth="1"/>
    <col min="29" max="29" width="19.33203125" customWidth="1"/>
    <col min="30" max="30" width="21" customWidth="1"/>
    <col min="31" max="31" width="23.5" customWidth="1"/>
    <col min="32" max="32" width="37.5" customWidth="1"/>
    <col min="34" max="34" width="14.33203125" customWidth="1"/>
    <col min="35" max="35" width="12.6640625" bestFit="1" customWidth="1"/>
    <col min="42" max="42" width="12.5" bestFit="1" customWidth="1"/>
  </cols>
  <sheetData>
    <row r="1" spans="2:35">
      <c r="B1" s="3" t="s">
        <v>19</v>
      </c>
      <c r="C1" s="24"/>
      <c r="D1" s="6" t="s">
        <v>580</v>
      </c>
      <c r="E1" s="6"/>
    </row>
    <row r="2" spans="2:35">
      <c r="C2" s="24" t="s">
        <v>10</v>
      </c>
      <c r="D2" s="407" t="s">
        <v>581</v>
      </c>
      <c r="E2"/>
    </row>
    <row r="3" spans="2:35">
      <c r="C3" s="24" t="s">
        <v>0</v>
      </c>
      <c r="D3" s="239" t="s">
        <v>502</v>
      </c>
      <c r="E3"/>
    </row>
    <row r="4" spans="2:35">
      <c r="B4" s="3"/>
      <c r="C4" s="24" t="s">
        <v>1</v>
      </c>
      <c r="D4" s="16" t="s">
        <v>1056</v>
      </c>
      <c r="E4"/>
    </row>
    <row r="5" spans="2:35">
      <c r="B5" s="3" t="s">
        <v>20</v>
      </c>
      <c r="C5" s="24"/>
      <c r="D5" s="16"/>
      <c r="E5"/>
      <c r="F5" s="1"/>
    </row>
    <row r="6" spans="2:35">
      <c r="C6" s="24" t="s">
        <v>2</v>
      </c>
      <c r="D6" s="239" t="s">
        <v>501</v>
      </c>
      <c r="E6"/>
      <c r="F6" s="6"/>
      <c r="T6" s="15"/>
    </row>
    <row r="7" spans="2:35">
      <c r="C7" s="24" t="s">
        <v>22</v>
      </c>
      <c r="D7" s="239" t="s">
        <v>1108</v>
      </c>
      <c r="E7"/>
      <c r="F7" s="6"/>
    </row>
    <row r="8" spans="2:35">
      <c r="C8" s="24" t="s">
        <v>7</v>
      </c>
      <c r="D8" s="238" t="s">
        <v>582</v>
      </c>
      <c r="E8"/>
      <c r="F8" s="6"/>
      <c r="W8" s="15"/>
    </row>
    <row r="9" spans="2:35">
      <c r="C9" s="24" t="s">
        <v>8</v>
      </c>
      <c r="D9" s="238" t="s">
        <v>583</v>
      </c>
      <c r="E9"/>
      <c r="F9" s="6"/>
      <c r="U9" s="5"/>
    </row>
    <row r="10" spans="2:35">
      <c r="C10" s="24"/>
      <c r="D10" s="238"/>
      <c r="E10"/>
      <c r="F10" s="6"/>
      <c r="U10" s="5"/>
    </row>
    <row r="11" spans="2:35" ht="19">
      <c r="B11" s="904" t="s">
        <v>140</v>
      </c>
      <c r="C11" s="113"/>
      <c r="D11" s="16"/>
      <c r="F11" s="359"/>
      <c r="G11" s="359"/>
      <c r="I11" s="359"/>
      <c r="AA11" s="2953" t="s">
        <v>2305</v>
      </c>
      <c r="AB11" s="2953"/>
      <c r="AC11" s="2615"/>
      <c r="AF11" s="2616"/>
    </row>
    <row r="12" spans="2:35" ht="19">
      <c r="C12" s="31" t="s">
        <v>960</v>
      </c>
      <c r="D12" s="16"/>
      <c r="F12" s="359"/>
      <c r="G12" s="359"/>
      <c r="I12" s="359"/>
      <c r="AA12" s="204">
        <f>SUMIF(T23:T104,"L",AA23:AA104)-AA13-AA15</f>
        <v>9884.8837630493217</v>
      </c>
      <c r="AB12" s="2953" t="s">
        <v>2303</v>
      </c>
      <c r="AC12" s="2615"/>
      <c r="AF12" s="2616"/>
    </row>
    <row r="13" spans="2:35" ht="19">
      <c r="C13" s="955" t="s">
        <v>961</v>
      </c>
      <c r="D13" s="16"/>
      <c r="F13" s="359"/>
      <c r="G13" s="359"/>
      <c r="I13" s="359"/>
      <c r="AA13" s="454">
        <v>0</v>
      </c>
      <c r="AB13" s="2953" t="s">
        <v>2304</v>
      </c>
      <c r="AC13" s="2615"/>
      <c r="AF13" s="2616"/>
    </row>
    <row r="14" spans="2:35" ht="16" customHeight="1">
      <c r="C14" t="s">
        <v>976</v>
      </c>
      <c r="D14" s="16"/>
      <c r="F14" s="359"/>
      <c r="G14" s="359"/>
      <c r="I14" s="359"/>
      <c r="L14" s="5" t="s">
        <v>399</v>
      </c>
      <c r="M14" s="5"/>
      <c r="AA14" s="2953"/>
      <c r="AB14" s="2953"/>
      <c r="AC14" s="813"/>
      <c r="AF14" s="814"/>
    </row>
    <row r="15" spans="2:35" ht="16" customHeight="1">
      <c r="D15" s="31"/>
      <c r="E15" s="31"/>
      <c r="F15" s="99"/>
      <c r="G15" s="99"/>
      <c r="H15" s="31"/>
      <c r="I15" s="99"/>
      <c r="J15" s="31"/>
      <c r="K15" s="31"/>
      <c r="L15" s="949">
        <f>'Overall Assumptions'!$C$21</f>
        <v>0.04</v>
      </c>
      <c r="M15" t="s">
        <v>1368</v>
      </c>
      <c r="U15" t="s">
        <v>954</v>
      </c>
      <c r="V15" t="s">
        <v>906</v>
      </c>
      <c r="AA15" s="454">
        <f>SUM(AA31,AA35,AA47,AA51,AA59,AA63)</f>
        <v>19155.536143497739</v>
      </c>
      <c r="AB15" s="2953" t="s">
        <v>2306</v>
      </c>
      <c r="AC15" s="813"/>
      <c r="AF15" s="814"/>
      <c r="AH15" t="s">
        <v>955</v>
      </c>
    </row>
    <row r="16" spans="2:35" ht="17" customHeight="1" thickBot="1">
      <c r="D16" s="955"/>
      <c r="E16" s="955"/>
      <c r="F16" s="1084"/>
      <c r="G16" s="1084"/>
      <c r="H16" s="955"/>
      <c r="I16" s="1084"/>
      <c r="J16" s="955"/>
      <c r="K16" s="955"/>
      <c r="L16" s="950">
        <f>'Overall Assumptions'!$C$22</f>
        <v>80</v>
      </c>
      <c r="M16" t="s">
        <v>186</v>
      </c>
      <c r="T16" s="16"/>
      <c r="U16" s="7">
        <f>'Overall Assumptions'!$C$6</f>
        <v>100</v>
      </c>
      <c r="V16" s="578">
        <f>'Overall Assumptions'!$C$13</f>
        <v>0.3</v>
      </c>
      <c r="W16" s="578">
        <f>'Overall Assumptions'!$C$14</f>
        <v>0.1</v>
      </c>
      <c r="X16" s="578">
        <f>'Overall Assumptions'!$C$15</f>
        <v>0.3</v>
      </c>
      <c r="AA16" s="813"/>
      <c r="AB16" s="814"/>
      <c r="AH16" s="7">
        <f>'Overall Assumptions'!$C$23</f>
        <v>5</v>
      </c>
      <c r="AI16" t="s">
        <v>187</v>
      </c>
    </row>
    <row r="17" spans="1:37" ht="16" customHeight="1">
      <c r="B17" s="3784" t="s">
        <v>962</v>
      </c>
      <c r="C17" s="3785"/>
      <c r="D17" s="3785"/>
      <c r="E17" s="3785"/>
      <c r="F17" s="3785"/>
      <c r="G17" s="3785"/>
      <c r="H17" s="3785"/>
      <c r="I17" s="3785"/>
      <c r="J17" s="3785"/>
      <c r="K17" s="3786"/>
      <c r="L17" s="3790" t="s">
        <v>908</v>
      </c>
      <c r="M17" s="3791"/>
      <c r="N17" s="3791"/>
      <c r="O17" s="3791"/>
      <c r="P17" s="3792"/>
      <c r="Q17" s="3835" t="s">
        <v>2110</v>
      </c>
      <c r="R17" s="3836"/>
      <c r="S17" s="3837"/>
      <c r="T17" s="16"/>
      <c r="U17" s="3796" t="s">
        <v>731</v>
      </c>
      <c r="V17" s="3797"/>
      <c r="W17" s="3797"/>
      <c r="X17" s="3797"/>
      <c r="Y17" s="3797"/>
      <c r="Z17" s="3797"/>
      <c r="AA17" s="3797"/>
      <c r="AB17" s="3797"/>
      <c r="AC17" s="3797"/>
      <c r="AD17" s="3797"/>
      <c r="AE17" s="3798"/>
    </row>
    <row r="18" spans="1:37" ht="17" customHeight="1" thickBot="1">
      <c r="B18" s="3787"/>
      <c r="C18" s="3788"/>
      <c r="D18" s="3788"/>
      <c r="E18" s="3788"/>
      <c r="F18" s="3788"/>
      <c r="G18" s="3788"/>
      <c r="H18" s="3788"/>
      <c r="I18" s="3788"/>
      <c r="J18" s="3788"/>
      <c r="K18" s="3789"/>
      <c r="L18" s="3793"/>
      <c r="M18" s="3794"/>
      <c r="N18" s="3794"/>
      <c r="O18" s="3794"/>
      <c r="P18" s="3795"/>
      <c r="Q18" s="3838"/>
      <c r="R18" s="3839"/>
      <c r="S18" s="3840"/>
      <c r="T18" s="16"/>
      <c r="U18" s="3799"/>
      <c r="V18" s="3800"/>
      <c r="W18" s="3800"/>
      <c r="X18" s="3800"/>
      <c r="Y18" s="3800"/>
      <c r="Z18" s="3800"/>
      <c r="AA18" s="3800"/>
      <c r="AB18" s="3800"/>
      <c r="AC18" s="3800"/>
      <c r="AD18" s="3800"/>
      <c r="AE18" s="3801"/>
    </row>
    <row r="19" spans="1:37" s="576" customFormat="1" ht="21" customHeight="1">
      <c r="B19" s="3787"/>
      <c r="C19" s="3788"/>
      <c r="D19" s="3788"/>
      <c r="E19" s="3788"/>
      <c r="F19" s="3788"/>
      <c r="G19" s="3788"/>
      <c r="H19" s="3788"/>
      <c r="I19" s="3788"/>
      <c r="J19" s="3788"/>
      <c r="K19" s="3789"/>
      <c r="L19" s="3802" t="s">
        <v>189</v>
      </c>
      <c r="M19" s="3803"/>
      <c r="N19" s="3803"/>
      <c r="O19" s="3803"/>
      <c r="P19" s="3804"/>
      <c r="Q19" s="3838"/>
      <c r="R19" s="3839"/>
      <c r="S19" s="3840"/>
      <c r="T19" s="627"/>
      <c r="U19" s="3808" t="s">
        <v>905</v>
      </c>
      <c r="V19" s="3810" t="s">
        <v>815</v>
      </c>
      <c r="W19" s="3811"/>
      <c r="X19" s="3811"/>
      <c r="Y19" s="3811"/>
      <c r="Z19" s="3812"/>
      <c r="AA19" s="3816" t="s">
        <v>910</v>
      </c>
      <c r="AB19" s="3817"/>
      <c r="AC19" s="3820" t="s">
        <v>911</v>
      </c>
      <c r="AD19" s="3822" t="s">
        <v>1034</v>
      </c>
      <c r="AE19" s="3823"/>
      <c r="AF19" s="903"/>
      <c r="AG19" s="903"/>
      <c r="AH19" s="3761" t="s">
        <v>188</v>
      </c>
      <c r="AI19" s="3762"/>
      <c r="AJ19" s="3762"/>
      <c r="AK19" s="3763"/>
    </row>
    <row r="20" spans="1:37" s="576" customFormat="1" ht="21" customHeight="1" thickBot="1">
      <c r="B20" s="3787"/>
      <c r="C20" s="3788"/>
      <c r="D20" s="3788"/>
      <c r="E20" s="3788"/>
      <c r="F20" s="3788"/>
      <c r="G20" s="3788"/>
      <c r="H20" s="3788"/>
      <c r="I20" s="3788"/>
      <c r="J20" s="3788"/>
      <c r="K20" s="3789"/>
      <c r="L20" s="3805"/>
      <c r="M20" s="3806"/>
      <c r="N20" s="3806"/>
      <c r="O20" s="3806"/>
      <c r="P20" s="3807"/>
      <c r="Q20" s="3841"/>
      <c r="R20" s="3842"/>
      <c r="S20" s="3843"/>
      <c r="U20" s="3809"/>
      <c r="V20" s="3813"/>
      <c r="W20" s="3814"/>
      <c r="X20" s="3814"/>
      <c r="Y20" s="3814"/>
      <c r="Z20" s="3815"/>
      <c r="AA20" s="3818"/>
      <c r="AB20" s="3819"/>
      <c r="AC20" s="3821"/>
      <c r="AD20" s="3824"/>
      <c r="AE20" s="3825"/>
      <c r="AF20" s="903"/>
      <c r="AG20" s="903"/>
      <c r="AH20" s="3764"/>
      <c r="AI20" s="3765"/>
      <c r="AJ20" s="3765"/>
      <c r="AK20" s="3766"/>
    </row>
    <row r="21" spans="1:37" s="893" customFormat="1" ht="26" customHeight="1">
      <c r="B21" s="2617"/>
      <c r="C21" s="3767" t="s">
        <v>185</v>
      </c>
      <c r="D21" s="3769" t="s">
        <v>13</v>
      </c>
      <c r="E21" s="3769" t="s">
        <v>30</v>
      </c>
      <c r="F21" s="3904" t="s">
        <v>2335</v>
      </c>
      <c r="G21" s="3905"/>
      <c r="H21" s="3773" t="s">
        <v>12</v>
      </c>
      <c r="I21" s="3774"/>
      <c r="J21" s="1159" t="s">
        <v>63</v>
      </c>
      <c r="K21" s="1160"/>
      <c r="L21" s="3775" t="s">
        <v>66</v>
      </c>
      <c r="M21" s="3776"/>
      <c r="N21" s="3748" t="s">
        <v>180</v>
      </c>
      <c r="O21" s="3778" t="s">
        <v>806</v>
      </c>
      <c r="P21" s="3756" t="s">
        <v>807</v>
      </c>
      <c r="Q21" s="3855" t="s">
        <v>2111</v>
      </c>
      <c r="R21" s="3856" t="s">
        <v>2109</v>
      </c>
      <c r="S21" s="3857" t="s">
        <v>2113</v>
      </c>
      <c r="T21" s="1029"/>
      <c r="U21" s="3826" t="s">
        <v>907</v>
      </c>
      <c r="V21" s="3780" t="s">
        <v>816</v>
      </c>
      <c r="W21" s="3746" t="s">
        <v>818</v>
      </c>
      <c r="X21" s="3746" t="s">
        <v>817</v>
      </c>
      <c r="Y21" s="3783" t="s">
        <v>909</v>
      </c>
      <c r="Z21" s="3760" t="s">
        <v>812</v>
      </c>
      <c r="AA21" s="3826" t="s">
        <v>813</v>
      </c>
      <c r="AB21" s="3756" t="s">
        <v>814</v>
      </c>
      <c r="AC21" s="3821"/>
      <c r="AD21" s="3758" t="s">
        <v>210</v>
      </c>
      <c r="AE21" s="3760" t="s">
        <v>211</v>
      </c>
      <c r="AF21" s="2614"/>
      <c r="AG21" s="2614"/>
      <c r="AH21" s="909" t="s">
        <v>66</v>
      </c>
      <c r="AI21" s="895"/>
      <c r="AJ21" s="3748" t="s">
        <v>190</v>
      </c>
      <c r="AK21" s="3748" t="s">
        <v>181</v>
      </c>
    </row>
    <row r="22" spans="1:37" s="893" customFormat="1" ht="57" customHeight="1">
      <c r="B22" s="2618" t="s">
        <v>205</v>
      </c>
      <c r="C22" s="3768"/>
      <c r="D22" s="3770"/>
      <c r="E22" s="3770"/>
      <c r="F22" s="3559" t="s">
        <v>2309</v>
      </c>
      <c r="G22" s="3560" t="s">
        <v>2334</v>
      </c>
      <c r="H22" s="896" t="s">
        <v>15</v>
      </c>
      <c r="I22" s="1210" t="s">
        <v>14</v>
      </c>
      <c r="J22" s="1161" t="s">
        <v>69</v>
      </c>
      <c r="K22" s="925" t="s">
        <v>204</v>
      </c>
      <c r="L22" s="1158" t="s">
        <v>17</v>
      </c>
      <c r="M22" s="943" t="s">
        <v>18</v>
      </c>
      <c r="N22" s="3777"/>
      <c r="O22" s="3779"/>
      <c r="P22" s="3827"/>
      <c r="Q22" s="3855"/>
      <c r="R22" s="3856"/>
      <c r="S22" s="3858"/>
      <c r="T22" s="1030"/>
      <c r="U22" s="3781"/>
      <c r="V22" s="3781"/>
      <c r="W22" s="3782"/>
      <c r="X22" s="3782"/>
      <c r="Y22" s="3782"/>
      <c r="Z22" s="3757"/>
      <c r="AA22" s="3781"/>
      <c r="AB22" s="3757"/>
      <c r="AC22" s="3759"/>
      <c r="AD22" s="3759"/>
      <c r="AE22" s="3757"/>
      <c r="AF22" s="2614"/>
      <c r="AG22" s="893" t="s">
        <v>732</v>
      </c>
      <c r="AH22" s="2619" t="s">
        <v>17</v>
      </c>
      <c r="AI22" s="898" t="s">
        <v>18</v>
      </c>
      <c r="AJ22" s="3749"/>
      <c r="AK22" s="3749"/>
    </row>
    <row r="23" spans="1:37" ht="19" customHeight="1">
      <c r="B23" s="260">
        <v>1</v>
      </c>
      <c r="C23" s="3844" t="s">
        <v>201</v>
      </c>
      <c r="D23" s="3847" t="s">
        <v>131</v>
      </c>
      <c r="E23" s="12" t="s">
        <v>3</v>
      </c>
      <c r="F23" s="1172">
        <v>0</v>
      </c>
      <c r="G23" s="1172">
        <f>$E$118</f>
        <v>30</v>
      </c>
      <c r="H23" s="188">
        <f>F118</f>
        <v>10125</v>
      </c>
      <c r="I23" s="921" t="s">
        <v>407</v>
      </c>
      <c r="J23" s="377" t="str">
        <f>IF(K23=1,"Annual","Done every "&amp;K23&amp;" years")</f>
        <v>Annual</v>
      </c>
      <c r="K23" s="11">
        <f>$D$105</f>
        <v>1</v>
      </c>
      <c r="L23" s="1043">
        <f>$L$16/K23</f>
        <v>80</v>
      </c>
      <c r="M23" s="171">
        <f>$L$16/L23</f>
        <v>1</v>
      </c>
      <c r="N23" s="240">
        <f>$H23*(1-(1+$L$15)^-(L23*M23))/((1+$L$15)^M23-1)*(1+((1+$L$15)^M23-1))</f>
        <v>251829.07614717213</v>
      </c>
      <c r="O23" s="191">
        <f t="shared" ref="O23:O67" si="0">N23/(1+$L$15)*($L$15)/(1-(1+$L$15)^-$L$16)</f>
        <v>10124.999999999991</v>
      </c>
      <c r="P23" s="195">
        <f>SUM(O23:O26)</f>
        <v>10124.999999999991</v>
      </c>
      <c r="Q23" s="2859"/>
      <c r="R23" s="2859"/>
      <c r="S23" s="2859"/>
      <c r="T23" s="1031" t="s">
        <v>808</v>
      </c>
      <c r="U23" s="583">
        <f>O23/$U$16</f>
        <v>101.24999999999991</v>
      </c>
      <c r="V23" s="583">
        <f>IF($T23="L",SUM($U23:U23)*V$16,"")</f>
        <v>30.374999999999972</v>
      </c>
      <c r="W23" s="1474"/>
      <c r="X23" s="583">
        <f>IF($U23="","",SUM($U23:W23)*X$16)</f>
        <v>39.487499999999962</v>
      </c>
      <c r="Y23" s="240">
        <f t="shared" ref="Y23:Y29" si="1">IF($U23="","",SUM(V23:X23))</f>
        <v>69.862499999999926</v>
      </c>
      <c r="Z23" s="240">
        <f>SUM(V23:X26)</f>
        <v>69.862499999999926</v>
      </c>
      <c r="AA23" s="191">
        <f t="shared" ref="AA23:AA29" si="2">IF($U23="","",SUM(U23,Y23))</f>
        <v>171.11249999999984</v>
      </c>
      <c r="AB23" s="195">
        <f>SUM(AA23:AA26)</f>
        <v>171.11249999999984</v>
      </c>
      <c r="AC23" s="889">
        <f t="shared" ref="AC23:AC29" ca="1" si="3">IF(AA23="","",AA23/OFFSET($AB$23,AF23,0))</f>
        <v>1</v>
      </c>
      <c r="AD23" s="941"/>
      <c r="AE23" s="1063"/>
      <c r="AF23" s="587">
        <v>0</v>
      </c>
      <c r="AG23" s="816">
        <f ca="1">SUM(AC23:AC26)-1</f>
        <v>0</v>
      </c>
      <c r="AH23" s="13">
        <f>$AH$16/K23</f>
        <v>5</v>
      </c>
      <c r="AI23" s="13">
        <f>$AH$16/AH23</f>
        <v>1</v>
      </c>
      <c r="AJ23" s="14">
        <f>$H23*(1-(1+$L$15)^-(AH23*AI23))/((1+$L$15)^AI23-1)*(1+((1+$L$15)^AI23-1))</f>
        <v>46877.689145600671</v>
      </c>
      <c r="AK23" s="191">
        <f>SUM(AJ23:AJ26)</f>
        <v>46877.689145600671</v>
      </c>
    </row>
    <row r="24" spans="1:37" ht="19" customHeight="1">
      <c r="B24" s="261"/>
      <c r="C24" s="3845"/>
      <c r="D24" s="3848"/>
      <c r="E24" s="12" t="s">
        <v>308</v>
      </c>
      <c r="F24" s="1172"/>
      <c r="G24" s="1172"/>
      <c r="H24" s="188"/>
      <c r="I24" s="921"/>
      <c r="J24" s="377"/>
      <c r="K24" s="11"/>
      <c r="L24" s="1044"/>
      <c r="M24" s="944"/>
      <c r="N24" s="241"/>
      <c r="O24" s="342">
        <f t="shared" si="0"/>
        <v>0</v>
      </c>
      <c r="P24" s="193"/>
      <c r="Q24" s="2860">
        <v>0</v>
      </c>
      <c r="R24" s="2860">
        <v>0</v>
      </c>
      <c r="S24" s="2860">
        <v>0</v>
      </c>
      <c r="T24" s="1032" t="s">
        <v>809</v>
      </c>
      <c r="U24" s="585"/>
      <c r="V24" s="585" t="str">
        <f>IF($T24="L",SUM($U24:U24)*V$16,"")</f>
        <v/>
      </c>
      <c r="W24" s="1475"/>
      <c r="X24" s="585" t="str">
        <f>IF($U24="","",SUM($U24:W24)*X$16)</f>
        <v/>
      </c>
      <c r="Y24" s="242" t="str">
        <f t="shared" si="1"/>
        <v/>
      </c>
      <c r="Z24" s="242"/>
      <c r="AA24" s="342" t="str">
        <f t="shared" si="2"/>
        <v/>
      </c>
      <c r="AB24" s="193"/>
      <c r="AC24" s="890" t="str">
        <f t="shared" ca="1" si="3"/>
        <v/>
      </c>
      <c r="AD24" s="582"/>
      <c r="AE24" s="573"/>
      <c r="AF24" s="587">
        <f>AF23</f>
        <v>0</v>
      </c>
      <c r="AG24" s="587"/>
      <c r="AH24" s="13"/>
      <c r="AI24" s="13"/>
      <c r="AJ24" s="189"/>
      <c r="AK24" s="342"/>
    </row>
    <row r="25" spans="1:37" ht="16" customHeight="1">
      <c r="B25" s="261"/>
      <c r="C25" s="3845"/>
      <c r="D25" s="3848"/>
      <c r="E25" s="12" t="s">
        <v>4</v>
      </c>
      <c r="F25" s="1172"/>
      <c r="G25" s="1172"/>
      <c r="H25" s="188"/>
      <c r="I25" s="921"/>
      <c r="J25" s="377"/>
      <c r="K25" s="11"/>
      <c r="L25" s="1044"/>
      <c r="M25" s="944"/>
      <c r="N25" s="241"/>
      <c r="O25" s="342">
        <f t="shared" si="0"/>
        <v>0</v>
      </c>
      <c r="P25" s="193"/>
      <c r="Q25" s="2860"/>
      <c r="R25" s="2860"/>
      <c r="S25" s="2860"/>
      <c r="T25" s="1032" t="s">
        <v>810</v>
      </c>
      <c r="U25" s="585"/>
      <c r="V25" s="585" t="str">
        <f>IF($T25="L",SUM($U25:U25)*V$16,"")</f>
        <v/>
      </c>
      <c r="W25" s="1475"/>
      <c r="X25" s="585" t="str">
        <f>IF($U25="","",SUM($U25:W25)*X$16)</f>
        <v/>
      </c>
      <c r="Y25" s="242" t="str">
        <f t="shared" si="1"/>
        <v/>
      </c>
      <c r="Z25" s="242"/>
      <c r="AA25" s="342" t="str">
        <f t="shared" si="2"/>
        <v/>
      </c>
      <c r="AB25" s="193"/>
      <c r="AC25" s="890" t="str">
        <f t="shared" ca="1" si="3"/>
        <v/>
      </c>
      <c r="AD25" s="582"/>
      <c r="AE25" s="573"/>
      <c r="AF25" s="587">
        <f>AF24</f>
        <v>0</v>
      </c>
      <c r="AG25" s="587"/>
      <c r="AH25" s="13"/>
      <c r="AI25" s="13"/>
      <c r="AJ25" s="189"/>
      <c r="AK25" s="342"/>
    </row>
    <row r="26" spans="1:37" ht="19" customHeight="1">
      <c r="B26" s="923"/>
      <c r="C26" s="3846"/>
      <c r="D26" s="3849"/>
      <c r="E26" s="12" t="s">
        <v>21</v>
      </c>
      <c r="F26" s="1172"/>
      <c r="G26" s="1172"/>
      <c r="H26" s="188"/>
      <c r="I26" s="921"/>
      <c r="J26" s="377"/>
      <c r="K26" s="11"/>
      <c r="L26" s="1045"/>
      <c r="M26" s="945"/>
      <c r="N26" s="243"/>
      <c r="O26" s="343">
        <f t="shared" si="0"/>
        <v>0</v>
      </c>
      <c r="P26" s="196"/>
      <c r="Q26" s="2861"/>
      <c r="R26" s="2861"/>
      <c r="S26" s="2861"/>
      <c r="T26" s="1033" t="s">
        <v>811</v>
      </c>
      <c r="U26" s="891"/>
      <c r="V26" s="891" t="str">
        <f>IF($T26="L",SUM($U26:U26)*V$16,"")</f>
        <v/>
      </c>
      <c r="W26" s="1478"/>
      <c r="X26" s="891" t="str">
        <f>IF($U26="","",SUM($U26:W26)*X$16)</f>
        <v/>
      </c>
      <c r="Y26" s="244" t="str">
        <f t="shared" si="1"/>
        <v/>
      </c>
      <c r="Z26" s="244"/>
      <c r="AA26" s="343" t="str">
        <f t="shared" si="2"/>
        <v/>
      </c>
      <c r="AB26" s="196"/>
      <c r="AC26" s="892" t="str">
        <f t="shared" ca="1" si="3"/>
        <v/>
      </c>
      <c r="AD26" s="942"/>
      <c r="AE26" s="1065"/>
      <c r="AF26" s="587">
        <f>AF25</f>
        <v>0</v>
      </c>
      <c r="AG26" s="587"/>
      <c r="AH26" s="13"/>
      <c r="AI26" s="13"/>
      <c r="AJ26" s="189"/>
      <c r="AK26" s="342"/>
    </row>
    <row r="27" spans="1:37" ht="18" customHeight="1">
      <c r="A27" s="390"/>
      <c r="B27" s="710">
        <f>B23+1.1</f>
        <v>2.1</v>
      </c>
      <c r="C27" s="2609" t="s">
        <v>1099</v>
      </c>
      <c r="D27" s="3850" t="s">
        <v>1980</v>
      </c>
      <c r="E27" s="373" t="s">
        <v>3</v>
      </c>
      <c r="F27" s="1176"/>
      <c r="G27" s="1176">
        <f>$D$182</f>
        <v>20.847035376183356</v>
      </c>
      <c r="H27" s="370">
        <f>H219</f>
        <v>4690.582959641255</v>
      </c>
      <c r="I27" s="613" t="s">
        <v>475</v>
      </c>
      <c r="J27" s="375" t="str">
        <f>IF(K27=1,"Annual","Done every "&amp;K27&amp;" years")</f>
        <v>Annual</v>
      </c>
      <c r="K27" s="371">
        <f>L219</f>
        <v>1</v>
      </c>
      <c r="L27" s="386">
        <f t="shared" ref="L27:M29" si="4">$L$16/K27</f>
        <v>80</v>
      </c>
      <c r="M27" s="371">
        <f t="shared" si="4"/>
        <v>1</v>
      </c>
      <c r="N27" s="370">
        <f>$H27*(1-(1+$L$15)^-(L27*M27))/((1+$L$15)^M27-1)*(1+((1+$L$15)^M27-1))</f>
        <v>116664.21464870378</v>
      </c>
      <c r="O27" s="640">
        <f t="shared" si="0"/>
        <v>4690.5829596412514</v>
      </c>
      <c r="P27" s="980">
        <f>SUM(O27:O30)</f>
        <v>11861.285500747374</v>
      </c>
      <c r="Q27" s="3049"/>
      <c r="R27" s="3049"/>
      <c r="S27" s="3049"/>
      <c r="T27" s="1034" t="s">
        <v>808</v>
      </c>
      <c r="U27" s="642">
        <f t="shared" ref="U27:U33" si="5">O27/$U$16</f>
        <v>46.905829596412516</v>
      </c>
      <c r="V27" s="644">
        <f>IF($T27="L",SUM($U27:U27)*V$16,"")</f>
        <v>14.071748878923755</v>
      </c>
      <c r="W27" s="644">
        <f>IF($U27="","",IF(OR($T27="L",$T27="T",$T27="C"),SUM($U27:V27)*W$16,""))</f>
        <v>6.0977578475336278</v>
      </c>
      <c r="X27" s="644">
        <f>IF($U27="","",SUM($U27:W27)*X$16)</f>
        <v>20.12260089686097</v>
      </c>
      <c r="Y27" s="388">
        <f t="shared" si="1"/>
        <v>40.292107623318351</v>
      </c>
      <c r="Z27" s="392">
        <f>SUM(V27:X30)</f>
        <v>71.126128550074682</v>
      </c>
      <c r="AA27" s="734">
        <f t="shared" si="2"/>
        <v>87.197937219730875</v>
      </c>
      <c r="AB27" s="392">
        <f>SUM(AA27:AA30)</f>
        <v>189.73898355754841</v>
      </c>
      <c r="AC27" s="888">
        <f t="shared" ca="1" si="3"/>
        <v>0.45956785255615895</v>
      </c>
      <c r="AD27" s="641"/>
      <c r="AE27" s="1066"/>
      <c r="AF27" s="587">
        <f>AF23+4</f>
        <v>4</v>
      </c>
      <c r="AG27" s="816">
        <f ca="1">SUM(AC27:AC30)-1</f>
        <v>0</v>
      </c>
      <c r="AH27" s="387">
        <f>$AH$16/K27</f>
        <v>5</v>
      </c>
      <c r="AI27" s="387">
        <f>$AH$16/AH27</f>
        <v>1</v>
      </c>
      <c r="AJ27" s="370">
        <f>$H27*(1-(1+$L$15)^-(AH27*AI27))/((1+$L$15)^AI27-1)*(1+((1+$L$15)^AI27-1))</f>
        <v>21716.907643823633</v>
      </c>
      <c r="AK27" s="980">
        <f>SUM(AJ27:AJ30)</f>
        <v>54916.509093457404</v>
      </c>
    </row>
    <row r="28" spans="1:37" ht="19" customHeight="1">
      <c r="A28" s="390"/>
      <c r="B28" s="710"/>
      <c r="C28" s="2610" t="s">
        <v>749</v>
      </c>
      <c r="D28" s="3851"/>
      <c r="E28" s="373" t="s">
        <v>308</v>
      </c>
      <c r="F28" s="1176">
        <f>D206</f>
        <v>1</v>
      </c>
      <c r="G28" s="1176">
        <f>D205</f>
        <v>10.423517688091678</v>
      </c>
      <c r="H28" s="370">
        <f>H220</f>
        <v>2970.7025411061281</v>
      </c>
      <c r="I28" s="613" t="s">
        <v>797</v>
      </c>
      <c r="J28" s="375" t="str">
        <f>IF(K28=1,"Annual","Done every "&amp;K28&amp;" years")</f>
        <v>Annual</v>
      </c>
      <c r="K28" s="371">
        <f>L220</f>
        <v>1</v>
      </c>
      <c r="L28" s="386">
        <f t="shared" si="4"/>
        <v>80</v>
      </c>
      <c r="M28" s="371">
        <f t="shared" si="4"/>
        <v>1</v>
      </c>
      <c r="N28" s="370">
        <f>$H28*(1-(1+$L$15)^-(L28*M28))/((1+$L$15)^M28-1)*(1+((1+$L$15)^M28-1))</f>
        <v>73887.335944179067</v>
      </c>
      <c r="O28" s="640">
        <f t="shared" si="0"/>
        <v>2970.7025411061259</v>
      </c>
      <c r="P28" s="981"/>
      <c r="Q28" s="2956">
        <f>1*(1-(1+$L$15)^-(L28*M28))/((1+$L$15)^M28-1)*(1+((1+$L$15)^M28-1))</f>
        <v>24.872007520708362</v>
      </c>
      <c r="R28" s="2956">
        <f>Q28/(1+$L$15)*($L$15)/(1-(1+$L$15)^-$L$16)</f>
        <v>0.99999999999999911</v>
      </c>
      <c r="S28" s="2956">
        <f>F28*R28</f>
        <v>0.99999999999999911</v>
      </c>
      <c r="T28" s="1034" t="s">
        <v>809</v>
      </c>
      <c r="U28" s="639">
        <f t="shared" si="5"/>
        <v>29.707025411061259</v>
      </c>
      <c r="V28" s="644" t="str">
        <f>IF($T28="L",SUM($U28:U28)*V$16,"")</f>
        <v/>
      </c>
      <c r="W28" s="644">
        <f>IF($U28="","",IF(OR($T28="L",$T28="T",$T28="C"),SUM($U28:V28)*W$16,""))</f>
        <v>2.9707025411061263</v>
      </c>
      <c r="X28" s="644">
        <f>IF($U28="","",SUM($U28:W28)*X$16)</f>
        <v>9.8033183856502166</v>
      </c>
      <c r="Y28" s="394">
        <f t="shared" si="1"/>
        <v>12.774020926756343</v>
      </c>
      <c r="Z28" s="392"/>
      <c r="AA28" s="734">
        <f t="shared" si="2"/>
        <v>42.481046337817602</v>
      </c>
      <c r="AB28" s="392"/>
      <c r="AC28" s="729">
        <f t="shared" ca="1" si="3"/>
        <v>0.22389203073248767</v>
      </c>
      <c r="AD28" s="641"/>
      <c r="AE28" s="1066"/>
      <c r="AF28" s="587">
        <f>AF27</f>
        <v>4</v>
      </c>
      <c r="AG28" s="587"/>
      <c r="AH28" s="387">
        <f>$AH$16/K28</f>
        <v>5</v>
      </c>
      <c r="AI28" s="387">
        <f>$AH$16/AH28</f>
        <v>1</v>
      </c>
      <c r="AJ28" s="370">
        <f>$H28*(1-(1+$L$15)^-(AH28*AI28))/((1+$L$15)^AI28-1)*(1+((1+$L$15)^AI28-1))</f>
        <v>13754.04150775497</v>
      </c>
      <c r="AK28" s="981"/>
    </row>
    <row r="29" spans="1:37" ht="19" customHeight="1">
      <c r="A29" s="390"/>
      <c r="B29" s="710"/>
      <c r="C29" s="2610"/>
      <c r="D29" s="3851"/>
      <c r="E29" s="373" t="s">
        <v>4</v>
      </c>
      <c r="F29" s="1176"/>
      <c r="G29" s="1176"/>
      <c r="H29" s="370">
        <f>H221</f>
        <v>4200</v>
      </c>
      <c r="I29" s="613" t="s">
        <v>70</v>
      </c>
      <c r="J29" s="375" t="str">
        <f>IF(K29=1,"Annual","Done every "&amp;K29&amp;" years")</f>
        <v>Annual</v>
      </c>
      <c r="K29" s="371">
        <f>L221</f>
        <v>1</v>
      </c>
      <c r="L29" s="386">
        <f t="shared" si="4"/>
        <v>80</v>
      </c>
      <c r="M29" s="371">
        <f t="shared" si="4"/>
        <v>1</v>
      </c>
      <c r="N29" s="370">
        <f>$H29*(1-(1+$L$15)^-(L29*M29))/((1+$L$15)^M29-1)*(1+((1+$L$15)^M29-1))</f>
        <v>104462.43158697512</v>
      </c>
      <c r="O29" s="640">
        <f t="shared" si="0"/>
        <v>4199.9999999999964</v>
      </c>
      <c r="P29" s="982"/>
      <c r="Q29" s="2956"/>
      <c r="R29" s="2956"/>
      <c r="S29" s="2956"/>
      <c r="T29" s="1034" t="s">
        <v>810</v>
      </c>
      <c r="U29" s="639">
        <f t="shared" si="5"/>
        <v>41.999999999999964</v>
      </c>
      <c r="V29" s="644" t="str">
        <f>IF($T29="L",SUM($U29:U29)*V$16,"")</f>
        <v/>
      </c>
      <c r="W29" s="644">
        <f>IF($U29="","",IF(OR($T29="L",$T29="T",$T29="C"),SUM($U29:V29)*W$16,""))</f>
        <v>4.1999999999999966</v>
      </c>
      <c r="X29" s="644">
        <f>IF($U29="","",SUM($U29:W29)*X$16)</f>
        <v>13.859999999999987</v>
      </c>
      <c r="Y29" s="394">
        <f t="shared" si="1"/>
        <v>18.059999999999985</v>
      </c>
      <c r="Z29" s="393"/>
      <c r="AA29" s="735">
        <f t="shared" si="2"/>
        <v>60.059999999999945</v>
      </c>
      <c r="AB29" s="393"/>
      <c r="AC29" s="729">
        <f t="shared" ca="1" si="3"/>
        <v>0.31654011671135346</v>
      </c>
      <c r="AD29" s="643"/>
      <c r="AE29" s="1066"/>
      <c r="AF29" s="587">
        <f>AF28</f>
        <v>4</v>
      </c>
      <c r="AG29" s="587"/>
      <c r="AH29" s="387">
        <f>$AH$16/K29</f>
        <v>5</v>
      </c>
      <c r="AI29" s="387">
        <f>$AH$16/AH29</f>
        <v>1</v>
      </c>
      <c r="AJ29" s="370">
        <f>$H29*(1-(1+$L$15)^-(AH29*AI29))/((1+$L$15)^AI29-1)*(1+((1+$L$15)^AI29-1))</f>
        <v>19445.559941878797</v>
      </c>
      <c r="AK29" s="982"/>
    </row>
    <row r="30" spans="1:37" ht="19" customHeight="1">
      <c r="A30" s="390"/>
      <c r="B30" s="710"/>
      <c r="C30" s="2610"/>
      <c r="D30" s="3851"/>
      <c r="E30" s="373" t="s">
        <v>21</v>
      </c>
      <c r="F30" s="1176"/>
      <c r="G30" s="1176"/>
      <c r="H30" s="370"/>
      <c r="I30" s="1086"/>
      <c r="J30" s="375"/>
      <c r="K30" s="371"/>
      <c r="L30" s="386"/>
      <c r="M30" s="371"/>
      <c r="N30" s="370"/>
      <c r="O30" s="640">
        <f t="shared" si="0"/>
        <v>0</v>
      </c>
      <c r="P30" s="982"/>
      <c r="Q30" s="2956"/>
      <c r="R30" s="2956"/>
      <c r="S30" s="2956"/>
      <c r="T30" s="1034" t="s">
        <v>811</v>
      </c>
      <c r="U30" s="639">
        <f t="shared" si="5"/>
        <v>0</v>
      </c>
      <c r="V30" s="644" t="str">
        <f>IF($T30="L",SUM($U30:U30)*V$16,"")</f>
        <v/>
      </c>
      <c r="W30" s="644" t="str">
        <f>IF($U30="","",IF(OR($T30="L",$T30="T",$T30="C"),SUM($U30:V30)*W$16,""))</f>
        <v/>
      </c>
      <c r="X30" s="644">
        <f>IF($U30="","",SUM($U30:W30)*X$16)</f>
        <v>0</v>
      </c>
      <c r="Y30" s="394"/>
      <c r="Z30" s="393"/>
      <c r="AA30" s="735"/>
      <c r="AB30" s="393"/>
      <c r="AC30" s="729"/>
      <c r="AD30" s="643"/>
      <c r="AE30" s="1066"/>
      <c r="AF30" s="587">
        <f>AF29</f>
        <v>4</v>
      </c>
      <c r="AG30" s="587"/>
      <c r="AH30" s="387"/>
      <c r="AI30" s="387"/>
      <c r="AJ30" s="370"/>
      <c r="AK30" s="982"/>
    </row>
    <row r="31" spans="1:37" ht="18" customHeight="1">
      <c r="A31" s="676"/>
      <c r="B31" s="711">
        <f>B27+0.1</f>
        <v>2.2000000000000002</v>
      </c>
      <c r="C31" s="2604" t="s">
        <v>202</v>
      </c>
      <c r="D31" s="3852" t="str">
        <f>D27</f>
        <v>Surveying area and collecting disease samples by foot
(susceptible habitat layer)</v>
      </c>
      <c r="E31" s="685" t="s">
        <v>3</v>
      </c>
      <c r="F31" s="1177"/>
      <c r="G31" s="1177">
        <f>$E$182</f>
        <v>24.833084205281516</v>
      </c>
      <c r="H31" s="665">
        <f>I219</f>
        <v>5587.4439461883412</v>
      </c>
      <c r="I31" s="818" t="str">
        <f>I27</f>
        <v xml:space="preserve">Labour to get tracking done, cameras, sandpads and collars. </v>
      </c>
      <c r="J31" s="666" t="str">
        <f>IF(K31=1,"Annual","Done every "&amp;K31&amp;" years")</f>
        <v>Annual</v>
      </c>
      <c r="K31" s="667">
        <f>K27</f>
        <v>1</v>
      </c>
      <c r="L31" s="671">
        <f t="shared" ref="L31:M33" si="6">$L$16/K31</f>
        <v>80</v>
      </c>
      <c r="M31" s="880">
        <f t="shared" si="6"/>
        <v>1</v>
      </c>
      <c r="N31" s="883">
        <f>$H31*(1-(1+$L$15)^-(L31*M31))/((1+$L$15)^M31-1)*(1+((1+$L$15)^M31-1))</f>
        <v>138970.94785113283</v>
      </c>
      <c r="O31" s="673">
        <f t="shared" si="0"/>
        <v>5587.4439461883367</v>
      </c>
      <c r="P31" s="983">
        <f>SUM(O31:O34)</f>
        <v>14166.158445440946</v>
      </c>
      <c r="Q31" s="3050"/>
      <c r="R31" s="3050"/>
      <c r="S31" s="3050"/>
      <c r="T31" s="1035" t="s">
        <v>808</v>
      </c>
      <c r="U31" s="675">
        <f t="shared" si="5"/>
        <v>55.87443946188337</v>
      </c>
      <c r="V31" s="675">
        <f>IF($T31="L",SUM($U31:U31)*V$16,"")</f>
        <v>16.762331838565011</v>
      </c>
      <c r="W31" s="675">
        <f>IF($U31="","",IF(OR($T31="L",$T31="T",$T31="C"),SUM($U31:V31)*W$16,""))</f>
        <v>7.2636771300448375</v>
      </c>
      <c r="X31" s="675">
        <f>IF($U31="","",SUM($U31:W31)*X$16)</f>
        <v>23.970134529147963</v>
      </c>
      <c r="Y31" s="670">
        <f>IF($U31="","",SUM(V31:X31))</f>
        <v>47.996143497757814</v>
      </c>
      <c r="Z31" s="716">
        <f>SUM(V31:X34)</f>
        <v>84.88461584454403</v>
      </c>
      <c r="AA31" s="736">
        <f>IF($U31="","",SUM(U31,Y31))</f>
        <v>103.87058295964118</v>
      </c>
      <c r="AB31" s="716">
        <f>SUM(AA31:AA34)</f>
        <v>226.54620029895349</v>
      </c>
      <c r="AC31" s="730">
        <f ca="1">IF(AA31="","",AA31/OFFSET($AB$23,AF31,0))</f>
        <v>0.45849624854697246</v>
      </c>
      <c r="AD31" s="674"/>
      <c r="AE31" s="1067"/>
      <c r="AF31" s="587">
        <f>AF27+4</f>
        <v>8</v>
      </c>
      <c r="AG31" s="816">
        <f ca="1">SUM(AC31:AC34)-1</f>
        <v>0</v>
      </c>
      <c r="AH31" s="669">
        <f>$AH$16/K31</f>
        <v>5</v>
      </c>
      <c r="AI31" s="669">
        <f>$AH$16/AH31</f>
        <v>1</v>
      </c>
      <c r="AJ31" s="665">
        <f>$H31*(1-(1+$L$15)^-(AH31*AI31))/((1+$L$15)^AI31-1)*(1+((1+$L$15)^AI31-1))</f>
        <v>25869.280042260285</v>
      </c>
      <c r="AK31" s="983">
        <f>SUM(AJ31:AJ34)</f>
        <v>65587.829332613008</v>
      </c>
    </row>
    <row r="32" spans="1:37" ht="18" customHeight="1">
      <c r="A32" s="676"/>
      <c r="B32" s="712"/>
      <c r="C32" s="2605" t="s">
        <v>779</v>
      </c>
      <c r="D32" s="3853"/>
      <c r="E32" s="685" t="s">
        <v>308</v>
      </c>
      <c r="F32" s="1177">
        <f>E206</f>
        <v>1</v>
      </c>
      <c r="G32" s="1177">
        <f>E205</f>
        <v>12.416542102640758</v>
      </c>
      <c r="H32" s="665">
        <f>I220</f>
        <v>3538.714499252616</v>
      </c>
      <c r="I32" s="818" t="str">
        <f>I28</f>
        <v>Transport at site</v>
      </c>
      <c r="J32" s="666" t="str">
        <f>IF(K32=1,"Annual","Done every "&amp;K32&amp;" years")</f>
        <v>Annual</v>
      </c>
      <c r="K32" s="667">
        <f>K28</f>
        <v>1</v>
      </c>
      <c r="L32" s="668">
        <f t="shared" si="6"/>
        <v>80</v>
      </c>
      <c r="M32" s="667">
        <f t="shared" si="6"/>
        <v>1</v>
      </c>
      <c r="N32" s="665">
        <f>$H32*(1-(1+$L$15)^-(L32*M32))/((1+$L$15)^M32-1)*(1+((1+$L$15)^M32-1))</f>
        <v>88014.933639050781</v>
      </c>
      <c r="O32" s="680">
        <f t="shared" si="0"/>
        <v>3538.7144992526128</v>
      </c>
      <c r="P32" s="984"/>
      <c r="Q32" s="3051">
        <f>1*(1-(1+$L$15)^-(L32*M32))/((1+$L$15)^M32-1)*(1+((1+$L$15)^M32-1))</f>
        <v>24.872007520708362</v>
      </c>
      <c r="R32" s="3051">
        <f>Q32/(1+$L$15)*($L$15)/(1-(1+$L$15)^-$L$16)</f>
        <v>0.99999999999999911</v>
      </c>
      <c r="S32" s="3051">
        <f>F32*R32</f>
        <v>0.99999999999999911</v>
      </c>
      <c r="T32" s="1036" t="s">
        <v>809</v>
      </c>
      <c r="U32" s="675">
        <f t="shared" si="5"/>
        <v>35.387144992526125</v>
      </c>
      <c r="V32" s="682" t="str">
        <f>IF($T32="L",SUM($U32:U32)*V$16,"")</f>
        <v/>
      </c>
      <c r="W32" s="682">
        <f>IF($U32="","",IF(OR($T32="L",$T32="T",$T32="C"),SUM($U32:V32)*W$16,""))</f>
        <v>3.5387144992526127</v>
      </c>
      <c r="X32" s="682">
        <f>IF($U32="","",SUM($U32:W32)*X$16)</f>
        <v>11.677757847533622</v>
      </c>
      <c r="Y32" s="679">
        <f>IF($U32="","",SUM(V32:X32))</f>
        <v>15.216472346786235</v>
      </c>
      <c r="Z32" s="720"/>
      <c r="AA32" s="737">
        <f>IF($U32="","",SUM(U32,Y32))</f>
        <v>50.603617339312358</v>
      </c>
      <c r="AB32" s="720"/>
      <c r="AC32" s="730">
        <f ca="1">IF(AA32="","",AA32/OFFSET($AB$23,AF32,0))</f>
        <v>0.22336996724083266</v>
      </c>
      <c r="AD32" s="681"/>
      <c r="AE32" s="1067"/>
      <c r="AF32" s="587">
        <f>AF31</f>
        <v>8</v>
      </c>
      <c r="AG32" s="587"/>
      <c r="AH32" s="669">
        <f>$AH$16/K32</f>
        <v>5</v>
      </c>
      <c r="AI32" s="669">
        <f>$AH$16/AH32</f>
        <v>1</v>
      </c>
      <c r="AJ32" s="665">
        <f>$H32*(1-(1+$L$15)^-(AH32*AI32))/((1+$L$15)^AI32-1)*(1+((1+$L$15)^AI32-1))</f>
        <v>16383.877360098179</v>
      </c>
      <c r="AK32" s="984"/>
    </row>
    <row r="33" spans="1:37" ht="18" customHeight="1">
      <c r="A33" s="676"/>
      <c r="B33" s="712"/>
      <c r="C33" s="2605"/>
      <c r="D33" s="3853"/>
      <c r="E33" s="685" t="s">
        <v>4</v>
      </c>
      <c r="F33" s="1177"/>
      <c r="G33" s="1177"/>
      <c r="H33" s="665">
        <f>I221</f>
        <v>5040</v>
      </c>
      <c r="I33" s="818" t="str">
        <f>I29</f>
        <v>Accomodation</v>
      </c>
      <c r="J33" s="666" t="str">
        <f>IF(K33=1,"Annual","Done every "&amp;K33&amp;" years")</f>
        <v>Annual</v>
      </c>
      <c r="K33" s="667">
        <f>K29</f>
        <v>1</v>
      </c>
      <c r="L33" s="668">
        <f t="shared" si="6"/>
        <v>80</v>
      </c>
      <c r="M33" s="667">
        <f t="shared" si="6"/>
        <v>1</v>
      </c>
      <c r="N33" s="665">
        <f>$H33*(1-(1+$L$15)^-(L33*M33))/((1+$L$15)^M33-1)*(1+((1+$L$15)^M33-1))</f>
        <v>125354.91790437014</v>
      </c>
      <c r="O33" s="680">
        <f t="shared" si="0"/>
        <v>5039.9999999999964</v>
      </c>
      <c r="P33" s="985"/>
      <c r="Q33" s="3051"/>
      <c r="R33" s="3051"/>
      <c r="S33" s="3051"/>
      <c r="T33" s="1036" t="s">
        <v>810</v>
      </c>
      <c r="U33" s="675">
        <f t="shared" si="5"/>
        <v>50.399999999999963</v>
      </c>
      <c r="V33" s="684" t="str">
        <f>IF($T33="L",SUM($U33:U33)*V$16,"")</f>
        <v/>
      </c>
      <c r="W33" s="684">
        <f>IF($U33="","",IF(OR($T33="L",$T33="T",$T33="C"),SUM($U33:V33)*W$16,""))</f>
        <v>5.0399999999999965</v>
      </c>
      <c r="X33" s="684">
        <f>IF($U33="","",SUM($U33:W33)*X$16)</f>
        <v>16.631999999999987</v>
      </c>
      <c r="Y33" s="1024">
        <f>IF($U33="","",SUM(V33:X33))</f>
        <v>21.671999999999983</v>
      </c>
      <c r="Z33" s="721"/>
      <c r="AA33" s="738">
        <f>IF($U33="","",SUM(U33,Y33))</f>
        <v>72.071999999999946</v>
      </c>
      <c r="AB33" s="721"/>
      <c r="AC33" s="730">
        <f ca="1">IF(AA33="","",AA33/OFFSET($AB$23,AF33,0))</f>
        <v>0.31813378421219485</v>
      </c>
      <c r="AD33" s="683"/>
      <c r="AE33" s="1067"/>
      <c r="AF33" s="587">
        <f>AF32</f>
        <v>8</v>
      </c>
      <c r="AG33" s="587"/>
      <c r="AH33" s="669">
        <f>$AH$16/K33</f>
        <v>5</v>
      </c>
      <c r="AI33" s="669">
        <f>$AH$16/AH33</f>
        <v>1</v>
      </c>
      <c r="AJ33" s="665">
        <f>$H33*(1-(1+$L$15)^-(AH33*AI33))/((1+$L$15)^AI33-1)*(1+((1+$L$15)^AI33-1))</f>
        <v>23334.671930254553</v>
      </c>
      <c r="AK33" s="985"/>
    </row>
    <row r="34" spans="1:37" ht="18" customHeight="1">
      <c r="A34" s="676"/>
      <c r="B34" s="712"/>
      <c r="C34" s="2605"/>
      <c r="D34" s="3854"/>
      <c r="E34" s="1082" t="s">
        <v>21</v>
      </c>
      <c r="F34" s="1177"/>
      <c r="G34" s="1177"/>
      <c r="H34" s="665"/>
      <c r="I34" s="818"/>
      <c r="J34" s="666"/>
      <c r="K34" s="667"/>
      <c r="L34" s="668"/>
      <c r="M34" s="667"/>
      <c r="N34" s="665"/>
      <c r="O34" s="680">
        <f t="shared" si="0"/>
        <v>0</v>
      </c>
      <c r="P34" s="985"/>
      <c r="Q34" s="3051"/>
      <c r="R34" s="3051"/>
      <c r="S34" s="3051"/>
      <c r="T34" s="1036" t="s">
        <v>811</v>
      </c>
      <c r="U34" s="675"/>
      <c r="V34" s="684" t="str">
        <f>IF($T34="L",SUM($U34:U34)*V$16,"")</f>
        <v/>
      </c>
      <c r="W34" s="684" t="str">
        <f>IF($U34="","",IF(OR($T34="L",$T34="T",$T34="C"),SUM($U34:V34)*W$16,""))</f>
        <v/>
      </c>
      <c r="X34" s="684" t="str">
        <f>IF($U34="","",SUM($U34:W34)*X$16)</f>
        <v/>
      </c>
      <c r="Y34" s="1024"/>
      <c r="Z34" s="721"/>
      <c r="AA34" s="738"/>
      <c r="AB34" s="721"/>
      <c r="AC34" s="730"/>
      <c r="AD34" s="683"/>
      <c r="AE34" s="1067"/>
      <c r="AF34" s="587">
        <f>AF33</f>
        <v>8</v>
      </c>
      <c r="AG34" s="587"/>
      <c r="AH34" s="669"/>
      <c r="AI34" s="669"/>
      <c r="AJ34" s="665"/>
      <c r="AK34" s="985"/>
    </row>
    <row r="35" spans="1:37" ht="18" customHeight="1">
      <c r="A35" s="656"/>
      <c r="B35" s="713">
        <f>B31+0.1</f>
        <v>2.3000000000000003</v>
      </c>
      <c r="C35" s="2606" t="s">
        <v>202</v>
      </c>
      <c r="D35" s="3852" t="str">
        <f>D31</f>
        <v>Surveying area and collecting disease samples by foot
(susceptible habitat layer)</v>
      </c>
      <c r="E35" s="686" t="s">
        <v>3</v>
      </c>
      <c r="F35" s="1178"/>
      <c r="G35" s="1178">
        <f>$F$182</f>
        <v>32.805181863477827</v>
      </c>
      <c r="H35" s="645">
        <f>J219</f>
        <v>7381.1659192825109</v>
      </c>
      <c r="I35" s="820" t="s">
        <v>475</v>
      </c>
      <c r="J35" s="646" t="str">
        <f>IF(K35=1,"Annual","Done every "&amp;K35&amp;" years")</f>
        <v>Annual</v>
      </c>
      <c r="K35" s="647">
        <f>K31</f>
        <v>1</v>
      </c>
      <c r="L35" s="651">
        <f t="shared" ref="L35:M37" si="7">$L$16/K35</f>
        <v>80</v>
      </c>
      <c r="M35" s="881">
        <f t="shared" si="7"/>
        <v>1</v>
      </c>
      <c r="N35" s="884">
        <f>$H35*(1-(1+$L$15)^-(L35*M35))/((1+$L$15)^M35-1)*(1+((1+$L$15)^M35-1))</f>
        <v>183584.41425599085</v>
      </c>
      <c r="O35" s="653">
        <f t="shared" si="0"/>
        <v>7381.1659192825045</v>
      </c>
      <c r="P35" s="931">
        <f>SUM(O35:O38)</f>
        <v>18775.904334828083</v>
      </c>
      <c r="Q35" s="3052"/>
      <c r="R35" s="3052"/>
      <c r="S35" s="3052"/>
      <c r="T35" s="1037" t="s">
        <v>808</v>
      </c>
      <c r="U35" s="655">
        <f>O35/$U$16</f>
        <v>73.811659192825047</v>
      </c>
      <c r="V35" s="655">
        <f>IF($T35="L",SUM($U35:U35)*V$16,"")</f>
        <v>22.143497757847513</v>
      </c>
      <c r="W35" s="655">
        <f>IF($U35="","",IF(OR($T35="L",$T35="T",$T35="C"),SUM($U35:V35)*W$16,""))</f>
        <v>9.595515695067256</v>
      </c>
      <c r="X35" s="655">
        <f>IF($U35="","",SUM($U35:W35)*X$16)</f>
        <v>31.665201793721941</v>
      </c>
      <c r="Y35" s="650">
        <f>IF($U35="","",SUM(V35:X35))</f>
        <v>63.40421524663671</v>
      </c>
      <c r="Z35" s="717">
        <f>SUM(V35:X38)</f>
        <v>112.40159043348271</v>
      </c>
      <c r="AA35" s="739">
        <f>IF($U35="","",SUM(U35,Y35))</f>
        <v>137.21587443946174</v>
      </c>
      <c r="AB35" s="717">
        <f>SUM(AA35:AA38)</f>
        <v>300.16063378176352</v>
      </c>
      <c r="AC35" s="731">
        <f ca="1">IF(AA35="","",AA35/OFFSET($AB$23,AF35,0))</f>
        <v>0.45714147358586232</v>
      </c>
      <c r="AD35" s="654"/>
      <c r="AE35" s="1068"/>
      <c r="AF35" s="587">
        <f>AF31+4</f>
        <v>12</v>
      </c>
      <c r="AG35" s="816">
        <f ca="1">SUM(AC35:AC38)-1</f>
        <v>0</v>
      </c>
      <c r="AH35" s="649">
        <f>$AH$16/K35</f>
        <v>5</v>
      </c>
      <c r="AI35" s="649">
        <f>$AH$16/AH35</f>
        <v>1</v>
      </c>
      <c r="AJ35" s="645">
        <f>$H35*(1-(1+$L$15)^-(AH35*AI35))/((1+$L$15)^AI35-1)*(1+((1+$L$15)^AI35-1))</f>
        <v>34174.024839133563</v>
      </c>
      <c r="AK35" s="931">
        <f>SUM(AJ35:AJ38)</f>
        <v>86930.469810924216</v>
      </c>
    </row>
    <row r="36" spans="1:37" ht="19" customHeight="1">
      <c r="A36" s="656"/>
      <c r="B36" s="714"/>
      <c r="C36" s="2607" t="s">
        <v>789</v>
      </c>
      <c r="D36" s="3853"/>
      <c r="E36" s="686" t="s">
        <v>308</v>
      </c>
      <c r="F36" s="1178">
        <f>F206</f>
        <v>1</v>
      </c>
      <c r="G36" s="1178">
        <f>F205</f>
        <v>16.402590931738914</v>
      </c>
      <c r="H36" s="645">
        <f>J220</f>
        <v>4674.7384155455902</v>
      </c>
      <c r="I36" s="820" t="s">
        <v>797</v>
      </c>
      <c r="J36" s="646" t="str">
        <f>IF(K36=1,"Annual","Done every "&amp;K36&amp;" years")</f>
        <v>Annual</v>
      </c>
      <c r="K36" s="647">
        <f>K32</f>
        <v>1</v>
      </c>
      <c r="L36" s="648">
        <f t="shared" si="7"/>
        <v>80</v>
      </c>
      <c r="M36" s="647">
        <f t="shared" si="7"/>
        <v>1</v>
      </c>
      <c r="N36" s="645">
        <f>$H36*(1-(1+$L$15)^-(L36*M36))/((1+$L$15)^M36-1)*(1+((1+$L$15)^M36-1))</f>
        <v>116270.12902879421</v>
      </c>
      <c r="O36" s="660">
        <f t="shared" si="0"/>
        <v>4674.7384155455857</v>
      </c>
      <c r="P36" s="932"/>
      <c r="Q36" s="3053">
        <f>1*(1-(1+$L$15)^-(L36*M36))/((1+$L$15)^M36-1)*(1+((1+$L$15)^M36-1))</f>
        <v>24.872007520708362</v>
      </c>
      <c r="R36" s="3053">
        <f>Q36/(1+$L$15)*($L$15)/(1-(1+$L$15)^-$L$16)</f>
        <v>0.99999999999999911</v>
      </c>
      <c r="S36" s="3053">
        <f>F36*R36</f>
        <v>0.99999999999999911</v>
      </c>
      <c r="T36" s="1038" t="s">
        <v>809</v>
      </c>
      <c r="U36" s="655">
        <f>O36/$U$16</f>
        <v>46.747384155455855</v>
      </c>
      <c r="V36" s="662" t="str">
        <f>IF($T36="L",SUM($U36:U36)*V$16,"")</f>
        <v/>
      </c>
      <c r="W36" s="662">
        <f>IF($U36="","",IF(OR($T36="L",$T36="T",$T36="C"),SUM($U36:V36)*W$16,""))</f>
        <v>4.674738415545586</v>
      </c>
      <c r="X36" s="662">
        <f>IF($U36="","",SUM($U36:W36)*X$16)</f>
        <v>15.42663677130043</v>
      </c>
      <c r="Y36" s="659">
        <f>IF($U36="","",SUM(V36:X36))</f>
        <v>20.101375186846017</v>
      </c>
      <c r="Z36" s="722"/>
      <c r="AA36" s="740">
        <f>IF($U36="","",SUM(U36,Y36))</f>
        <v>66.848759342301875</v>
      </c>
      <c r="AB36" s="722"/>
      <c r="AC36" s="731">
        <f ca="1">IF(AA36="","",AA36/OFFSET($AB$23,AF36,0))</f>
        <v>0.22270994867003549</v>
      </c>
      <c r="AD36" s="661"/>
      <c r="AE36" s="1068"/>
      <c r="AF36" s="587">
        <f>AF35</f>
        <v>12</v>
      </c>
      <c r="AG36" s="587"/>
      <c r="AH36" s="649">
        <f>$AH$16/K36</f>
        <v>5</v>
      </c>
      <c r="AI36" s="649">
        <f>$AH$16/AH36</f>
        <v>1</v>
      </c>
      <c r="AJ36" s="645">
        <f>$H36*(1-(1+$L$15)^-(AH36*AI36))/((1+$L$15)^AI36-1)*(1+((1+$L$15)^AI36-1))</f>
        <v>21643.549064784591</v>
      </c>
      <c r="AK36" s="932"/>
    </row>
    <row r="37" spans="1:37" ht="19" customHeight="1">
      <c r="A37" s="656"/>
      <c r="B37" s="714"/>
      <c r="C37" s="2607"/>
      <c r="D37" s="3853"/>
      <c r="E37" s="686" t="s">
        <v>4</v>
      </c>
      <c r="F37" s="1178"/>
      <c r="G37" s="1178"/>
      <c r="H37" s="645">
        <f>J221</f>
        <v>6720</v>
      </c>
      <c r="I37" s="820" t="s">
        <v>70</v>
      </c>
      <c r="J37" s="646" t="str">
        <f>IF(K37=1,"Annual","Done every "&amp;K37&amp;" years")</f>
        <v>Annual</v>
      </c>
      <c r="K37" s="647">
        <f>K33</f>
        <v>1</v>
      </c>
      <c r="L37" s="648">
        <f t="shared" si="7"/>
        <v>80</v>
      </c>
      <c r="M37" s="647">
        <f t="shared" si="7"/>
        <v>1</v>
      </c>
      <c r="N37" s="645">
        <f>$H37*(1-(1+$L$15)^-(L37*M37))/((1+$L$15)^M37-1)*(1+((1+$L$15)^M37-1))</f>
        <v>167139.8905391602</v>
      </c>
      <c r="O37" s="660">
        <f t="shared" si="0"/>
        <v>6719.9999999999945</v>
      </c>
      <c r="P37" s="933"/>
      <c r="Q37" s="3053"/>
      <c r="R37" s="3053"/>
      <c r="S37" s="3053"/>
      <c r="T37" s="1038" t="s">
        <v>810</v>
      </c>
      <c r="U37" s="655">
        <f>O37/$U$16</f>
        <v>67.199999999999946</v>
      </c>
      <c r="V37" s="664" t="str">
        <f>IF($T37="L",SUM($U37:U37)*V$16,"")</f>
        <v/>
      </c>
      <c r="W37" s="664">
        <f>IF($U37="","",IF(OR($T37="L",$T37="T",$T37="C"),SUM($U37:V37)*W$16,""))</f>
        <v>6.7199999999999953</v>
      </c>
      <c r="X37" s="664">
        <f>IF($U37="","",SUM($U37:W37)*X$16)</f>
        <v>22.175999999999984</v>
      </c>
      <c r="Y37" s="1025">
        <f>IF($U37="","",SUM(V37:X37))</f>
        <v>28.895999999999979</v>
      </c>
      <c r="Z37" s="723"/>
      <c r="AA37" s="741">
        <f>IF($U37="","",SUM(U37,Y37))</f>
        <v>96.095999999999918</v>
      </c>
      <c r="AB37" s="723"/>
      <c r="AC37" s="731">
        <f ca="1">IF(AA37="","",AA37/OFFSET($AB$23,AF37,0))</f>
        <v>0.32014857774410221</v>
      </c>
      <c r="AD37" s="663"/>
      <c r="AE37" s="1068"/>
      <c r="AF37" s="587">
        <f>AF36</f>
        <v>12</v>
      </c>
      <c r="AG37" s="587"/>
      <c r="AH37" s="649">
        <f>$AH$16/K37</f>
        <v>5</v>
      </c>
      <c r="AI37" s="649">
        <f>$AH$16/AH37</f>
        <v>1</v>
      </c>
      <c r="AJ37" s="645">
        <f>$H37*(1-(1+$L$15)^-(AH37*AI37))/((1+$L$15)^AI37-1)*(1+((1+$L$15)^AI37-1))</f>
        <v>31112.89590700607</v>
      </c>
      <c r="AK37" s="933"/>
    </row>
    <row r="38" spans="1:37" ht="19" customHeight="1">
      <c r="A38" s="656"/>
      <c r="B38" s="714"/>
      <c r="C38" s="2608"/>
      <c r="D38" s="3854"/>
      <c r="E38" s="686" t="s">
        <v>21</v>
      </c>
      <c r="F38" s="1178"/>
      <c r="G38" s="1178"/>
      <c r="H38" s="645"/>
      <c r="I38" s="1087"/>
      <c r="J38" s="646"/>
      <c r="K38" s="647"/>
      <c r="L38" s="648"/>
      <c r="M38" s="647"/>
      <c r="N38" s="645"/>
      <c r="O38" s="660">
        <f t="shared" si="0"/>
        <v>0</v>
      </c>
      <c r="P38" s="934"/>
      <c r="Q38" s="3054"/>
      <c r="R38" s="3054"/>
      <c r="S38" s="3054"/>
      <c r="T38" s="1038"/>
      <c r="U38" s="655"/>
      <c r="V38" s="664" t="str">
        <f>IF($T38="L",SUM($U38:U38)*V$16,"")</f>
        <v/>
      </c>
      <c r="W38" s="664" t="str">
        <f>IF($U38="","",IF(OR($T38="L",$T38="T",$T38="C"),SUM($U38:V38)*W$16,""))</f>
        <v/>
      </c>
      <c r="X38" s="664" t="str">
        <f>IF($U38="","",SUM($U38:W38)*X$16)</f>
        <v/>
      </c>
      <c r="Y38" s="1025"/>
      <c r="Z38" s="723"/>
      <c r="AA38" s="741"/>
      <c r="AB38" s="723"/>
      <c r="AC38" s="731"/>
      <c r="AD38" s="663"/>
      <c r="AE38" s="1068"/>
      <c r="AF38" s="587">
        <f>AF37</f>
        <v>12</v>
      </c>
      <c r="AG38" s="587"/>
      <c r="AH38" s="649"/>
      <c r="AI38" s="649"/>
      <c r="AJ38" s="645"/>
      <c r="AK38" s="933"/>
    </row>
    <row r="39" spans="1:37" s="1997" customFormat="1" ht="19" customHeight="1">
      <c r="B39" s="2303">
        <v>4</v>
      </c>
      <c r="C39" s="3906" t="s">
        <v>316</v>
      </c>
      <c r="D39" s="3909" t="s">
        <v>1088</v>
      </c>
      <c r="E39" s="2000" t="s">
        <v>3</v>
      </c>
      <c r="F39" s="2001"/>
      <c r="G39" s="2001">
        <f>$D$283</f>
        <v>11.536410256410257</v>
      </c>
      <c r="H39" s="2002">
        <f t="shared" ref="H39:I41" si="8">G326</f>
        <v>2595.6923076923076</v>
      </c>
      <c r="I39" s="2002" t="str">
        <f t="shared" si="8"/>
        <v>Person hours for 2 trips needed</v>
      </c>
      <c r="J39" s="2004" t="str">
        <f t="shared" ref="J39:J41" si="9">IF(K39=1,"Annual","Done every "&amp;K39&amp;" years")</f>
        <v>Annual</v>
      </c>
      <c r="K39" s="2036">
        <f>I326</f>
        <v>1</v>
      </c>
      <c r="L39" s="2006">
        <f t="shared" ref="L39:M41" si="10">$L$16/K39</f>
        <v>80</v>
      </c>
      <c r="M39" s="2005">
        <f t="shared" si="10"/>
        <v>1</v>
      </c>
      <c r="N39" s="2002">
        <f t="shared" ref="N39:N41" si="11">$H39*(1-(1+$L$15)^-(L39*M39))/((1+$L$15)^M39-1)*(1+((1+$L$15)^M39-1))</f>
        <v>64560.078598367916</v>
      </c>
      <c r="O39" s="2007">
        <f t="shared" si="0"/>
        <v>2595.6923076923053</v>
      </c>
      <c r="P39" s="2008">
        <f>SUM(O39:O42)</f>
        <v>11177677.999999991</v>
      </c>
      <c r="Q39" s="3065"/>
      <c r="R39" s="3065"/>
      <c r="S39" s="3065"/>
      <c r="T39" s="2009" t="s">
        <v>808</v>
      </c>
      <c r="U39" s="2305">
        <f t="shared" ref="U39:U57" si="12">O39/$U$16</f>
        <v>25.956923076923054</v>
      </c>
      <c r="V39" s="2010">
        <f>IF($T39="L",SUM($U39:U39)*V$16,"")</f>
        <v>7.7870769230769161</v>
      </c>
      <c r="W39" s="2010">
        <f>IF($U39="","",IF(OR($T39="L",$T39="T",$T39="C"),SUM($U39:V39)*W$16,""))</f>
        <v>3.3743999999999974</v>
      </c>
      <c r="X39" s="2010">
        <f>IF($U39="","",SUM($U39:W39)*X$16)</f>
        <v>11.135519999999989</v>
      </c>
      <c r="Y39" s="2011">
        <f t="shared" ref="Y39:Y70" si="13">IF($U39="","",SUM(V39:X39))</f>
        <v>22.296996923076904</v>
      </c>
      <c r="Z39" s="2008">
        <f>SUM(V39:X42)</f>
        <v>48075.150919999956</v>
      </c>
      <c r="AA39" s="2012">
        <f t="shared" ref="AA39:AA70" si="14">IF($U39="","",SUM(U39,Y39))</f>
        <v>48.253919999999958</v>
      </c>
      <c r="AB39" s="2008">
        <f>SUM(AA39:AA42)</f>
        <v>159851.93091999987</v>
      </c>
      <c r="AC39" s="3512">
        <f t="shared" ref="AC39:AC70" ca="1" si="15">IF(AA39="","",AA39/OFFSET($AB$23,AF39,0))</f>
        <v>3.0186635671075693E-4</v>
      </c>
      <c r="AD39" s="2008">
        <f>C566*2</f>
        <v>92000</v>
      </c>
      <c r="AE39" s="3513" t="s">
        <v>526</v>
      </c>
      <c r="AF39" s="1483">
        <v>16</v>
      </c>
      <c r="AG39" s="2016">
        <f ca="1">SUM(AC39:AC42)-1</f>
        <v>0</v>
      </c>
      <c r="AH39" s="2017">
        <f t="shared" ref="AH39:AH41" si="16">$AH$16/K39</f>
        <v>5</v>
      </c>
      <c r="AI39" s="2017">
        <f t="shared" ref="AI39:AI41" si="17">$AH$16/AH39</f>
        <v>1</v>
      </c>
      <c r="AJ39" s="2002">
        <f t="shared" ref="AJ39:AJ41" si="18">$H39*(1-(1+$L$15)^-(AH39*AI39))/((1+$L$15)^AI39-1)*(1+((1+$L$15)^AI39-1))</f>
        <v>12017.783419024872</v>
      </c>
      <c r="AK39" s="2018">
        <f>SUM(AJ39:AJ42)</f>
        <v>51751477.990480922</v>
      </c>
    </row>
    <row r="40" spans="1:37" s="1997" customFormat="1" ht="19" customHeight="1">
      <c r="B40" s="2307"/>
      <c r="C40" s="3907"/>
      <c r="D40" s="3910"/>
      <c r="E40" s="2000" t="s">
        <v>308</v>
      </c>
      <c r="F40" s="2001">
        <f>$D$313</f>
        <v>2</v>
      </c>
      <c r="G40" s="2001">
        <f>$D$311</f>
        <v>11.536410256410257</v>
      </c>
      <c r="H40" s="2002">
        <f t="shared" si="8"/>
        <v>36772.307692307695</v>
      </c>
      <c r="I40" s="2002" t="str">
        <f t="shared" si="8"/>
        <v>Total Aerial Spraying Travel costs</v>
      </c>
      <c r="J40" s="2004" t="str">
        <f t="shared" si="9"/>
        <v>Annual</v>
      </c>
      <c r="K40" s="2036">
        <f>I327</f>
        <v>1</v>
      </c>
      <c r="L40" s="2006">
        <f t="shared" si="10"/>
        <v>80</v>
      </c>
      <c r="M40" s="2005">
        <f t="shared" si="10"/>
        <v>1</v>
      </c>
      <c r="N40" s="2002">
        <f t="shared" si="11"/>
        <v>914601.11347687885</v>
      </c>
      <c r="O40" s="2007">
        <f t="shared" si="0"/>
        <v>36772.307692307666</v>
      </c>
      <c r="P40" s="2021"/>
      <c r="Q40" s="3066">
        <f>1*(1-(1+$L$15)^-(L40*M40))/((1+$L$15)^M40-1)*(1+((1+$L$15)^M40-1))</f>
        <v>24.872007520708362</v>
      </c>
      <c r="R40" s="3066">
        <f>Q40/(1+$L$15)*($L$15)/(1-(1+$L$15)^-$L$16)</f>
        <v>0.99999999999999911</v>
      </c>
      <c r="S40" s="3066">
        <f>F40*R40</f>
        <v>1.9999999999999982</v>
      </c>
      <c r="T40" s="2022" t="s">
        <v>809</v>
      </c>
      <c r="U40" s="2010">
        <f t="shared" si="12"/>
        <v>367.72307692307663</v>
      </c>
      <c r="V40" s="2023" t="str">
        <f>IF($T40="L",SUM($U40:U40)*V$16,"")</f>
        <v/>
      </c>
      <c r="W40" s="2023">
        <f>IF($U40="","",IF(OR($T40="L",$T40="T",$T40="C"),SUM($U40:V40)*W$16,""))</f>
        <v>36.772307692307663</v>
      </c>
      <c r="X40" s="2023">
        <f>IF($U40="","",SUM($U40:W40)*X$16)</f>
        <v>121.34861538461529</v>
      </c>
      <c r="Y40" s="2024">
        <f t="shared" si="13"/>
        <v>158.12092307692296</v>
      </c>
      <c r="Z40" s="2021"/>
      <c r="AA40" s="2025">
        <f t="shared" si="14"/>
        <v>525.8439999999996</v>
      </c>
      <c r="AB40" s="2021"/>
      <c r="AC40" s="3512">
        <f t="shared" ca="1" si="15"/>
        <v>3.2895692718479929E-3</v>
      </c>
      <c r="AD40" s="3514">
        <f ca="1">AD39-AC39</f>
        <v>91999.999698133644</v>
      </c>
      <c r="AE40" s="2559"/>
      <c r="AF40" s="1483">
        <f>AF39</f>
        <v>16</v>
      </c>
      <c r="AG40" s="1483"/>
      <c r="AH40" s="2017">
        <f t="shared" si="16"/>
        <v>5</v>
      </c>
      <c r="AI40" s="2017">
        <f t="shared" si="17"/>
        <v>1</v>
      </c>
      <c r="AJ40" s="2002">
        <f t="shared" si="18"/>
        <v>170251.93176951905</v>
      </c>
      <c r="AK40" s="2027"/>
    </row>
    <row r="41" spans="1:37" s="1997" customFormat="1" ht="16" customHeight="1">
      <c r="B41" s="2307"/>
      <c r="C41" s="3907"/>
      <c r="D41" s="3910"/>
      <c r="E41" s="2000" t="s">
        <v>4</v>
      </c>
      <c r="F41" s="2001"/>
      <c r="G41" s="2001">
        <f>$D$321</f>
        <v>11</v>
      </c>
      <c r="H41" s="2002">
        <f t="shared" si="8"/>
        <v>11138310</v>
      </c>
      <c r="I41" s="2002" t="str">
        <f t="shared" si="8"/>
        <v>Accomodation and Phosphite</v>
      </c>
      <c r="J41" s="2004" t="str">
        <f t="shared" si="9"/>
        <v>Annual</v>
      </c>
      <c r="K41" s="2036">
        <f>I328</f>
        <v>1</v>
      </c>
      <c r="L41" s="2006">
        <f t="shared" si="10"/>
        <v>80</v>
      </c>
      <c r="M41" s="2005">
        <f t="shared" si="10"/>
        <v>1</v>
      </c>
      <c r="N41" s="2002">
        <f t="shared" si="11"/>
        <v>277032130.08798116</v>
      </c>
      <c r="O41" s="2007">
        <f t="shared" si="0"/>
        <v>11138309.999999991</v>
      </c>
      <c r="P41" s="2021"/>
      <c r="Q41" s="3066"/>
      <c r="R41" s="3066"/>
      <c r="S41" s="3066"/>
      <c r="T41" s="2022" t="s">
        <v>810</v>
      </c>
      <c r="U41" s="2010">
        <f t="shared" si="12"/>
        <v>111383.0999999999</v>
      </c>
      <c r="V41" s="2023" t="str">
        <f>IF($T41="L",SUM($U41:U41)*V$16,"")</f>
        <v/>
      </c>
      <c r="W41" s="2023">
        <f>IF($U41="","",IF(OR($T41="L",$T41="T",$T41="C"),SUM($U41:V41)*W$16,""))</f>
        <v>11138.30999999999</v>
      </c>
      <c r="X41" s="2023">
        <f>IF($U41="","",SUM($U41:W41)*X$16)</f>
        <v>36756.422999999966</v>
      </c>
      <c r="Y41" s="2024">
        <f t="shared" si="13"/>
        <v>47894.732999999957</v>
      </c>
      <c r="Z41" s="2021"/>
      <c r="AA41" s="2025">
        <f t="shared" si="14"/>
        <v>159277.83299999987</v>
      </c>
      <c r="AB41" s="2021"/>
      <c r="AC41" s="3512">
        <f t="shared" ca="1" si="15"/>
        <v>0.99640856437144121</v>
      </c>
      <c r="AD41" s="3515"/>
      <c r="AE41" s="2559"/>
      <c r="AF41" s="1483">
        <f>AF40</f>
        <v>16</v>
      </c>
      <c r="AG41" s="1483"/>
      <c r="AH41" s="2017">
        <f t="shared" si="16"/>
        <v>5</v>
      </c>
      <c r="AI41" s="2017">
        <f t="shared" si="17"/>
        <v>1</v>
      </c>
      <c r="AJ41" s="2002">
        <f t="shared" si="18"/>
        <v>51569208.275292382</v>
      </c>
      <c r="AK41" s="2027"/>
    </row>
    <row r="42" spans="1:37" s="1997" customFormat="1" ht="19" customHeight="1">
      <c r="B42" s="2307"/>
      <c r="C42" s="3908"/>
      <c r="D42" s="3911"/>
      <c r="E42" s="2000"/>
      <c r="F42" s="2001"/>
      <c r="G42" s="2001"/>
      <c r="H42" s="2002"/>
      <c r="I42" s="2035"/>
      <c r="J42" s="2004"/>
      <c r="K42" s="2005"/>
      <c r="L42" s="2006"/>
      <c r="M42" s="2005"/>
      <c r="N42" s="2002"/>
      <c r="O42" s="2007">
        <f t="shared" si="0"/>
        <v>0</v>
      </c>
      <c r="P42" s="2021"/>
      <c r="Q42" s="3066"/>
      <c r="R42" s="3066"/>
      <c r="S42" s="3066"/>
      <c r="T42" s="2040" t="s">
        <v>811</v>
      </c>
      <c r="U42" s="2010">
        <f t="shared" si="12"/>
        <v>0</v>
      </c>
      <c r="V42" s="2023" t="str">
        <f>IF($T42="L",SUM($U42:U42)*V$16,"")</f>
        <v/>
      </c>
      <c r="W42" s="2023" t="str">
        <f>IF($U42="","",IF(OR($T42="L",$T42="T",$T42="C"),SUM($U42:V42)*W$16,""))</f>
        <v/>
      </c>
      <c r="X42" s="2023">
        <f>IF($U42="","",SUM($U42:W42)*X$16)</f>
        <v>0</v>
      </c>
      <c r="Y42" s="2024">
        <f t="shared" si="13"/>
        <v>0</v>
      </c>
      <c r="Z42" s="2021"/>
      <c r="AA42" s="2025">
        <f t="shared" si="14"/>
        <v>0</v>
      </c>
      <c r="AB42" s="2021"/>
      <c r="AC42" s="3512">
        <f t="shared" ca="1" si="15"/>
        <v>0</v>
      </c>
      <c r="AD42" s="3516"/>
      <c r="AE42" s="3517"/>
      <c r="AF42" s="1483">
        <f>AF41</f>
        <v>16</v>
      </c>
      <c r="AG42" s="1483"/>
      <c r="AH42" s="2017"/>
      <c r="AI42" s="2017"/>
      <c r="AJ42" s="2002"/>
      <c r="AK42" s="2027"/>
    </row>
    <row r="43" spans="1:37" s="1144" customFormat="1" ht="19" customHeight="1">
      <c r="B43" s="3518">
        <v>5.0999999999999996</v>
      </c>
      <c r="C43" s="3844" t="s">
        <v>654</v>
      </c>
      <c r="D43" s="3847" t="s">
        <v>1095</v>
      </c>
      <c r="E43" s="12" t="s">
        <v>3</v>
      </c>
      <c r="F43" s="1172"/>
      <c r="G43" s="1172">
        <f>$D$388</f>
        <v>2228.2012954658694</v>
      </c>
      <c r="H43" s="188">
        <f>H428</f>
        <v>501345.29147982062</v>
      </c>
      <c r="I43" s="921" t="s">
        <v>474</v>
      </c>
      <c r="J43" s="377" t="str">
        <f>IF(K43=1,"Annual","Done every "&amp;K43&amp;" years")</f>
        <v>Annual</v>
      </c>
      <c r="K43" s="11">
        <f>L428</f>
        <v>1</v>
      </c>
      <c r="L43" s="158">
        <f t="shared" ref="L43:M45" si="19">$L$16/K43</f>
        <v>80</v>
      </c>
      <c r="M43" s="586">
        <f t="shared" si="19"/>
        <v>1</v>
      </c>
      <c r="N43" s="188">
        <f>$H43*(1-(1+$L$15)^-(L43*M43))/((1+$L$15)^M43-1)*(1+((1+$L$15)^M43-1))</f>
        <v>12469463.860157823</v>
      </c>
      <c r="O43" s="1147">
        <f t="shared" si="0"/>
        <v>501345.29147982021</v>
      </c>
      <c r="P43" s="194">
        <f>SUM(O43:O46)</f>
        <v>1336743.9760837059</v>
      </c>
      <c r="Q43" s="2819"/>
      <c r="R43" s="2819"/>
      <c r="S43" s="2819"/>
      <c r="T43" s="1148" t="s">
        <v>808</v>
      </c>
      <c r="U43" s="583">
        <f>O43/$U$16</f>
        <v>5013.4529147982021</v>
      </c>
      <c r="V43" s="583">
        <f>IF($T43="L",SUM($U43:U43)*V$16,"")</f>
        <v>1504.0358744394605</v>
      </c>
      <c r="W43" s="583">
        <f>IF($U43="","",IF(OR($T43="L",$T43="T",$T43="C"),SUM($U43:V43)*W$16,""))</f>
        <v>651.74887892376637</v>
      </c>
      <c r="X43" s="583">
        <f>IF($U43="","",SUM($U43:W43)*X$16)</f>
        <v>2150.771300448429</v>
      </c>
      <c r="Y43" s="242">
        <f t="shared" si="13"/>
        <v>4306.5560538116551</v>
      </c>
      <c r="Z43" s="194">
        <f>SUM(V43:X46)</f>
        <v>7898.7703976083621</v>
      </c>
      <c r="AA43" s="733">
        <f t="shared" si="14"/>
        <v>9320.0089686098581</v>
      </c>
      <c r="AB43" s="190">
        <f>SUM(AA43:AA46)</f>
        <v>21266.210158445421</v>
      </c>
      <c r="AC43" s="3519">
        <f t="shared" ca="1" si="15"/>
        <v>0.438254343353633</v>
      </c>
      <c r="AD43" s="1917"/>
      <c r="AE43" s="3520"/>
      <c r="AF43" s="1438">
        <f>AF39+4</f>
        <v>20</v>
      </c>
      <c r="AG43" s="1439">
        <f ca="1">SUM(AC43:AC46)-1</f>
        <v>0</v>
      </c>
      <c r="AH43" s="13">
        <f>$AH$16/K43</f>
        <v>5</v>
      </c>
      <c r="AI43" s="13">
        <f>$AH$16/AH43</f>
        <v>1</v>
      </c>
      <c r="AJ43" s="188">
        <f>$H43*(1-(1+$L$15)^-(AH43*AI43))/((1+$L$15)^AI43-1)*(1+((1+$L$15)^AI43-1))</f>
        <v>2321176.1707260832</v>
      </c>
      <c r="AK43" s="342">
        <f>SUM(AJ43:AJ46)</f>
        <v>6188984.5509240767</v>
      </c>
    </row>
    <row r="44" spans="1:37" s="1144" customFormat="1" ht="19" customHeight="1">
      <c r="B44" s="261"/>
      <c r="C44" s="3845"/>
      <c r="D44" s="3848"/>
      <c r="E44" s="12" t="s">
        <v>308</v>
      </c>
      <c r="F44" s="1172">
        <f>$D$415</f>
        <v>54</v>
      </c>
      <c r="G44" s="1172">
        <f>$D$414</f>
        <v>1114.1006477329347</v>
      </c>
      <c r="H44" s="188">
        <f>H429</f>
        <v>317518.68460388645</v>
      </c>
      <c r="I44" s="921" t="s">
        <v>65</v>
      </c>
      <c r="J44" s="377" t="str">
        <f>IF(K44=1,"Annual","Done every "&amp;K44&amp;" years")</f>
        <v>Annual</v>
      </c>
      <c r="K44" s="11">
        <f>L429</f>
        <v>1</v>
      </c>
      <c r="L44" s="158">
        <f t="shared" si="19"/>
        <v>80</v>
      </c>
      <c r="M44" s="586">
        <f t="shared" si="19"/>
        <v>1</v>
      </c>
      <c r="N44" s="188">
        <f>$H44*(1-(1+$L$15)^-(L44*M44))/((1+$L$15)^M44-1)*(1+((1+$L$15)^M44-1))</f>
        <v>7897327.111433289</v>
      </c>
      <c r="O44" s="1147">
        <f t="shared" si="0"/>
        <v>317518.6846038861</v>
      </c>
      <c r="P44" s="194"/>
      <c r="Q44" s="2819">
        <f>1*(1-(1+$L$15)^-(L44*M44))/((1+$L$15)^M44-1)*(1+((1+$L$15)^M44-1))</f>
        <v>24.872007520708362</v>
      </c>
      <c r="R44" s="2819">
        <f>Q44/(1+$L$15)*($L$15)/(1-(1+$L$15)^-$L$16)</f>
        <v>0.99999999999999911</v>
      </c>
      <c r="S44" s="2819">
        <f>F44*R44</f>
        <v>53.99999999999995</v>
      </c>
      <c r="T44" s="1152" t="s">
        <v>809</v>
      </c>
      <c r="U44" s="583">
        <f>O44/$U$16</f>
        <v>3175.1868460388609</v>
      </c>
      <c r="V44" s="585" t="str">
        <f>IF($T44="L",SUM($U44:U44)*V$16,"")</f>
        <v/>
      </c>
      <c r="W44" s="585">
        <f>IF($U44="","",IF(OR($T44="L",$T44="T",$T44="C"),SUM($U44:V44)*W$16,""))</f>
        <v>317.51868460388613</v>
      </c>
      <c r="X44" s="585">
        <f>IF($U44="","",SUM($U44:W44)*X$16)</f>
        <v>1047.811659192824</v>
      </c>
      <c r="Y44" s="242">
        <f t="shared" si="13"/>
        <v>1365.3303437967102</v>
      </c>
      <c r="Z44" s="194"/>
      <c r="AA44" s="733">
        <f t="shared" si="14"/>
        <v>4540.5171898355711</v>
      </c>
      <c r="AB44" s="190"/>
      <c r="AC44" s="3519">
        <f t="shared" ca="1" si="15"/>
        <v>0.2135085262492058</v>
      </c>
      <c r="AD44" s="1436"/>
      <c r="AE44" s="3520"/>
      <c r="AF44" s="1438">
        <f>AF43</f>
        <v>20</v>
      </c>
      <c r="AG44" s="1438"/>
      <c r="AH44" s="13">
        <f>$AH$16/K44</f>
        <v>5</v>
      </c>
      <c r="AI44" s="13">
        <f>$AH$16/AH44</f>
        <v>1</v>
      </c>
      <c r="AJ44" s="188">
        <f>$H44*(1-(1+$L$15)^-(AH44*AI44))/((1+$L$15)^AI44-1)*(1+((1+$L$15)^AI44-1))</f>
        <v>1470078.2414598528</v>
      </c>
      <c r="AK44" s="342"/>
    </row>
    <row r="45" spans="1:37" s="1144" customFormat="1" ht="19" customHeight="1">
      <c r="B45" s="261"/>
      <c r="C45" s="3845"/>
      <c r="D45" s="3848"/>
      <c r="E45" s="12" t="s">
        <v>4</v>
      </c>
      <c r="F45" s="1172"/>
      <c r="G45" s="1172">
        <f>$D$421</f>
        <v>2228</v>
      </c>
      <c r="H45" s="188">
        <f>H430</f>
        <v>517880</v>
      </c>
      <c r="I45" s="921" t="s">
        <v>70</v>
      </c>
      <c r="J45" s="377" t="str">
        <f>IF(K45=1,"Annual","Done every "&amp;K45&amp;" years")</f>
        <v>Annual</v>
      </c>
      <c r="K45" s="11">
        <f>L430</f>
        <v>1</v>
      </c>
      <c r="L45" s="158">
        <f t="shared" si="19"/>
        <v>80</v>
      </c>
      <c r="M45" s="586">
        <f t="shared" si="19"/>
        <v>1</v>
      </c>
      <c r="N45" s="188">
        <f>$H45*(1-(1+$L$15)^-(L45*M45))/((1+$L$15)^M45-1)*(1+((1+$L$15)^M45-1))</f>
        <v>12880715.254824447</v>
      </c>
      <c r="O45" s="1147">
        <f t="shared" si="0"/>
        <v>517879.99999999953</v>
      </c>
      <c r="P45" s="194"/>
      <c r="Q45" s="2819"/>
      <c r="R45" s="2819"/>
      <c r="S45" s="2819"/>
      <c r="T45" s="1152" t="s">
        <v>810</v>
      </c>
      <c r="U45" s="583">
        <f>O45/$U$16</f>
        <v>5178.7999999999956</v>
      </c>
      <c r="V45" s="585" t="str">
        <f>IF($T45="L",SUM($U45:U45)*V$16,"")</f>
        <v/>
      </c>
      <c r="W45" s="585">
        <f>IF($U45="","",IF(OR($T45="L",$T45="T",$T45="C"),SUM($U45:V45)*W$16,""))</f>
        <v>517.87999999999954</v>
      </c>
      <c r="X45" s="585">
        <f>IF($U45="","",SUM($U45:W45)*X$16)</f>
        <v>1709.0039999999983</v>
      </c>
      <c r="Y45" s="242">
        <f t="shared" si="13"/>
        <v>2226.8839999999977</v>
      </c>
      <c r="Z45" s="194"/>
      <c r="AA45" s="733">
        <f t="shared" si="14"/>
        <v>7405.6839999999938</v>
      </c>
      <c r="AB45" s="190"/>
      <c r="AC45" s="3519">
        <f t="shared" ca="1" si="15"/>
        <v>0.34823713039716125</v>
      </c>
      <c r="AD45" s="1436"/>
      <c r="AE45" s="3520"/>
      <c r="AF45" s="1438">
        <f>AF44</f>
        <v>20</v>
      </c>
      <c r="AG45" s="1438"/>
      <c r="AH45" s="13">
        <f>$AH$16/K45</f>
        <v>5</v>
      </c>
      <c r="AI45" s="13">
        <f>$AH$16/AH45</f>
        <v>1</v>
      </c>
      <c r="AJ45" s="188">
        <f>$H45*(1-(1+$L$15)^-(AH45*AI45))/((1+$L$15)^AI45-1)*(1+((1+$L$15)^AI45-1))</f>
        <v>2397730.1387381405</v>
      </c>
      <c r="AK45" s="342"/>
    </row>
    <row r="46" spans="1:37" s="1144" customFormat="1" ht="19" customHeight="1">
      <c r="B46" s="923"/>
      <c r="C46" s="3846"/>
      <c r="D46" s="3849"/>
      <c r="E46" s="12" t="s">
        <v>21</v>
      </c>
      <c r="F46" s="1172"/>
      <c r="G46" s="1172"/>
      <c r="H46" s="188"/>
      <c r="I46" s="921"/>
      <c r="J46" s="377"/>
      <c r="K46" s="11"/>
      <c r="L46" s="158"/>
      <c r="M46" s="586"/>
      <c r="N46" s="188"/>
      <c r="O46" s="244">
        <f t="shared" si="0"/>
        <v>0</v>
      </c>
      <c r="P46" s="2743"/>
      <c r="Q46" s="2821"/>
      <c r="R46" s="2821"/>
      <c r="S46" s="2821"/>
      <c r="T46" s="1156" t="s">
        <v>811</v>
      </c>
      <c r="U46" s="891"/>
      <c r="V46" s="891" t="str">
        <f>IF($T46="L",SUM($U46:U46)*V$16,"")</f>
        <v/>
      </c>
      <c r="W46" s="891" t="str">
        <f>IF($U46="","",IF(OR($T46="L",$T46="T",$T46="C"),SUM($U46:V46)*W$16,""))</f>
        <v/>
      </c>
      <c r="X46" s="891" t="str">
        <f>IF($U46="","",SUM($U46:W46)*X$16)</f>
        <v/>
      </c>
      <c r="Y46" s="244" t="str">
        <f t="shared" si="13"/>
        <v/>
      </c>
      <c r="Z46" s="2743"/>
      <c r="AA46" s="2745" t="str">
        <f t="shared" si="14"/>
        <v/>
      </c>
      <c r="AB46" s="2807"/>
      <c r="AC46" s="3521" t="str">
        <f t="shared" ca="1" si="15"/>
        <v/>
      </c>
      <c r="AD46" s="3522"/>
      <c r="AE46" s="3520"/>
      <c r="AF46" s="1438">
        <f>AF45</f>
        <v>20</v>
      </c>
      <c r="AG46" s="1438"/>
      <c r="AH46" s="13"/>
      <c r="AI46" s="13"/>
      <c r="AJ46" s="188"/>
      <c r="AK46" s="343"/>
    </row>
    <row r="47" spans="1:37" s="1550" customFormat="1" ht="19" customHeight="1">
      <c r="B47" s="3523">
        <f>B43+0.1</f>
        <v>5.1999999999999993</v>
      </c>
      <c r="C47" s="3750" t="str">
        <f>C43</f>
        <v>Management Action 2
( L + T + C + E)</v>
      </c>
      <c r="D47" s="3753" t="str">
        <f>D43</f>
        <v>Injection of phosphite (1%  of phytophthora management area)</v>
      </c>
      <c r="E47" s="1552" t="s">
        <v>3</v>
      </c>
      <c r="F47" s="1553"/>
      <c r="G47" s="1553">
        <f>$E$388</f>
        <v>2230.1943198804183</v>
      </c>
      <c r="H47" s="1554">
        <f>I428</f>
        <v>501793.7219730941</v>
      </c>
      <c r="I47" s="3524" t="s">
        <v>474</v>
      </c>
      <c r="J47" s="1555" t="str">
        <f>IF(K47=1,"Annual","Done every "&amp;K47&amp;" years")</f>
        <v>Annual</v>
      </c>
      <c r="K47" s="1933">
        <f>K43</f>
        <v>1</v>
      </c>
      <c r="L47" s="1557">
        <f t="shared" ref="L47:M49" si="20">$L$16/K47</f>
        <v>80</v>
      </c>
      <c r="M47" s="1558">
        <f t="shared" si="20"/>
        <v>1</v>
      </c>
      <c r="N47" s="1554">
        <f>$H47*(1-(1+$L$15)^-(L47*M47))/((1+$L$15)^M47-1)*(1+((1+$L$15)^M47-1))</f>
        <v>12480617.226759037</v>
      </c>
      <c r="O47" s="1559">
        <f t="shared" si="0"/>
        <v>501793.72197309369</v>
      </c>
      <c r="P47" s="1574">
        <f>SUM(O47:O50)</f>
        <v>1337896.4125560527</v>
      </c>
      <c r="Q47" s="3094"/>
      <c r="R47" s="3094"/>
      <c r="S47" s="3094"/>
      <c r="T47" s="1561" t="s">
        <v>808</v>
      </c>
      <c r="U47" s="1563">
        <f>O47/$U$16</f>
        <v>5017.9372197309367</v>
      </c>
      <c r="V47" s="1563">
        <f>IF($T47="L",SUM($U47:U47)*V$16,"")</f>
        <v>1505.3811659192809</v>
      </c>
      <c r="W47" s="1563">
        <f>IF($U47="","",IF(OR($T47="L",$T47="T",$T47="C"),SUM($U47:V47)*W$16,""))</f>
        <v>652.33183856502183</v>
      </c>
      <c r="X47" s="1563">
        <f>IF($U47="","",SUM($U47:W47)*X$16)</f>
        <v>2152.6950672645717</v>
      </c>
      <c r="Y47" s="1577">
        <f t="shared" si="13"/>
        <v>4310.4080717488741</v>
      </c>
      <c r="Z47" s="1574">
        <f>SUM(V47:X50)</f>
        <v>7905.6496412555971</v>
      </c>
      <c r="AA47" s="1578">
        <f t="shared" si="14"/>
        <v>9328.3452914798108</v>
      </c>
      <c r="AB47" s="3525">
        <f>SUM(AA47:AA50)</f>
        <v>21284.613766816125</v>
      </c>
      <c r="AC47" s="3526">
        <f t="shared" ca="1" si="15"/>
        <v>0.43826706905169266</v>
      </c>
      <c r="AD47" s="1924"/>
      <c r="AE47" s="3527"/>
      <c r="AF47" s="1569">
        <f>AF43+4</f>
        <v>24</v>
      </c>
      <c r="AG47" s="1570">
        <f ca="1">SUM(AC47:AC50)-1</f>
        <v>0</v>
      </c>
      <c r="AH47" s="1571">
        <f>$AH$16/K47</f>
        <v>5</v>
      </c>
      <c r="AI47" s="1571">
        <f>$AH$16/AH47</f>
        <v>1</v>
      </c>
      <c r="AJ47" s="1554">
        <f>$H47*(1-(1+$L$15)^-(AH47*AI47))/((1+$L$15)^AI47-1)*(1+((1+$L$15)^AI47-1))</f>
        <v>2323252.3569253008</v>
      </c>
      <c r="AK47" s="1580">
        <f>SUM(AJ47:AJ50)</f>
        <v>6194320.211043654</v>
      </c>
    </row>
    <row r="48" spans="1:37" s="1550" customFormat="1" ht="19" customHeight="1">
      <c r="B48" s="1573"/>
      <c r="C48" s="3751"/>
      <c r="D48" s="3754"/>
      <c r="E48" s="1552" t="s">
        <v>308</v>
      </c>
      <c r="F48" s="1553">
        <f>$E$415</f>
        <v>54</v>
      </c>
      <c r="G48" s="1553">
        <f>$E$414</f>
        <v>1115.0971599402092</v>
      </c>
      <c r="H48" s="1554">
        <f>I429</f>
        <v>317802.69058295968</v>
      </c>
      <c r="I48" s="3524" t="s">
        <v>65</v>
      </c>
      <c r="J48" s="1555" t="str">
        <f>IF(K48=1,"Annual","Done every "&amp;K48&amp;" years")</f>
        <v>Annual</v>
      </c>
      <c r="K48" s="1933">
        <f>K44</f>
        <v>1</v>
      </c>
      <c r="L48" s="1557">
        <f t="shared" si="20"/>
        <v>80</v>
      </c>
      <c r="M48" s="1558">
        <f t="shared" si="20"/>
        <v>1</v>
      </c>
      <c r="N48" s="1554">
        <f>$H48*(1-(1+$L$15)^-(L48*M48))/((1+$L$15)^M48-1)*(1+((1+$L$15)^M48-1))</f>
        <v>7904390.910280725</v>
      </c>
      <c r="O48" s="1559">
        <f t="shared" si="0"/>
        <v>317802.69058295945</v>
      </c>
      <c r="P48" s="1574"/>
      <c r="Q48" s="3094">
        <f>1*(1-(1+$L$15)^-(L48*M48))/((1+$L$15)^M48-1)*(1+((1+$L$15)^M48-1))</f>
        <v>24.872007520708362</v>
      </c>
      <c r="R48" s="3094">
        <f>Q48/(1+$L$15)*($L$15)/(1-(1+$L$15)^-$L$16)</f>
        <v>0.99999999999999911</v>
      </c>
      <c r="S48" s="3094">
        <f>F48*R48</f>
        <v>53.99999999999995</v>
      </c>
      <c r="T48" s="1575" t="s">
        <v>809</v>
      </c>
      <c r="U48" s="1563">
        <f>O48/$U$16</f>
        <v>3178.0269058295944</v>
      </c>
      <c r="V48" s="1576" t="str">
        <f>IF($T48="L",SUM($U48:U48)*V$16,"")</f>
        <v/>
      </c>
      <c r="W48" s="1576">
        <f>IF($U48="","",IF(OR($T48="L",$T48="T",$T48="C"),SUM($U48:V48)*W$16,""))</f>
        <v>317.80269058295949</v>
      </c>
      <c r="X48" s="1576">
        <f>IF($U48="","",SUM($U48:W48)*X$16)</f>
        <v>1048.7488789237661</v>
      </c>
      <c r="Y48" s="1577">
        <f t="shared" si="13"/>
        <v>1366.5515695067256</v>
      </c>
      <c r="Z48" s="1574"/>
      <c r="AA48" s="1578">
        <f t="shared" si="14"/>
        <v>4544.5784753363205</v>
      </c>
      <c r="AB48" s="3525"/>
      <c r="AC48" s="3526">
        <f t="shared" ca="1" si="15"/>
        <v>0.21351472594826065</v>
      </c>
      <c r="AD48" s="1567"/>
      <c r="AE48" s="3527"/>
      <c r="AF48" s="1569">
        <f>AF47</f>
        <v>24</v>
      </c>
      <c r="AG48" s="1569"/>
      <c r="AH48" s="1571">
        <f>$AH$16/K48</f>
        <v>5</v>
      </c>
      <c r="AI48" s="1571">
        <f>$AH$16/AH48</f>
        <v>1</v>
      </c>
      <c r="AJ48" s="1554">
        <f>$H48*(1-(1+$L$15)^-(AH48*AI48))/((1+$L$15)^AI48-1)*(1+((1+$L$15)^AI48-1))</f>
        <v>1471393.1593860243</v>
      </c>
      <c r="AK48" s="1580"/>
    </row>
    <row r="49" spans="1:37" s="1550" customFormat="1" ht="19" customHeight="1">
      <c r="B49" s="1573"/>
      <c r="C49" s="3751"/>
      <c r="D49" s="3754"/>
      <c r="E49" s="1552" t="s">
        <v>4</v>
      </c>
      <c r="F49" s="1553"/>
      <c r="G49" s="1553">
        <f>$E$421</f>
        <v>2230</v>
      </c>
      <c r="H49" s="1554">
        <f>I430</f>
        <v>518300</v>
      </c>
      <c r="I49" s="3524" t="s">
        <v>70</v>
      </c>
      <c r="J49" s="1555" t="str">
        <f>IF(K49=1,"Annual","Done every "&amp;K49&amp;" years")</f>
        <v>Annual</v>
      </c>
      <c r="K49" s="1933">
        <f>K45</f>
        <v>1</v>
      </c>
      <c r="L49" s="1557">
        <f t="shared" si="20"/>
        <v>80</v>
      </c>
      <c r="M49" s="1558">
        <f t="shared" si="20"/>
        <v>1</v>
      </c>
      <c r="N49" s="1554">
        <f>$H49*(1-(1+$L$15)^-(L49*M49))/((1+$L$15)^M49-1)*(1+((1+$L$15)^M49-1))</f>
        <v>12891161.497983143</v>
      </c>
      <c r="O49" s="1559">
        <f t="shared" si="0"/>
        <v>518299.99999999959</v>
      </c>
      <c r="P49" s="1574"/>
      <c r="Q49" s="3094"/>
      <c r="R49" s="3094"/>
      <c r="S49" s="3094"/>
      <c r="T49" s="1575" t="s">
        <v>810</v>
      </c>
      <c r="U49" s="1563">
        <f>O49/$U$16</f>
        <v>5182.9999999999964</v>
      </c>
      <c r="V49" s="1576" t="str">
        <f>IF($T49="L",SUM($U49:U49)*V$16,"")</f>
        <v/>
      </c>
      <c r="W49" s="1576">
        <f>IF($U49="","",IF(OR($T49="L",$T49="T",$T49="C"),SUM($U49:V49)*W$16,""))</f>
        <v>518.29999999999961</v>
      </c>
      <c r="X49" s="1576">
        <f>IF($U49="","",SUM($U49:W49)*X$16)</f>
        <v>1710.3899999999987</v>
      </c>
      <c r="Y49" s="1577">
        <f t="shared" si="13"/>
        <v>2228.6899999999982</v>
      </c>
      <c r="Z49" s="1574"/>
      <c r="AA49" s="1578">
        <f t="shared" si="14"/>
        <v>7411.6899999999951</v>
      </c>
      <c r="AB49" s="3525"/>
      <c r="AC49" s="3526">
        <f t="shared" ca="1" si="15"/>
        <v>0.3482182050000468</v>
      </c>
      <c r="AD49" s="1567"/>
      <c r="AE49" s="3527"/>
      <c r="AF49" s="1569">
        <f>AF48</f>
        <v>24</v>
      </c>
      <c r="AG49" s="1569"/>
      <c r="AH49" s="1571">
        <f>$AH$16/K49</f>
        <v>5</v>
      </c>
      <c r="AI49" s="1571">
        <f>$AH$16/AH49</f>
        <v>1</v>
      </c>
      <c r="AJ49" s="1554">
        <f>$H49*(1-(1+$L$15)^-(AH49*AI49))/((1+$L$15)^AI49-1)*(1+((1+$L$15)^AI49-1))</f>
        <v>2399674.6947323284</v>
      </c>
      <c r="AK49" s="1580"/>
    </row>
    <row r="50" spans="1:37" s="1550" customFormat="1" ht="19" customHeight="1">
      <c r="B50" s="3528"/>
      <c r="C50" s="3752"/>
      <c r="D50" s="3755"/>
      <c r="E50" s="1552" t="s">
        <v>21</v>
      </c>
      <c r="F50" s="1553"/>
      <c r="G50" s="1553"/>
      <c r="H50" s="1554"/>
      <c r="I50" s="3524"/>
      <c r="J50" s="1555"/>
      <c r="K50" s="1933"/>
      <c r="L50" s="1557"/>
      <c r="M50" s="1558"/>
      <c r="N50" s="1554"/>
      <c r="O50" s="3529">
        <f t="shared" si="0"/>
        <v>0</v>
      </c>
      <c r="P50" s="3530"/>
      <c r="Q50" s="3095"/>
      <c r="R50" s="3095"/>
      <c r="S50" s="3095"/>
      <c r="T50" s="1581" t="s">
        <v>811</v>
      </c>
      <c r="U50" s="3531"/>
      <c r="V50" s="3531" t="str">
        <f>IF($T50="L",SUM($U50:U50)*V$16,"")</f>
        <v/>
      </c>
      <c r="W50" s="3531" t="str">
        <f>IF($U50="","",IF(OR($T50="L",$T50="T",$T50="C"),SUM($U50:V50)*W$16,""))</f>
        <v/>
      </c>
      <c r="X50" s="3531" t="str">
        <f>IF($U50="","",SUM($U50:W50)*X$16)</f>
        <v/>
      </c>
      <c r="Y50" s="3529" t="str">
        <f t="shared" si="13"/>
        <v/>
      </c>
      <c r="Z50" s="3530"/>
      <c r="AA50" s="3532" t="str">
        <f t="shared" si="14"/>
        <v/>
      </c>
      <c r="AB50" s="3533"/>
      <c r="AC50" s="3534" t="str">
        <f t="shared" ca="1" si="15"/>
        <v/>
      </c>
      <c r="AD50" s="3535"/>
      <c r="AE50" s="3527"/>
      <c r="AF50" s="1569">
        <f>AF49</f>
        <v>24</v>
      </c>
      <c r="AG50" s="1569"/>
      <c r="AH50" s="1571"/>
      <c r="AI50" s="1571"/>
      <c r="AJ50" s="1554"/>
      <c r="AK50" s="3536"/>
    </row>
    <row r="51" spans="1:37" s="1441" customFormat="1" ht="19" customHeight="1">
      <c r="B51" s="3537">
        <v>5.3</v>
      </c>
      <c r="C51" s="3912" t="str">
        <f>C47</f>
        <v>Management Action 2
( L + T + C + E)</v>
      </c>
      <c r="D51" s="3915" t="str">
        <f>D47</f>
        <v>Injection of phosphite (1%  of phytophthora management area)</v>
      </c>
      <c r="E51" s="1443" t="s">
        <v>3</v>
      </c>
      <c r="F51" s="1444"/>
      <c r="G51" s="1444">
        <f>$F$388</f>
        <v>2234.1803687095166</v>
      </c>
      <c r="H51" s="1445">
        <f>J428</f>
        <v>502690.58295964124</v>
      </c>
      <c r="I51" s="3538" t="s">
        <v>474</v>
      </c>
      <c r="J51" s="1447" t="str">
        <f>IF(K51=1,"Annual","Done every "&amp;K51&amp;" years")</f>
        <v>Annual</v>
      </c>
      <c r="K51" s="1948">
        <f>K47</f>
        <v>1</v>
      </c>
      <c r="L51" s="1449">
        <f t="shared" ref="L51:M53" si="21">$L$16/K51</f>
        <v>80</v>
      </c>
      <c r="M51" s="1450">
        <f t="shared" si="21"/>
        <v>1</v>
      </c>
      <c r="N51" s="1445">
        <f>$H51*(1-(1+$L$15)^-(L51*M51))/((1+$L$15)^M51-1)*(1+((1+$L$15)^M51-1))</f>
        <v>12502923.959961466</v>
      </c>
      <c r="O51" s="1451">
        <f t="shared" si="0"/>
        <v>502690.58295964083</v>
      </c>
      <c r="P51" s="1466">
        <f>SUM(O51:O54)</f>
        <v>1340201.2855007462</v>
      </c>
      <c r="Q51" s="2840"/>
      <c r="R51" s="2840"/>
      <c r="S51" s="2840"/>
      <c r="T51" s="1453" t="s">
        <v>808</v>
      </c>
      <c r="U51" s="1455">
        <f>O51/$U$16</f>
        <v>5026.9058295964087</v>
      </c>
      <c r="V51" s="1455">
        <f>IF($T51="L",SUM($U51:U51)*V$16,"")</f>
        <v>1508.0717488789226</v>
      </c>
      <c r="W51" s="1455">
        <f>IF($U51="","",IF(OR($T51="L",$T51="T",$T51="C"),SUM($U51:V51)*W$16,""))</f>
        <v>653.49775784753319</v>
      </c>
      <c r="X51" s="1455">
        <f>IF($U51="","",SUM($U51:W51)*X$16)</f>
        <v>2156.5426008968593</v>
      </c>
      <c r="Y51" s="1469">
        <f t="shared" si="13"/>
        <v>4318.1121076233158</v>
      </c>
      <c r="Z51" s="1466">
        <f>SUM(V51:X54)</f>
        <v>7919.4081285500688</v>
      </c>
      <c r="AA51" s="1470">
        <f t="shared" si="14"/>
        <v>9345.0179372197235</v>
      </c>
      <c r="AB51" s="2809">
        <f>SUM(AA51:AA54)</f>
        <v>21321.420983557531</v>
      </c>
      <c r="AC51" s="3539">
        <f t="shared" ca="1" si="15"/>
        <v>0.43829245454260923</v>
      </c>
      <c r="AD51" s="1939"/>
      <c r="AE51" s="3540"/>
      <c r="AF51" s="1461">
        <f>AF47+4</f>
        <v>28</v>
      </c>
      <c r="AG51" s="1462">
        <f ca="1">SUM(AC51:AC54)-1</f>
        <v>0</v>
      </c>
      <c r="AH51" s="1463">
        <f>$AH$16/K51</f>
        <v>5</v>
      </c>
      <c r="AI51" s="1463">
        <f>$AH$16/AH51</f>
        <v>1</v>
      </c>
      <c r="AJ51" s="1445">
        <f>$H51*(1-(1+$L$15)^-(AH51*AI51))/((1+$L$15)^AI51-1)*(1+((1+$L$15)^AI51-1))</f>
        <v>2327404.7293237378</v>
      </c>
      <c r="AK51" s="1472">
        <f>SUM(AJ51:AJ54)</f>
        <v>6204991.5312828086</v>
      </c>
    </row>
    <row r="52" spans="1:37" s="1441" customFormat="1" ht="19" customHeight="1">
      <c r="B52" s="1465"/>
      <c r="C52" s="3913"/>
      <c r="D52" s="3916"/>
      <c r="E52" s="1443" t="s">
        <v>308</v>
      </c>
      <c r="F52" s="1444">
        <f>$F$415</f>
        <v>54</v>
      </c>
      <c r="G52" s="1444">
        <f>$F$414</f>
        <v>1117.0901843547583</v>
      </c>
      <c r="H52" s="1445">
        <f>J429</f>
        <v>318370.70254110615</v>
      </c>
      <c r="I52" s="3538" t="s">
        <v>65</v>
      </c>
      <c r="J52" s="1447" t="str">
        <f>IF(K52=1,"Annual","Done every "&amp;K52&amp;" years")</f>
        <v>Annual</v>
      </c>
      <c r="K52" s="1948">
        <f>K48</f>
        <v>1</v>
      </c>
      <c r="L52" s="1449">
        <f t="shared" si="21"/>
        <v>80</v>
      </c>
      <c r="M52" s="1450">
        <f t="shared" si="21"/>
        <v>1</v>
      </c>
      <c r="N52" s="1445">
        <f>$H52*(1-(1+$L$15)^-(L52*M52))/((1+$L$15)^M52-1)*(1+((1+$L$15)^M52-1))</f>
        <v>7918518.5079755969</v>
      </c>
      <c r="O52" s="1451">
        <f t="shared" si="0"/>
        <v>318370.70254110591</v>
      </c>
      <c r="P52" s="1466"/>
      <c r="Q52" s="2840">
        <f>1*(1-(1+$L$15)^-(L52*M52))/((1+$L$15)^M52-1)*(1+((1+$L$15)^M52-1))</f>
        <v>24.872007520708362</v>
      </c>
      <c r="R52" s="2840">
        <f>Q52/(1+$L$15)*($L$15)/(1-(1+$L$15)^-$L$16)</f>
        <v>0.99999999999999911</v>
      </c>
      <c r="S52" s="2840">
        <f>F52*R52</f>
        <v>53.99999999999995</v>
      </c>
      <c r="T52" s="1467" t="s">
        <v>809</v>
      </c>
      <c r="U52" s="1455">
        <f>O52/$U$16</f>
        <v>3183.707025411059</v>
      </c>
      <c r="V52" s="1468" t="str">
        <f>IF($T52="L",SUM($U52:U52)*V$16,"")</f>
        <v/>
      </c>
      <c r="W52" s="1468">
        <f>IF($U52="","",IF(OR($T52="L",$T52="T",$T52="C"),SUM($U52:V52)*W$16,""))</f>
        <v>318.37070254110591</v>
      </c>
      <c r="X52" s="1468">
        <f>IF($U52="","",SUM($U52:W52)*X$16)</f>
        <v>1050.6233183856493</v>
      </c>
      <c r="Y52" s="1469">
        <f t="shared" si="13"/>
        <v>1368.9940209267552</v>
      </c>
      <c r="Z52" s="1466"/>
      <c r="AA52" s="1470">
        <f t="shared" si="14"/>
        <v>4552.7010463378138</v>
      </c>
      <c r="AB52" s="2809"/>
      <c r="AC52" s="3539">
        <f t="shared" ca="1" si="15"/>
        <v>0.21352709323870706</v>
      </c>
      <c r="AD52" s="1459"/>
      <c r="AE52" s="3540"/>
      <c r="AF52" s="1461">
        <f>AF51</f>
        <v>28</v>
      </c>
      <c r="AG52" s="1461"/>
      <c r="AH52" s="1463">
        <f>$AH$16/K52</f>
        <v>5</v>
      </c>
      <c r="AI52" s="1463">
        <f>$AH$16/AH52</f>
        <v>1</v>
      </c>
      <c r="AJ52" s="1445">
        <f>$H52*(1-(1+$L$15)^-(AH52*AI52))/((1+$L$15)^AI52-1)*(1+((1+$L$15)^AI52-1))</f>
        <v>1474022.9952383672</v>
      </c>
      <c r="AK52" s="1472"/>
    </row>
    <row r="53" spans="1:37" s="1441" customFormat="1" ht="19" customHeight="1">
      <c r="B53" s="1465"/>
      <c r="C53" s="3913"/>
      <c r="D53" s="3916"/>
      <c r="E53" s="1443" t="s">
        <v>4</v>
      </c>
      <c r="F53" s="1444"/>
      <c r="G53" s="1444">
        <f>$F$421</f>
        <v>2234</v>
      </c>
      <c r="H53" s="1445">
        <f>J430</f>
        <v>519140</v>
      </c>
      <c r="I53" s="3538" t="s">
        <v>70</v>
      </c>
      <c r="J53" s="1447" t="str">
        <f>IF(K53=1,"Annual","Done every "&amp;K53&amp;" years")</f>
        <v>Annual</v>
      </c>
      <c r="K53" s="1948">
        <f>K49</f>
        <v>1</v>
      </c>
      <c r="L53" s="1449">
        <f t="shared" si="21"/>
        <v>80</v>
      </c>
      <c r="M53" s="1450">
        <f t="shared" si="21"/>
        <v>1</v>
      </c>
      <c r="N53" s="1445">
        <f>$H53*(1-(1+$L$15)^-(L53*M53))/((1+$L$15)^M53-1)*(1+((1+$L$15)^M53-1))</f>
        <v>12912053.984300539</v>
      </c>
      <c r="O53" s="1451">
        <f t="shared" si="0"/>
        <v>519139.99999999953</v>
      </c>
      <c r="P53" s="1466"/>
      <c r="Q53" s="2840"/>
      <c r="R53" s="2840"/>
      <c r="S53" s="2840"/>
      <c r="T53" s="1467" t="s">
        <v>810</v>
      </c>
      <c r="U53" s="1455">
        <f>O53/$U$16</f>
        <v>5191.3999999999951</v>
      </c>
      <c r="V53" s="1468" t="str">
        <f>IF($T53="L",SUM($U53:U53)*V$16,"")</f>
        <v/>
      </c>
      <c r="W53" s="1468">
        <f>IF($U53="","",IF(OR($T53="L",$T53="T",$T53="C"),SUM($U53:V53)*W$16,""))</f>
        <v>519.13999999999953</v>
      </c>
      <c r="X53" s="1468">
        <f>IF($U53="","",SUM($U53:W53)*X$16)</f>
        <v>1713.1619999999982</v>
      </c>
      <c r="Y53" s="1469">
        <f t="shared" si="13"/>
        <v>2232.3019999999979</v>
      </c>
      <c r="Z53" s="1466"/>
      <c r="AA53" s="1470">
        <f t="shared" si="14"/>
        <v>7423.7019999999929</v>
      </c>
      <c r="AB53" s="2809"/>
      <c r="AC53" s="3539">
        <f t="shared" ca="1" si="15"/>
        <v>0.34818045221868371</v>
      </c>
      <c r="AD53" s="1459"/>
      <c r="AE53" s="3540"/>
      <c r="AF53" s="1461">
        <f>AF52</f>
        <v>28</v>
      </c>
      <c r="AG53" s="1461"/>
      <c r="AH53" s="1463">
        <f>$AH$16/K53</f>
        <v>5</v>
      </c>
      <c r="AI53" s="1463">
        <f>$AH$16/AH53</f>
        <v>1</v>
      </c>
      <c r="AJ53" s="1445">
        <f>$H53*(1-(1+$L$15)^-(AH53*AI53))/((1+$L$15)^AI53-1)*(1+((1+$L$15)^AI53-1))</f>
        <v>2403563.8067207043</v>
      </c>
      <c r="AK53" s="1472"/>
    </row>
    <row r="54" spans="1:37" s="1441" customFormat="1" ht="19" customHeight="1">
      <c r="B54" s="3541"/>
      <c r="C54" s="3914"/>
      <c r="D54" s="3917"/>
      <c r="E54" s="1443" t="s">
        <v>21</v>
      </c>
      <c r="F54" s="1444"/>
      <c r="G54" s="1444"/>
      <c r="H54" s="1445"/>
      <c r="I54" s="3538"/>
      <c r="J54" s="1447"/>
      <c r="K54" s="1948"/>
      <c r="L54" s="1449"/>
      <c r="M54" s="1450"/>
      <c r="N54" s="1445"/>
      <c r="O54" s="3542">
        <f t="shared" si="0"/>
        <v>0</v>
      </c>
      <c r="P54" s="3543"/>
      <c r="Q54" s="3096"/>
      <c r="R54" s="3096"/>
      <c r="S54" s="3096"/>
      <c r="T54" s="1473" t="s">
        <v>811</v>
      </c>
      <c r="U54" s="3544"/>
      <c r="V54" s="3544" t="str">
        <f>IF($T54="L",SUM($U54:U54)*V$16,"")</f>
        <v/>
      </c>
      <c r="W54" s="3544" t="str">
        <f>IF($U54="","",IF(OR($T54="L",$T54="T",$T54="C"),SUM($U54:V54)*W$16,""))</f>
        <v/>
      </c>
      <c r="X54" s="3544" t="str">
        <f>IF($U54="","",SUM($U54:W54)*X$16)</f>
        <v/>
      </c>
      <c r="Y54" s="3542" t="str">
        <f t="shared" si="13"/>
        <v/>
      </c>
      <c r="Z54" s="3543"/>
      <c r="AA54" s="3545" t="str">
        <f t="shared" si="14"/>
        <v/>
      </c>
      <c r="AB54" s="3546"/>
      <c r="AC54" s="3547" t="str">
        <f t="shared" ca="1" si="15"/>
        <v/>
      </c>
      <c r="AD54" s="3548"/>
      <c r="AE54" s="3540"/>
      <c r="AF54" s="1461">
        <f>AF53</f>
        <v>28</v>
      </c>
      <c r="AG54" s="1461"/>
      <c r="AH54" s="1463"/>
      <c r="AI54" s="1463"/>
      <c r="AJ54" s="1445"/>
      <c r="AK54" s="3549"/>
    </row>
    <row r="55" spans="1:37" ht="19" customHeight="1">
      <c r="A55" s="390"/>
      <c r="B55" s="709">
        <v>6.1</v>
      </c>
      <c r="C55" s="3859" t="s">
        <v>1097</v>
      </c>
      <c r="D55" s="3850" t="s">
        <v>1096</v>
      </c>
      <c r="E55" s="373" t="s">
        <v>3</v>
      </c>
      <c r="F55" s="1176"/>
      <c r="G55" s="1176">
        <f>$D$486</f>
        <v>20.847035376183356</v>
      </c>
      <c r="H55" s="370">
        <f>H521</f>
        <v>4690.582959641255</v>
      </c>
      <c r="I55" s="613" t="s">
        <v>474</v>
      </c>
      <c r="J55" s="375" t="str">
        <f>IF(K55=1,"Annual","Done every "&amp;K55&amp;" years")</f>
        <v>Annual</v>
      </c>
      <c r="K55" s="374">
        <f>L521</f>
        <v>1</v>
      </c>
      <c r="L55" s="386">
        <f t="shared" ref="L55:M57" si="22">$L$16/K55</f>
        <v>80</v>
      </c>
      <c r="M55" s="371">
        <f t="shared" si="22"/>
        <v>1</v>
      </c>
      <c r="N55" s="370">
        <f>$H55*(1-(1+$L$15)^-(L55*M55))/((1+$L$15)^M55-1)*(1+((1+$L$15)^M55-1))</f>
        <v>116664.21464870378</v>
      </c>
      <c r="O55" s="640">
        <f t="shared" si="0"/>
        <v>4690.5829596412514</v>
      </c>
      <c r="P55" s="392">
        <f>SUM(O55:O58)</f>
        <v>11861.285500747374</v>
      </c>
      <c r="Q55" s="3067"/>
      <c r="R55" s="3067"/>
      <c r="S55" s="3067"/>
      <c r="T55" s="1039" t="s">
        <v>808</v>
      </c>
      <c r="U55" s="639">
        <f t="shared" si="12"/>
        <v>46.905829596412516</v>
      </c>
      <c r="V55" s="639">
        <f>IF($T55="L",SUM($U55:U55)*V$16,"")</f>
        <v>14.071748878923755</v>
      </c>
      <c r="W55" s="639">
        <f>IF($U55="","",IF(OR($T55="L",$T55="T",$T55="C"),SUM($U55:V55)*W$16,""))</f>
        <v>6.0977578475336278</v>
      </c>
      <c r="X55" s="639">
        <f>IF($U55="","",SUM($U55:W55)*X$16)</f>
        <v>20.12260089686097</v>
      </c>
      <c r="Y55" s="388">
        <f t="shared" si="13"/>
        <v>40.292107623318351</v>
      </c>
      <c r="Z55" s="392">
        <f>SUM(V55:X58)</f>
        <v>71.126128550074682</v>
      </c>
      <c r="AA55" s="734">
        <f t="shared" si="14"/>
        <v>87.197937219730875</v>
      </c>
      <c r="AB55" s="391">
        <f>SUM(AA55:AA58)</f>
        <v>189.73898355754841</v>
      </c>
      <c r="AC55" s="936">
        <f t="shared" ca="1" si="15"/>
        <v>0.45956785255615895</v>
      </c>
      <c r="AD55" s="638"/>
      <c r="AE55" s="1069"/>
      <c r="AF55" s="587">
        <f>AF51+4</f>
        <v>32</v>
      </c>
      <c r="AG55" s="816">
        <f ca="1">SUM(AC55:AC58)-1</f>
        <v>0</v>
      </c>
      <c r="AH55" s="387">
        <f>$AH$16/K55</f>
        <v>5</v>
      </c>
      <c r="AI55" s="387">
        <f>$AH$16/AH55</f>
        <v>1</v>
      </c>
      <c r="AJ55" s="370">
        <f>$H55*(1-(1+$L$15)^-(AH55*AI55))/((1+$L$15)^AI55-1)*(1+((1+$L$15)^AI55-1))</f>
        <v>21716.907643823633</v>
      </c>
      <c r="AK55" s="981">
        <f>SUM(AJ55:AJ58)</f>
        <v>54916.509093457404</v>
      </c>
    </row>
    <row r="56" spans="1:37" ht="19" customHeight="1">
      <c r="A56" s="390"/>
      <c r="B56" s="372"/>
      <c r="C56" s="3860"/>
      <c r="D56" s="3851"/>
      <c r="E56" s="373" t="s">
        <v>308</v>
      </c>
      <c r="F56" s="1176">
        <f>D508</f>
        <v>1</v>
      </c>
      <c r="G56" s="1176">
        <f>D507</f>
        <v>10.423517688091678</v>
      </c>
      <c r="H56" s="370">
        <f>H522</f>
        <v>2970.7025411061281</v>
      </c>
      <c r="I56" s="613" t="s">
        <v>65</v>
      </c>
      <c r="J56" s="375" t="str">
        <f>IF(K56=1,"Annual","Done every "&amp;K56&amp;" years")</f>
        <v>Annual</v>
      </c>
      <c r="K56" s="374">
        <f>L522</f>
        <v>1</v>
      </c>
      <c r="L56" s="386">
        <f t="shared" si="22"/>
        <v>80</v>
      </c>
      <c r="M56" s="371">
        <f t="shared" si="22"/>
        <v>1</v>
      </c>
      <c r="N56" s="370">
        <f>$H56*(1-(1+$L$15)^-(L56*M56))/((1+$L$15)^M56-1)*(1+((1+$L$15)^M56-1))</f>
        <v>73887.335944179067</v>
      </c>
      <c r="O56" s="640">
        <f t="shared" si="0"/>
        <v>2970.7025411061259</v>
      </c>
      <c r="P56" s="392"/>
      <c r="Q56" s="3067">
        <f>1*(1-(1+$L$15)^-(L56*M56))/((1+$L$15)^M56-1)*(1+((1+$L$15)^M56-1))</f>
        <v>24.872007520708362</v>
      </c>
      <c r="R56" s="3067">
        <f>Q56/(1+$L$15)*($L$15)/(1-(1+$L$15)^-$L$16)</f>
        <v>0.99999999999999911</v>
      </c>
      <c r="S56" s="3067">
        <f>F56*R56</f>
        <v>0.99999999999999911</v>
      </c>
      <c r="T56" s="1034" t="s">
        <v>809</v>
      </c>
      <c r="U56" s="639">
        <f t="shared" si="12"/>
        <v>29.707025411061259</v>
      </c>
      <c r="V56" s="642" t="str">
        <f>IF($T56="L",SUM($U56:U56)*V$16,"")</f>
        <v/>
      </c>
      <c r="W56" s="642">
        <f>IF($U56="","",IF(OR($T56="L",$T56="T",$T56="C"),SUM($U56:V56)*W$16,""))</f>
        <v>2.9707025411061263</v>
      </c>
      <c r="X56" s="642">
        <f>IF($U56="","",SUM($U56:W56)*X$16)</f>
        <v>9.8033183856502166</v>
      </c>
      <c r="Y56" s="388">
        <f t="shared" si="13"/>
        <v>12.774020926756343</v>
      </c>
      <c r="Z56" s="392"/>
      <c r="AA56" s="734">
        <f t="shared" si="14"/>
        <v>42.481046337817602</v>
      </c>
      <c r="AB56" s="391"/>
      <c r="AC56" s="936">
        <f t="shared" ca="1" si="15"/>
        <v>0.22389203073248767</v>
      </c>
      <c r="AD56" s="641"/>
      <c r="AE56" s="1069"/>
      <c r="AF56" s="587">
        <f>AF55</f>
        <v>32</v>
      </c>
      <c r="AG56" s="587"/>
      <c r="AH56" s="387">
        <f>$AH$16/K56</f>
        <v>5</v>
      </c>
      <c r="AI56" s="387">
        <f>$AH$16/AH56</f>
        <v>1</v>
      </c>
      <c r="AJ56" s="370">
        <f>$H56*(1-(1+$L$15)^-(AH56*AI56))/((1+$L$15)^AI56-1)*(1+((1+$L$15)^AI56-1))</f>
        <v>13754.04150775497</v>
      </c>
      <c r="AK56" s="981"/>
    </row>
    <row r="57" spans="1:37" ht="19" customHeight="1">
      <c r="A57" s="390"/>
      <c r="B57" s="372"/>
      <c r="C57" s="3860"/>
      <c r="D57" s="3851"/>
      <c r="E57" s="373" t="s">
        <v>4</v>
      </c>
      <c r="F57" s="1176"/>
      <c r="G57" s="1176">
        <f>$D$514</f>
        <v>10</v>
      </c>
      <c r="H57" s="370">
        <f>H523</f>
        <v>4200</v>
      </c>
      <c r="I57" s="613" t="s">
        <v>70</v>
      </c>
      <c r="J57" s="375" t="str">
        <f>IF(K57=1,"Annual","Done every "&amp;K57&amp;" years")</f>
        <v>Annual</v>
      </c>
      <c r="K57" s="374">
        <f>L523</f>
        <v>1</v>
      </c>
      <c r="L57" s="386">
        <f t="shared" si="22"/>
        <v>80</v>
      </c>
      <c r="M57" s="371">
        <f t="shared" si="22"/>
        <v>1</v>
      </c>
      <c r="N57" s="370">
        <f>$H57*(1-(1+$L$15)^-(L57*M57))/((1+$L$15)^M57-1)*(1+((1+$L$15)^M57-1))</f>
        <v>104462.43158697512</v>
      </c>
      <c r="O57" s="640">
        <f t="shared" si="0"/>
        <v>4199.9999999999964</v>
      </c>
      <c r="P57" s="392"/>
      <c r="Q57" s="3067"/>
      <c r="R57" s="3067"/>
      <c r="S57" s="3067"/>
      <c r="T57" s="1034" t="s">
        <v>810</v>
      </c>
      <c r="U57" s="639">
        <f t="shared" si="12"/>
        <v>41.999999999999964</v>
      </c>
      <c r="V57" s="642" t="str">
        <f>IF($T57="L",SUM($U57:U57)*V$16,"")</f>
        <v/>
      </c>
      <c r="W57" s="642">
        <f>IF($U57="","",IF(OR($T57="L",$T57="T",$T57="C"),SUM($U57:V57)*W$16,""))</f>
        <v>4.1999999999999966</v>
      </c>
      <c r="X57" s="642">
        <f>IF($U57="","",SUM($U57:W57)*X$16)</f>
        <v>13.859999999999987</v>
      </c>
      <c r="Y57" s="388">
        <f t="shared" si="13"/>
        <v>18.059999999999985</v>
      </c>
      <c r="Z57" s="392"/>
      <c r="AA57" s="734">
        <f t="shared" si="14"/>
        <v>60.059999999999945</v>
      </c>
      <c r="AB57" s="391"/>
      <c r="AC57" s="936">
        <f t="shared" ca="1" si="15"/>
        <v>0.31654011671135346</v>
      </c>
      <c r="AD57" s="641"/>
      <c r="AE57" s="1069"/>
      <c r="AF57" s="587">
        <f>AF56</f>
        <v>32</v>
      </c>
      <c r="AG57" s="587"/>
      <c r="AH57" s="387">
        <f>$AH$16/K57</f>
        <v>5</v>
      </c>
      <c r="AI57" s="387">
        <f>$AH$16/AH57</f>
        <v>1</v>
      </c>
      <c r="AJ57" s="370">
        <f>$H57*(1-(1+$L$15)^-(AH57*AI57))/((1+$L$15)^AI57-1)*(1+((1+$L$15)^AI57-1))</f>
        <v>19445.559941878797</v>
      </c>
      <c r="AK57" s="981"/>
    </row>
    <row r="58" spans="1:37" ht="19" customHeight="1">
      <c r="A58" s="390"/>
      <c r="B58" s="698"/>
      <c r="C58" s="3861"/>
      <c r="D58" s="3862"/>
      <c r="E58" s="373" t="s">
        <v>21</v>
      </c>
      <c r="F58" s="1176"/>
      <c r="G58" s="1176"/>
      <c r="H58" s="370"/>
      <c r="I58" s="613"/>
      <c r="J58" s="375"/>
      <c r="K58" s="374"/>
      <c r="L58" s="386"/>
      <c r="M58" s="371"/>
      <c r="N58" s="370"/>
      <c r="O58" s="699">
        <f t="shared" si="0"/>
        <v>0</v>
      </c>
      <c r="P58" s="396"/>
      <c r="Q58" s="3068"/>
      <c r="R58" s="3068"/>
      <c r="S58" s="3068"/>
      <c r="T58" s="1040" t="s">
        <v>811</v>
      </c>
      <c r="U58" s="700"/>
      <c r="V58" s="700" t="str">
        <f>IF($T58="L",SUM($U58:U58)*V$16,"")</f>
        <v/>
      </c>
      <c r="W58" s="700" t="str">
        <f>IF($U58="","",IF(OR($T58="L",$T58="T",$T58="C"),SUM($U58:V58)*W$16,""))</f>
        <v/>
      </c>
      <c r="X58" s="700" t="str">
        <f>IF($U58="","",SUM($U58:W58)*X$16)</f>
        <v/>
      </c>
      <c r="Y58" s="699" t="str">
        <f t="shared" si="13"/>
        <v/>
      </c>
      <c r="Z58" s="396"/>
      <c r="AA58" s="743" t="str">
        <f t="shared" si="14"/>
        <v/>
      </c>
      <c r="AB58" s="395"/>
      <c r="AC58" s="937" t="str">
        <f t="shared" ca="1" si="15"/>
        <v/>
      </c>
      <c r="AD58" s="822"/>
      <c r="AE58" s="1069"/>
      <c r="AF58" s="587">
        <f>AF57</f>
        <v>32</v>
      </c>
      <c r="AG58" s="587"/>
      <c r="AH58" s="387"/>
      <c r="AI58" s="387"/>
      <c r="AJ58" s="370"/>
      <c r="AK58" s="882"/>
    </row>
    <row r="59" spans="1:37" ht="19" customHeight="1">
      <c r="A59" s="676"/>
      <c r="B59" s="711">
        <v>6.2</v>
      </c>
      <c r="C59" s="3875" t="s">
        <v>203</v>
      </c>
      <c r="D59" s="3852" t="str">
        <f>D55</f>
        <v xml:space="preserve">This is assessing the effect of phytophthora treatment </v>
      </c>
      <c r="E59" s="685" t="s">
        <v>3</v>
      </c>
      <c r="F59" s="1177"/>
      <c r="G59" s="1177">
        <f>$E$486</f>
        <v>24.833084205281516</v>
      </c>
      <c r="H59" s="665">
        <f>I521</f>
        <v>5587.4439461883412</v>
      </c>
      <c r="I59" s="818" t="s">
        <v>474</v>
      </c>
      <c r="J59" s="666" t="str">
        <f>IF(K59=1,"Annual","Done every "&amp;K59&amp;" years")</f>
        <v>Annual</v>
      </c>
      <c r="K59" s="701">
        <f>K55</f>
        <v>1</v>
      </c>
      <c r="L59" s="668">
        <f t="shared" ref="L59:M61" si="23">$L$16/K59</f>
        <v>80</v>
      </c>
      <c r="M59" s="667">
        <f t="shared" si="23"/>
        <v>1</v>
      </c>
      <c r="N59" s="665">
        <f>$H59*(1-(1+$L$15)^-(L59*M59))/((1+$L$15)^M59-1)*(1+((1+$L$15)^M59-1))</f>
        <v>138970.94785113283</v>
      </c>
      <c r="O59" s="680">
        <f t="shared" si="0"/>
        <v>5587.4439461883367</v>
      </c>
      <c r="P59" s="720">
        <f>SUM(O59:O62)</f>
        <v>14166.158445440946</v>
      </c>
      <c r="Q59" s="2825"/>
      <c r="R59" s="2825"/>
      <c r="S59" s="2825"/>
      <c r="T59" s="1035" t="s">
        <v>808</v>
      </c>
      <c r="U59" s="675">
        <f>O59/$U$16</f>
        <v>55.87443946188337</v>
      </c>
      <c r="V59" s="675">
        <f>IF($T59="L",SUM($U59:U59)*V$16,"")</f>
        <v>16.762331838565011</v>
      </c>
      <c r="W59" s="675">
        <f>IF($U59="","",IF(OR($T59="L",$T59="T",$T59="C"),SUM($U59:V59)*W$16,""))</f>
        <v>7.2636771300448375</v>
      </c>
      <c r="X59" s="675">
        <f>IF($U59="","",SUM($U59:W59)*X$16)</f>
        <v>23.970134529147963</v>
      </c>
      <c r="Y59" s="679">
        <f t="shared" si="13"/>
        <v>47.996143497757814</v>
      </c>
      <c r="Z59" s="720">
        <f>SUM(V59:X62)</f>
        <v>84.88461584454403</v>
      </c>
      <c r="AA59" s="737">
        <f t="shared" si="14"/>
        <v>103.87058295964118</v>
      </c>
      <c r="AB59" s="678">
        <f>SUM(AA59:AA62)</f>
        <v>226.54620029895349</v>
      </c>
      <c r="AC59" s="935">
        <f t="shared" ca="1" si="15"/>
        <v>0.45849624854697246</v>
      </c>
      <c r="AD59" s="674"/>
      <c r="AE59" s="1070"/>
      <c r="AF59" s="587">
        <f>AF55+4</f>
        <v>36</v>
      </c>
      <c r="AG59" s="816">
        <f ca="1">SUM(AC59:AC62)-1</f>
        <v>0</v>
      </c>
      <c r="AH59" s="669">
        <f>$AH$16/K59</f>
        <v>5</v>
      </c>
      <c r="AI59" s="669">
        <f>$AH$16/AH59</f>
        <v>1</v>
      </c>
      <c r="AJ59" s="665">
        <f>$H59*(1-(1+$L$15)^-(AH59*AI59))/((1+$L$15)^AI59-1)*(1+((1+$L$15)^AI59-1))</f>
        <v>25869.280042260285</v>
      </c>
      <c r="AK59" s="984">
        <f>SUM(AJ59:AJ62)</f>
        <v>65587.829332613008</v>
      </c>
    </row>
    <row r="60" spans="1:37" ht="19" customHeight="1">
      <c r="A60" s="676"/>
      <c r="B60" s="677"/>
      <c r="C60" s="3876"/>
      <c r="D60" s="3853"/>
      <c r="E60" s="685" t="s">
        <v>308</v>
      </c>
      <c r="F60" s="1177">
        <f>E508</f>
        <v>1</v>
      </c>
      <c r="G60" s="1177">
        <f>E507</f>
        <v>12.416542102640758</v>
      </c>
      <c r="H60" s="665">
        <f>I522</f>
        <v>3538.714499252616</v>
      </c>
      <c r="I60" s="818" t="s">
        <v>65</v>
      </c>
      <c r="J60" s="666" t="str">
        <f>IF(K60=1,"Annual","Done every "&amp;K60&amp;" years")</f>
        <v>Annual</v>
      </c>
      <c r="K60" s="701">
        <f>K56</f>
        <v>1</v>
      </c>
      <c r="L60" s="668">
        <f t="shared" si="23"/>
        <v>80</v>
      </c>
      <c r="M60" s="667">
        <f t="shared" si="23"/>
        <v>1</v>
      </c>
      <c r="N60" s="665">
        <f>$H60*(1-(1+$L$15)^-(L60*M60))/((1+$L$15)^M60-1)*(1+((1+$L$15)^M60-1))</f>
        <v>88014.933639050781</v>
      </c>
      <c r="O60" s="680">
        <f t="shared" si="0"/>
        <v>3538.7144992526128</v>
      </c>
      <c r="P60" s="720"/>
      <c r="Q60" s="2825">
        <f>1*(1-(1+$L$15)^-(L60*M60))/((1+$L$15)^M60-1)*(1+((1+$L$15)^M60-1))</f>
        <v>24.872007520708362</v>
      </c>
      <c r="R60" s="2825">
        <f>Q60/(1+$L$15)*($L$15)/(1-(1+$L$15)^-$L$16)</f>
        <v>0.99999999999999911</v>
      </c>
      <c r="S60" s="2825">
        <f>F60*R60</f>
        <v>0.99999999999999911</v>
      </c>
      <c r="T60" s="1036" t="s">
        <v>809</v>
      </c>
      <c r="U60" s="675">
        <f>O60/$U$16</f>
        <v>35.387144992526125</v>
      </c>
      <c r="V60" s="682" t="str">
        <f>IF($T60="L",SUM($U60:U60)*V$16,"")</f>
        <v/>
      </c>
      <c r="W60" s="682">
        <f>IF($U60="","",IF(OR($T60="L",$T60="T",$T60="C"),SUM($U60:V60)*W$16,""))</f>
        <v>3.5387144992526127</v>
      </c>
      <c r="X60" s="682">
        <f>IF($U60="","",SUM($U60:W60)*X$16)</f>
        <v>11.677757847533622</v>
      </c>
      <c r="Y60" s="679">
        <f t="shared" si="13"/>
        <v>15.216472346786235</v>
      </c>
      <c r="Z60" s="720"/>
      <c r="AA60" s="737">
        <f t="shared" si="14"/>
        <v>50.603617339312358</v>
      </c>
      <c r="AB60" s="678"/>
      <c r="AC60" s="935">
        <f t="shared" ca="1" si="15"/>
        <v>0.22336996724083266</v>
      </c>
      <c r="AD60" s="681"/>
      <c r="AE60" s="1070"/>
      <c r="AF60" s="587">
        <f>AF59</f>
        <v>36</v>
      </c>
      <c r="AG60" s="587"/>
      <c r="AH60" s="669">
        <f>$AH$16/K60</f>
        <v>5</v>
      </c>
      <c r="AI60" s="669">
        <f>$AH$16/AH60</f>
        <v>1</v>
      </c>
      <c r="AJ60" s="665">
        <f>$H60*(1-(1+$L$15)^-(AH60*AI60))/((1+$L$15)^AI60-1)*(1+((1+$L$15)^AI60-1))</f>
        <v>16383.877360098179</v>
      </c>
      <c r="AK60" s="984"/>
    </row>
    <row r="61" spans="1:37" ht="19" customHeight="1">
      <c r="A61" s="676"/>
      <c r="B61" s="677"/>
      <c r="C61" s="3876"/>
      <c r="D61" s="3853"/>
      <c r="E61" s="685" t="s">
        <v>4</v>
      </c>
      <c r="F61" s="1177"/>
      <c r="G61" s="1177">
        <f>$E$514</f>
        <v>12</v>
      </c>
      <c r="H61" s="665">
        <f>I523</f>
        <v>5040</v>
      </c>
      <c r="I61" s="818" t="s">
        <v>70</v>
      </c>
      <c r="J61" s="666" t="str">
        <f>IF(K61=1,"Annual","Done every "&amp;K61&amp;" years")</f>
        <v>Annual</v>
      </c>
      <c r="K61" s="701">
        <f>K57</f>
        <v>1</v>
      </c>
      <c r="L61" s="668">
        <f t="shared" si="23"/>
        <v>80</v>
      </c>
      <c r="M61" s="667">
        <f t="shared" si="23"/>
        <v>1</v>
      </c>
      <c r="N61" s="665">
        <f>$H61*(1-(1+$L$15)^-(L61*M61))/((1+$L$15)^M61-1)*(1+((1+$L$15)^M61-1))</f>
        <v>125354.91790437014</v>
      </c>
      <c r="O61" s="680">
        <f t="shared" si="0"/>
        <v>5039.9999999999964</v>
      </c>
      <c r="P61" s="720"/>
      <c r="Q61" s="2825"/>
      <c r="R61" s="2825"/>
      <c r="S61" s="2825"/>
      <c r="T61" s="1036" t="s">
        <v>810</v>
      </c>
      <c r="U61" s="675">
        <f>O61/$U$16</f>
        <v>50.399999999999963</v>
      </c>
      <c r="V61" s="682" t="str">
        <f>IF($T61="L",SUM($U61:U61)*V$16,"")</f>
        <v/>
      </c>
      <c r="W61" s="682">
        <f>IF($U61="","",IF(OR($T61="L",$T61="T",$T61="C"),SUM($U61:V61)*W$16,""))</f>
        <v>5.0399999999999965</v>
      </c>
      <c r="X61" s="682">
        <f>IF($U61="","",SUM($U61:W61)*X$16)</f>
        <v>16.631999999999987</v>
      </c>
      <c r="Y61" s="679">
        <f t="shared" si="13"/>
        <v>21.671999999999983</v>
      </c>
      <c r="Z61" s="720"/>
      <c r="AA61" s="737">
        <f t="shared" si="14"/>
        <v>72.071999999999946</v>
      </c>
      <c r="AB61" s="678"/>
      <c r="AC61" s="935">
        <f t="shared" ca="1" si="15"/>
        <v>0.31813378421219485</v>
      </c>
      <c r="AD61" s="681"/>
      <c r="AE61" s="1070"/>
      <c r="AF61" s="587">
        <f>AF60</f>
        <v>36</v>
      </c>
      <c r="AG61" s="587"/>
      <c r="AH61" s="669">
        <f>$AH$16/K61</f>
        <v>5</v>
      </c>
      <c r="AI61" s="669">
        <f>$AH$16/AH61</f>
        <v>1</v>
      </c>
      <c r="AJ61" s="665">
        <f>$H61*(1-(1+$L$15)^-(AH61*AI61))/((1+$L$15)^AI61-1)*(1+((1+$L$15)^AI61-1))</f>
        <v>23334.671930254553</v>
      </c>
      <c r="AK61" s="984"/>
    </row>
    <row r="62" spans="1:37" ht="19" customHeight="1">
      <c r="A62" s="676"/>
      <c r="B62" s="702"/>
      <c r="C62" s="3877"/>
      <c r="D62" s="3854"/>
      <c r="E62" s="685" t="s">
        <v>21</v>
      </c>
      <c r="F62" s="1177"/>
      <c r="G62" s="1177"/>
      <c r="H62" s="665"/>
      <c r="I62" s="818"/>
      <c r="J62" s="666"/>
      <c r="K62" s="701"/>
      <c r="L62" s="668"/>
      <c r="M62" s="667"/>
      <c r="N62" s="665"/>
      <c r="O62" s="703">
        <f t="shared" si="0"/>
        <v>0</v>
      </c>
      <c r="P62" s="718"/>
      <c r="Q62" s="3069"/>
      <c r="R62" s="3069"/>
      <c r="S62" s="3069"/>
      <c r="T62" s="1041" t="s">
        <v>811</v>
      </c>
      <c r="U62" s="704"/>
      <c r="V62" s="704" t="str">
        <f>IF($T62="L",SUM($U62:U62)*V$16,"")</f>
        <v/>
      </c>
      <c r="W62" s="704" t="str">
        <f>IF($U62="","",IF(OR($T62="L",$T62="T",$T62="C"),SUM($U62:V62)*W$16,""))</f>
        <v/>
      </c>
      <c r="X62" s="704" t="str">
        <f>IF($U62="","",SUM($U62:W62)*X$16)</f>
        <v/>
      </c>
      <c r="Y62" s="703" t="str">
        <f t="shared" si="13"/>
        <v/>
      </c>
      <c r="Z62" s="718"/>
      <c r="AA62" s="744" t="str">
        <f t="shared" si="14"/>
        <v/>
      </c>
      <c r="AB62" s="672"/>
      <c r="AC62" s="938" t="str">
        <f t="shared" ca="1" si="15"/>
        <v/>
      </c>
      <c r="AD62" s="823"/>
      <c r="AE62" s="1070"/>
      <c r="AF62" s="587">
        <f>AF61</f>
        <v>36</v>
      </c>
      <c r="AG62" s="587"/>
      <c r="AH62" s="669"/>
      <c r="AI62" s="669"/>
      <c r="AJ62" s="665"/>
      <c r="AK62" s="883"/>
    </row>
    <row r="63" spans="1:37" ht="19" customHeight="1">
      <c r="A63" s="656"/>
      <c r="B63" s="713">
        <v>6.3</v>
      </c>
      <c r="C63" s="3878" t="s">
        <v>203</v>
      </c>
      <c r="D63" s="3863" t="str">
        <f>D59</f>
        <v xml:space="preserve">This is assessing the effect of phytophthora treatment </v>
      </c>
      <c r="E63" s="686" t="s">
        <v>3</v>
      </c>
      <c r="F63" s="1178"/>
      <c r="G63" s="1178">
        <f>$F$486</f>
        <v>32.805181863477827</v>
      </c>
      <c r="H63" s="645">
        <f>J521</f>
        <v>7381.1659192825109</v>
      </c>
      <c r="I63" s="820" t="s">
        <v>474</v>
      </c>
      <c r="J63" s="646" t="str">
        <f>IF(K63=1,"Annual","Done every "&amp;K63&amp;" years")</f>
        <v>Annual</v>
      </c>
      <c r="K63" s="705">
        <f>K59</f>
        <v>1</v>
      </c>
      <c r="L63" s="648">
        <f t="shared" ref="L63:M65" si="24">$L$16/K63</f>
        <v>80</v>
      </c>
      <c r="M63" s="647">
        <f t="shared" si="24"/>
        <v>1</v>
      </c>
      <c r="N63" s="645">
        <f>$H63*(1-(1+$L$15)^-(L63*M63))/((1+$L$15)^M63-1)*(1+((1+$L$15)^M63-1))</f>
        <v>183584.41425599085</v>
      </c>
      <c r="O63" s="660">
        <f t="shared" si="0"/>
        <v>7381.1659192825045</v>
      </c>
      <c r="P63" s="722">
        <f>SUM(O63:O66)</f>
        <v>18775.904334828083</v>
      </c>
      <c r="Q63" s="3070"/>
      <c r="R63" s="3070"/>
      <c r="S63" s="3070"/>
      <c r="T63" s="1037" t="s">
        <v>808</v>
      </c>
      <c r="U63" s="655">
        <f>O63/$U$16</f>
        <v>73.811659192825047</v>
      </c>
      <c r="V63" s="655">
        <f>IF($T63="L",SUM($U63:U63)*V$16,"")</f>
        <v>22.143497757847513</v>
      </c>
      <c r="W63" s="655">
        <f>IF($U63="","",IF(OR($T63="L",$T63="T",$T63="C"),SUM($U63:V63)*W$16,""))</f>
        <v>9.595515695067256</v>
      </c>
      <c r="X63" s="655">
        <f>IF($U63="","",SUM($U63:W63)*X$16)</f>
        <v>31.665201793721941</v>
      </c>
      <c r="Y63" s="659">
        <f t="shared" si="13"/>
        <v>63.40421524663671</v>
      </c>
      <c r="Z63" s="722">
        <f>SUM(V63:X66)</f>
        <v>112.40159043348271</v>
      </c>
      <c r="AA63" s="740">
        <f t="shared" si="14"/>
        <v>137.21587443946174</v>
      </c>
      <c r="AB63" s="658">
        <f>SUM(AA63:AA66)</f>
        <v>300.16063378176352</v>
      </c>
      <c r="AC63" s="939">
        <f t="shared" ca="1" si="15"/>
        <v>0.45714147358586232</v>
      </c>
      <c r="AD63" s="654"/>
      <c r="AE63" s="1071"/>
      <c r="AF63" s="587">
        <f>AF59+4</f>
        <v>40</v>
      </c>
      <c r="AG63" s="816">
        <f ca="1">SUM(AC63:AC66)-1</f>
        <v>0</v>
      </c>
      <c r="AH63" s="649">
        <f>$AH$16/K63</f>
        <v>5</v>
      </c>
      <c r="AI63" s="649">
        <f>$AH$16/AH63</f>
        <v>1</v>
      </c>
      <c r="AJ63" s="645">
        <f>$H63*(1-(1+$L$15)^-(AH63*AI63))/((1+$L$15)^AI63-1)*(1+((1+$L$15)^AI63-1))</f>
        <v>34174.024839133563</v>
      </c>
      <c r="AK63" s="932">
        <f>SUM(AJ63:AJ66)</f>
        <v>86930.469810924216</v>
      </c>
    </row>
    <row r="64" spans="1:37" ht="19" customHeight="1">
      <c r="A64" s="656"/>
      <c r="B64" s="657"/>
      <c r="C64" s="3879"/>
      <c r="D64" s="3864"/>
      <c r="E64" s="686" t="s">
        <v>308</v>
      </c>
      <c r="F64" s="1178">
        <f>F508</f>
        <v>1</v>
      </c>
      <c r="G64" s="1178">
        <f>F507</f>
        <v>16.402590931738914</v>
      </c>
      <c r="H64" s="645">
        <f>J522</f>
        <v>4674.7384155455902</v>
      </c>
      <c r="I64" s="820" t="s">
        <v>65</v>
      </c>
      <c r="J64" s="646" t="str">
        <f>IF(K64=1,"Annual","Done every "&amp;K64&amp;" years")</f>
        <v>Annual</v>
      </c>
      <c r="K64" s="705">
        <f>K60</f>
        <v>1</v>
      </c>
      <c r="L64" s="648">
        <f t="shared" si="24"/>
        <v>80</v>
      </c>
      <c r="M64" s="647">
        <f t="shared" si="24"/>
        <v>1</v>
      </c>
      <c r="N64" s="645">
        <f>$H64*(1-(1+$L$15)^-(L64*M64))/((1+$L$15)^M64-1)*(1+((1+$L$15)^M64-1))</f>
        <v>116270.12902879421</v>
      </c>
      <c r="O64" s="660">
        <f t="shared" si="0"/>
        <v>4674.7384155455857</v>
      </c>
      <c r="P64" s="722"/>
      <c r="Q64" s="3070">
        <f>1*(1-(1+$L$15)^-(L64*M64))/((1+$L$15)^M64-1)*(1+((1+$L$15)^M64-1))</f>
        <v>24.872007520708362</v>
      </c>
      <c r="R64" s="3070">
        <f>Q64/(1+$L$15)*($L$15)/(1-(1+$L$15)^-$L$16)</f>
        <v>0.99999999999999911</v>
      </c>
      <c r="S64" s="3070">
        <f>F64*R64</f>
        <v>0.99999999999999911</v>
      </c>
      <c r="T64" s="1038" t="s">
        <v>809</v>
      </c>
      <c r="U64" s="655">
        <f>O64/$U$16</f>
        <v>46.747384155455855</v>
      </c>
      <c r="V64" s="662" t="str">
        <f>IF($T64="L",SUM($U64:U64)*V$16,"")</f>
        <v/>
      </c>
      <c r="W64" s="662">
        <f>IF($U64="","",IF(OR($T64="L",$T64="T",$T64="C"),SUM($U64:V64)*W$16,""))</f>
        <v>4.674738415545586</v>
      </c>
      <c r="X64" s="662">
        <f>IF($U64="","",SUM($U64:W64)*X$16)</f>
        <v>15.42663677130043</v>
      </c>
      <c r="Y64" s="659">
        <f t="shared" si="13"/>
        <v>20.101375186846017</v>
      </c>
      <c r="Z64" s="722"/>
      <c r="AA64" s="740">
        <f t="shared" si="14"/>
        <v>66.848759342301875</v>
      </c>
      <c r="AB64" s="658"/>
      <c r="AC64" s="939">
        <f t="shared" ca="1" si="15"/>
        <v>0.22270994867003549</v>
      </c>
      <c r="AD64" s="661"/>
      <c r="AE64" s="1071"/>
      <c r="AF64" s="587">
        <f>AF63</f>
        <v>40</v>
      </c>
      <c r="AG64" s="587"/>
      <c r="AH64" s="649">
        <f>$AH$16/K64</f>
        <v>5</v>
      </c>
      <c r="AI64" s="649">
        <f>$AH$16/AH64</f>
        <v>1</v>
      </c>
      <c r="AJ64" s="645">
        <f>$H64*(1-(1+$L$15)^-(AH64*AI64))/((1+$L$15)^AI64-1)*(1+((1+$L$15)^AI64-1))</f>
        <v>21643.549064784591</v>
      </c>
      <c r="AK64" s="932"/>
    </row>
    <row r="65" spans="1:37" ht="19" customHeight="1">
      <c r="A65" s="656"/>
      <c r="B65" s="657"/>
      <c r="C65" s="3879"/>
      <c r="D65" s="3864"/>
      <c r="E65" s="686" t="s">
        <v>4</v>
      </c>
      <c r="F65" s="1178"/>
      <c r="G65" s="1178">
        <f>$F$514</f>
        <v>16</v>
      </c>
      <c r="H65" s="645">
        <f>J523</f>
        <v>6720</v>
      </c>
      <c r="I65" s="820" t="s">
        <v>70</v>
      </c>
      <c r="J65" s="646" t="str">
        <f>IF(K65=1,"Annual","Done every "&amp;K65&amp;" years")</f>
        <v>Annual</v>
      </c>
      <c r="K65" s="705">
        <f>K61</f>
        <v>1</v>
      </c>
      <c r="L65" s="648">
        <f t="shared" si="24"/>
        <v>80</v>
      </c>
      <c r="M65" s="647">
        <f t="shared" si="24"/>
        <v>1</v>
      </c>
      <c r="N65" s="645">
        <f>$H65*(1-(1+$L$15)^-(L65*M65))/((1+$L$15)^M65-1)*(1+((1+$L$15)^M65-1))</f>
        <v>167139.8905391602</v>
      </c>
      <c r="O65" s="660">
        <f t="shared" si="0"/>
        <v>6719.9999999999945</v>
      </c>
      <c r="P65" s="722"/>
      <c r="Q65" s="3070"/>
      <c r="R65" s="3070"/>
      <c r="S65" s="3070"/>
      <c r="T65" s="1038" t="s">
        <v>810</v>
      </c>
      <c r="U65" s="655">
        <f>O65/$U$16</f>
        <v>67.199999999999946</v>
      </c>
      <c r="V65" s="662" t="str">
        <f>IF($T65="L",SUM($U65:U65)*V$16,"")</f>
        <v/>
      </c>
      <c r="W65" s="662">
        <f>IF($U65="","",IF(OR($T65="L",$T65="T",$T65="C"),SUM($U65:V65)*W$16,""))</f>
        <v>6.7199999999999953</v>
      </c>
      <c r="X65" s="662">
        <f>IF($U65="","",SUM($U65:W65)*X$16)</f>
        <v>22.175999999999984</v>
      </c>
      <c r="Y65" s="659">
        <f t="shared" si="13"/>
        <v>28.895999999999979</v>
      </c>
      <c r="Z65" s="722"/>
      <c r="AA65" s="740">
        <f t="shared" si="14"/>
        <v>96.095999999999918</v>
      </c>
      <c r="AB65" s="658"/>
      <c r="AC65" s="939">
        <f t="shared" ca="1" si="15"/>
        <v>0.32014857774410221</v>
      </c>
      <c r="AD65" s="661"/>
      <c r="AE65" s="1071"/>
      <c r="AF65" s="587">
        <f>AF64</f>
        <v>40</v>
      </c>
      <c r="AG65" s="587"/>
      <c r="AH65" s="649">
        <f>$AH$16/K65</f>
        <v>5</v>
      </c>
      <c r="AI65" s="649">
        <f>$AH$16/AH65</f>
        <v>1</v>
      </c>
      <c r="AJ65" s="645">
        <f>$H65*(1-(1+$L$15)^-(AH65*AI65))/((1+$L$15)^AI65-1)*(1+((1+$L$15)^AI65-1))</f>
        <v>31112.89590700607</v>
      </c>
      <c r="AK65" s="932"/>
    </row>
    <row r="66" spans="1:37" ht="19" customHeight="1">
      <c r="A66" s="656"/>
      <c r="B66" s="706"/>
      <c r="C66" s="3880"/>
      <c r="D66" s="3865"/>
      <c r="E66" s="686" t="s">
        <v>21</v>
      </c>
      <c r="F66" s="1178"/>
      <c r="G66" s="1178"/>
      <c r="H66" s="645"/>
      <c r="I66" s="820"/>
      <c r="J66" s="646"/>
      <c r="K66" s="705"/>
      <c r="L66" s="648"/>
      <c r="M66" s="647"/>
      <c r="N66" s="645"/>
      <c r="O66" s="707">
        <f t="shared" si="0"/>
        <v>0</v>
      </c>
      <c r="P66" s="719"/>
      <c r="Q66" s="3071"/>
      <c r="R66" s="3071"/>
      <c r="S66" s="3071"/>
      <c r="T66" s="1042" t="s">
        <v>811</v>
      </c>
      <c r="U66" s="708"/>
      <c r="V66" s="708" t="str">
        <f>IF($T66="L",SUM($U66:U66)*V$16,"")</f>
        <v/>
      </c>
      <c r="W66" s="708" t="str">
        <f>IF($U66="","",IF(OR($T66="L",$T66="T",$T66="C"),SUM($U66:V66)*W$16,""))</f>
        <v/>
      </c>
      <c r="X66" s="708" t="str">
        <f>IF($U66="","",SUM($U66:W66)*X$16)</f>
        <v/>
      </c>
      <c r="Y66" s="707" t="str">
        <f t="shared" si="13"/>
        <v/>
      </c>
      <c r="Z66" s="719"/>
      <c r="AA66" s="745" t="str">
        <f t="shared" si="14"/>
        <v/>
      </c>
      <c r="AB66" s="652"/>
      <c r="AC66" s="940" t="str">
        <f t="shared" ca="1" si="15"/>
        <v/>
      </c>
      <c r="AD66" s="824"/>
      <c r="AE66" s="1071"/>
      <c r="AF66" s="587">
        <f>AF65</f>
        <v>40</v>
      </c>
      <c r="AG66" s="587"/>
      <c r="AH66" s="649"/>
      <c r="AI66" s="649"/>
      <c r="AJ66" s="645"/>
      <c r="AK66" s="884"/>
    </row>
    <row r="67" spans="1:37" ht="19" customHeight="1">
      <c r="B67" s="926">
        <v>7</v>
      </c>
      <c r="C67" s="2611" t="s">
        <v>397</v>
      </c>
      <c r="D67" s="3847" t="s">
        <v>192</v>
      </c>
      <c r="E67" s="12" t="s">
        <v>3</v>
      </c>
      <c r="F67" s="1172"/>
      <c r="G67" s="1172">
        <f>$E$551</f>
        <v>30</v>
      </c>
      <c r="H67" s="188">
        <f>F551</f>
        <v>10125</v>
      </c>
      <c r="I67" s="188" t="str">
        <f>G551</f>
        <v>Cost for reporting, analysis and feedback</v>
      </c>
      <c r="J67" s="377" t="str">
        <f>IF(K67=1,"Annual","Done every "&amp;K67&amp;" years")</f>
        <v>Annual</v>
      </c>
      <c r="K67" s="586">
        <f>D539</f>
        <v>1</v>
      </c>
      <c r="L67" s="158">
        <f>$L$16/K67</f>
        <v>80</v>
      </c>
      <c r="M67" s="586">
        <f>$L$16/L67</f>
        <v>1</v>
      </c>
      <c r="N67" s="188">
        <f>$H67*(1-(1+$L$15)^-(L67*M67))/((1+$L$15)^M67-1)*(1+((1+$L$15)^M67-1))</f>
        <v>251829.07614717213</v>
      </c>
      <c r="O67" s="242">
        <f t="shared" si="0"/>
        <v>10124.999999999991</v>
      </c>
      <c r="P67" s="192">
        <f>SUM(O67:O70)</f>
        <v>10124.999999999991</v>
      </c>
      <c r="Q67" s="2817"/>
      <c r="R67" s="2817"/>
      <c r="S67" s="2817"/>
      <c r="T67" s="1039" t="s">
        <v>808</v>
      </c>
      <c r="U67" s="583">
        <f>O67/$U$16</f>
        <v>101.24999999999991</v>
      </c>
      <c r="V67" s="583">
        <f>IF($T67="L",SUM($U67:U67)*V$16,"")</f>
        <v>30.374999999999972</v>
      </c>
      <c r="W67" s="1474"/>
      <c r="X67" s="583">
        <f>IF($U67="","",SUM($U67:W67)*X$16)</f>
        <v>39.487499999999962</v>
      </c>
      <c r="Y67" s="240">
        <f t="shared" si="13"/>
        <v>69.862499999999926</v>
      </c>
      <c r="Z67" s="192">
        <f>SUM(V67:X70)</f>
        <v>69.862499999999926</v>
      </c>
      <c r="AA67" s="742">
        <f t="shared" si="14"/>
        <v>171.11249999999984</v>
      </c>
      <c r="AB67" s="192">
        <f>SUM(AA67:AA70)</f>
        <v>171.11249999999984</v>
      </c>
      <c r="AC67" s="727">
        <f t="shared" ca="1" si="15"/>
        <v>1</v>
      </c>
      <c r="AD67" s="589"/>
      <c r="AE67" s="573"/>
      <c r="AF67" s="587">
        <f>AF63+4</f>
        <v>44</v>
      </c>
      <c r="AG67" s="816">
        <f ca="1">SUM(AC67:AC70)-1</f>
        <v>0</v>
      </c>
      <c r="AH67" s="13">
        <f>$AH$16/K67</f>
        <v>5</v>
      </c>
      <c r="AI67" s="13">
        <f>$AH$16/AH67</f>
        <v>1</v>
      </c>
      <c r="AJ67" s="188">
        <f>$H67*(1-(1+$L$15)^-(AH67*AI67))/((1+$L$15)^AI67-1)*(1+((1+$L$15)^AI67-1))</f>
        <v>46877.689145600671</v>
      </c>
      <c r="AK67" s="191">
        <f>SUM(AJ67:AJ70)</f>
        <v>46877.689145600671</v>
      </c>
    </row>
    <row r="68" spans="1:37" ht="19" customHeight="1">
      <c r="B68" s="261"/>
      <c r="C68" s="2612"/>
      <c r="D68" s="3848"/>
      <c r="E68" s="12" t="s">
        <v>308</v>
      </c>
      <c r="F68" s="1172"/>
      <c r="G68" s="1172"/>
      <c r="H68" s="188"/>
      <c r="I68" s="921"/>
      <c r="J68" s="377"/>
      <c r="K68" s="586"/>
      <c r="L68" s="158"/>
      <c r="M68" s="586"/>
      <c r="N68" s="188"/>
      <c r="O68" s="242"/>
      <c r="P68" s="194"/>
      <c r="Q68" s="2819">
        <v>0</v>
      </c>
      <c r="R68" s="2819">
        <v>0</v>
      </c>
      <c r="S68" s="2819">
        <v>0</v>
      </c>
      <c r="T68" s="1034" t="s">
        <v>809</v>
      </c>
      <c r="U68" s="585"/>
      <c r="V68" s="585" t="str">
        <f>IF($T68="L",SUM($U68:U68)*V$16,"")</f>
        <v/>
      </c>
      <c r="W68" s="1475"/>
      <c r="X68" s="585" t="str">
        <f>IF($U68="","",SUM($U68:W68)*X$16)</f>
        <v/>
      </c>
      <c r="Y68" s="242" t="str">
        <f t="shared" si="13"/>
        <v/>
      </c>
      <c r="Z68" s="194"/>
      <c r="AA68" s="733" t="str">
        <f t="shared" si="14"/>
        <v/>
      </c>
      <c r="AB68" s="194"/>
      <c r="AC68" s="728" t="str">
        <f t="shared" ca="1" si="15"/>
        <v/>
      </c>
      <c r="AD68" s="589"/>
      <c r="AE68" s="1072"/>
      <c r="AF68" s="587">
        <f>AF67</f>
        <v>44</v>
      </c>
      <c r="AG68" s="587"/>
      <c r="AH68" s="13"/>
      <c r="AI68" s="13"/>
      <c r="AJ68" s="209"/>
      <c r="AK68" s="342"/>
    </row>
    <row r="69" spans="1:37" ht="19" customHeight="1">
      <c r="B69" s="261"/>
      <c r="C69" s="2612"/>
      <c r="D69" s="3848"/>
      <c r="E69" s="12" t="s">
        <v>4</v>
      </c>
      <c r="F69" s="1172"/>
      <c r="G69" s="1172"/>
      <c r="H69" s="188"/>
      <c r="I69" s="921"/>
      <c r="J69" s="377"/>
      <c r="K69" s="586"/>
      <c r="L69" s="158"/>
      <c r="M69" s="586"/>
      <c r="N69" s="188"/>
      <c r="O69" s="241"/>
      <c r="P69" s="210"/>
      <c r="Q69" s="2819"/>
      <c r="R69" s="2819"/>
      <c r="S69" s="2819"/>
      <c r="T69" s="1034" t="s">
        <v>810</v>
      </c>
      <c r="U69" s="584"/>
      <c r="V69" s="584" t="str">
        <f>IF($T69="L",SUM($U69:U69)*V$16,"")</f>
        <v/>
      </c>
      <c r="W69" s="1475"/>
      <c r="X69" s="584" t="str">
        <f>IF($U69="","",SUM($U69:W69)*X$16)</f>
        <v/>
      </c>
      <c r="Y69" s="241" t="str">
        <f t="shared" si="13"/>
        <v/>
      </c>
      <c r="Z69" s="210"/>
      <c r="AA69" s="746" t="str">
        <f t="shared" si="14"/>
        <v/>
      </c>
      <c r="AB69" s="210"/>
      <c r="AC69" s="732" t="str">
        <f t="shared" ca="1" si="15"/>
        <v/>
      </c>
      <c r="AD69" s="815"/>
      <c r="AE69" s="1072"/>
      <c r="AF69" s="587">
        <f>AF68</f>
        <v>44</v>
      </c>
      <c r="AG69" s="587"/>
      <c r="AH69" s="13"/>
      <c r="AI69" s="13"/>
      <c r="AJ69" s="188"/>
      <c r="AK69" s="477"/>
    </row>
    <row r="70" spans="1:37" ht="19" customHeight="1" thickBot="1">
      <c r="B70" s="261"/>
      <c r="C70" s="2613"/>
      <c r="D70" s="3849"/>
      <c r="E70" s="12" t="s">
        <v>21</v>
      </c>
      <c r="F70" s="1172"/>
      <c r="G70" s="1172"/>
      <c r="H70" s="188"/>
      <c r="I70" s="921"/>
      <c r="J70" s="377"/>
      <c r="K70" s="11"/>
      <c r="L70" s="1046"/>
      <c r="M70" s="1047"/>
      <c r="N70" s="1048"/>
      <c r="O70" s="726"/>
      <c r="P70" s="725"/>
      <c r="Q70" s="2858"/>
      <c r="R70" s="2858"/>
      <c r="S70" s="2858"/>
      <c r="T70" s="1040" t="s">
        <v>811</v>
      </c>
      <c r="U70" s="724"/>
      <c r="V70" s="724" t="str">
        <f>IF($T70="L",SUM($U70:U70)*V$16,"")</f>
        <v/>
      </c>
      <c r="W70" s="1478"/>
      <c r="X70" s="724" t="str">
        <f>IF($U70="","",SUM($U70:W70)*X$16)</f>
        <v/>
      </c>
      <c r="Y70" s="726" t="str">
        <f t="shared" si="13"/>
        <v/>
      </c>
      <c r="Z70" s="725"/>
      <c r="AA70" s="747" t="str">
        <f t="shared" si="14"/>
        <v/>
      </c>
      <c r="AB70" s="725"/>
      <c r="AC70" s="767" t="str">
        <f t="shared" ca="1" si="15"/>
        <v/>
      </c>
      <c r="AD70" s="1073"/>
      <c r="AE70" s="1074"/>
      <c r="AF70" s="587">
        <f>AF69</f>
        <v>44</v>
      </c>
      <c r="AG70" s="587"/>
      <c r="AH70" s="13"/>
      <c r="AI70" s="13"/>
      <c r="AJ70" s="188"/>
      <c r="AK70" s="478"/>
    </row>
    <row r="71" spans="1:37">
      <c r="C71" s="24"/>
      <c r="D71" s="238"/>
      <c r="E71"/>
      <c r="F71" s="359"/>
      <c r="G71" s="359"/>
      <c r="H71" s="6"/>
      <c r="I71" s="359"/>
      <c r="U71" s="5"/>
    </row>
    <row r="72" spans="1:37">
      <c r="C72" s="24"/>
      <c r="D72" s="238"/>
      <c r="E72"/>
      <c r="F72" s="359"/>
      <c r="G72" s="359"/>
      <c r="H72" s="6"/>
      <c r="I72" s="359"/>
      <c r="U72" s="5"/>
    </row>
    <row r="73" spans="1:37">
      <c r="C73" s="24"/>
      <c r="D73" s="238"/>
      <c r="E73"/>
      <c r="F73" s="359"/>
      <c r="G73" s="359"/>
      <c r="H73" s="6"/>
      <c r="I73" s="359"/>
      <c r="U73" s="5"/>
    </row>
    <row r="74" spans="1:37">
      <c r="C74" s="24"/>
      <c r="D74" s="238"/>
      <c r="E74"/>
      <c r="F74" s="359"/>
      <c r="G74" s="359"/>
      <c r="H74" s="6"/>
      <c r="I74" s="359"/>
      <c r="U74" s="5"/>
    </row>
    <row r="75" spans="1:37">
      <c r="C75" s="24"/>
      <c r="D75" s="238"/>
      <c r="E75"/>
      <c r="F75" s="359"/>
      <c r="G75" s="359"/>
      <c r="H75" s="6"/>
      <c r="I75" s="359"/>
      <c r="U75" s="5"/>
    </row>
    <row r="76" spans="1:37">
      <c r="C76" s="24"/>
      <c r="D76" s="238"/>
      <c r="E76"/>
      <c r="F76" s="359"/>
      <c r="G76" s="359"/>
      <c r="H76" s="6"/>
      <c r="I76" s="359"/>
      <c r="U76" s="5"/>
    </row>
    <row r="77" spans="1:37">
      <c r="C77" s="24"/>
      <c r="D77" s="238"/>
      <c r="E77"/>
      <c r="F77" s="359"/>
      <c r="G77" s="359"/>
      <c r="H77" s="6"/>
      <c r="I77" s="359"/>
      <c r="U77" s="5"/>
    </row>
    <row r="78" spans="1:37">
      <c r="C78" s="24"/>
      <c r="D78" s="238"/>
      <c r="E78"/>
      <c r="F78" s="359"/>
      <c r="G78" s="359"/>
      <c r="H78" s="6"/>
      <c r="I78" s="359"/>
      <c r="U78" s="5"/>
    </row>
    <row r="79" spans="1:37">
      <c r="C79" s="24"/>
      <c r="D79" s="238"/>
      <c r="E79"/>
      <c r="F79" s="359"/>
      <c r="G79" s="359"/>
      <c r="H79" s="6"/>
      <c r="I79" s="359"/>
      <c r="U79" s="5"/>
    </row>
    <row r="80" spans="1:37">
      <c r="C80" s="24"/>
      <c r="D80" s="238"/>
      <c r="E80"/>
      <c r="F80" s="359"/>
      <c r="G80" s="359"/>
      <c r="H80" s="6"/>
      <c r="I80" s="359"/>
      <c r="U80" s="5"/>
    </row>
    <row r="81" spans="3:21">
      <c r="C81" s="24"/>
      <c r="D81" s="238"/>
      <c r="E81"/>
      <c r="F81" s="359"/>
      <c r="G81" s="359"/>
      <c r="H81" s="6"/>
      <c r="I81" s="359"/>
      <c r="U81" s="5"/>
    </row>
    <row r="82" spans="3:21">
      <c r="C82" s="24"/>
      <c r="D82" s="238"/>
      <c r="E82"/>
      <c r="F82" s="359"/>
      <c r="G82" s="359"/>
      <c r="H82" s="6"/>
      <c r="I82" s="359"/>
      <c r="U82" s="5"/>
    </row>
    <row r="83" spans="3:21">
      <c r="C83" s="24"/>
      <c r="D83" s="238"/>
      <c r="E83"/>
      <c r="F83" s="359"/>
      <c r="G83" s="359"/>
      <c r="H83" s="6"/>
      <c r="I83" s="359"/>
      <c r="U83" s="5"/>
    </row>
    <row r="84" spans="3:21">
      <c r="C84" s="24"/>
      <c r="D84" s="238"/>
      <c r="E84"/>
      <c r="F84" s="359"/>
      <c r="G84" s="359"/>
      <c r="H84" s="6"/>
      <c r="I84" s="359"/>
      <c r="U84" s="5"/>
    </row>
    <row r="85" spans="3:21">
      <c r="C85" s="24"/>
      <c r="D85" s="238"/>
      <c r="E85"/>
      <c r="F85" s="359"/>
      <c r="G85" s="359"/>
      <c r="H85" s="6"/>
      <c r="I85" s="359"/>
      <c r="U85" s="5"/>
    </row>
    <row r="86" spans="3:21">
      <c r="C86" s="24"/>
      <c r="D86" s="238"/>
      <c r="E86"/>
      <c r="F86" s="359"/>
      <c r="G86" s="359"/>
      <c r="H86" s="6"/>
      <c r="I86" s="359"/>
      <c r="U86" s="5"/>
    </row>
    <row r="87" spans="3:21">
      <c r="C87" s="24"/>
      <c r="D87" s="238"/>
      <c r="E87"/>
      <c r="F87" s="359"/>
      <c r="G87" s="359"/>
      <c r="H87" s="6"/>
      <c r="I87" s="359"/>
      <c r="U87" s="5"/>
    </row>
    <row r="88" spans="3:21">
      <c r="C88" s="24"/>
      <c r="D88" s="238"/>
      <c r="E88"/>
      <c r="F88" s="359"/>
      <c r="G88" s="359"/>
      <c r="H88" s="6"/>
      <c r="I88" s="359"/>
      <c r="U88" s="5"/>
    </row>
    <row r="89" spans="3:21">
      <c r="C89" s="24"/>
      <c r="D89" s="238"/>
      <c r="E89"/>
      <c r="F89" s="359"/>
      <c r="G89" s="359"/>
      <c r="H89" s="6"/>
      <c r="I89" s="359"/>
      <c r="U89" s="5"/>
    </row>
    <row r="90" spans="3:21">
      <c r="C90" s="24"/>
      <c r="D90" s="238"/>
      <c r="E90"/>
      <c r="F90" s="359"/>
      <c r="G90" s="359"/>
      <c r="H90" s="6"/>
      <c r="I90" s="359"/>
      <c r="U90" s="5"/>
    </row>
    <row r="91" spans="3:21">
      <c r="C91" s="24"/>
      <c r="D91" s="238"/>
      <c r="E91"/>
      <c r="F91" s="359"/>
      <c r="G91" s="359"/>
      <c r="H91" s="6"/>
      <c r="I91" s="359"/>
      <c r="U91" s="5"/>
    </row>
    <row r="92" spans="3:21">
      <c r="C92" s="24"/>
      <c r="D92" s="238" t="s">
        <v>299</v>
      </c>
      <c r="E92"/>
      <c r="F92" s="359"/>
      <c r="G92" s="359"/>
      <c r="H92" s="6"/>
      <c r="I92" s="359"/>
      <c r="U92" s="5"/>
    </row>
    <row r="93" spans="3:21">
      <c r="C93" s="24"/>
      <c r="D93" s="238"/>
      <c r="E93"/>
      <c r="F93" s="359"/>
      <c r="G93" s="359"/>
      <c r="H93" s="6"/>
      <c r="I93" s="359"/>
      <c r="U93" s="5"/>
    </row>
    <row r="94" spans="3:21">
      <c r="C94" s="24"/>
      <c r="D94" s="238"/>
      <c r="E94"/>
      <c r="F94" s="359"/>
      <c r="G94" s="359"/>
      <c r="H94" s="6"/>
      <c r="I94" s="359"/>
      <c r="U94" s="5"/>
    </row>
    <row r="95" spans="3:21">
      <c r="C95" s="24"/>
      <c r="D95" s="238"/>
      <c r="E95"/>
      <c r="F95" s="359"/>
      <c r="G95" s="359"/>
      <c r="H95" s="6"/>
      <c r="I95" s="359"/>
      <c r="U95" s="5"/>
    </row>
    <row r="96" spans="3:21" s="7" customFormat="1">
      <c r="D96" s="35"/>
      <c r="E96" s="36"/>
    </row>
    <row r="97" spans="3:6" s="9" customFormat="1">
      <c r="D97" s="105"/>
      <c r="E97" s="34"/>
    </row>
    <row r="98" spans="3:6" s="9" customFormat="1">
      <c r="C98" s="120" t="s">
        <v>57</v>
      </c>
      <c r="D98" s="34" t="s">
        <v>1054</v>
      </c>
      <c r="E98" s="34"/>
    </row>
    <row r="99" spans="3:6" s="9" customFormat="1">
      <c r="D99" s="159" t="s">
        <v>1057</v>
      </c>
      <c r="E99" s="970"/>
    </row>
    <row r="100" spans="3:6" s="9" customFormat="1">
      <c r="D100" s="332" t="s">
        <v>91</v>
      </c>
      <c r="E100" s="43"/>
      <c r="F100" s="105"/>
    </row>
    <row r="101" spans="3:6" s="9" customFormat="1">
      <c r="D101" s="135">
        <f>'Overall Assumptions'!$C$6</f>
        <v>100</v>
      </c>
      <c r="E101" s="246" t="s">
        <v>967</v>
      </c>
    </row>
    <row r="102" spans="3:6" s="9" customFormat="1">
      <c r="D102" s="332">
        <f>'Overall Assumptions'!$C$125</f>
        <v>3</v>
      </c>
      <c r="E102" s="131" t="str">
        <f>'Overall Assumptions'!$D$115</f>
        <v>weeks</v>
      </c>
    </row>
    <row r="103" spans="3:6" s="9" customFormat="1">
      <c r="C103" s="105"/>
      <c r="D103" s="332">
        <f>D102*5</f>
        <v>15</v>
      </c>
      <c r="E103" s="43" t="str">
        <f>'Overall Assumptions'!$D$116</f>
        <v>days</v>
      </c>
    </row>
    <row r="104" spans="3:6" s="9" customFormat="1">
      <c r="C104" s="105"/>
      <c r="D104" s="332"/>
      <c r="E104" s="43"/>
    </row>
    <row r="105" spans="3:6" s="9" customFormat="1">
      <c r="C105" s="105"/>
      <c r="D105" s="268">
        <v>1</v>
      </c>
      <c r="E105" s="43" t="s">
        <v>245</v>
      </c>
    </row>
    <row r="106" spans="3:6" s="9" customFormat="1">
      <c r="C106" s="105"/>
      <c r="D106" s="332"/>
      <c r="E106" s="43"/>
    </row>
    <row r="107" spans="3:6" s="9" customFormat="1">
      <c r="C107" s="105"/>
      <c r="D107" s="332"/>
      <c r="E107" s="43"/>
    </row>
    <row r="108" spans="3:6" s="9" customFormat="1">
      <c r="C108" s="105"/>
      <c r="D108" s="332" t="str">
        <f>'Overall Assumptions'!$D$76</f>
        <v>Daily rate (AUD) for labour assuming 7.5 hours/day</v>
      </c>
      <c r="E108" s="246"/>
    </row>
    <row r="109" spans="3:6" s="9" customFormat="1">
      <c r="D109" s="614">
        <f>'Overall Assumptions'!$C$68</f>
        <v>225</v>
      </c>
      <c r="E109" s="246" t="str">
        <f>'Overall Assumptions'!$B$67</f>
        <v>Labour 1- APS Low (Entry lvl)</v>
      </c>
    </row>
    <row r="110" spans="3:6" s="9" customFormat="1">
      <c r="D110" s="399">
        <f>'Overall Assumptions'!$C$72</f>
        <v>337.5</v>
      </c>
      <c r="E110" s="530" t="str">
        <f>'Overall Assumptions'!$B$71</f>
        <v>Labour 2 - APS High (Experienced)</v>
      </c>
    </row>
    <row r="111" spans="3:6" s="9" customFormat="1">
      <c r="D111" s="112">
        <f>'Overall Assumptions'!$C$76</f>
        <v>487.5</v>
      </c>
      <c r="E111" s="45" t="str">
        <f>'Overall Assumptions'!$B$75</f>
        <v>Labour 3 - EL (Management)</v>
      </c>
    </row>
    <row r="112" spans="3:6" s="9" customFormat="1">
      <c r="D112" s="33"/>
      <c r="E112" s="34"/>
    </row>
    <row r="113" spans="3:8" s="9" customFormat="1">
      <c r="D113" s="33"/>
      <c r="E113" s="34"/>
    </row>
    <row r="114" spans="3:8" s="9" customFormat="1">
      <c r="C114" t="s">
        <v>593</v>
      </c>
      <c r="D114" s="65">
        <v>15</v>
      </c>
      <c r="E114" s="76" t="s">
        <v>594</v>
      </c>
      <c r="F114"/>
      <c r="G114"/>
      <c r="H114"/>
    </row>
    <row r="115" spans="3:8" s="9" customFormat="1">
      <c r="C115"/>
      <c r="D115" s="64">
        <f>D114*D110</f>
        <v>5062.5</v>
      </c>
      <c r="E115" s="47" t="s">
        <v>595</v>
      </c>
      <c r="F115"/>
      <c r="G115"/>
      <c r="H115"/>
    </row>
    <row r="116" spans="3:8" s="9" customFormat="1">
      <c r="C116"/>
      <c r="D116" s="65"/>
      <c r="E116" s="66"/>
      <c r="F116"/>
      <c r="G116"/>
      <c r="H116"/>
    </row>
    <row r="117" spans="3:8" s="9" customFormat="1">
      <c r="D117" s="175"/>
      <c r="E117" s="164" t="s">
        <v>155</v>
      </c>
      <c r="F117" s="255" t="s">
        <v>166</v>
      </c>
      <c r="G117" s="1090" t="s">
        <v>69</v>
      </c>
      <c r="H117" s="108"/>
    </row>
    <row r="118" spans="3:8" s="9" customFormat="1">
      <c r="D118" s="405" t="s">
        <v>3</v>
      </c>
      <c r="E118" s="509">
        <f>SUM(D103,D114)</f>
        <v>30</v>
      </c>
      <c r="F118" s="321">
        <f>E118*D110</f>
        <v>10125</v>
      </c>
      <c r="G118" s="1091" t="s">
        <v>162</v>
      </c>
      <c r="H118" s="323"/>
    </row>
    <row r="119" spans="3:8" s="9" customFormat="1">
      <c r="D119" s="105"/>
      <c r="E119" s="34"/>
    </row>
    <row r="120" spans="3:8" s="7" customFormat="1">
      <c r="D120" s="35"/>
      <c r="E120" s="36"/>
    </row>
    <row r="121" spans="3:8" s="9" customFormat="1">
      <c r="C121" s="120" t="s">
        <v>58</v>
      </c>
      <c r="D121" s="34" t="s">
        <v>163</v>
      </c>
      <c r="E121" s="34"/>
    </row>
    <row r="122" spans="3:8" s="9" customFormat="1">
      <c r="C122" s="120"/>
      <c r="D122" s="9" t="s">
        <v>558</v>
      </c>
      <c r="E122" s="34"/>
    </row>
    <row r="123" spans="3:8" s="9" customFormat="1">
      <c r="C123" s="120"/>
      <c r="D123" s="34"/>
      <c r="E123" s="34"/>
    </row>
    <row r="124" spans="3:8" s="9" customFormat="1">
      <c r="D124" s="34"/>
    </row>
    <row r="125" spans="3:8" s="9" customFormat="1">
      <c r="D125" s="117" t="s">
        <v>91</v>
      </c>
      <c r="E125" s="186"/>
      <c r="F125" s="186"/>
      <c r="G125" s="118"/>
    </row>
    <row r="126" spans="3:8" s="9" customFormat="1">
      <c r="D126" s="54">
        <f>'Overall Assumptions'!$C$6</f>
        <v>100</v>
      </c>
      <c r="E126" s="124" t="s">
        <v>503</v>
      </c>
      <c r="F126" s="122"/>
      <c r="G126" s="109"/>
    </row>
    <row r="127" spans="3:8" s="9" customFormat="1">
      <c r="D127" s="408">
        <v>1</v>
      </c>
      <c r="E127" s="116" t="s">
        <v>134</v>
      </c>
      <c r="F127" s="122"/>
      <c r="G127" s="109"/>
    </row>
    <row r="128" spans="3:8" s="9" customFormat="1">
      <c r="D128" s="1239">
        <f>'Overall Assumptions'!$C$132</f>
        <v>0.5</v>
      </c>
      <c r="E128" s="116" t="s">
        <v>585</v>
      </c>
      <c r="F128" s="122"/>
      <c r="G128" s="109"/>
    </row>
    <row r="129" spans="3:10" s="9" customFormat="1">
      <c r="D129" s="1217">
        <f>D126*D127/D128</f>
        <v>200</v>
      </c>
      <c r="E129" s="116" t="s">
        <v>1058</v>
      </c>
      <c r="F129" s="122"/>
      <c r="G129" s="109"/>
    </row>
    <row r="130" spans="3:10" s="9" customFormat="1">
      <c r="D130" s="1217">
        <f>SQRT(D126)*4</f>
        <v>40</v>
      </c>
      <c r="E130" s="124" t="s">
        <v>559</v>
      </c>
      <c r="F130" s="122"/>
      <c r="G130" s="109"/>
    </row>
    <row r="131" spans="3:10" s="9" customFormat="1">
      <c r="D131" s="135"/>
      <c r="E131" s="122"/>
      <c r="F131" s="122"/>
      <c r="G131" s="109"/>
    </row>
    <row r="132" spans="3:10" s="9" customFormat="1">
      <c r="D132" s="472">
        <v>1</v>
      </c>
      <c r="E132" s="322" t="s">
        <v>246</v>
      </c>
      <c r="F132" s="142"/>
      <c r="G132" s="323"/>
    </row>
    <row r="133" spans="3:10" s="9" customFormat="1">
      <c r="D133" s="124"/>
      <c r="E133" s="124"/>
      <c r="F133" s="122"/>
      <c r="G133" s="122"/>
    </row>
    <row r="134" spans="3:10" s="9" customFormat="1">
      <c r="D134" s="124"/>
      <c r="E134" s="124"/>
      <c r="F134" s="122"/>
      <c r="G134" s="122"/>
    </row>
    <row r="135" spans="3:10" s="9" customFormat="1">
      <c r="C135" s="9" t="s">
        <v>1061</v>
      </c>
      <c r="D135" s="151" t="s">
        <v>179</v>
      </c>
      <c r="E135" s="164"/>
      <c r="F135" s="255"/>
      <c r="G135" s="1090"/>
      <c r="H135" s="161"/>
    </row>
    <row r="136" spans="3:10" s="9" customFormat="1">
      <c r="D136" s="1242">
        <f>10/60</f>
        <v>0.16666666666666666</v>
      </c>
      <c r="E136" s="443" t="s">
        <v>1080</v>
      </c>
      <c r="F136" s="465"/>
      <c r="G136" s="1097"/>
      <c r="H136" s="466"/>
    </row>
    <row r="137" spans="3:10" s="9" customFormat="1">
      <c r="D137" s="446">
        <f>D129</f>
        <v>200</v>
      </c>
      <c r="E137" s="76" t="s">
        <v>253</v>
      </c>
      <c r="F137" s="79"/>
      <c r="G137" s="1119"/>
      <c r="H137" s="246"/>
    </row>
    <row r="138" spans="3:10" s="9" customFormat="1">
      <c r="D138" s="1221">
        <f>D136*D137/7.5</f>
        <v>4.4444444444444438</v>
      </c>
      <c r="E138" s="333" t="s">
        <v>1066</v>
      </c>
      <c r="F138" s="439"/>
      <c r="G138" s="1098"/>
      <c r="H138" s="162"/>
    </row>
    <row r="139" spans="3:10" s="9" customFormat="1">
      <c r="D139" s="152"/>
      <c r="E139" s="124"/>
      <c r="F139" s="79"/>
      <c r="G139" s="1119"/>
      <c r="H139" s="246"/>
    </row>
    <row r="140" spans="3:10" s="9" customFormat="1">
      <c r="D140" s="1242"/>
      <c r="E140" s="319"/>
      <c r="F140" s="320"/>
      <c r="G140" s="320"/>
      <c r="H140" s="108"/>
    </row>
    <row r="141" spans="3:10" s="9" customFormat="1">
      <c r="D141" s="1217"/>
      <c r="E141" s="124"/>
      <c r="F141" s="122"/>
      <c r="G141" s="122"/>
      <c r="H141" s="109"/>
    </row>
    <row r="142" spans="3:10" s="9" customFormat="1">
      <c r="D142" s="1220"/>
      <c r="E142" s="333"/>
      <c r="F142" s="439"/>
      <c r="G142" s="439"/>
      <c r="H142" s="323"/>
    </row>
    <row r="143" spans="3:10">
      <c r="H143" s="3"/>
      <c r="I143" s="3"/>
    </row>
    <row r="144" spans="3:10" ht="19">
      <c r="C144" t="s">
        <v>50</v>
      </c>
      <c r="D144" s="37" t="s">
        <v>81</v>
      </c>
      <c r="E144" s="24"/>
      <c r="F144" s="1"/>
      <c r="G144" s="3"/>
      <c r="H144" s="3"/>
      <c r="I144" s="3"/>
      <c r="J144" s="3"/>
    </row>
    <row r="145" spans="4:10">
      <c r="F145" s="1"/>
      <c r="G145" s="3"/>
      <c r="H145" s="3"/>
      <c r="I145" s="3"/>
      <c r="J145" s="3"/>
    </row>
    <row r="146" spans="4:10">
      <c r="D146" s="160" t="s">
        <v>563</v>
      </c>
    </row>
    <row r="148" spans="4:10">
      <c r="D148" s="50"/>
    </row>
    <row r="149" spans="4:10">
      <c r="D149" s="51" t="s">
        <v>82</v>
      </c>
      <c r="E149" s="273"/>
      <c r="F149" s="401"/>
      <c r="G149" s="274"/>
    </row>
    <row r="150" spans="4:10" ht="19">
      <c r="D150" s="54">
        <f>'Overall Assumptions'!$C$68</f>
        <v>225</v>
      </c>
      <c r="E150" s="1215" t="s">
        <v>99</v>
      </c>
      <c r="F150" s="79"/>
      <c r="G150" s="246"/>
    </row>
    <row r="151" spans="4:10">
      <c r="D151" s="354">
        <f>'Overall Assumptions'!$C$130</f>
        <v>2</v>
      </c>
      <c r="E151" s="76" t="s">
        <v>84</v>
      </c>
      <c r="F151" s="122"/>
      <c r="G151" s="246"/>
    </row>
    <row r="152" spans="4:10">
      <c r="D152" s="42">
        <f>'Overall Assumptions'!$C$53</f>
        <v>4.46</v>
      </c>
      <c r="E152" s="629" t="s">
        <v>780</v>
      </c>
      <c r="F152" s="79"/>
      <c r="G152" s="246"/>
    </row>
    <row r="153" spans="4:10">
      <c r="D153" s="42">
        <f>'Overall Assumptions'!$C$54</f>
        <v>3.3449999999999998</v>
      </c>
      <c r="E153" s="629" t="s">
        <v>781</v>
      </c>
      <c r="F153" s="79"/>
      <c r="G153" s="246"/>
    </row>
    <row r="154" spans="4:10">
      <c r="D154" s="42">
        <f>'Overall Assumptions'!$C$55</f>
        <v>2.23</v>
      </c>
      <c r="E154" s="629" t="s">
        <v>782</v>
      </c>
      <c r="F154" s="79"/>
      <c r="G154" s="246"/>
    </row>
    <row r="155" spans="4:10">
      <c r="D155" s="55"/>
      <c r="E155" s="76"/>
      <c r="F155" s="79"/>
      <c r="G155" s="246"/>
    </row>
    <row r="156" spans="4:10">
      <c r="D156" s="467">
        <f>D129</f>
        <v>200</v>
      </c>
      <c r="E156" s="124" t="s">
        <v>1059</v>
      </c>
      <c r="F156" s="79"/>
      <c r="G156" s="246"/>
    </row>
    <row r="157" spans="4:10">
      <c r="D157" s="1246">
        <f>D138</f>
        <v>4.4444444444444438</v>
      </c>
      <c r="E157" s="870" t="str">
        <f>E138</f>
        <v>Time needed for sampling in total (days)</v>
      </c>
      <c r="F157" s="79"/>
      <c r="G157" s="246"/>
    </row>
    <row r="158" spans="4:10">
      <c r="D158" s="152"/>
      <c r="E158" s="76"/>
      <c r="F158" s="79"/>
      <c r="G158" s="246"/>
    </row>
    <row r="159" spans="4:10">
      <c r="D159" s="44"/>
      <c r="E159" s="76"/>
      <c r="F159" s="79"/>
      <c r="G159" s="246"/>
    </row>
    <row r="160" spans="4:10">
      <c r="D160" s="44"/>
      <c r="E160" s="76"/>
      <c r="F160" s="79"/>
      <c r="G160" s="246"/>
    </row>
    <row r="161" spans="3:12">
      <c r="D161" s="467"/>
      <c r="E161" s="124"/>
      <c r="F161" s="79"/>
      <c r="G161" s="246"/>
    </row>
    <row r="162" spans="3:12">
      <c r="D162" s="152"/>
      <c r="E162" s="76"/>
      <c r="F162" s="79"/>
      <c r="G162" s="246"/>
    </row>
    <row r="163" spans="3:12">
      <c r="D163" s="54">
        <f>'Overall Assumptions'!C10</f>
        <v>0</v>
      </c>
      <c r="E163" s="76" t="s">
        <v>85</v>
      </c>
      <c r="F163" s="79"/>
      <c r="G163" s="246"/>
      <c r="J163" s="79"/>
      <c r="K163" s="79"/>
      <c r="L163" s="79"/>
    </row>
    <row r="164" spans="3:12">
      <c r="D164" s="54">
        <f>'Overall Assumptions'!$C$90</f>
        <v>80</v>
      </c>
      <c r="E164" s="76" t="s">
        <v>86</v>
      </c>
      <c r="F164" s="79"/>
      <c r="G164" s="246"/>
      <c r="J164" s="79"/>
      <c r="K164" s="79"/>
      <c r="L164" s="79"/>
    </row>
    <row r="165" spans="3:12">
      <c r="D165" s="54">
        <f>'Overall Assumptions'!$C$91</f>
        <v>40</v>
      </c>
      <c r="E165" s="75" t="s">
        <v>1086</v>
      </c>
      <c r="F165" s="79"/>
      <c r="G165" s="246"/>
      <c r="J165" s="79"/>
      <c r="K165" s="79"/>
      <c r="L165" s="79"/>
    </row>
    <row r="166" spans="3:12">
      <c r="D166" s="56">
        <f>'Overall Assumptions'!$C$81</f>
        <v>210</v>
      </c>
      <c r="E166" s="333" t="s">
        <v>87</v>
      </c>
      <c r="F166" s="439"/>
      <c r="G166" s="162"/>
      <c r="J166" s="127"/>
      <c r="K166" s="79"/>
      <c r="L166" s="79"/>
    </row>
    <row r="167" spans="3:12">
      <c r="D167" s="57"/>
      <c r="J167" s="79"/>
      <c r="K167" s="79"/>
      <c r="L167" s="79"/>
    </row>
    <row r="168" spans="3:12">
      <c r="D168" s="57"/>
      <c r="J168" s="79"/>
      <c r="K168" s="79"/>
      <c r="L168" s="79"/>
    </row>
    <row r="169" spans="3:12">
      <c r="D169" s="630" t="s">
        <v>735</v>
      </c>
      <c r="E169" s="1" t="s">
        <v>218</v>
      </c>
      <c r="F169" s="1" t="s">
        <v>733</v>
      </c>
      <c r="G169" t="s">
        <v>796</v>
      </c>
      <c r="J169" s="79"/>
      <c r="K169" s="79"/>
      <c r="L169" s="79"/>
    </row>
    <row r="170" spans="3:12">
      <c r="D170" s="1218">
        <f>D152</f>
        <v>4.46</v>
      </c>
      <c r="E170" s="1219">
        <f>D153</f>
        <v>3.3449999999999998</v>
      </c>
      <c r="F170" s="1219">
        <f>D154</f>
        <v>2.23</v>
      </c>
      <c r="G170" t="s">
        <v>1060</v>
      </c>
      <c r="J170" s="79"/>
      <c r="K170" s="79"/>
      <c r="L170" s="79"/>
    </row>
    <row r="171" spans="3:12">
      <c r="D171" s="1218"/>
      <c r="E171" s="1219"/>
      <c r="F171" s="1219"/>
      <c r="J171" s="79"/>
      <c r="K171" s="79"/>
      <c r="L171" s="79"/>
    </row>
    <row r="172" spans="3:12">
      <c r="C172" s="21"/>
      <c r="D172" s="77">
        <f>2*D163/D164/7.5</f>
        <v>0</v>
      </c>
      <c r="E172" s="77">
        <f>D172</f>
        <v>0</v>
      </c>
      <c r="F172" s="90">
        <f>E172</f>
        <v>0</v>
      </c>
      <c r="G172" s="59" t="s">
        <v>95</v>
      </c>
      <c r="J172" s="128"/>
      <c r="K172" s="79"/>
      <c r="L172" s="79"/>
    </row>
    <row r="173" spans="3:12">
      <c r="C173" s="21"/>
      <c r="D173" s="77"/>
      <c r="G173" s="60"/>
      <c r="J173" s="79"/>
      <c r="K173" s="79"/>
      <c r="L173" s="79"/>
    </row>
    <row r="174" spans="3:12">
      <c r="C174" s="21"/>
      <c r="D174" s="77">
        <f>$D156/D170/7.5</f>
        <v>5.9790732436472345</v>
      </c>
      <c r="E174" s="77">
        <f>$D156/E170/7.5</f>
        <v>7.9720976581963141</v>
      </c>
      <c r="F174" s="77">
        <f>$D156/F170/7.5</f>
        <v>11.958146487294469</v>
      </c>
      <c r="G174" s="59" t="s">
        <v>1064</v>
      </c>
      <c r="J174" s="128"/>
      <c r="K174" s="79"/>
      <c r="L174" s="79"/>
    </row>
    <row r="175" spans="3:12" ht="18" customHeight="1">
      <c r="C175" s="21"/>
      <c r="D175" s="77">
        <f>$D157</f>
        <v>4.4444444444444438</v>
      </c>
      <c r="E175" s="77">
        <f>$D157</f>
        <v>4.4444444444444438</v>
      </c>
      <c r="F175" s="77">
        <f>$D157</f>
        <v>4.4444444444444438</v>
      </c>
      <c r="G175" s="59" t="s">
        <v>1065</v>
      </c>
      <c r="J175" s="79"/>
      <c r="K175" s="79"/>
      <c r="L175" s="79"/>
    </row>
    <row r="176" spans="3:12" ht="18" customHeight="1">
      <c r="C176" s="21"/>
      <c r="D176" s="77"/>
      <c r="F176" s="19"/>
      <c r="G176" s="59"/>
      <c r="J176" s="79"/>
      <c r="K176" s="79"/>
      <c r="L176" s="79"/>
    </row>
    <row r="177" spans="3:12" ht="18" customHeight="1">
      <c r="C177" s="21"/>
      <c r="D177" s="77"/>
      <c r="E177" s="77"/>
      <c r="F177" s="77"/>
      <c r="G177" s="59"/>
      <c r="J177" s="79"/>
      <c r="K177" s="79"/>
      <c r="L177" s="79"/>
    </row>
    <row r="178" spans="3:12" ht="18" customHeight="1">
      <c r="C178" s="21"/>
      <c r="D178" s="77"/>
      <c r="E178" s="77"/>
      <c r="F178" s="77"/>
      <c r="G178" s="59"/>
      <c r="H178" s="19"/>
      <c r="J178" s="79"/>
      <c r="K178" s="79"/>
      <c r="L178" s="79"/>
    </row>
    <row r="179" spans="3:12" ht="18" customHeight="1">
      <c r="C179" s="21"/>
      <c r="D179" s="77"/>
      <c r="G179" s="59"/>
      <c r="H179" s="19"/>
      <c r="J179" s="79"/>
      <c r="K179" s="79"/>
      <c r="L179" s="79"/>
    </row>
    <row r="180" spans="3:12" ht="18" customHeight="1">
      <c r="C180" s="21"/>
      <c r="D180" s="77">
        <f>SUM(D172:D178)</f>
        <v>10.423517688091678</v>
      </c>
      <c r="E180" s="77">
        <f>SUM(E172:E178)</f>
        <v>12.416542102640758</v>
      </c>
      <c r="F180" s="77">
        <f>SUM(F172:F178)</f>
        <v>16.402590931738914</v>
      </c>
      <c r="G180" s="59" t="s">
        <v>171</v>
      </c>
      <c r="H180" s="19"/>
      <c r="J180" s="79"/>
      <c r="K180" s="79"/>
      <c r="L180" s="79"/>
    </row>
    <row r="181" spans="3:12">
      <c r="C181" s="21"/>
      <c r="D181" s="16"/>
      <c r="G181" s="16"/>
      <c r="J181" s="79"/>
      <c r="K181" s="79"/>
      <c r="L181" s="79"/>
    </row>
    <row r="182" spans="3:12">
      <c r="C182" s="21"/>
      <c r="D182" s="77">
        <f>D180*$D151</f>
        <v>20.847035376183356</v>
      </c>
      <c r="E182" s="77">
        <f>E180*$D151</f>
        <v>24.833084205281516</v>
      </c>
      <c r="F182" s="77">
        <f>F180*$D151</f>
        <v>32.805181863477827</v>
      </c>
      <c r="G182" s="16" t="s">
        <v>566</v>
      </c>
      <c r="J182" s="128"/>
      <c r="K182" s="79"/>
      <c r="L182" s="79"/>
    </row>
    <row r="183" spans="3:12">
      <c r="C183" s="21"/>
      <c r="D183" s="77"/>
      <c r="G183" s="16"/>
      <c r="J183" s="128"/>
      <c r="K183" s="79"/>
      <c r="L183" s="79"/>
    </row>
    <row r="184" spans="3:12">
      <c r="G184" s="16"/>
      <c r="J184" s="79"/>
      <c r="K184" s="79"/>
      <c r="L184" s="79"/>
    </row>
    <row r="185" spans="3:12">
      <c r="D185" s="64">
        <f>D182*$D150</f>
        <v>4690.582959641255</v>
      </c>
      <c r="E185" s="905">
        <f>E182*$D150</f>
        <v>5587.4439461883412</v>
      </c>
      <c r="F185" s="905">
        <f>F182*$D150</f>
        <v>7381.1659192825109</v>
      </c>
      <c r="G185" s="47" t="s">
        <v>329</v>
      </c>
      <c r="J185" s="65"/>
      <c r="K185" s="66"/>
      <c r="L185" s="79"/>
    </row>
    <row r="186" spans="3:12">
      <c r="D186" s="65"/>
      <c r="E186" s="66"/>
      <c r="J186" s="65"/>
      <c r="K186" s="66"/>
      <c r="L186" s="79"/>
    </row>
    <row r="187" spans="3:12" ht="19">
      <c r="C187" s="2" t="s">
        <v>64</v>
      </c>
      <c r="D187" s="37" t="s">
        <v>89</v>
      </c>
    </row>
    <row r="188" spans="3:12">
      <c r="C188" t="s">
        <v>54</v>
      </c>
    </row>
    <row r="190" spans="3:12">
      <c r="D190" s="16"/>
    </row>
    <row r="191" spans="3:12">
      <c r="D191" s="67" t="s">
        <v>91</v>
      </c>
      <c r="E191" s="41"/>
      <c r="F191" s="161"/>
    </row>
    <row r="192" spans="3:12">
      <c r="D192" s="873">
        <f>'Overall Assumptions'!$C$93</f>
        <v>285</v>
      </c>
      <c r="E192" s="39" t="s">
        <v>93</v>
      </c>
      <c r="F192" s="162"/>
    </row>
    <row r="193" spans="3:11">
      <c r="D193" s="75"/>
      <c r="E193" s="76"/>
      <c r="J193" s="79"/>
      <c r="K193" s="79"/>
    </row>
    <row r="194" spans="3:11">
      <c r="D194" s="46">
        <f>D172</f>
        <v>0</v>
      </c>
      <c r="G194" s="59" t="s">
        <v>97</v>
      </c>
      <c r="J194" s="132"/>
      <c r="K194" s="133"/>
    </row>
    <row r="195" spans="3:11">
      <c r="D195" s="46">
        <f>SUM(D174:D175)</f>
        <v>10.423517688091678</v>
      </c>
      <c r="E195" s="46">
        <f>SUM(E174:E175)</f>
        <v>12.416542102640758</v>
      </c>
      <c r="F195" s="46">
        <f>SUM(F174:F175)</f>
        <v>16.402590931738914</v>
      </c>
      <c r="G195" s="59" t="s">
        <v>1070</v>
      </c>
      <c r="J195" s="79"/>
      <c r="K195" s="133"/>
    </row>
    <row r="196" spans="3:11">
      <c r="D196" s="46"/>
      <c r="E196" s="46"/>
      <c r="F196" s="46"/>
      <c r="G196" s="59"/>
      <c r="J196" s="79"/>
      <c r="K196" s="133"/>
    </row>
    <row r="197" spans="3:11">
      <c r="D197" s="46">
        <f>SUM(D194:D196)</f>
        <v>10.423517688091678</v>
      </c>
      <c r="E197" s="46">
        <f>SUM(E194:E196)</f>
        <v>12.416542102640758</v>
      </c>
      <c r="F197" s="46">
        <f>SUM(F194:F196)</f>
        <v>16.402590931738914</v>
      </c>
      <c r="G197" s="59" t="s">
        <v>135</v>
      </c>
      <c r="J197" s="128"/>
      <c r="K197" s="79"/>
    </row>
    <row r="198" spans="3:11">
      <c r="D198" s="46"/>
      <c r="E198" s="46"/>
      <c r="F198" s="46"/>
      <c r="G198" s="59"/>
      <c r="J198" s="128"/>
      <c r="K198" s="79"/>
    </row>
    <row r="199" spans="3:11">
      <c r="D199" s="63">
        <f>$D192*D194</f>
        <v>0</v>
      </c>
      <c r="E199" s="63">
        <f>$D192*E194</f>
        <v>0</v>
      </c>
      <c r="F199" s="63">
        <f>$D192*F194</f>
        <v>0</v>
      </c>
      <c r="G199" s="16" t="s">
        <v>51</v>
      </c>
      <c r="J199" s="129"/>
      <c r="K199" s="76"/>
    </row>
    <row r="200" spans="3:11">
      <c r="D200" s="63">
        <f>$D192*D195</f>
        <v>2970.7025411061281</v>
      </c>
      <c r="E200" s="63">
        <f>$D192*E195</f>
        <v>3538.714499252616</v>
      </c>
      <c r="F200" s="63">
        <f>$D192*F195</f>
        <v>4674.7384155455902</v>
      </c>
      <c r="G200" s="16" t="s">
        <v>52</v>
      </c>
      <c r="J200" s="129"/>
      <c r="K200" s="76"/>
    </row>
    <row r="201" spans="3:11">
      <c r="D201" s="63"/>
      <c r="E201" s="63"/>
      <c r="F201" s="63"/>
      <c r="G201" s="59"/>
      <c r="J201" s="129"/>
      <c r="K201" s="76"/>
    </row>
    <row r="202" spans="3:11">
      <c r="D202" s="63"/>
      <c r="E202" s="63"/>
      <c r="F202" s="63"/>
      <c r="G202" s="59"/>
      <c r="J202" s="129"/>
      <c r="K202" s="76"/>
    </row>
    <row r="203" spans="3:11">
      <c r="D203" s="68">
        <f>SUM(D199:D201)</f>
        <v>2970.7025411061281</v>
      </c>
      <c r="E203" s="906">
        <f>SUM(E199:E201)</f>
        <v>3538.714499252616</v>
      </c>
      <c r="F203" s="906">
        <f>SUM(F199:F201)</f>
        <v>4674.7384155455902</v>
      </c>
      <c r="G203" s="39" t="s">
        <v>500</v>
      </c>
      <c r="J203" s="65"/>
      <c r="K203" s="66"/>
    </row>
    <row r="204" spans="3:11">
      <c r="D204" s="92"/>
      <c r="E204" s="92"/>
      <c r="F204" s="92"/>
      <c r="G204" s="76"/>
      <c r="J204" s="65"/>
      <c r="K204" s="66"/>
    </row>
    <row r="205" spans="3:11">
      <c r="D205" s="46">
        <f>D197</f>
        <v>10.423517688091678</v>
      </c>
      <c r="E205" s="46">
        <f>E197</f>
        <v>12.416542102640758</v>
      </c>
      <c r="F205" s="46">
        <f>F197</f>
        <v>16.402590931738914</v>
      </c>
      <c r="G205" s="359" t="s">
        <v>795</v>
      </c>
      <c r="J205" s="65"/>
      <c r="K205" s="66"/>
    </row>
    <row r="206" spans="3:11">
      <c r="D206" s="75">
        <f>ROUNDUP((D205/21),0)</f>
        <v>1</v>
      </c>
      <c r="E206" s="75">
        <f>ROUNDUP((E205/21),0)</f>
        <v>1</v>
      </c>
      <c r="F206" s="75">
        <f>ROUNDUP((F205/21),0)</f>
        <v>1</v>
      </c>
      <c r="G206" s="99" t="s">
        <v>739</v>
      </c>
      <c r="J206" s="65"/>
      <c r="K206" s="66"/>
    </row>
    <row r="207" spans="3:11">
      <c r="D207" s="65"/>
      <c r="E207" s="66"/>
      <c r="J207" s="65"/>
      <c r="K207" s="66"/>
    </row>
    <row r="208" spans="3:11">
      <c r="C208" t="s">
        <v>70</v>
      </c>
      <c r="D208" s="58"/>
      <c r="E208" s="59" t="s">
        <v>156</v>
      </c>
      <c r="J208" s="65"/>
      <c r="K208" s="66"/>
    </row>
    <row r="209" spans="1:12">
      <c r="D209" s="160" t="s">
        <v>238</v>
      </c>
      <c r="E209" s="59"/>
      <c r="J209" s="65"/>
      <c r="K209" s="66"/>
    </row>
    <row r="210" spans="1:12">
      <c r="D210" s="58"/>
      <c r="E210" s="59"/>
      <c r="J210" s="65"/>
      <c r="K210" s="66"/>
    </row>
    <row r="211" spans="1:12">
      <c r="A211" s="1" t="s">
        <v>327</v>
      </c>
      <c r="D211" s="25">
        <f>D180</f>
        <v>10.423517688091678</v>
      </c>
      <c r="E211" s="25">
        <f>E180</f>
        <v>12.416542102640758</v>
      </c>
      <c r="F211" s="25">
        <f>F180</f>
        <v>16.402590931738914</v>
      </c>
      <c r="G211" s="16" t="s">
        <v>157</v>
      </c>
      <c r="J211" s="65"/>
      <c r="K211" s="66"/>
    </row>
    <row r="212" spans="1:12">
      <c r="D212" s="61">
        <f>FLOOR(D211,1)</f>
        <v>10</v>
      </c>
      <c r="E212" s="61">
        <f>FLOOR(E211,1)</f>
        <v>12</v>
      </c>
      <c r="F212" s="61">
        <f>FLOOR(F211,1)</f>
        <v>16</v>
      </c>
      <c r="G212" s="16" t="s">
        <v>73</v>
      </c>
      <c r="J212" s="65"/>
      <c r="K212" s="66"/>
    </row>
    <row r="213" spans="1:12">
      <c r="D213" s="65"/>
      <c r="E213" s="65"/>
      <c r="F213" s="65"/>
      <c r="G213" s="66"/>
      <c r="J213" s="65"/>
      <c r="K213" s="66"/>
    </row>
    <row r="214" spans="1:12">
      <c r="D214" s="65">
        <f>D212*$D151</f>
        <v>20</v>
      </c>
      <c r="E214" s="65">
        <f>E212*$D151</f>
        <v>24</v>
      </c>
      <c r="F214" s="65">
        <f>F212*$D151</f>
        <v>32</v>
      </c>
      <c r="G214" s="66" t="s">
        <v>88</v>
      </c>
      <c r="J214" s="65"/>
      <c r="K214" s="66"/>
    </row>
    <row r="215" spans="1:12">
      <c r="D215" s="102">
        <f>D214*$D166</f>
        <v>4200</v>
      </c>
      <c r="E215" s="102">
        <f>E214*$D166</f>
        <v>5040</v>
      </c>
      <c r="F215" s="102">
        <f>F214*$D166</f>
        <v>6720</v>
      </c>
      <c r="G215" s="39" t="s">
        <v>74</v>
      </c>
      <c r="J215" s="129"/>
      <c r="K215" s="76"/>
    </row>
    <row r="216" spans="1:12">
      <c r="C216" s="79"/>
      <c r="D216" s="488"/>
      <c r="E216" s="164"/>
      <c r="J216" s="129"/>
      <c r="K216" s="76"/>
    </row>
    <row r="217" spans="1:12">
      <c r="D217" s="400"/>
      <c r="E217" s="164"/>
      <c r="F217" s="255"/>
      <c r="G217" s="255"/>
      <c r="H217" s="618" t="s">
        <v>735</v>
      </c>
      <c r="I217" s="618" t="s">
        <v>987</v>
      </c>
      <c r="J217" s="618" t="s">
        <v>298</v>
      </c>
      <c r="K217" s="161"/>
    </row>
    <row r="218" spans="1:12">
      <c r="D218" s="437" t="s">
        <v>172</v>
      </c>
      <c r="E218" s="276" t="s">
        <v>155</v>
      </c>
      <c r="F218" s="276" t="s">
        <v>173</v>
      </c>
      <c r="G218" s="276" t="s">
        <v>174</v>
      </c>
      <c r="H218" s="276" t="s">
        <v>166</v>
      </c>
      <c r="I218" s="79"/>
      <c r="J218" s="79"/>
      <c r="K218" s="485" t="s">
        <v>69</v>
      </c>
      <c r="L218" s="276" t="s">
        <v>391</v>
      </c>
    </row>
    <row r="219" spans="1:12">
      <c r="D219" s="135" t="s">
        <v>3</v>
      </c>
      <c r="E219" s="136">
        <f>D182</f>
        <v>20.847035376183356</v>
      </c>
      <c r="F219" s="141"/>
      <c r="G219" s="79"/>
      <c r="H219" s="119">
        <f>D185</f>
        <v>4690.582959641255</v>
      </c>
      <c r="I219" s="119">
        <f>E185</f>
        <v>5587.4439461883412</v>
      </c>
      <c r="J219" s="119">
        <f>F185</f>
        <v>7381.1659192825109</v>
      </c>
      <c r="K219" s="358" t="str">
        <f>G185</f>
        <v>Cost for person hours</v>
      </c>
      <c r="L219">
        <f>$D$132</f>
        <v>1</v>
      </c>
    </row>
    <row r="220" spans="1:12">
      <c r="D220" s="135" t="s">
        <v>132</v>
      </c>
      <c r="E220" s="136">
        <f>D197</f>
        <v>10.423517688091678</v>
      </c>
      <c r="F220" s="141"/>
      <c r="G220" s="141"/>
      <c r="H220" s="119">
        <f>D203</f>
        <v>2970.7025411061281</v>
      </c>
      <c r="I220" s="119">
        <f>E203</f>
        <v>3538.714499252616</v>
      </c>
      <c r="J220" s="119">
        <f>F203</f>
        <v>4674.7384155455902</v>
      </c>
      <c r="K220" s="358" t="str">
        <f>G203</f>
        <v>Cost for ute hire</v>
      </c>
      <c r="L220">
        <f>$D$132</f>
        <v>1</v>
      </c>
    </row>
    <row r="221" spans="1:12">
      <c r="D221" s="135" t="s">
        <v>169</v>
      </c>
      <c r="E221" s="136">
        <f>D214</f>
        <v>20</v>
      </c>
      <c r="F221" s="141"/>
      <c r="G221" s="141"/>
      <c r="H221" s="119">
        <f>D215</f>
        <v>4200</v>
      </c>
      <c r="I221" s="119">
        <f>E215</f>
        <v>5040</v>
      </c>
      <c r="J221" s="119">
        <f>F215</f>
        <v>6720</v>
      </c>
      <c r="K221" s="358" t="str">
        <f>G215</f>
        <v>Accomodation + Food Cost</v>
      </c>
      <c r="L221">
        <f>$D$132</f>
        <v>1</v>
      </c>
    </row>
    <row r="222" spans="1:12">
      <c r="D222" s="135"/>
      <c r="E222" s="136"/>
      <c r="F222" s="141"/>
      <c r="G222" s="122"/>
      <c r="H222" s="79"/>
      <c r="I222" s="79"/>
      <c r="J222" s="79"/>
      <c r="K222" s="246"/>
    </row>
    <row r="223" spans="1:12">
      <c r="D223" s="137"/>
      <c r="E223" s="486"/>
      <c r="F223" s="487"/>
      <c r="G223" s="142"/>
      <c r="H223" s="139">
        <f>SUM(H219:H221)</f>
        <v>11861.285500747383</v>
      </c>
      <c r="I223" s="139">
        <f>SUM(I219:I221)</f>
        <v>14166.158445440957</v>
      </c>
      <c r="J223" s="139">
        <f>SUM(J219:J221)</f>
        <v>18775.904334828101</v>
      </c>
      <c r="K223" s="140" t="s">
        <v>165</v>
      </c>
    </row>
    <row r="224" spans="1:12">
      <c r="D224" s="122"/>
      <c r="E224" s="147"/>
      <c r="F224" s="122"/>
      <c r="G224" s="122"/>
      <c r="H224" s="119"/>
      <c r="I224" s="119"/>
    </row>
    <row r="226" spans="1:42" s="212" customFormat="1" ht="18" customHeight="1">
      <c r="A226" s="219"/>
      <c r="B226" s="219"/>
      <c r="C226" s="219"/>
      <c r="D226" s="223"/>
      <c r="E226" s="220"/>
      <c r="F226" s="219"/>
      <c r="G226" s="219"/>
      <c r="H226" s="219"/>
      <c r="I226" s="219"/>
      <c r="J226" s="219"/>
      <c r="K226" s="219"/>
      <c r="L226" s="219"/>
      <c r="M226" s="219"/>
      <c r="N226" s="219"/>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c r="AL226" s="219"/>
      <c r="AM226" s="219"/>
      <c r="AN226" s="219"/>
      <c r="AO226" s="219"/>
      <c r="AP226" s="219"/>
    </row>
    <row r="227" spans="1:42" s="212" customFormat="1" ht="18" customHeight="1">
      <c r="D227" s="222"/>
      <c r="E227" s="213"/>
    </row>
    <row r="228" spans="1:42" s="212" customFormat="1" ht="18" customHeight="1">
      <c r="A228" s="219"/>
      <c r="B228" s="219"/>
      <c r="C228" s="219"/>
      <c r="D228" s="223"/>
      <c r="E228" s="220"/>
      <c r="F228" s="219"/>
      <c r="G228" s="219"/>
      <c r="H228" s="219"/>
      <c r="I228" s="219"/>
      <c r="J228" s="219"/>
      <c r="K228" s="219"/>
      <c r="L228" s="219"/>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c r="AL228" s="219"/>
      <c r="AM228" s="219"/>
      <c r="AN228" s="219"/>
      <c r="AO228" s="219"/>
      <c r="AP228" s="219"/>
    </row>
    <row r="229" spans="1:42" s="212" customFormat="1" ht="18" customHeight="1">
      <c r="D229" s="222"/>
      <c r="E229" s="213"/>
    </row>
    <row r="230" spans="1:42" s="9" customFormat="1">
      <c r="D230" s="116"/>
      <c r="E230" s="116"/>
    </row>
    <row r="231" spans="1:42" s="7" customFormat="1">
      <c r="D231" s="69"/>
      <c r="E231" s="36"/>
    </row>
    <row r="232" spans="1:42">
      <c r="C232" s="8" t="s">
        <v>266</v>
      </c>
      <c r="D232" s="235" t="s">
        <v>524</v>
      </c>
      <c r="K232" s="522" t="s">
        <v>530</v>
      </c>
      <c r="L232" s="34"/>
      <c r="M232" s="34"/>
    </row>
    <row r="233" spans="1:42">
      <c r="C233" t="s">
        <v>557</v>
      </c>
      <c r="D233" s="224" t="s">
        <v>525</v>
      </c>
      <c r="K233" s="60">
        <v>460</v>
      </c>
      <c r="L233" s="34" t="s">
        <v>529</v>
      </c>
      <c r="M233" s="34"/>
    </row>
    <row r="234" spans="1:42">
      <c r="D234" s="224"/>
      <c r="K234" s="33">
        <f>K233*100</f>
        <v>46000</v>
      </c>
      <c r="L234" s="34" t="s">
        <v>527</v>
      </c>
      <c r="M234" s="34"/>
    </row>
    <row r="235" spans="1:42">
      <c r="D235" s="224"/>
      <c r="K235" s="16">
        <v>2</v>
      </c>
      <c r="L235" s="16" t="s">
        <v>552</v>
      </c>
      <c r="M235" s="34"/>
    </row>
    <row r="236" spans="1:42">
      <c r="D236" s="525">
        <v>1</v>
      </c>
      <c r="E236" s="16" t="s">
        <v>2319</v>
      </c>
      <c r="K236" s="207">
        <f>K234*100*K235</f>
        <v>9200000</v>
      </c>
      <c r="L236" s="34" t="s">
        <v>528</v>
      </c>
      <c r="M236" s="34"/>
    </row>
    <row r="237" spans="1:42">
      <c r="D237" s="224"/>
      <c r="K237" s="521" t="s">
        <v>526</v>
      </c>
      <c r="L237" s="34"/>
      <c r="M237" s="16"/>
    </row>
    <row r="238" spans="1:42">
      <c r="D238" s="224"/>
      <c r="K238" s="514"/>
      <c r="L238" s="9"/>
    </row>
    <row r="239" spans="1:42">
      <c r="D239" s="224" t="s">
        <v>4</v>
      </c>
      <c r="K239" s="523" t="s">
        <v>531</v>
      </c>
    </row>
    <row r="240" spans="1:42">
      <c r="D240" s="3625">
        <v>23</v>
      </c>
      <c r="E240" s="16" t="s">
        <v>533</v>
      </c>
      <c r="K240" s="515" t="s">
        <v>537</v>
      </c>
    </row>
    <row r="241" spans="4:11" s="2953" customFormat="1">
      <c r="D241" s="3511">
        <v>2400</v>
      </c>
      <c r="E241" s="16" t="s">
        <v>2320</v>
      </c>
      <c r="K241" s="515"/>
    </row>
    <row r="242" spans="4:11">
      <c r="D242" s="3626">
        <f>D240*D241</f>
        <v>55200</v>
      </c>
      <c r="E242" s="16" t="s">
        <v>532</v>
      </c>
      <c r="K242" s="516" t="s">
        <v>538</v>
      </c>
    </row>
    <row r="243" spans="4:11">
      <c r="D243" s="3625">
        <v>8</v>
      </c>
      <c r="E243" s="16" t="s">
        <v>534</v>
      </c>
      <c r="K243" s="516" t="s">
        <v>539</v>
      </c>
    </row>
    <row r="244" spans="4:11" s="2953" customFormat="1">
      <c r="D244" s="3511">
        <v>60</v>
      </c>
      <c r="E244" s="16" t="s">
        <v>2321</v>
      </c>
      <c r="K244" s="516"/>
    </row>
    <row r="245" spans="4:11">
      <c r="D245" s="510">
        <f>D243*D244</f>
        <v>480</v>
      </c>
      <c r="E245" s="224" t="s">
        <v>535</v>
      </c>
      <c r="K245" s="517" t="s">
        <v>540</v>
      </c>
    </row>
    <row r="246" spans="4:11">
      <c r="D246" s="224"/>
      <c r="K246" s="515" t="s">
        <v>541</v>
      </c>
    </row>
    <row r="247" spans="4:11">
      <c r="D247" s="236">
        <f>D242+D245</f>
        <v>55680</v>
      </c>
      <c r="E247" s="16" t="s">
        <v>536</v>
      </c>
      <c r="K247" s="516" t="s">
        <v>542</v>
      </c>
    </row>
    <row r="248" spans="4:11">
      <c r="D248" s="236"/>
      <c r="K248" s="518" t="s">
        <v>543</v>
      </c>
    </row>
    <row r="249" spans="4:11">
      <c r="D249" s="283">
        <f>'Overall Assumptions'!$C$6</f>
        <v>100</v>
      </c>
      <c r="E249" s="81" t="s">
        <v>586</v>
      </c>
      <c r="K249" s="378"/>
    </row>
    <row r="250" spans="4:11">
      <c r="D250" s="510">
        <v>2</v>
      </c>
      <c r="E250" s="124" t="s">
        <v>553</v>
      </c>
      <c r="K250" s="515" t="s">
        <v>544</v>
      </c>
    </row>
    <row r="251" spans="4:11">
      <c r="D251" s="511"/>
      <c r="E251" s="124"/>
      <c r="K251" t="s">
        <v>551</v>
      </c>
    </row>
    <row r="252" spans="4:11">
      <c r="D252" s="512">
        <f>D247*D249*D250</f>
        <v>11136000</v>
      </c>
      <c r="E252" s="513" t="s">
        <v>596</v>
      </c>
      <c r="F252" s="401"/>
      <c r="G252" s="401"/>
      <c r="H252" s="274"/>
      <c r="K252" s="516" t="s">
        <v>545</v>
      </c>
    </row>
    <row r="253" spans="4:11">
      <c r="D253" s="511"/>
      <c r="E253" s="124"/>
      <c r="K253" s="519" t="s">
        <v>546</v>
      </c>
    </row>
    <row r="254" spans="4:11">
      <c r="D254" s="224"/>
      <c r="K254" s="520" t="s">
        <v>547</v>
      </c>
    </row>
    <row r="255" spans="4:11">
      <c r="D255" s="224"/>
      <c r="K255" s="516" t="s">
        <v>548</v>
      </c>
    </row>
    <row r="256" spans="4:11">
      <c r="D256" s="23" t="s">
        <v>101</v>
      </c>
      <c r="E256" s="147"/>
      <c r="F256" s="122"/>
      <c r="G256" s="122"/>
      <c r="H256" s="119"/>
      <c r="I256" s="119"/>
      <c r="K256" s="516" t="s">
        <v>549</v>
      </c>
    </row>
    <row r="257" spans="3:13">
      <c r="D257" s="346">
        <v>1</v>
      </c>
      <c r="E257" s="147" t="s">
        <v>263</v>
      </c>
      <c r="F257" s="122"/>
      <c r="G257" s="122"/>
      <c r="H257" s="119"/>
      <c r="I257" s="119"/>
      <c r="K257" s="520" t="s">
        <v>550</v>
      </c>
    </row>
    <row r="258" spans="3:13" ht="35">
      <c r="C258" s="224"/>
      <c r="D258" s="17"/>
      <c r="K258" s="378"/>
    </row>
    <row r="259" spans="3:13">
      <c r="D259" s="25"/>
    </row>
    <row r="260" spans="3:13">
      <c r="D260" s="85" t="s">
        <v>179</v>
      </c>
      <c r="E260" s="164"/>
      <c r="F260" s="161"/>
    </row>
    <row r="261" spans="3:13">
      <c r="D261" s="84">
        <f>'Overall Assumptions'!$C$68</f>
        <v>225</v>
      </c>
      <c r="E261" s="284" t="s">
        <v>102</v>
      </c>
      <c r="F261" s="967"/>
    </row>
    <row r="262" spans="3:13">
      <c r="D262" s="84">
        <f>'Overall Assumptions'!$C$81</f>
        <v>210</v>
      </c>
      <c r="E262" s="76" t="s">
        <v>87</v>
      </c>
      <c r="F262" s="246"/>
    </row>
    <row r="263" spans="3:13">
      <c r="D263" s="84">
        <f>'Overall Assumptions'!$C$131</f>
        <v>1</v>
      </c>
      <c r="E263" s="963" t="s">
        <v>84</v>
      </c>
      <c r="F263" s="246"/>
    </row>
    <row r="264" spans="3:13">
      <c r="D264" s="84">
        <f>'Overall Assumptions'!$C$6</f>
        <v>100</v>
      </c>
      <c r="E264" s="963" t="str">
        <f>'Overall Assumptions'!$D$6</f>
        <v>Standardised action area - Planar spatial polygon area of action area (km2)</v>
      </c>
      <c r="F264" s="246"/>
    </row>
    <row r="265" spans="3:13">
      <c r="D265" s="524">
        <v>0.02</v>
      </c>
      <c r="E265" s="966" t="s">
        <v>105</v>
      </c>
      <c r="F265" s="246"/>
      <c r="L265" s="9"/>
      <c r="M265" s="9"/>
    </row>
    <row r="266" spans="3:13">
      <c r="D266" s="524">
        <f>D250</f>
        <v>2</v>
      </c>
      <c r="E266" s="124" t="s">
        <v>553</v>
      </c>
      <c r="F266" s="246"/>
      <c r="L266" s="9"/>
      <c r="M266" s="9"/>
    </row>
    <row r="267" spans="3:13">
      <c r="D267" s="84">
        <f>'Overall Assumptions'!C560</f>
        <v>0</v>
      </c>
      <c r="E267" s="283">
        <f>'Overall Assumptions'!D560</f>
        <v>0</v>
      </c>
      <c r="F267" s="246"/>
      <c r="K267" s="9"/>
      <c r="L267" s="9"/>
      <c r="M267" s="9"/>
    </row>
    <row r="268" spans="3:13">
      <c r="D268" s="84">
        <f>'Overall Assumptions'!$C$97</f>
        <v>250</v>
      </c>
      <c r="E268" s="963" t="s">
        <v>103</v>
      </c>
      <c r="F268" s="246"/>
      <c r="K268" s="9"/>
      <c r="L268" s="9"/>
      <c r="M268" s="9"/>
    </row>
    <row r="269" spans="3:13">
      <c r="D269" s="54">
        <f>'Overall Assumptions'!$C$98</f>
        <v>130</v>
      </c>
      <c r="E269" s="966" t="s">
        <v>104</v>
      </c>
      <c r="F269" s="246"/>
      <c r="K269" s="9"/>
      <c r="L269" s="9"/>
      <c r="M269" s="414"/>
    </row>
    <row r="270" spans="3:13">
      <c r="D270" s="54">
        <f>'Overall Assumptions'!$C$99</f>
        <v>400</v>
      </c>
      <c r="E270" s="76" t="s">
        <v>47</v>
      </c>
      <c r="F270" s="246"/>
      <c r="K270" s="9"/>
      <c r="L270" s="9"/>
      <c r="M270" s="414"/>
    </row>
    <row r="271" spans="3:13">
      <c r="D271" s="968">
        <f>'Overall Assumptions'!$C$100</f>
        <v>50</v>
      </c>
      <c r="E271" s="969" t="s">
        <v>107</v>
      </c>
      <c r="F271" s="162"/>
      <c r="K271" s="9"/>
      <c r="L271" s="9"/>
      <c r="M271" s="414"/>
    </row>
    <row r="272" spans="3:13" ht="18">
      <c r="D272" s="18" t="s">
        <v>108</v>
      </c>
      <c r="K272" s="9"/>
      <c r="L272" s="9"/>
      <c r="M272" s="416"/>
    </row>
    <row r="273" spans="3:13">
      <c r="D273" s="25">
        <f>2*D267/D268/7.5</f>
        <v>0</v>
      </c>
      <c r="E273" s="16" t="s">
        <v>112</v>
      </c>
      <c r="K273" s="9"/>
      <c r="L273" s="9"/>
      <c r="M273" s="9"/>
    </row>
    <row r="274" spans="3:13">
      <c r="D274" s="23" t="s">
        <v>109</v>
      </c>
      <c r="K274" s="9"/>
      <c r="L274" s="9"/>
      <c r="M274" s="9"/>
    </row>
    <row r="275" spans="3:13">
      <c r="D275" s="77">
        <f>D264/D265/D269/7.5</f>
        <v>5.1282051282051277</v>
      </c>
      <c r="E275" s="16" t="s">
        <v>113</v>
      </c>
      <c r="K275" s="9"/>
      <c r="L275" s="9"/>
      <c r="M275" s="9"/>
    </row>
    <row r="276" spans="3:13">
      <c r="D276" s="23" t="s">
        <v>110</v>
      </c>
      <c r="K276" s="9"/>
      <c r="L276" s="9"/>
      <c r="M276" s="9"/>
    </row>
    <row r="277" spans="3:13">
      <c r="D277" s="46">
        <f>FLOOR(D264/D265/D270,1)</f>
        <v>12</v>
      </c>
      <c r="E277" s="16" t="s">
        <v>111</v>
      </c>
      <c r="F277" s="70"/>
      <c r="G277" s="16"/>
      <c r="H277" s="16"/>
      <c r="K277" s="9"/>
      <c r="L277" s="9"/>
      <c r="M277" s="422"/>
    </row>
    <row r="278" spans="3:13">
      <c r="D278" s="46">
        <f>2*D271/D268*D277/7.5</f>
        <v>0.64000000000000012</v>
      </c>
      <c r="E278" s="16" t="s">
        <v>114</v>
      </c>
      <c r="K278" s="9"/>
      <c r="L278" s="9"/>
      <c r="M278" s="9"/>
    </row>
    <row r="279" spans="3:13">
      <c r="K279" s="9"/>
      <c r="L279" s="9"/>
      <c r="M279" s="9"/>
    </row>
    <row r="280" spans="3:13">
      <c r="K280" s="9"/>
      <c r="L280" s="9"/>
      <c r="M280" s="9"/>
    </row>
    <row r="281" spans="3:13">
      <c r="D281" s="25">
        <f>SUM(D273,D275,D278)</f>
        <v>5.7682051282051283</v>
      </c>
      <c r="E281" s="16" t="s">
        <v>115</v>
      </c>
      <c r="K281" s="9"/>
      <c r="L281" s="9"/>
      <c r="M281" s="9"/>
    </row>
    <row r="282" spans="3:13">
      <c r="D282" s="77"/>
      <c r="K282" s="9"/>
      <c r="L282" s="9"/>
      <c r="M282" s="9"/>
    </row>
    <row r="283" spans="3:13">
      <c r="D283" s="77">
        <f>D281*D266</f>
        <v>11.536410256410257</v>
      </c>
      <c r="E283" s="16" t="s">
        <v>555</v>
      </c>
      <c r="K283" s="9"/>
      <c r="L283" s="9"/>
      <c r="M283" s="9"/>
    </row>
    <row r="285" spans="3:13">
      <c r="D285" s="72">
        <f>D283*D261</f>
        <v>2595.6923076923076</v>
      </c>
      <c r="E285" s="39" t="s">
        <v>597</v>
      </c>
    </row>
    <row r="286" spans="3:13">
      <c r="D286" s="104"/>
      <c r="E286" s="66"/>
    </row>
    <row r="287" spans="3:13">
      <c r="C287" t="s">
        <v>55</v>
      </c>
      <c r="D287" s="6" t="s">
        <v>119</v>
      </c>
    </row>
    <row r="288" spans="3:13">
      <c r="D288" s="25" t="s">
        <v>278</v>
      </c>
    </row>
    <row r="289" spans="4:10">
      <c r="D289" s="25"/>
    </row>
    <row r="290" spans="4:10">
      <c r="D290" s="25"/>
    </row>
    <row r="292" spans="4:10">
      <c r="D292" s="85" t="s">
        <v>91</v>
      </c>
      <c r="E292" s="41"/>
    </row>
    <row r="293" spans="4:10">
      <c r="D293" s="86">
        <f>'Overall Assumptions'!$C$96</f>
        <v>850</v>
      </c>
      <c r="E293" s="80" t="s">
        <v>554</v>
      </c>
    </row>
    <row r="294" spans="4:10">
      <c r="D294" s="23" t="s">
        <v>121</v>
      </c>
      <c r="E294" s="87"/>
      <c r="F294" s="21"/>
    </row>
    <row r="295" spans="4:10">
      <c r="D295" s="23" t="s">
        <v>123</v>
      </c>
      <c r="E295" s="87"/>
      <c r="F295" s="21"/>
    </row>
    <row r="296" spans="4:10">
      <c r="D296" s="22">
        <f>D273</f>
        <v>0</v>
      </c>
      <c r="E296" s="21" t="s">
        <v>968</v>
      </c>
      <c r="F296" s="21"/>
    </row>
    <row r="297" spans="4:10">
      <c r="D297" s="23" t="s">
        <v>122</v>
      </c>
      <c r="E297" s="21"/>
      <c r="F297" s="21"/>
    </row>
    <row r="298" spans="4:10">
      <c r="D298" s="23" t="s">
        <v>124</v>
      </c>
      <c r="E298" s="21"/>
      <c r="F298" s="21"/>
    </row>
    <row r="299" spans="4:10">
      <c r="D299" s="22">
        <f>D275</f>
        <v>5.1282051282051277</v>
      </c>
      <c r="E299" s="21" t="s">
        <v>969</v>
      </c>
      <c r="F299" s="21"/>
    </row>
    <row r="300" spans="4:10">
      <c r="D300" s="23" t="s">
        <v>125</v>
      </c>
      <c r="E300" s="21"/>
      <c r="F300" s="21"/>
    </row>
    <row r="301" spans="4:10">
      <c r="D301" s="23" t="s">
        <v>126</v>
      </c>
      <c r="E301" s="21"/>
      <c r="F301" s="21"/>
    </row>
    <row r="302" spans="4:10">
      <c r="D302" s="22">
        <f>D277</f>
        <v>12</v>
      </c>
      <c r="E302" s="88" t="s">
        <v>111</v>
      </c>
      <c r="F302" s="21"/>
    </row>
    <row r="303" spans="4:10">
      <c r="D303" s="22">
        <f>D278</f>
        <v>0.64000000000000012</v>
      </c>
      <c r="E303" s="21" t="s">
        <v>1074</v>
      </c>
      <c r="F303" s="21"/>
    </row>
    <row r="304" spans="4:10">
      <c r="F304" s="21"/>
      <c r="J304" s="21"/>
    </row>
    <row r="305" spans="3:6">
      <c r="D305" s="20">
        <f>SUM(D296,D299,D303)</f>
        <v>5.7682051282051283</v>
      </c>
      <c r="E305" s="21" t="s">
        <v>177</v>
      </c>
      <c r="F305" s="21"/>
    </row>
    <row r="306" spans="3:6">
      <c r="D306" s="20">
        <f>D283</f>
        <v>11.536410256410257</v>
      </c>
      <c r="E306" s="20" t="str">
        <f>E283</f>
        <v>Total days needed for 2 trips</v>
      </c>
      <c r="F306" s="21"/>
    </row>
    <row r="307" spans="3:6">
      <c r="D307" s="20">
        <f>D305*7.5</f>
        <v>43.261538461538464</v>
      </c>
      <c r="E307" s="21" t="s">
        <v>973</v>
      </c>
      <c r="F307" s="21"/>
    </row>
    <row r="308" spans="3:6">
      <c r="D308" s="20"/>
      <c r="E308" s="21"/>
      <c r="F308" s="21"/>
    </row>
    <row r="309" spans="3:6">
      <c r="D309" s="74">
        <f>D307*D293</f>
        <v>36772.307692307695</v>
      </c>
      <c r="E309" s="47" t="s">
        <v>1075</v>
      </c>
    </row>
    <row r="310" spans="3:6">
      <c r="D310" s="91"/>
      <c r="E310" s="66"/>
    </row>
    <row r="311" spans="3:6">
      <c r="D311" s="46">
        <f>D306</f>
        <v>11.536410256410257</v>
      </c>
      <c r="E311" s="359" t="s">
        <v>795</v>
      </c>
    </row>
    <row r="312" spans="3:6">
      <c r="D312" s="75">
        <f>ROUNDUP((D311/21),0)</f>
        <v>1</v>
      </c>
      <c r="E312" s="99" t="s">
        <v>739</v>
      </c>
    </row>
    <row r="313" spans="3:6">
      <c r="D313" s="75">
        <f>D312*2</f>
        <v>2</v>
      </c>
      <c r="E313" s="99" t="s">
        <v>1077</v>
      </c>
    </row>
    <row r="314" spans="3:6">
      <c r="D314" s="104"/>
      <c r="E314" s="66"/>
    </row>
    <row r="315" spans="3:6">
      <c r="C315" t="s">
        <v>70</v>
      </c>
      <c r="D315" s="23" t="s">
        <v>161</v>
      </c>
    </row>
    <row r="319" spans="3:6">
      <c r="D319" s="46">
        <f>D283</f>
        <v>11.536410256410257</v>
      </c>
      <c r="E319" s="16" t="s">
        <v>115</v>
      </c>
    </row>
    <row r="320" spans="3:6">
      <c r="D320" s="1247" t="str">
        <f>IF(D281&gt;1,"YES","NO")</f>
        <v>YES</v>
      </c>
      <c r="E320" s="16" t="s">
        <v>72</v>
      </c>
    </row>
    <row r="321" spans="3:14">
      <c r="D321" s="23">
        <f>FLOOR(D319,1)</f>
        <v>11</v>
      </c>
      <c r="E321" s="16" t="s">
        <v>116</v>
      </c>
    </row>
    <row r="322" spans="3:14">
      <c r="D322" s="104"/>
      <c r="E322" s="66"/>
    </row>
    <row r="323" spans="3:14">
      <c r="D323" s="64">
        <f>D262*D263*D321</f>
        <v>2310</v>
      </c>
      <c r="E323" s="273" t="s">
        <v>1076</v>
      </c>
      <c r="F323" s="401"/>
      <c r="G323" s="274"/>
    </row>
    <row r="324" spans="3:14">
      <c r="D324" s="65"/>
      <c r="E324" s="76"/>
      <c r="F324" s="79"/>
      <c r="G324" s="79"/>
      <c r="J324" s="79"/>
      <c r="K324" s="79"/>
      <c r="L324" s="79"/>
      <c r="M324" s="79"/>
      <c r="N324" s="79"/>
    </row>
    <row r="325" spans="3:14">
      <c r="D325" s="143" t="s">
        <v>172</v>
      </c>
      <c r="E325" s="144" t="s">
        <v>155</v>
      </c>
      <c r="F325" s="144" t="s">
        <v>68</v>
      </c>
      <c r="G325" s="144" t="s">
        <v>166</v>
      </c>
      <c r="H325" s="145" t="s">
        <v>69</v>
      </c>
      <c r="I325" s="276" t="s">
        <v>263</v>
      </c>
      <c r="J325" s="276"/>
      <c r="K325" s="276"/>
      <c r="L325" s="276"/>
      <c r="M325" s="276"/>
      <c r="N325" s="79"/>
    </row>
    <row r="326" spans="3:14">
      <c r="D326" s="135" t="s">
        <v>3</v>
      </c>
      <c r="E326" s="136">
        <f>D283</f>
        <v>11.536410256410257</v>
      </c>
      <c r="F326" s="141">
        <f>D264*D266</f>
        <v>200</v>
      </c>
      <c r="G326" s="119">
        <f>D285</f>
        <v>2595.6923076923076</v>
      </c>
      <c r="H326" s="358" t="str">
        <f>E285</f>
        <v>Person hours for 2 trips needed</v>
      </c>
      <c r="I326">
        <f>$D$236</f>
        <v>1</v>
      </c>
      <c r="J326" s="122"/>
      <c r="K326" s="136"/>
      <c r="L326" s="119"/>
      <c r="M326" s="119"/>
      <c r="N326" s="79"/>
    </row>
    <row r="327" spans="3:14">
      <c r="D327" s="135" t="s">
        <v>132</v>
      </c>
      <c r="E327" s="136">
        <f>D283</f>
        <v>11.536410256410257</v>
      </c>
      <c r="F327" s="141">
        <f>F326</f>
        <v>200</v>
      </c>
      <c r="G327" s="119">
        <f>D309</f>
        <v>36772.307692307695</v>
      </c>
      <c r="H327" s="358" t="str">
        <f>E309</f>
        <v>Total Aerial Spraying Travel costs</v>
      </c>
      <c r="I327">
        <f>$D$236</f>
        <v>1</v>
      </c>
      <c r="J327" s="122"/>
      <c r="K327" s="136"/>
      <c r="L327" s="119"/>
      <c r="M327" s="119"/>
      <c r="N327" s="79"/>
    </row>
    <row r="328" spans="3:14">
      <c r="D328" s="135" t="s">
        <v>1089</v>
      </c>
      <c r="E328" s="136">
        <f>D321</f>
        <v>11</v>
      </c>
      <c r="F328" s="141"/>
      <c r="G328" s="119">
        <f>SUM(D252,D323)</f>
        <v>11138310</v>
      </c>
      <c r="H328" s="358" t="s">
        <v>1090</v>
      </c>
      <c r="I328">
        <f>$D$236</f>
        <v>1</v>
      </c>
      <c r="J328" s="122"/>
      <c r="K328" s="136"/>
      <c r="L328" s="119"/>
      <c r="M328" s="119"/>
      <c r="N328" s="79"/>
    </row>
    <row r="329" spans="3:14">
      <c r="D329" s="135"/>
      <c r="E329" s="136"/>
      <c r="F329" s="141"/>
      <c r="G329" s="119"/>
      <c r="H329" s="119"/>
      <c r="J329" s="122"/>
      <c r="K329" s="136"/>
      <c r="L329" s="119"/>
      <c r="M329" s="119"/>
      <c r="N329" s="79"/>
    </row>
    <row r="330" spans="3:14">
      <c r="D330" s="137"/>
      <c r="E330" s="138"/>
      <c r="F330" s="142"/>
      <c r="G330" s="139">
        <f>SUM(G326:G329)</f>
        <v>11177678</v>
      </c>
      <c r="H330" s="140" t="s">
        <v>556</v>
      </c>
      <c r="J330" s="122"/>
      <c r="K330" s="147"/>
      <c r="L330" s="119"/>
      <c r="M330" s="119"/>
      <c r="N330" s="79"/>
    </row>
    <row r="331" spans="3:14">
      <c r="D331" s="122"/>
      <c r="E331" s="147"/>
      <c r="F331" s="122"/>
      <c r="G331" s="122"/>
      <c r="H331" s="119"/>
      <c r="I331" s="119"/>
    </row>
    <row r="333" spans="3:14">
      <c r="D333" s="25"/>
    </row>
    <row r="334" spans="3:14" s="7" customFormat="1">
      <c r="D334" s="69"/>
      <c r="E334" s="36"/>
    </row>
    <row r="335" spans="3:14" s="9" customFormat="1">
      <c r="C335" s="8" t="s">
        <v>875</v>
      </c>
      <c r="D335" s="235" t="s">
        <v>574</v>
      </c>
      <c r="E335" s="34"/>
    </row>
    <row r="336" spans="3:14" s="9" customFormat="1">
      <c r="C336" s="120"/>
      <c r="D336" s="52">
        <f>'Overall Assumptions'!$C$6</f>
        <v>100</v>
      </c>
      <c r="E336" s="95" t="s">
        <v>503</v>
      </c>
    </row>
    <row r="337" spans="3:7" s="9" customFormat="1">
      <c r="C337" s="120"/>
      <c r="D337" s="1249">
        <v>0.01</v>
      </c>
      <c r="E337" s="153" t="s">
        <v>571</v>
      </c>
      <c r="F337" s="79"/>
    </row>
    <row r="338" spans="3:7" s="9" customFormat="1">
      <c r="C338" s="120"/>
      <c r="D338" s="1250">
        <v>1</v>
      </c>
      <c r="E338" s="153" t="s">
        <v>263</v>
      </c>
      <c r="F338" s="79"/>
    </row>
    <row r="339" spans="3:7" s="9" customFormat="1">
      <c r="D339" s="972">
        <f>D336*D337</f>
        <v>1</v>
      </c>
      <c r="E339" s="109" t="s">
        <v>591</v>
      </c>
      <c r="G339" s="79"/>
    </row>
    <row r="340" spans="3:7" s="9" customFormat="1">
      <c r="D340" s="482">
        <v>0.01</v>
      </c>
      <c r="E340" s="43" t="s">
        <v>79</v>
      </c>
      <c r="G340" s="79"/>
    </row>
    <row r="341" spans="3:7" s="9" customFormat="1">
      <c r="D341" s="467">
        <f>D339/D340</f>
        <v>100</v>
      </c>
      <c r="E341" s="96" t="s">
        <v>504</v>
      </c>
      <c r="G341" s="288"/>
    </row>
    <row r="342" spans="3:7" s="9" customFormat="1">
      <c r="D342" s="135"/>
      <c r="E342" s="109"/>
      <c r="G342" s="288"/>
    </row>
    <row r="343" spans="3:7" s="9" customFormat="1">
      <c r="C343" s="9" t="s">
        <v>4</v>
      </c>
      <c r="D343" s="1251">
        <v>0.5</v>
      </c>
      <c r="E343" s="96" t="s">
        <v>572</v>
      </c>
      <c r="F343" s="147"/>
      <c r="G343" s="288"/>
    </row>
    <row r="344" spans="3:7" s="9" customFormat="1">
      <c r="D344" s="1252">
        <v>10</v>
      </c>
      <c r="E344" s="96" t="s">
        <v>590</v>
      </c>
      <c r="F344" s="147"/>
      <c r="G344" s="288"/>
    </row>
    <row r="345" spans="3:7" s="9" customFormat="1">
      <c r="D345" s="1253">
        <f>1000000/D344</f>
        <v>100000</v>
      </c>
      <c r="E345" s="96" t="s">
        <v>573</v>
      </c>
      <c r="F345" s="147"/>
      <c r="G345" s="288"/>
    </row>
    <row r="346" spans="3:7" s="9" customFormat="1">
      <c r="D346" s="1253">
        <f>D339*D345</f>
        <v>100000</v>
      </c>
      <c r="E346" s="96" t="s">
        <v>255</v>
      </c>
      <c r="F346" s="147"/>
      <c r="G346" s="288"/>
    </row>
    <row r="347" spans="3:7" s="9" customFormat="1">
      <c r="D347" s="135"/>
      <c r="E347" s="109"/>
    </row>
    <row r="348" spans="3:7" s="9" customFormat="1">
      <c r="D348" s="149">
        <f>D346*D343</f>
        <v>50000</v>
      </c>
      <c r="E348" s="118" t="s">
        <v>592</v>
      </c>
      <c r="F348" s="118"/>
    </row>
    <row r="349" spans="3:7" s="9" customFormat="1">
      <c r="D349" s="384"/>
      <c r="E349" s="122"/>
      <c r="F349" s="122"/>
    </row>
    <row r="350" spans="3:7" s="9" customFormat="1">
      <c r="D350" s="266">
        <v>5</v>
      </c>
      <c r="E350" s="124" t="s">
        <v>575</v>
      </c>
      <c r="G350" s="288"/>
    </row>
    <row r="351" spans="3:7" s="9" customFormat="1">
      <c r="D351" s="526">
        <f>D350/60/7.5</f>
        <v>1.111111111111111E-2</v>
      </c>
      <c r="E351" s="124" t="s">
        <v>576</v>
      </c>
    </row>
    <row r="352" spans="3:7" s="9" customFormat="1">
      <c r="G352" s="288"/>
    </row>
    <row r="353" spans="3:10">
      <c r="D353" s="46"/>
      <c r="G353" s="3"/>
      <c r="H353" s="3"/>
      <c r="I353" s="3"/>
    </row>
    <row r="354" spans="3:10" ht="19">
      <c r="C354" t="s">
        <v>50</v>
      </c>
      <c r="D354" s="37" t="s">
        <v>81</v>
      </c>
      <c r="E354" s="24"/>
      <c r="F354" s="1"/>
      <c r="G354" s="3"/>
      <c r="H354" s="3"/>
      <c r="I354" s="3"/>
      <c r="J354" s="3"/>
    </row>
    <row r="355" spans="3:10">
      <c r="F355" s="1"/>
      <c r="G355" s="3"/>
      <c r="H355" s="3"/>
      <c r="I355" s="3"/>
      <c r="J355" s="3"/>
    </row>
    <row r="356" spans="3:10">
      <c r="D356" s="160" t="s">
        <v>578</v>
      </c>
    </row>
    <row r="358" spans="3:10">
      <c r="D358" s="50"/>
    </row>
    <row r="359" spans="3:10">
      <c r="D359" s="484" t="s">
        <v>82</v>
      </c>
      <c r="E359" s="164"/>
      <c r="F359" s="161"/>
      <c r="G359" s="79"/>
    </row>
    <row r="360" spans="3:10" ht="19">
      <c r="D360" s="54">
        <f>'Overall Assumptions'!$C$68</f>
        <v>225</v>
      </c>
      <c r="E360" s="1215" t="s">
        <v>99</v>
      </c>
      <c r="F360" s="246"/>
      <c r="G360" s="79"/>
    </row>
    <row r="361" spans="3:10">
      <c r="D361" s="54">
        <f>'Overall Assumptions'!$C$130</f>
        <v>2</v>
      </c>
      <c r="E361" s="76" t="s">
        <v>84</v>
      </c>
      <c r="F361" s="246"/>
      <c r="G361" s="79"/>
    </row>
    <row r="362" spans="3:10">
      <c r="D362" s="54"/>
      <c r="E362" s="76"/>
      <c r="F362" s="246"/>
      <c r="G362" s="79"/>
    </row>
    <row r="363" spans="3:10">
      <c r="D363" s="42">
        <f>'Overall Assumptions'!$C$53</f>
        <v>4.46</v>
      </c>
      <c r="E363" s="629" t="s">
        <v>780</v>
      </c>
      <c r="F363" s="246"/>
      <c r="G363" s="79"/>
    </row>
    <row r="364" spans="3:10">
      <c r="D364" s="42">
        <f>'Overall Assumptions'!$C$54</f>
        <v>3.3449999999999998</v>
      </c>
      <c r="E364" s="629" t="s">
        <v>781</v>
      </c>
      <c r="F364" s="246"/>
      <c r="G364" s="79"/>
    </row>
    <row r="365" spans="3:10">
      <c r="D365" s="42">
        <f>'Overall Assumptions'!$C$55</f>
        <v>2.23</v>
      </c>
      <c r="E365" s="629" t="s">
        <v>782</v>
      </c>
      <c r="F365" s="246"/>
      <c r="G365" s="79"/>
    </row>
    <row r="366" spans="3:10">
      <c r="D366" s="55"/>
      <c r="E366" s="76"/>
      <c r="F366" s="246"/>
      <c r="G366" s="79"/>
    </row>
    <row r="367" spans="3:10">
      <c r="D367" s="446">
        <f>D341</f>
        <v>100</v>
      </c>
      <c r="E367" s="458" t="str">
        <f>E341</f>
        <v>Distance needed to be walked</v>
      </c>
      <c r="F367" s="335"/>
      <c r="G367" s="79"/>
    </row>
    <row r="368" spans="3:10">
      <c r="D368" s="152"/>
      <c r="E368" s="76"/>
      <c r="F368" s="246"/>
      <c r="G368" s="79"/>
    </row>
    <row r="369" spans="3:12">
      <c r="D369" s="529">
        <f>D346</f>
        <v>100000</v>
      </c>
      <c r="E369" s="76" t="s">
        <v>255</v>
      </c>
      <c r="F369" s="246"/>
      <c r="G369" s="79"/>
    </row>
    <row r="370" spans="3:12">
      <c r="D370" s="42">
        <f>D351</f>
        <v>1.111111111111111E-2</v>
      </c>
      <c r="E370" s="629" t="str">
        <f>E351</f>
        <v>Time to inject into tree (days)</v>
      </c>
      <c r="F370" s="246"/>
      <c r="G370" s="79"/>
    </row>
    <row r="371" spans="3:12">
      <c r="D371" s="54">
        <f>'Overall Assumptions'!$C$10</f>
        <v>0</v>
      </c>
      <c r="E371" s="76" t="s">
        <v>85</v>
      </c>
      <c r="F371" s="246"/>
      <c r="G371" s="79"/>
      <c r="J371" s="79"/>
      <c r="K371" s="79"/>
      <c r="L371" s="79"/>
    </row>
    <row r="372" spans="3:12">
      <c r="D372" s="54">
        <f>'Overall Assumptions'!$C$90</f>
        <v>80</v>
      </c>
      <c r="E372" s="76" t="s">
        <v>86</v>
      </c>
      <c r="F372" s="246"/>
      <c r="G372" s="79"/>
      <c r="J372" s="79"/>
      <c r="K372" s="79"/>
      <c r="L372" s="79"/>
    </row>
    <row r="373" spans="3:12">
      <c r="D373" s="54">
        <f>'Overall Assumptions'!$C$91</f>
        <v>40</v>
      </c>
      <c r="E373" s="75" t="s">
        <v>1086</v>
      </c>
      <c r="F373" s="246"/>
      <c r="G373" s="79"/>
      <c r="J373" s="79"/>
      <c r="K373" s="79"/>
      <c r="L373" s="79"/>
    </row>
    <row r="374" spans="3:12">
      <c r="D374" s="56">
        <f>'Overall Assumptions'!$C$81</f>
        <v>210</v>
      </c>
      <c r="E374" s="333" t="s">
        <v>87</v>
      </c>
      <c r="F374" s="162"/>
      <c r="G374" s="79"/>
      <c r="J374" s="127"/>
      <c r="K374" s="79"/>
      <c r="L374" s="79"/>
    </row>
    <row r="375" spans="3:12">
      <c r="D375" s="1248"/>
      <c r="E375" s="76"/>
      <c r="F375" s="79"/>
      <c r="G375" s="79"/>
      <c r="J375" s="79"/>
      <c r="K375" s="79"/>
      <c r="L375" s="79"/>
    </row>
    <row r="376" spans="3:12">
      <c r="D376" s="869" t="s">
        <v>735</v>
      </c>
      <c r="E376" s="76" t="s">
        <v>987</v>
      </c>
      <c r="F376" s="280" t="s">
        <v>733</v>
      </c>
      <c r="G376" s="79" t="s">
        <v>796</v>
      </c>
      <c r="J376" s="79"/>
      <c r="K376" s="79"/>
      <c r="L376" s="79"/>
    </row>
    <row r="377" spans="3:12">
      <c r="D377" s="46">
        <f>D363</f>
        <v>4.46</v>
      </c>
      <c r="E377" s="46">
        <f>D364</f>
        <v>3.3449999999999998</v>
      </c>
      <c r="F377" s="1219">
        <f>D365</f>
        <v>2.23</v>
      </c>
      <c r="G377" s="79" t="s">
        <v>254</v>
      </c>
      <c r="J377" s="79"/>
      <c r="K377" s="79"/>
      <c r="L377" s="79"/>
    </row>
    <row r="378" spans="3:12">
      <c r="D378" s="46"/>
      <c r="E378" s="46"/>
      <c r="F378" s="1219"/>
      <c r="G378" s="79"/>
      <c r="J378" s="79"/>
      <c r="K378" s="79"/>
      <c r="L378" s="79"/>
    </row>
    <row r="379" spans="3:12">
      <c r="C379" s="21"/>
      <c r="D379" s="77">
        <f>2*D371/D372/7.5</f>
        <v>0</v>
      </c>
      <c r="E379" s="77">
        <f>D379</f>
        <v>0</v>
      </c>
      <c r="F379" s="77">
        <f>E379</f>
        <v>0</v>
      </c>
      <c r="G379" s="59" t="s">
        <v>95</v>
      </c>
      <c r="J379" s="128"/>
      <c r="K379" s="79"/>
      <c r="L379" s="79"/>
    </row>
    <row r="380" spans="3:12">
      <c r="C380" s="21"/>
      <c r="D380" s="77"/>
      <c r="G380" s="60"/>
      <c r="J380" s="79"/>
      <c r="K380" s="79"/>
      <c r="L380" s="79"/>
    </row>
    <row r="381" spans="3:12">
      <c r="C381" s="21"/>
      <c r="D381" s="77">
        <f>$D367/D377/7.5</f>
        <v>2.9895366218236172</v>
      </c>
      <c r="E381" s="77">
        <f>$D367/E377/7.5</f>
        <v>3.9860488290981571</v>
      </c>
      <c r="F381" s="77">
        <f>$D367/F377/7.5</f>
        <v>5.9790732436472345</v>
      </c>
      <c r="G381" s="59" t="s">
        <v>579</v>
      </c>
      <c r="J381" s="128"/>
      <c r="K381" s="79"/>
      <c r="L381" s="79"/>
    </row>
    <row r="382" spans="3:12" ht="18" customHeight="1">
      <c r="C382" s="21"/>
      <c r="D382" s="77"/>
      <c r="G382" s="59"/>
      <c r="H382" s="19"/>
      <c r="J382" s="79"/>
      <c r="K382" s="79"/>
      <c r="L382" s="79"/>
    </row>
    <row r="383" spans="3:12" ht="18" customHeight="1">
      <c r="C383" s="21"/>
      <c r="D383" s="77">
        <f>D369*D370</f>
        <v>1111.1111111111111</v>
      </c>
      <c r="E383" s="77">
        <f>D383</f>
        <v>1111.1111111111111</v>
      </c>
      <c r="F383" s="90">
        <f>E383</f>
        <v>1111.1111111111111</v>
      </c>
      <c r="G383" s="59" t="s">
        <v>577</v>
      </c>
      <c r="H383" s="19"/>
      <c r="J383" s="79"/>
      <c r="K383" s="79"/>
      <c r="L383" s="79"/>
    </row>
    <row r="384" spans="3:12" ht="18" customHeight="1">
      <c r="C384" s="21"/>
      <c r="D384" s="77"/>
      <c r="G384" s="59"/>
      <c r="H384" s="19"/>
      <c r="J384" s="79"/>
      <c r="K384" s="79"/>
      <c r="L384" s="79"/>
    </row>
    <row r="385" spans="3:12" ht="18" customHeight="1">
      <c r="C385" s="21"/>
      <c r="D385" s="77"/>
      <c r="G385" s="59"/>
      <c r="H385" s="19"/>
      <c r="J385" s="79"/>
      <c r="K385" s="79"/>
      <c r="L385" s="79"/>
    </row>
    <row r="386" spans="3:12" ht="18" customHeight="1">
      <c r="C386" s="21"/>
      <c r="D386" s="77">
        <f>SUM(D379:D384)</f>
        <v>1114.1006477329347</v>
      </c>
      <c r="E386" s="77">
        <f>SUM(E379:E384)</f>
        <v>1115.0971599402092</v>
      </c>
      <c r="F386" s="77">
        <f>SUM(F379:F384)</f>
        <v>1117.0901843547583</v>
      </c>
      <c r="G386" s="59" t="s">
        <v>171</v>
      </c>
      <c r="H386" s="19"/>
      <c r="J386" s="79"/>
      <c r="K386" s="79"/>
      <c r="L386" s="79"/>
    </row>
    <row r="387" spans="3:12">
      <c r="C387" s="21"/>
      <c r="D387" s="16"/>
      <c r="G387" s="16"/>
      <c r="J387" s="79"/>
      <c r="K387" s="79"/>
      <c r="L387" s="79"/>
    </row>
    <row r="388" spans="3:12">
      <c r="C388" s="21"/>
      <c r="D388" s="77">
        <f>D386*$D361</f>
        <v>2228.2012954658694</v>
      </c>
      <c r="E388" s="77">
        <f>E386*$D361</f>
        <v>2230.1943198804183</v>
      </c>
      <c r="F388" s="77">
        <f>F386*$D361</f>
        <v>2234.1803687095166</v>
      </c>
      <c r="G388" s="16" t="s">
        <v>566</v>
      </c>
      <c r="J388" s="128"/>
      <c r="K388" s="79"/>
      <c r="L388" s="79"/>
    </row>
    <row r="389" spans="3:12">
      <c r="C389" s="21"/>
      <c r="D389" s="77"/>
      <c r="G389" s="16"/>
      <c r="J389" s="128"/>
      <c r="K389" s="79"/>
      <c r="L389" s="79"/>
    </row>
    <row r="390" spans="3:12">
      <c r="C390" s="21"/>
      <c r="D390" s="62">
        <f>$D360*$D361*D379</f>
        <v>0</v>
      </c>
      <c r="E390" s="62">
        <f>$D360*$D361*E379</f>
        <v>0</v>
      </c>
      <c r="F390" s="62">
        <f>$D360*$D361*F379</f>
        <v>0</v>
      </c>
      <c r="G390" s="16" t="s">
        <v>36</v>
      </c>
      <c r="J390" s="129"/>
      <c r="K390" s="76"/>
      <c r="L390" s="79"/>
    </row>
    <row r="391" spans="3:12">
      <c r="C391" s="21"/>
      <c r="D391" s="63">
        <f>$D360*$D361*D381</f>
        <v>1345.2914798206277</v>
      </c>
      <c r="E391" s="63">
        <f>$D360*$D361*E381</f>
        <v>1793.7219730941706</v>
      </c>
      <c r="F391" s="63">
        <f>$D360*$D361*F381</f>
        <v>2690.5829596412555</v>
      </c>
      <c r="G391" s="16" t="s">
        <v>37</v>
      </c>
      <c r="J391" s="129"/>
      <c r="K391" s="76"/>
      <c r="L391" s="79"/>
    </row>
    <row r="392" spans="3:12">
      <c r="C392" s="21"/>
      <c r="D392" s="63">
        <f>D383*$D360*$D361</f>
        <v>500000</v>
      </c>
      <c r="E392" s="63">
        <f>E383*$D360*$D361</f>
        <v>500000</v>
      </c>
      <c r="F392" s="63">
        <f>F383*$D360*$D361</f>
        <v>500000</v>
      </c>
      <c r="G392" s="16" t="s">
        <v>567</v>
      </c>
      <c r="J392" s="129"/>
      <c r="K392" s="76"/>
      <c r="L392" s="79"/>
    </row>
    <row r="393" spans="3:12">
      <c r="G393" s="16"/>
      <c r="J393" s="79"/>
      <c r="K393" s="79"/>
      <c r="L393" s="79"/>
    </row>
    <row r="394" spans="3:12">
      <c r="D394" s="64">
        <f>D388*$D360</f>
        <v>501345.29147982062</v>
      </c>
      <c r="E394" s="64">
        <f>E388*$D360</f>
        <v>501793.7219730941</v>
      </c>
      <c r="F394" s="64">
        <f>F388*$D360</f>
        <v>502690.58295964124</v>
      </c>
      <c r="G394" s="47" t="s">
        <v>329</v>
      </c>
      <c r="J394" s="65"/>
      <c r="K394" s="66"/>
      <c r="L394" s="79"/>
    </row>
    <row r="395" spans="3:12">
      <c r="D395" s="65"/>
      <c r="E395" s="66"/>
      <c r="J395" s="65"/>
      <c r="K395" s="66"/>
    </row>
    <row r="396" spans="3:12" ht="19">
      <c r="C396" s="2" t="s">
        <v>64</v>
      </c>
      <c r="D396" s="37" t="s">
        <v>89</v>
      </c>
    </row>
    <row r="397" spans="3:12">
      <c r="C397" t="s">
        <v>54</v>
      </c>
    </row>
    <row r="399" spans="3:12">
      <c r="D399" s="16"/>
    </row>
    <row r="400" spans="3:12">
      <c r="D400" s="67" t="s">
        <v>91</v>
      </c>
      <c r="E400" s="41"/>
    </row>
    <row r="401" spans="4:11">
      <c r="D401" s="52">
        <f>'Overall Assumptions'!$C$93</f>
        <v>285</v>
      </c>
      <c r="E401" s="41" t="s">
        <v>93</v>
      </c>
    </row>
    <row r="402" spans="4:11">
      <c r="D402" s="56"/>
      <c r="E402" s="45"/>
      <c r="J402" s="127"/>
      <c r="K402" s="79"/>
    </row>
    <row r="403" spans="4:11">
      <c r="D403" s="75"/>
      <c r="E403" s="76"/>
      <c r="J403" s="79"/>
      <c r="K403" s="79"/>
    </row>
    <row r="404" spans="4:11">
      <c r="D404" s="46">
        <f>D379</f>
        <v>0</v>
      </c>
      <c r="E404" s="46">
        <f>E379</f>
        <v>0</v>
      </c>
      <c r="F404" s="46">
        <f>F379</f>
        <v>0</v>
      </c>
      <c r="G404" s="59" t="s">
        <v>97</v>
      </c>
      <c r="J404" s="132"/>
      <c r="K404" s="133"/>
    </row>
    <row r="405" spans="4:11">
      <c r="D405" s="46">
        <f>D381</f>
        <v>2.9895366218236172</v>
      </c>
      <c r="E405" s="46">
        <f>E381</f>
        <v>3.9860488290981571</v>
      </c>
      <c r="F405" s="46">
        <f>F381</f>
        <v>5.9790732436472345</v>
      </c>
      <c r="G405" s="59" t="s">
        <v>98</v>
      </c>
      <c r="J405" s="79"/>
      <c r="K405" s="133"/>
    </row>
    <row r="406" spans="4:11">
      <c r="D406" s="46">
        <f>D383</f>
        <v>1111.1111111111111</v>
      </c>
      <c r="E406" s="46">
        <f>E383</f>
        <v>1111.1111111111111</v>
      </c>
      <c r="F406" s="46">
        <f>F383</f>
        <v>1111.1111111111111</v>
      </c>
      <c r="G406" s="59" t="s">
        <v>568</v>
      </c>
      <c r="J406" s="79"/>
      <c r="K406" s="133"/>
    </row>
    <row r="407" spans="4:11">
      <c r="D407" s="46">
        <f>SUM(D404:D406)</f>
        <v>1114.1006477329347</v>
      </c>
      <c r="E407" s="46">
        <f>SUM(E404:E406)</f>
        <v>1115.0971599402092</v>
      </c>
      <c r="F407" s="46">
        <f>SUM(F404:F406)</f>
        <v>1117.0901843547583</v>
      </c>
      <c r="G407" s="59" t="s">
        <v>135</v>
      </c>
      <c r="J407" s="128"/>
      <c r="K407" s="79"/>
    </row>
    <row r="408" spans="4:11">
      <c r="D408" s="46"/>
      <c r="E408" s="46"/>
      <c r="F408" s="46"/>
      <c r="G408" s="59"/>
      <c r="J408" s="128"/>
      <c r="K408" s="79"/>
    </row>
    <row r="409" spans="4:11">
      <c r="D409" s="63">
        <f t="shared" ref="D409:F411" si="25">$D$401*D404</f>
        <v>0</v>
      </c>
      <c r="E409" s="63">
        <f t="shared" si="25"/>
        <v>0</v>
      </c>
      <c r="F409" s="63">
        <f t="shared" si="25"/>
        <v>0</v>
      </c>
      <c r="G409" s="16" t="s">
        <v>51</v>
      </c>
      <c r="J409" s="129"/>
      <c r="K409" s="76"/>
    </row>
    <row r="410" spans="4:11">
      <c r="D410" s="63">
        <f t="shared" si="25"/>
        <v>852.01793721973092</v>
      </c>
      <c r="E410" s="63">
        <f t="shared" si="25"/>
        <v>1136.0239162929747</v>
      </c>
      <c r="F410" s="63">
        <f t="shared" si="25"/>
        <v>1704.0358744394618</v>
      </c>
      <c r="G410" s="16" t="s">
        <v>52</v>
      </c>
      <c r="J410" s="129"/>
      <c r="K410" s="76"/>
    </row>
    <row r="411" spans="4:11">
      <c r="D411" s="63">
        <f t="shared" si="25"/>
        <v>316666.66666666669</v>
      </c>
      <c r="E411" s="63">
        <f t="shared" si="25"/>
        <v>316666.66666666669</v>
      </c>
      <c r="F411" s="63">
        <f t="shared" si="25"/>
        <v>316666.66666666669</v>
      </c>
      <c r="G411" s="59" t="s">
        <v>569</v>
      </c>
      <c r="J411" s="129"/>
      <c r="K411" s="76"/>
    </row>
    <row r="412" spans="4:11">
      <c r="D412" s="68">
        <f>SUM(D409:D411)</f>
        <v>317518.68460388645</v>
      </c>
      <c r="E412" s="68">
        <f>SUM(E409:E411)</f>
        <v>317802.69058295968</v>
      </c>
      <c r="F412" s="68">
        <f>SUM(F409:F411)</f>
        <v>318370.70254110615</v>
      </c>
      <c r="G412" s="39" t="s">
        <v>500</v>
      </c>
      <c r="J412" s="65"/>
      <c r="K412" s="66"/>
    </row>
    <row r="413" spans="4:11">
      <c r="D413" s="92"/>
      <c r="E413" s="92"/>
      <c r="F413" s="92"/>
      <c r="G413" s="76"/>
      <c r="J413" s="65"/>
      <c r="K413" s="66"/>
    </row>
    <row r="414" spans="4:11">
      <c r="D414" s="46">
        <f>D407</f>
        <v>1114.1006477329347</v>
      </c>
      <c r="E414" s="46">
        <f>E407</f>
        <v>1115.0971599402092</v>
      </c>
      <c r="F414" s="46">
        <f>F407</f>
        <v>1117.0901843547583</v>
      </c>
      <c r="G414" s="359" t="s">
        <v>795</v>
      </c>
      <c r="J414" s="65"/>
      <c r="K414" s="66"/>
    </row>
    <row r="415" spans="4:11">
      <c r="D415" s="75">
        <f>ROUNDUP((D414/21),0)</f>
        <v>54</v>
      </c>
      <c r="E415" s="75">
        <f>ROUNDUP((E414/21),0)</f>
        <v>54</v>
      </c>
      <c r="F415" s="75">
        <f>ROUNDUP((F414/21),0)</f>
        <v>54</v>
      </c>
      <c r="G415" s="99" t="s">
        <v>739</v>
      </c>
      <c r="J415" s="65"/>
      <c r="K415" s="66"/>
    </row>
    <row r="416" spans="4:11">
      <c r="D416" s="65"/>
      <c r="E416" s="66"/>
      <c r="J416" s="65"/>
      <c r="K416" s="66"/>
    </row>
    <row r="417" spans="1:12">
      <c r="C417" t="s">
        <v>70</v>
      </c>
      <c r="D417" s="58"/>
      <c r="E417" s="59" t="s">
        <v>156</v>
      </c>
      <c r="J417" s="65"/>
      <c r="K417" s="66"/>
    </row>
    <row r="418" spans="1:12">
      <c r="D418" s="160" t="s">
        <v>238</v>
      </c>
      <c r="E418" s="59"/>
      <c r="J418" s="65"/>
      <c r="K418" s="66"/>
    </row>
    <row r="419" spans="1:12">
      <c r="D419" s="58"/>
      <c r="E419" s="59"/>
      <c r="J419" s="65"/>
      <c r="K419" s="66"/>
    </row>
    <row r="420" spans="1:12">
      <c r="A420" s="1" t="s">
        <v>327</v>
      </c>
      <c r="D420" s="25">
        <f>D388</f>
        <v>2228.2012954658694</v>
      </c>
      <c r="E420" s="25">
        <f>E388</f>
        <v>2230.1943198804183</v>
      </c>
      <c r="F420" s="25">
        <f>F388</f>
        <v>2234.1803687095166</v>
      </c>
      <c r="G420" s="16" t="s">
        <v>1078</v>
      </c>
      <c r="J420" s="65"/>
      <c r="K420" s="66"/>
    </row>
    <row r="421" spans="1:12">
      <c r="D421" s="61">
        <f>FLOOR(D420,1)</f>
        <v>2228</v>
      </c>
      <c r="E421" s="61">
        <f>FLOOR(E420,1)</f>
        <v>2230</v>
      </c>
      <c r="F421" s="61">
        <f>FLOOR(F420,1)</f>
        <v>2234</v>
      </c>
      <c r="G421" s="16" t="s">
        <v>1079</v>
      </c>
      <c r="J421" s="65"/>
      <c r="K421" s="66"/>
    </row>
    <row r="422" spans="1:12">
      <c r="D422" s="65"/>
      <c r="E422" s="65"/>
      <c r="F422" s="65"/>
      <c r="G422" s="66"/>
      <c r="J422" s="65"/>
      <c r="K422" s="66"/>
    </row>
    <row r="423" spans="1:12">
      <c r="D423" s="65"/>
      <c r="E423" s="65"/>
      <c r="F423" s="65"/>
      <c r="G423" s="66"/>
      <c r="J423" s="65"/>
      <c r="K423" s="66"/>
    </row>
    <row r="424" spans="1:12">
      <c r="D424" s="102">
        <f>$D374*D421</f>
        <v>467880</v>
      </c>
      <c r="E424" s="102">
        <f>$D374*E421</f>
        <v>468300</v>
      </c>
      <c r="F424" s="102">
        <f>$D374*F421</f>
        <v>469140</v>
      </c>
      <c r="G424" s="39" t="s">
        <v>74</v>
      </c>
      <c r="J424" s="129"/>
      <c r="K424" s="76"/>
    </row>
    <row r="425" spans="1:12">
      <c r="C425" s="79"/>
      <c r="D425" s="488"/>
      <c r="E425" s="164"/>
      <c r="J425" s="129"/>
      <c r="K425" s="76"/>
    </row>
    <row r="426" spans="1:12">
      <c r="D426" s="400"/>
      <c r="E426" s="164"/>
      <c r="F426" s="255"/>
      <c r="G426" s="255"/>
      <c r="H426" s="276" t="s">
        <v>166</v>
      </c>
      <c r="I426" s="161"/>
    </row>
    <row r="427" spans="1:12">
      <c r="D427" s="437" t="s">
        <v>172</v>
      </c>
      <c r="E427" s="276" t="s">
        <v>155</v>
      </c>
      <c r="F427" s="276" t="s">
        <v>173</v>
      </c>
      <c r="G427" s="276" t="s">
        <v>174</v>
      </c>
      <c r="H427" s="276" t="s">
        <v>735</v>
      </c>
      <c r="I427" s="276" t="s">
        <v>1094</v>
      </c>
      <c r="J427" s="276" t="s">
        <v>733</v>
      </c>
      <c r="K427" s="485" t="s">
        <v>69</v>
      </c>
      <c r="L427" s="276" t="s">
        <v>391</v>
      </c>
    </row>
    <row r="428" spans="1:12">
      <c r="D428" s="135" t="s">
        <v>3</v>
      </c>
      <c r="E428" s="136">
        <f>D388</f>
        <v>2228.2012954658694</v>
      </c>
      <c r="F428" s="141"/>
      <c r="G428" s="79"/>
      <c r="H428" s="119">
        <f>D394</f>
        <v>501345.29147982062</v>
      </c>
      <c r="I428" s="119">
        <f>E394</f>
        <v>501793.7219730941</v>
      </c>
      <c r="J428" s="119">
        <f>F394</f>
        <v>502690.58295964124</v>
      </c>
      <c r="K428" s="358" t="str">
        <f>G394</f>
        <v>Cost for person hours</v>
      </c>
      <c r="L428">
        <f>$D$338</f>
        <v>1</v>
      </c>
    </row>
    <row r="429" spans="1:12">
      <c r="D429" s="135" t="s">
        <v>132</v>
      </c>
      <c r="E429" s="136">
        <f>D407</f>
        <v>1114.1006477329347</v>
      </c>
      <c r="F429" s="141"/>
      <c r="G429" s="141"/>
      <c r="H429" s="119">
        <f>D412</f>
        <v>317518.68460388645</v>
      </c>
      <c r="I429" s="119">
        <f>E412</f>
        <v>317802.69058295968</v>
      </c>
      <c r="J429" s="119">
        <f>F412</f>
        <v>318370.70254110615</v>
      </c>
      <c r="K429" s="358" t="str">
        <f>G412</f>
        <v>Cost for ute hire</v>
      </c>
      <c r="L429">
        <f>$D$338</f>
        <v>1</v>
      </c>
    </row>
    <row r="430" spans="1:12">
      <c r="D430" s="135" t="s">
        <v>1093</v>
      </c>
      <c r="E430" s="136">
        <f>D423</f>
        <v>0</v>
      </c>
      <c r="F430" s="141"/>
      <c r="G430" s="141"/>
      <c r="H430" s="119">
        <f>SUM($D348,D424)</f>
        <v>517880</v>
      </c>
      <c r="I430" s="119">
        <f>SUM($D348,E424)</f>
        <v>518300</v>
      </c>
      <c r="J430" s="119">
        <f>SUM($D348,F424)</f>
        <v>519140</v>
      </c>
      <c r="K430" s="358" t="s">
        <v>1092</v>
      </c>
      <c r="L430">
        <f>$D$338</f>
        <v>1</v>
      </c>
    </row>
    <row r="431" spans="1:12">
      <c r="D431" s="135"/>
      <c r="E431" s="136"/>
      <c r="F431" s="141"/>
      <c r="G431" s="122"/>
      <c r="H431" s="460"/>
      <c r="I431" s="460"/>
      <c r="J431" s="460"/>
      <c r="K431" s="460"/>
    </row>
    <row r="432" spans="1:12">
      <c r="D432" s="137"/>
      <c r="E432" s="486"/>
      <c r="F432" s="487"/>
      <c r="G432" s="142"/>
      <c r="H432" s="139">
        <f>SUM(H428:H431)</f>
        <v>1336743.9760837071</v>
      </c>
      <c r="I432" s="139">
        <f>SUM(I428:I431)</f>
        <v>1337896.4125560538</v>
      </c>
      <c r="J432" s="139">
        <f>SUM(J428:J431)</f>
        <v>1340201.2855007474</v>
      </c>
      <c r="K432" s="140" t="s">
        <v>165</v>
      </c>
    </row>
    <row r="433" spans="3:9">
      <c r="D433" s="122"/>
      <c r="E433" s="147"/>
      <c r="F433" s="122"/>
      <c r="G433" s="122"/>
      <c r="H433" s="119"/>
      <c r="I433" s="119"/>
    </row>
    <row r="434" spans="3:9" s="351" customFormat="1">
      <c r="D434" s="352"/>
      <c r="E434" s="353"/>
    </row>
    <row r="435" spans="3:9" s="7" customFormat="1">
      <c r="D435" s="35"/>
      <c r="E435" s="36"/>
    </row>
    <row r="436" spans="3:9" s="9" customFormat="1">
      <c r="C436" s="120" t="s">
        <v>1081</v>
      </c>
      <c r="D436" s="34" t="s">
        <v>1084</v>
      </c>
      <c r="E436" s="34"/>
    </row>
    <row r="437" spans="3:9" s="9" customFormat="1">
      <c r="C437" s="120"/>
      <c r="D437" s="9" t="s">
        <v>1085</v>
      </c>
      <c r="E437" s="34"/>
    </row>
    <row r="438" spans="3:9" s="9" customFormat="1">
      <c r="C438" s="120"/>
      <c r="D438" s="34"/>
      <c r="E438" s="34"/>
    </row>
    <row r="439" spans="3:9" s="9" customFormat="1">
      <c r="D439" s="34"/>
    </row>
    <row r="440" spans="3:9" s="9" customFormat="1">
      <c r="D440" s="117" t="s">
        <v>91</v>
      </c>
      <c r="E440" s="186"/>
      <c r="F440" s="186"/>
      <c r="G440" s="118"/>
    </row>
    <row r="441" spans="3:9" s="9" customFormat="1">
      <c r="D441" s="54">
        <f>'Overall Assumptions'!$C$6</f>
        <v>100</v>
      </c>
      <c r="E441" s="124" t="s">
        <v>503</v>
      </c>
      <c r="F441" s="122"/>
      <c r="G441" s="109"/>
    </row>
    <row r="442" spans="3:9" s="9" customFormat="1">
      <c r="D442" s="408">
        <v>1</v>
      </c>
      <c r="E442" s="116" t="s">
        <v>134</v>
      </c>
      <c r="F442" s="122"/>
      <c r="G442" s="109"/>
    </row>
    <row r="443" spans="3:9" s="9" customFormat="1">
      <c r="D443" s="1239">
        <f>'Overall Assumptions'!$C$132</f>
        <v>0.5</v>
      </c>
      <c r="E443" s="116" t="s">
        <v>585</v>
      </c>
      <c r="F443" s="122"/>
      <c r="G443" s="109"/>
    </row>
    <row r="444" spans="3:9" s="9" customFormat="1">
      <c r="D444" s="1217">
        <f>D441*D442/D443</f>
        <v>200</v>
      </c>
      <c r="E444" s="116" t="s">
        <v>1058</v>
      </c>
      <c r="F444" s="122"/>
      <c r="G444" s="109"/>
    </row>
    <row r="445" spans="3:9" s="9" customFormat="1">
      <c r="D445" s="135"/>
      <c r="E445" s="122"/>
      <c r="F445" s="122"/>
      <c r="G445" s="109"/>
    </row>
    <row r="446" spans="3:9" s="9" customFormat="1">
      <c r="D446" s="472">
        <v>1</v>
      </c>
      <c r="E446" s="322" t="s">
        <v>1082</v>
      </c>
      <c r="F446" s="142"/>
      <c r="G446" s="323"/>
    </row>
    <row r="447" spans="3:9" s="9" customFormat="1">
      <c r="D447" s="124"/>
      <c r="E447" s="124"/>
      <c r="F447" s="122"/>
      <c r="G447" s="122"/>
    </row>
    <row r="448" spans="3:9" s="9" customFormat="1">
      <c r="D448" s="124"/>
      <c r="E448" s="124"/>
      <c r="F448" s="122"/>
      <c r="G448" s="122"/>
    </row>
    <row r="449" spans="3:10" s="9" customFormat="1">
      <c r="C449" s="9" t="s">
        <v>1061</v>
      </c>
      <c r="D449" s="151" t="s">
        <v>179</v>
      </c>
      <c r="E449" s="164"/>
      <c r="F449" s="255"/>
      <c r="G449" s="1090"/>
      <c r="H449" s="161"/>
    </row>
    <row r="450" spans="3:10" s="9" customFormat="1">
      <c r="D450" s="1242">
        <f>10/60</f>
        <v>0.16666666666666666</v>
      </c>
      <c r="E450" s="443" t="s">
        <v>1080</v>
      </c>
      <c r="F450" s="465"/>
      <c r="G450" s="1097"/>
      <c r="H450" s="466"/>
    </row>
    <row r="451" spans="3:10" s="9" customFormat="1">
      <c r="D451" s="446">
        <f>D444</f>
        <v>200</v>
      </c>
      <c r="E451" s="76" t="s">
        <v>253</v>
      </c>
      <c r="F451" s="79"/>
      <c r="G451" s="1119"/>
      <c r="H451" s="246"/>
    </row>
    <row r="452" spans="3:10" s="9" customFormat="1">
      <c r="D452" s="1221">
        <f>D450*D451/7.5</f>
        <v>4.4444444444444438</v>
      </c>
      <c r="E452" s="333" t="s">
        <v>1083</v>
      </c>
      <c r="F452" s="439"/>
      <c r="G452" s="1098"/>
      <c r="H452" s="162"/>
    </row>
    <row r="453" spans="3:10" s="9" customFormat="1">
      <c r="D453" s="152"/>
      <c r="E453" s="124"/>
      <c r="F453" s="79"/>
      <c r="G453" s="1119"/>
      <c r="H453" s="246"/>
    </row>
    <row r="454" spans="3:10">
      <c r="H454" s="3"/>
      <c r="I454" s="3"/>
    </row>
    <row r="455" spans="3:10" ht="19">
      <c r="C455" t="s">
        <v>50</v>
      </c>
      <c r="D455" s="37" t="s">
        <v>81</v>
      </c>
      <c r="E455" s="24"/>
      <c r="F455" s="1"/>
      <c r="G455" s="3"/>
      <c r="H455" s="3"/>
      <c r="I455" s="3"/>
      <c r="J455" s="3"/>
    </row>
    <row r="456" spans="3:10">
      <c r="F456" s="1"/>
      <c r="G456" s="3"/>
      <c r="H456" s="3"/>
      <c r="I456" s="3"/>
      <c r="J456" s="3"/>
    </row>
    <row r="457" spans="3:10">
      <c r="D457" s="160" t="s">
        <v>563</v>
      </c>
    </row>
    <row r="459" spans="3:10">
      <c r="D459" s="50"/>
    </row>
    <row r="460" spans="3:10">
      <c r="D460" s="51" t="s">
        <v>82</v>
      </c>
      <c r="E460" s="273"/>
      <c r="F460" s="401"/>
      <c r="G460" s="274"/>
    </row>
    <row r="461" spans="3:10" ht="19">
      <c r="D461" s="54">
        <f>'Overall Assumptions'!$C$68</f>
        <v>225</v>
      </c>
      <c r="E461" s="1215" t="s">
        <v>99</v>
      </c>
      <c r="F461" s="79"/>
      <c r="G461" s="246"/>
    </row>
    <row r="462" spans="3:10">
      <c r="D462" s="354">
        <f>'Overall Assumptions'!$C$130</f>
        <v>2</v>
      </c>
      <c r="E462" s="76" t="s">
        <v>84</v>
      </c>
      <c r="F462" s="122"/>
      <c r="G462" s="246"/>
    </row>
    <row r="463" spans="3:10">
      <c r="D463" s="42">
        <f>'Overall Assumptions'!$C$53</f>
        <v>4.46</v>
      </c>
      <c r="E463" s="629" t="s">
        <v>780</v>
      </c>
      <c r="F463" s="79"/>
      <c r="G463" s="246"/>
    </row>
    <row r="464" spans="3:10">
      <c r="D464" s="42">
        <f>'Overall Assumptions'!$C$54</f>
        <v>3.3449999999999998</v>
      </c>
      <c r="E464" s="629" t="s">
        <v>781</v>
      </c>
      <c r="F464" s="79"/>
      <c r="G464" s="246"/>
    </row>
    <row r="465" spans="3:12">
      <c r="D465" s="42">
        <f>'Overall Assumptions'!$C$55</f>
        <v>2.23</v>
      </c>
      <c r="E465" s="629" t="s">
        <v>782</v>
      </c>
      <c r="F465" s="79"/>
      <c r="G465" s="246"/>
    </row>
    <row r="466" spans="3:12">
      <c r="D466" s="55"/>
      <c r="E466" s="76"/>
      <c r="F466" s="79"/>
      <c r="G466" s="246"/>
    </row>
    <row r="467" spans="3:12">
      <c r="D467" s="467">
        <f>D444</f>
        <v>200</v>
      </c>
      <c r="E467" s="124" t="s">
        <v>1059</v>
      </c>
      <c r="F467" s="79"/>
      <c r="G467" s="246"/>
    </row>
    <row r="468" spans="3:12">
      <c r="D468" s="1246">
        <f>D452</f>
        <v>4.4444444444444438</v>
      </c>
      <c r="E468" s="870" t="str">
        <f>E452</f>
        <v>Time needed for obsering and sampling in total (days)</v>
      </c>
      <c r="F468" s="79"/>
      <c r="G468" s="246"/>
    </row>
    <row r="469" spans="3:12">
      <c r="D469" s="152"/>
      <c r="E469" s="76"/>
      <c r="F469" s="79"/>
      <c r="G469" s="246"/>
    </row>
    <row r="470" spans="3:12">
      <c r="D470" s="54">
        <f>'Overall Assumptions'!C500</f>
        <v>0</v>
      </c>
      <c r="E470" s="76" t="s">
        <v>85</v>
      </c>
      <c r="F470" s="79"/>
      <c r="G470" s="246"/>
      <c r="J470" s="79"/>
      <c r="K470" s="79"/>
      <c r="L470" s="79"/>
    </row>
    <row r="471" spans="3:12">
      <c r="D471" s="54">
        <f>'Overall Assumptions'!$C$90</f>
        <v>80</v>
      </c>
      <c r="E471" s="76" t="s">
        <v>86</v>
      </c>
      <c r="F471" s="79"/>
      <c r="G471" s="246"/>
      <c r="J471" s="79"/>
      <c r="K471" s="79"/>
      <c r="L471" s="79"/>
    </row>
    <row r="472" spans="3:12">
      <c r="D472" s="54">
        <f>'Overall Assumptions'!$C$91</f>
        <v>40</v>
      </c>
      <c r="E472" s="75" t="s">
        <v>1086</v>
      </c>
      <c r="F472" s="79"/>
      <c r="G472" s="246"/>
      <c r="J472" s="79"/>
      <c r="K472" s="79"/>
      <c r="L472" s="79"/>
    </row>
    <row r="473" spans="3:12">
      <c r="D473" s="56">
        <f>'Overall Assumptions'!$C$81</f>
        <v>210</v>
      </c>
      <c r="E473" s="333" t="s">
        <v>87</v>
      </c>
      <c r="F473" s="439"/>
      <c r="G473" s="162"/>
      <c r="J473" s="127"/>
      <c r="K473" s="79"/>
      <c r="L473" s="79"/>
    </row>
    <row r="474" spans="3:12">
      <c r="D474" s="57"/>
      <c r="J474" s="79"/>
      <c r="K474" s="79"/>
      <c r="L474" s="79"/>
    </row>
    <row r="475" spans="3:12">
      <c r="D475" s="57"/>
      <c r="J475" s="79"/>
      <c r="K475" s="79"/>
      <c r="L475" s="79"/>
    </row>
    <row r="476" spans="3:12">
      <c r="D476" s="630" t="s">
        <v>735</v>
      </c>
      <c r="E476" s="1" t="s">
        <v>218</v>
      </c>
      <c r="F476" s="1" t="s">
        <v>733</v>
      </c>
      <c r="G476" t="s">
        <v>796</v>
      </c>
      <c r="J476" s="79"/>
      <c r="K476" s="79"/>
      <c r="L476" s="79"/>
    </row>
    <row r="477" spans="3:12">
      <c r="D477" s="1218">
        <f>D463</f>
        <v>4.46</v>
      </c>
      <c r="E477" s="1219">
        <f>D464</f>
        <v>3.3449999999999998</v>
      </c>
      <c r="F477" s="1219">
        <f>D465</f>
        <v>2.23</v>
      </c>
      <c r="G477" t="s">
        <v>1060</v>
      </c>
      <c r="J477" s="79"/>
      <c r="K477" s="79"/>
      <c r="L477" s="79"/>
    </row>
    <row r="478" spans="3:12">
      <c r="D478" s="1218"/>
      <c r="E478" s="1219"/>
      <c r="F478" s="1219"/>
      <c r="J478" s="79"/>
      <c r="K478" s="79"/>
      <c r="L478" s="79"/>
    </row>
    <row r="479" spans="3:12">
      <c r="C479" s="21"/>
      <c r="D479" s="77">
        <f>2*D470/D471/7.5</f>
        <v>0</v>
      </c>
      <c r="E479" s="77">
        <f>D479</f>
        <v>0</v>
      </c>
      <c r="F479" s="90">
        <f>E479</f>
        <v>0</v>
      </c>
      <c r="G479" s="59" t="s">
        <v>95</v>
      </c>
      <c r="J479" s="128"/>
      <c r="K479" s="79"/>
      <c r="L479" s="79"/>
    </row>
    <row r="480" spans="3:12">
      <c r="C480" s="21"/>
      <c r="D480" s="77"/>
      <c r="G480" s="60"/>
      <c r="J480" s="79"/>
      <c r="K480" s="79"/>
      <c r="L480" s="79"/>
    </row>
    <row r="481" spans="3:12">
      <c r="C481" s="21"/>
      <c r="D481" s="77">
        <f>$D467/D477/7.5</f>
        <v>5.9790732436472345</v>
      </c>
      <c r="E481" s="77">
        <f>$D467/E477/7.5</f>
        <v>7.9720976581963141</v>
      </c>
      <c r="F481" s="77">
        <f>$D467/F477/7.5</f>
        <v>11.958146487294469</v>
      </c>
      <c r="G481" s="59" t="s">
        <v>1064</v>
      </c>
      <c r="J481" s="128"/>
      <c r="K481" s="79"/>
      <c r="L481" s="79"/>
    </row>
    <row r="482" spans="3:12" ht="18" customHeight="1">
      <c r="C482" s="21"/>
      <c r="D482" s="77">
        <f>$D468</f>
        <v>4.4444444444444438</v>
      </c>
      <c r="E482" s="77">
        <f>$D468</f>
        <v>4.4444444444444438</v>
      </c>
      <c r="F482" s="77">
        <f>$D468</f>
        <v>4.4444444444444438</v>
      </c>
      <c r="G482" s="59" t="s">
        <v>1065</v>
      </c>
      <c r="J482" s="79"/>
      <c r="K482" s="79"/>
      <c r="L482" s="79"/>
    </row>
    <row r="483" spans="3:12" ht="18" customHeight="1">
      <c r="C483" s="21"/>
      <c r="D483" s="77"/>
      <c r="F483" s="19"/>
      <c r="G483" s="59"/>
      <c r="J483" s="79"/>
      <c r="K483" s="79"/>
      <c r="L483" s="79"/>
    </row>
    <row r="484" spans="3:12" ht="18" customHeight="1">
      <c r="C484" s="21"/>
      <c r="D484" s="77">
        <f>SUM(D479:D483)</f>
        <v>10.423517688091678</v>
      </c>
      <c r="E484" s="77">
        <f>SUM(E479:E483)</f>
        <v>12.416542102640758</v>
      </c>
      <c r="F484" s="77">
        <f>SUM(F479:F483)</f>
        <v>16.402590931738914</v>
      </c>
      <c r="G484" s="59" t="s">
        <v>171</v>
      </c>
      <c r="H484" s="19"/>
      <c r="J484" s="79"/>
      <c r="K484" s="79"/>
      <c r="L484" s="79"/>
    </row>
    <row r="485" spans="3:12">
      <c r="C485" s="21"/>
      <c r="D485" s="16"/>
      <c r="G485" s="16"/>
      <c r="J485" s="79"/>
      <c r="K485" s="79"/>
      <c r="L485" s="79"/>
    </row>
    <row r="486" spans="3:12">
      <c r="C486" s="21"/>
      <c r="D486" s="77">
        <f>D484*$D462</f>
        <v>20.847035376183356</v>
      </c>
      <c r="E486" s="77">
        <f>E484*$D462</f>
        <v>24.833084205281516</v>
      </c>
      <c r="F486" s="77">
        <f>F484*$D462</f>
        <v>32.805181863477827</v>
      </c>
      <c r="G486" s="16" t="s">
        <v>566</v>
      </c>
      <c r="J486" s="128"/>
      <c r="K486" s="79"/>
      <c r="L486" s="79"/>
    </row>
    <row r="487" spans="3:12">
      <c r="C487" s="21"/>
      <c r="D487" s="77"/>
      <c r="G487" s="16"/>
      <c r="J487" s="128"/>
      <c r="K487" s="79"/>
      <c r="L487" s="79"/>
    </row>
    <row r="488" spans="3:12">
      <c r="G488" s="16"/>
      <c r="J488" s="79"/>
      <c r="K488" s="79"/>
      <c r="L488" s="79"/>
    </row>
    <row r="489" spans="3:12">
      <c r="D489" s="64">
        <f>D486*$D461</f>
        <v>4690.582959641255</v>
      </c>
      <c r="E489" s="905">
        <f>E486*$D461</f>
        <v>5587.4439461883412</v>
      </c>
      <c r="F489" s="905">
        <f>F486*$D461</f>
        <v>7381.1659192825109</v>
      </c>
      <c r="G489" s="47" t="s">
        <v>329</v>
      </c>
      <c r="J489" s="65"/>
      <c r="K489" s="66"/>
      <c r="L489" s="79"/>
    </row>
    <row r="490" spans="3:12">
      <c r="D490" s="65"/>
      <c r="E490" s="66"/>
      <c r="J490" s="65"/>
      <c r="K490" s="66"/>
      <c r="L490" s="79"/>
    </row>
    <row r="491" spans="3:12" ht="19">
      <c r="C491" s="2" t="s">
        <v>64</v>
      </c>
      <c r="D491" s="37" t="s">
        <v>89</v>
      </c>
    </row>
    <row r="492" spans="3:12">
      <c r="C492" t="s">
        <v>54</v>
      </c>
    </row>
    <row r="494" spans="3:12">
      <c r="D494" s="16"/>
    </row>
    <row r="495" spans="3:12">
      <c r="D495" s="67" t="s">
        <v>91</v>
      </c>
      <c r="E495" s="41"/>
      <c r="F495" s="161"/>
    </row>
    <row r="496" spans="3:12">
      <c r="D496" s="873">
        <f>'Overall Assumptions'!$C$93</f>
        <v>285</v>
      </c>
      <c r="E496" s="39" t="s">
        <v>93</v>
      </c>
      <c r="F496" s="162"/>
    </row>
    <row r="497" spans="3:11">
      <c r="D497" s="75"/>
      <c r="E497" s="76"/>
      <c r="J497" s="79"/>
      <c r="K497" s="79"/>
    </row>
    <row r="498" spans="3:11">
      <c r="D498" s="46">
        <f>D479</f>
        <v>0</v>
      </c>
      <c r="G498" s="59" t="s">
        <v>97</v>
      </c>
      <c r="J498" s="132"/>
      <c r="K498" s="133"/>
    </row>
    <row r="499" spans="3:11">
      <c r="D499" s="46">
        <f>SUM(D481:D482)</f>
        <v>10.423517688091678</v>
      </c>
      <c r="E499" s="46">
        <f>SUM(E481:E482)</f>
        <v>12.416542102640758</v>
      </c>
      <c r="F499" s="46">
        <f>SUM(F481:F482)</f>
        <v>16.402590931738914</v>
      </c>
      <c r="G499" s="59" t="s">
        <v>1070</v>
      </c>
      <c r="J499" s="79"/>
      <c r="K499" s="133"/>
    </row>
    <row r="500" spans="3:11">
      <c r="D500" s="46">
        <f>SUM(D498:D499)</f>
        <v>10.423517688091678</v>
      </c>
      <c r="E500" s="46">
        <f>SUM(E498:E499)</f>
        <v>12.416542102640758</v>
      </c>
      <c r="F500" s="46">
        <f>SUM(F498:F499)</f>
        <v>16.402590931738914</v>
      </c>
      <c r="G500" s="59" t="s">
        <v>135</v>
      </c>
      <c r="J500" s="128"/>
      <c r="K500" s="79"/>
    </row>
    <row r="501" spans="3:11">
      <c r="D501" s="46"/>
      <c r="E501" s="46"/>
      <c r="F501" s="46"/>
      <c r="G501" s="59"/>
      <c r="J501" s="128"/>
      <c r="K501" s="79"/>
    </row>
    <row r="502" spans="3:11">
      <c r="D502" s="63">
        <f>$D496*D498</f>
        <v>0</v>
      </c>
      <c r="E502" s="63">
        <f>$D496*E498</f>
        <v>0</v>
      </c>
      <c r="F502" s="63">
        <f>$D496*F498</f>
        <v>0</v>
      </c>
      <c r="G502" s="16" t="s">
        <v>51</v>
      </c>
      <c r="J502" s="129"/>
      <c r="K502" s="76"/>
    </row>
    <row r="503" spans="3:11">
      <c r="D503" s="63">
        <f>$D496*D499</f>
        <v>2970.7025411061281</v>
      </c>
      <c r="E503" s="63">
        <f>$D496*E499</f>
        <v>3538.714499252616</v>
      </c>
      <c r="F503" s="63">
        <f>$D496*F499</f>
        <v>4674.7384155455902</v>
      </c>
      <c r="G503" s="16" t="s">
        <v>52</v>
      </c>
      <c r="J503" s="129"/>
      <c r="K503" s="76"/>
    </row>
    <row r="504" spans="3:11">
      <c r="D504" s="63"/>
      <c r="E504" s="63"/>
      <c r="F504" s="63"/>
      <c r="G504" s="59"/>
      <c r="J504" s="129"/>
      <c r="K504" s="76"/>
    </row>
    <row r="505" spans="3:11">
      <c r="D505" s="68">
        <f>SUM(D502:D503)</f>
        <v>2970.7025411061281</v>
      </c>
      <c r="E505" s="906">
        <f>SUM(E502:E503)</f>
        <v>3538.714499252616</v>
      </c>
      <c r="F505" s="906">
        <f>SUM(F502:F503)</f>
        <v>4674.7384155455902</v>
      </c>
      <c r="G505" s="39" t="s">
        <v>500</v>
      </c>
      <c r="J505" s="65"/>
      <c r="K505" s="66"/>
    </row>
    <row r="506" spans="3:11">
      <c r="D506" s="92"/>
      <c r="E506" s="92"/>
      <c r="F506" s="92"/>
      <c r="G506" s="76"/>
      <c r="J506" s="65"/>
      <c r="K506" s="66"/>
    </row>
    <row r="507" spans="3:11">
      <c r="D507" s="46">
        <f>D500</f>
        <v>10.423517688091678</v>
      </c>
      <c r="E507" s="46">
        <f>E500</f>
        <v>12.416542102640758</v>
      </c>
      <c r="F507" s="46">
        <f>F500</f>
        <v>16.402590931738914</v>
      </c>
      <c r="G507" s="359" t="s">
        <v>795</v>
      </c>
      <c r="J507" s="65"/>
      <c r="K507" s="66"/>
    </row>
    <row r="508" spans="3:11">
      <c r="D508" s="75">
        <f>ROUNDUP((D507/21),0)</f>
        <v>1</v>
      </c>
      <c r="E508" s="75">
        <f>ROUNDUP((E507/21),0)</f>
        <v>1</v>
      </c>
      <c r="F508" s="75">
        <f>ROUNDUP((F507/21),0)</f>
        <v>1</v>
      </c>
      <c r="G508" s="99" t="s">
        <v>739</v>
      </c>
      <c r="J508" s="65"/>
      <c r="K508" s="66"/>
    </row>
    <row r="509" spans="3:11">
      <c r="D509" s="65"/>
      <c r="E509" s="66"/>
      <c r="J509" s="65"/>
      <c r="K509" s="66"/>
    </row>
    <row r="510" spans="3:11">
      <c r="C510" t="s">
        <v>70</v>
      </c>
      <c r="D510" s="58"/>
      <c r="E510" s="59" t="s">
        <v>156</v>
      </c>
      <c r="J510" s="65"/>
      <c r="K510" s="66"/>
    </row>
    <row r="511" spans="3:11">
      <c r="D511" s="160" t="s">
        <v>238</v>
      </c>
      <c r="E511" s="59"/>
      <c r="J511" s="65"/>
      <c r="K511" s="66"/>
    </row>
    <row r="512" spans="3:11">
      <c r="D512" s="58"/>
      <c r="E512" s="59"/>
      <c r="J512" s="65"/>
      <c r="K512" s="66"/>
    </row>
    <row r="513" spans="1:12">
      <c r="A513" s="1" t="s">
        <v>327</v>
      </c>
      <c r="D513" s="25">
        <f>D484</f>
        <v>10.423517688091678</v>
      </c>
      <c r="E513" s="25">
        <f>E484</f>
        <v>12.416542102640758</v>
      </c>
      <c r="F513" s="25">
        <f>F484</f>
        <v>16.402590931738914</v>
      </c>
      <c r="G513" s="16" t="s">
        <v>157</v>
      </c>
      <c r="J513" s="65"/>
      <c r="K513" s="66"/>
    </row>
    <row r="514" spans="1:12">
      <c r="D514" s="61">
        <f>FLOOR(D513,1)</f>
        <v>10</v>
      </c>
      <c r="E514" s="61">
        <f>FLOOR(E513,1)</f>
        <v>12</v>
      </c>
      <c r="F514" s="61">
        <f>FLOOR(F513,1)</f>
        <v>16</v>
      </c>
      <c r="G514" s="16" t="s">
        <v>73</v>
      </c>
      <c r="J514" s="65"/>
      <c r="K514" s="66"/>
    </row>
    <row r="515" spans="1:12">
      <c r="D515" s="65"/>
      <c r="E515" s="65"/>
      <c r="F515" s="65"/>
      <c r="G515" s="66"/>
      <c r="J515" s="65"/>
      <c r="K515" s="66"/>
    </row>
    <row r="516" spans="1:12">
      <c r="D516" s="65">
        <f>D514*$D462</f>
        <v>20</v>
      </c>
      <c r="E516" s="65">
        <f>E514*$D462</f>
        <v>24</v>
      </c>
      <c r="F516" s="65">
        <f>F514*$D462</f>
        <v>32</v>
      </c>
      <c r="G516" s="66" t="s">
        <v>88</v>
      </c>
      <c r="J516" s="65"/>
      <c r="K516" s="66"/>
    </row>
    <row r="517" spans="1:12">
      <c r="D517" s="102">
        <f>D516*$D473</f>
        <v>4200</v>
      </c>
      <c r="E517" s="102">
        <f>E516*$D473</f>
        <v>5040</v>
      </c>
      <c r="F517" s="102">
        <f>F516*$D473</f>
        <v>6720</v>
      </c>
      <c r="G517" s="39" t="s">
        <v>74</v>
      </c>
      <c r="J517" s="129"/>
      <c r="K517" s="76"/>
    </row>
    <row r="518" spans="1:12">
      <c r="C518" s="79"/>
      <c r="D518" s="488"/>
      <c r="E518" s="164"/>
      <c r="J518" s="129"/>
      <c r="K518" s="76"/>
    </row>
    <row r="519" spans="1:12">
      <c r="D519" s="400"/>
      <c r="E519" s="164"/>
      <c r="F519" s="255"/>
      <c r="G519" s="255"/>
      <c r="H519" s="618" t="s">
        <v>735</v>
      </c>
      <c r="I519" s="618" t="s">
        <v>987</v>
      </c>
      <c r="J519" s="618" t="s">
        <v>298</v>
      </c>
      <c r="K519" s="161"/>
    </row>
    <row r="520" spans="1:12">
      <c r="D520" s="437" t="s">
        <v>172</v>
      </c>
      <c r="E520" s="276" t="s">
        <v>155</v>
      </c>
      <c r="F520" s="276" t="s">
        <v>173</v>
      </c>
      <c r="G520" s="276" t="s">
        <v>174</v>
      </c>
      <c r="H520" s="276" t="s">
        <v>166</v>
      </c>
      <c r="I520" s="79"/>
      <c r="J520" s="79"/>
      <c r="K520" s="485" t="s">
        <v>69</v>
      </c>
      <c r="L520" s="276" t="s">
        <v>391</v>
      </c>
    </row>
    <row r="521" spans="1:12">
      <c r="D521" s="135" t="s">
        <v>3</v>
      </c>
      <c r="E521" s="136">
        <f>D486</f>
        <v>20.847035376183356</v>
      </c>
      <c r="F521" s="141"/>
      <c r="G521" s="79"/>
      <c r="H521" s="119">
        <f>D489</f>
        <v>4690.582959641255</v>
      </c>
      <c r="I521" s="119">
        <f>E489</f>
        <v>5587.4439461883412</v>
      </c>
      <c r="J521" s="119">
        <f>F489</f>
        <v>7381.1659192825109</v>
      </c>
      <c r="K521" s="358" t="str">
        <f>G489</f>
        <v>Cost for person hours</v>
      </c>
      <c r="L521">
        <f>$D$132</f>
        <v>1</v>
      </c>
    </row>
    <row r="522" spans="1:12">
      <c r="D522" s="135" t="s">
        <v>132</v>
      </c>
      <c r="E522" s="136">
        <f>D500</f>
        <v>10.423517688091678</v>
      </c>
      <c r="F522" s="141"/>
      <c r="G522" s="141"/>
      <c r="H522" s="119">
        <f>D505</f>
        <v>2970.7025411061281</v>
      </c>
      <c r="I522" s="119">
        <f>E505</f>
        <v>3538.714499252616</v>
      </c>
      <c r="J522" s="119">
        <f>F505</f>
        <v>4674.7384155455902</v>
      </c>
      <c r="K522" s="358" t="str">
        <f>G505</f>
        <v>Cost for ute hire</v>
      </c>
      <c r="L522">
        <f>$D$132</f>
        <v>1</v>
      </c>
    </row>
    <row r="523" spans="1:12">
      <c r="D523" s="135" t="s">
        <v>169</v>
      </c>
      <c r="E523" s="136">
        <f>D516</f>
        <v>20</v>
      </c>
      <c r="F523" s="141"/>
      <c r="G523" s="141"/>
      <c r="H523" s="119">
        <f>D517</f>
        <v>4200</v>
      </c>
      <c r="I523" s="119">
        <f>E517</f>
        <v>5040</v>
      </c>
      <c r="J523" s="119">
        <f>F517</f>
        <v>6720</v>
      </c>
      <c r="K523" s="358" t="str">
        <f>G517</f>
        <v>Accomodation + Food Cost</v>
      </c>
      <c r="L523">
        <f>$D$132</f>
        <v>1</v>
      </c>
    </row>
    <row r="524" spans="1:12">
      <c r="D524" s="135"/>
      <c r="E524" s="136"/>
      <c r="F524" s="141"/>
      <c r="G524" s="122"/>
      <c r="H524" s="79"/>
      <c r="I524" s="79"/>
      <c r="J524" s="79"/>
      <c r="K524" s="246"/>
    </row>
    <row r="525" spans="1:12">
      <c r="D525" s="137"/>
      <c r="E525" s="486"/>
      <c r="F525" s="487"/>
      <c r="G525" s="142"/>
      <c r="H525" s="139">
        <f>SUM(H521:H523)</f>
        <v>11861.285500747383</v>
      </c>
      <c r="I525" s="139">
        <f>SUM(I521:I523)</f>
        <v>14166.158445440957</v>
      </c>
      <c r="J525" s="139">
        <f>SUM(J521:J523)</f>
        <v>18775.904334828101</v>
      </c>
      <c r="K525" s="140" t="s">
        <v>165</v>
      </c>
    </row>
    <row r="526" spans="1:12">
      <c r="D526" s="122"/>
      <c r="E526" s="147"/>
      <c r="F526" s="122"/>
      <c r="G526" s="122"/>
      <c r="H526" s="119"/>
      <c r="I526" s="119"/>
    </row>
    <row r="527" spans="1:12">
      <c r="D527" s="122"/>
      <c r="E527" s="147"/>
      <c r="F527" s="122"/>
      <c r="G527" s="122"/>
      <c r="H527" s="119"/>
      <c r="I527" s="119"/>
    </row>
    <row r="528" spans="1:12" s="7" customFormat="1">
      <c r="D528" s="281"/>
      <c r="E528" s="1254"/>
      <c r="F528" s="281"/>
      <c r="G528" s="281"/>
      <c r="H528" s="1255"/>
      <c r="I528" s="1255"/>
    </row>
    <row r="529" spans="3:7" s="7" customFormat="1">
      <c r="D529" s="69"/>
      <c r="E529" s="36"/>
    </row>
    <row r="530" spans="3:7" s="7" customFormat="1">
      <c r="D530" s="35"/>
      <c r="E530" s="36"/>
    </row>
    <row r="531" spans="3:7" s="9" customFormat="1">
      <c r="D531" s="105"/>
      <c r="E531" s="34"/>
    </row>
    <row r="532" spans="3:7" s="9" customFormat="1">
      <c r="C532" s="120" t="s">
        <v>247</v>
      </c>
      <c r="D532" s="105"/>
      <c r="E532" s="34"/>
      <c r="G532" s="572"/>
    </row>
    <row r="533" spans="3:7" s="9" customFormat="1">
      <c r="D533" s="34" t="s">
        <v>258</v>
      </c>
      <c r="E533" s="34"/>
      <c r="G533" s="572"/>
    </row>
    <row r="534" spans="3:7" s="9" customFormat="1">
      <c r="D534" s="38" t="s">
        <v>91</v>
      </c>
      <c r="E534" s="39"/>
      <c r="F534" s="105"/>
      <c r="G534" s="572"/>
    </row>
    <row r="535" spans="3:7" s="9" customFormat="1">
      <c r="D535" s="402"/>
      <c r="E535" s="161"/>
      <c r="G535" s="572"/>
    </row>
    <row r="536" spans="3:7" s="9" customFormat="1">
      <c r="D536" s="332">
        <f>'Overall Assumptions'!$C$125</f>
        <v>3</v>
      </c>
      <c r="E536" s="131" t="str">
        <f>'Overall Assumptions'!$D$115</f>
        <v>weeks</v>
      </c>
      <c r="G536" s="572"/>
    </row>
    <row r="537" spans="3:7" s="9" customFormat="1">
      <c r="C537" s="105"/>
      <c r="D537" s="332">
        <f>D536*5</f>
        <v>15</v>
      </c>
      <c r="E537" s="43" t="str">
        <f>'Overall Assumptions'!$D$116</f>
        <v>days</v>
      </c>
      <c r="G537" s="572"/>
    </row>
    <row r="538" spans="3:7" s="9" customFormat="1">
      <c r="C538" s="105"/>
      <c r="D538" s="332"/>
      <c r="E538" s="43"/>
      <c r="G538" s="572"/>
    </row>
    <row r="539" spans="3:7" s="9" customFormat="1">
      <c r="C539" s="105"/>
      <c r="D539" s="268">
        <v>1</v>
      </c>
      <c r="E539" s="43" t="s">
        <v>259</v>
      </c>
      <c r="G539" s="572"/>
    </row>
    <row r="540" spans="3:7" s="9" customFormat="1">
      <c r="C540" s="105"/>
      <c r="D540" s="332"/>
      <c r="E540" s="43"/>
      <c r="G540" s="572"/>
    </row>
    <row r="541" spans="3:7" s="9" customFormat="1">
      <c r="C541" s="105"/>
      <c r="D541" s="332"/>
      <c r="E541" s="246"/>
      <c r="G541" s="572"/>
    </row>
    <row r="542" spans="3:7" s="9" customFormat="1">
      <c r="D542" s="614">
        <f>'Overall Assumptions'!$C$68</f>
        <v>225</v>
      </c>
      <c r="E542" s="246" t="str">
        <f>'Overall Assumptions'!$B$67</f>
        <v>Labour 1- APS Low (Entry lvl)</v>
      </c>
      <c r="G542" s="572"/>
    </row>
    <row r="543" spans="3:7" s="9" customFormat="1">
      <c r="D543" s="399">
        <f>'Overall Assumptions'!$C$72</f>
        <v>337.5</v>
      </c>
      <c r="E543" s="530" t="str">
        <f>'Overall Assumptions'!$B$71</f>
        <v>Labour 2 - APS High (Experienced)</v>
      </c>
      <c r="G543" s="572"/>
    </row>
    <row r="544" spans="3:7" s="9" customFormat="1">
      <c r="D544" s="112">
        <f>'Overall Assumptions'!$C$76</f>
        <v>487.5</v>
      </c>
      <c r="E544" s="45" t="str">
        <f>'Overall Assumptions'!$B$75</f>
        <v>Labour 3 - EL (Management)</v>
      </c>
      <c r="G544" s="572"/>
    </row>
    <row r="545" spans="2:42" s="9" customFormat="1">
      <c r="D545" s="33"/>
      <c r="E545" s="34"/>
      <c r="G545" s="572"/>
    </row>
    <row r="546" spans="2:42" s="9" customFormat="1">
      <c r="D546" s="247"/>
      <c r="E546" s="33"/>
      <c r="G546" s="572"/>
    </row>
    <row r="547" spans="2:42" s="9" customFormat="1">
      <c r="D547" s="65">
        <v>15</v>
      </c>
      <c r="E547" s="76" t="s">
        <v>594</v>
      </c>
      <c r="F547"/>
      <c r="G547" s="572"/>
    </row>
    <row r="548" spans="2:42">
      <c r="C548" s="9"/>
      <c r="D548" s="64">
        <f>D547*D543</f>
        <v>5062.5</v>
      </c>
      <c r="E548" s="39" t="s">
        <v>595</v>
      </c>
      <c r="G548" s="572"/>
      <c r="H548" s="9"/>
      <c r="I548" s="9"/>
      <c r="J548" s="9"/>
    </row>
    <row r="549" spans="2:42">
      <c r="C549" s="9"/>
      <c r="D549" s="33"/>
      <c r="E549" s="34"/>
      <c r="F549" s="9"/>
      <c r="G549" s="572"/>
      <c r="H549" s="9"/>
      <c r="I549" s="9"/>
      <c r="J549" s="9"/>
    </row>
    <row r="550" spans="2:42">
      <c r="C550" s="9"/>
      <c r="D550" s="175"/>
      <c r="E550" s="164" t="s">
        <v>155</v>
      </c>
      <c r="F550" s="255" t="s">
        <v>166</v>
      </c>
      <c r="G550" s="1090" t="s">
        <v>69</v>
      </c>
      <c r="H550" s="161"/>
      <c r="I550" s="9"/>
      <c r="J550" s="9"/>
    </row>
    <row r="551" spans="2:42">
      <c r="C551" s="9"/>
      <c r="D551" s="405" t="s">
        <v>3</v>
      </c>
      <c r="E551" s="1256">
        <f>SUM(D537,D547)</f>
        <v>30</v>
      </c>
      <c r="F551" s="321">
        <f>E551*D543</f>
        <v>10125</v>
      </c>
      <c r="G551" s="1091" t="s">
        <v>182</v>
      </c>
      <c r="H551" s="162"/>
      <c r="I551" s="9"/>
      <c r="J551" s="9"/>
    </row>
    <row r="552" spans="2:42">
      <c r="H552" s="9"/>
    </row>
    <row r="555" spans="2:42" s="182" customFormat="1">
      <c r="D555" s="183"/>
      <c r="E555" s="184"/>
    </row>
    <row r="557" spans="2:42" s="16" customFormat="1">
      <c r="B557"/>
      <c r="C557" s="1" t="s">
        <v>139</v>
      </c>
      <c r="D557" s="24"/>
      <c r="F557"/>
      <c r="G557"/>
      <c r="H557"/>
      <c r="I557"/>
      <c r="J557"/>
      <c r="K557"/>
      <c r="L557"/>
      <c r="M557"/>
      <c r="N557"/>
      <c r="O557"/>
      <c r="P557"/>
      <c r="Q557" s="2791"/>
      <c r="R557" s="2791"/>
      <c r="S557" s="2791"/>
      <c r="T557"/>
      <c r="U557"/>
      <c r="V557"/>
      <c r="W557"/>
      <c r="X557"/>
      <c r="Y557"/>
      <c r="Z557"/>
      <c r="AA557"/>
      <c r="AB557"/>
      <c r="AC557"/>
      <c r="AD557"/>
      <c r="AE557"/>
      <c r="AF557"/>
      <c r="AG557"/>
      <c r="AH557"/>
      <c r="AI557"/>
      <c r="AJ557"/>
      <c r="AK557"/>
      <c r="AL557"/>
      <c r="AM557"/>
      <c r="AN557"/>
      <c r="AO557"/>
      <c r="AP557"/>
    </row>
    <row r="558" spans="2:42" s="16" customFormat="1">
      <c r="B558"/>
      <c r="C558" s="199">
        <f>'Overall Assumptions'!$C$6</f>
        <v>100</v>
      </c>
      <c r="D558" s="200" t="s">
        <v>195</v>
      </c>
      <c r="F558"/>
      <c r="G558"/>
      <c r="H558"/>
      <c r="I558"/>
      <c r="J558"/>
      <c r="K558"/>
      <c r="L558"/>
      <c r="M558"/>
      <c r="N558"/>
      <c r="O558"/>
      <c r="P558"/>
      <c r="Q558" s="2791"/>
      <c r="R558" s="2791"/>
      <c r="S558" s="2791"/>
      <c r="T558"/>
      <c r="U558"/>
      <c r="V558"/>
      <c r="W558"/>
      <c r="X558"/>
      <c r="Y558"/>
      <c r="Z558"/>
      <c r="AA558"/>
      <c r="AB558"/>
      <c r="AC558"/>
      <c r="AD558"/>
      <c r="AE558"/>
      <c r="AF558"/>
      <c r="AG558"/>
      <c r="AH558"/>
      <c r="AI558"/>
      <c r="AJ558"/>
      <c r="AK558"/>
      <c r="AL558"/>
      <c r="AM558"/>
      <c r="AN558"/>
      <c r="AO558"/>
      <c r="AP558"/>
    </row>
    <row r="559" spans="2:42" s="16" customFormat="1">
      <c r="B559"/>
      <c r="C559" s="201">
        <f>C558*100</f>
        <v>10000</v>
      </c>
      <c r="D559" s="202" t="s">
        <v>196</v>
      </c>
      <c r="F559"/>
      <c r="G559"/>
      <c r="H559"/>
      <c r="I559"/>
      <c r="J559"/>
      <c r="K559"/>
      <c r="L559"/>
      <c r="M559"/>
      <c r="N559"/>
      <c r="O559"/>
      <c r="P559"/>
      <c r="Q559" s="2791"/>
      <c r="R559" s="2791"/>
      <c r="S559" s="2791"/>
      <c r="T559"/>
      <c r="U559"/>
      <c r="V559"/>
      <c r="W559"/>
      <c r="X559"/>
      <c r="Y559"/>
      <c r="Z559"/>
      <c r="AA559"/>
      <c r="AB559"/>
      <c r="AC559"/>
      <c r="AD559"/>
      <c r="AE559"/>
      <c r="AF559"/>
      <c r="AG559"/>
      <c r="AH559"/>
      <c r="AI559"/>
      <c r="AJ559"/>
      <c r="AK559"/>
      <c r="AL559"/>
      <c r="AM559"/>
      <c r="AN559"/>
      <c r="AO559"/>
      <c r="AP559"/>
    </row>
    <row r="561" spans="2:42" s="16" customFormat="1">
      <c r="B561"/>
      <c r="C561" s="198"/>
      <c r="D561" s="24"/>
      <c r="F561"/>
      <c r="G561"/>
      <c r="H561"/>
      <c r="I561"/>
      <c r="J561"/>
      <c r="K561"/>
      <c r="L561"/>
      <c r="M561"/>
      <c r="N561"/>
      <c r="O561"/>
      <c r="P561"/>
      <c r="Q561" s="2791"/>
      <c r="R561" s="2791"/>
      <c r="S561" s="2791"/>
      <c r="T561"/>
      <c r="U561"/>
      <c r="V561"/>
      <c r="W561"/>
      <c r="X561"/>
      <c r="Y561"/>
      <c r="Z561"/>
      <c r="AA561"/>
      <c r="AB561"/>
      <c r="AC561"/>
      <c r="AD561"/>
      <c r="AE561"/>
      <c r="AF561"/>
      <c r="AG561"/>
      <c r="AH561"/>
      <c r="AI561"/>
      <c r="AJ561"/>
      <c r="AK561"/>
      <c r="AL561"/>
      <c r="AM561"/>
      <c r="AN561"/>
      <c r="AO561"/>
      <c r="AP561"/>
    </row>
    <row r="563" spans="2:42" s="16" customFormat="1">
      <c r="B563"/>
      <c r="C563" s="160"/>
      <c r="D563" s="24"/>
      <c r="F563"/>
      <c r="G563"/>
      <c r="H563"/>
      <c r="I563"/>
      <c r="J563"/>
      <c r="K563"/>
      <c r="L563"/>
      <c r="M563"/>
      <c r="N563"/>
      <c r="O563"/>
      <c r="P563"/>
      <c r="Q563" s="2791"/>
      <c r="R563" s="2791"/>
      <c r="S563" s="2791"/>
      <c r="T563"/>
      <c r="U563"/>
      <c r="V563"/>
      <c r="W563"/>
      <c r="X563"/>
      <c r="Y563"/>
      <c r="Z563"/>
      <c r="AA563"/>
      <c r="AB563"/>
      <c r="AC563"/>
      <c r="AD563"/>
      <c r="AE563"/>
      <c r="AF563"/>
      <c r="AG563"/>
      <c r="AH563"/>
      <c r="AI563"/>
      <c r="AJ563"/>
      <c r="AK563"/>
      <c r="AL563"/>
      <c r="AM563"/>
      <c r="AN563"/>
      <c r="AO563"/>
      <c r="AP563"/>
    </row>
    <row r="564" spans="2:42" s="16" customFormat="1">
      <c r="B564"/>
      <c r="C564" s="522" t="s">
        <v>530</v>
      </c>
      <c r="D564" s="34"/>
      <c r="E564" s="34"/>
      <c r="F564"/>
      <c r="G564"/>
      <c r="H564"/>
      <c r="I564"/>
      <c r="J564"/>
      <c r="K564"/>
      <c r="L564"/>
      <c r="M564"/>
      <c r="N564"/>
      <c r="O564"/>
      <c r="P564"/>
      <c r="Q564" s="2791"/>
      <c r="R564" s="2791"/>
      <c r="S564" s="2791"/>
      <c r="T564"/>
      <c r="U564"/>
      <c r="V564"/>
      <c r="W564"/>
      <c r="X564"/>
      <c r="Y564"/>
      <c r="Z564"/>
      <c r="AA564"/>
      <c r="AB564"/>
      <c r="AC564"/>
      <c r="AD564"/>
      <c r="AE564"/>
      <c r="AF564"/>
      <c r="AG564"/>
      <c r="AH564"/>
      <c r="AI564"/>
      <c r="AJ564"/>
      <c r="AK564"/>
      <c r="AL564"/>
      <c r="AM564"/>
      <c r="AN564"/>
      <c r="AO564"/>
      <c r="AP564"/>
    </row>
    <row r="565" spans="2:42" s="16" customFormat="1">
      <c r="B565"/>
      <c r="C565" s="60">
        <v>460</v>
      </c>
      <c r="D565" s="34" t="s">
        <v>529</v>
      </c>
      <c r="E565" s="34"/>
      <c r="F565"/>
      <c r="G565"/>
      <c r="H565"/>
      <c r="I565"/>
      <c r="J565"/>
      <c r="K565"/>
      <c r="L565"/>
      <c r="M565"/>
      <c r="N565"/>
      <c r="O565"/>
      <c r="P565"/>
      <c r="Q565" s="2791"/>
      <c r="R565" s="2791"/>
      <c r="S565" s="2791"/>
      <c r="T565"/>
      <c r="U565"/>
      <c r="V565"/>
      <c r="W565"/>
      <c r="X565"/>
      <c r="Y565"/>
      <c r="Z565"/>
      <c r="AA565"/>
      <c r="AB565"/>
      <c r="AC565"/>
      <c r="AD565"/>
      <c r="AE565"/>
      <c r="AF565"/>
      <c r="AG565"/>
      <c r="AH565"/>
      <c r="AI565"/>
      <c r="AJ565"/>
      <c r="AK565"/>
      <c r="AL565"/>
      <c r="AM565"/>
      <c r="AN565"/>
      <c r="AO565"/>
      <c r="AP565"/>
    </row>
    <row r="566" spans="2:42" s="16" customFormat="1">
      <c r="B566"/>
      <c r="C566" s="33">
        <f>C565*100</f>
        <v>46000</v>
      </c>
      <c r="D566" s="34" t="s">
        <v>527</v>
      </c>
      <c r="E566" s="34"/>
      <c r="F566"/>
      <c r="G566"/>
      <c r="H566"/>
      <c r="I566"/>
      <c r="J566"/>
      <c r="K566"/>
      <c r="L566"/>
      <c r="M566"/>
      <c r="N566"/>
      <c r="O566"/>
      <c r="P566"/>
      <c r="Q566" s="2791"/>
      <c r="R566" s="2791"/>
      <c r="S566" s="2791"/>
      <c r="T566"/>
      <c r="U566"/>
      <c r="V566"/>
      <c r="W566"/>
      <c r="X566"/>
      <c r="Y566"/>
      <c r="Z566"/>
      <c r="AA566"/>
      <c r="AB566"/>
      <c r="AC566"/>
      <c r="AD566"/>
      <c r="AE566"/>
      <c r="AF566"/>
      <c r="AG566"/>
      <c r="AH566"/>
      <c r="AI566"/>
      <c r="AJ566"/>
      <c r="AK566"/>
      <c r="AL566"/>
      <c r="AM566"/>
      <c r="AN566"/>
      <c r="AO566"/>
      <c r="AP566"/>
    </row>
    <row r="567" spans="2:42">
      <c r="C567" s="16">
        <v>2</v>
      </c>
      <c r="D567" s="16" t="s">
        <v>552</v>
      </c>
      <c r="E567" s="34"/>
    </row>
    <row r="568" spans="2:42" s="16" customFormat="1">
      <c r="B568"/>
      <c r="C568" s="207">
        <f>C566*100*C567</f>
        <v>9200000</v>
      </c>
      <c r="D568" s="34" t="s">
        <v>528</v>
      </c>
      <c r="E568" s="34"/>
      <c r="F568"/>
      <c r="G568"/>
      <c r="H568"/>
      <c r="I568"/>
      <c r="J568"/>
      <c r="K568"/>
      <c r="L568"/>
      <c r="M568"/>
      <c r="N568"/>
      <c r="O568"/>
      <c r="P568"/>
      <c r="Q568" s="2791"/>
      <c r="R568" s="2791"/>
      <c r="S568" s="2791"/>
      <c r="T568"/>
      <c r="U568"/>
      <c r="V568"/>
      <c r="W568"/>
      <c r="X568"/>
      <c r="Y568"/>
      <c r="Z568"/>
      <c r="AA568"/>
      <c r="AB568"/>
      <c r="AC568"/>
      <c r="AD568"/>
      <c r="AE568"/>
      <c r="AF568"/>
      <c r="AG568"/>
      <c r="AH568"/>
      <c r="AI568"/>
      <c r="AJ568"/>
      <c r="AK568"/>
      <c r="AL568"/>
      <c r="AM568"/>
      <c r="AN568"/>
      <c r="AO568"/>
      <c r="AP568"/>
    </row>
    <row r="569" spans="2:42" s="16" customFormat="1" ht="24" customHeight="1">
      <c r="B569"/>
      <c r="C569" s="514" t="s">
        <v>526</v>
      </c>
      <c r="D569" s="34"/>
      <c r="F569"/>
      <c r="G569"/>
      <c r="H569"/>
      <c r="I569"/>
      <c r="J569"/>
      <c r="K569"/>
      <c r="L569"/>
      <c r="M569"/>
      <c r="N569"/>
      <c r="O569"/>
      <c r="P569"/>
      <c r="Q569" s="2791"/>
      <c r="R569" s="2791"/>
      <c r="S569" s="2791"/>
      <c r="T569"/>
      <c r="U569"/>
      <c r="V569"/>
      <c r="W569"/>
      <c r="X569"/>
      <c r="Y569"/>
      <c r="Z569"/>
      <c r="AA569"/>
      <c r="AB569"/>
      <c r="AC569"/>
      <c r="AD569"/>
      <c r="AE569"/>
      <c r="AF569"/>
      <c r="AG569"/>
      <c r="AH569"/>
      <c r="AI569"/>
      <c r="AJ569"/>
      <c r="AK569"/>
      <c r="AL569"/>
      <c r="AM569"/>
      <c r="AN569"/>
      <c r="AO569"/>
      <c r="AP569"/>
    </row>
    <row r="570" spans="2:42" s="16" customFormat="1">
      <c r="B570"/>
      <c r="C570" s="514"/>
      <c r="D570" s="9"/>
      <c r="E570"/>
      <c r="F570"/>
      <c r="G570"/>
      <c r="H570"/>
      <c r="I570"/>
      <c r="J570"/>
      <c r="K570"/>
      <c r="L570"/>
      <c r="M570"/>
      <c r="N570"/>
      <c r="O570"/>
      <c r="P570"/>
      <c r="Q570" s="2791"/>
      <c r="R570" s="2791"/>
      <c r="S570" s="2791"/>
      <c r="T570"/>
      <c r="U570"/>
      <c r="V570"/>
      <c r="W570"/>
      <c r="X570"/>
      <c r="Y570"/>
      <c r="Z570"/>
      <c r="AA570"/>
      <c r="AB570"/>
      <c r="AC570"/>
      <c r="AD570"/>
      <c r="AE570"/>
      <c r="AF570"/>
      <c r="AG570"/>
      <c r="AH570"/>
      <c r="AI570"/>
      <c r="AJ570"/>
      <c r="AK570"/>
      <c r="AL570"/>
      <c r="AM570"/>
      <c r="AN570"/>
      <c r="AO570"/>
      <c r="AP570"/>
    </row>
    <row r="572" spans="2:42">
      <c r="C572" s="204"/>
    </row>
    <row r="574" spans="2:42">
      <c r="C574" s="206"/>
      <c r="F574" s="2"/>
    </row>
    <row r="575" spans="2:42" ht="15" customHeight="1">
      <c r="C575" s="2"/>
      <c r="D575" s="207"/>
      <c r="F575" s="2"/>
    </row>
    <row r="576" spans="2:42" ht="15" customHeight="1">
      <c r="C576" s="2"/>
      <c r="D576" s="207"/>
      <c r="F576" s="2"/>
    </row>
    <row r="577" spans="3:6" ht="15" customHeight="1">
      <c r="C577" s="2"/>
      <c r="D577" s="207"/>
      <c r="F577" s="2"/>
    </row>
    <row r="578" spans="3:6" ht="15" customHeight="1">
      <c r="C578" s="2"/>
      <c r="D578" s="207"/>
      <c r="F578" s="2"/>
    </row>
    <row r="579" spans="3:6" ht="15" customHeight="1">
      <c r="C579" s="206"/>
      <c r="D579" s="207"/>
      <c r="F579" s="2"/>
    </row>
    <row r="580" spans="3:6" ht="15" customHeight="1">
      <c r="D580" s="207"/>
    </row>
    <row r="581" spans="3:6" ht="15" customHeight="1">
      <c r="D581" s="207"/>
      <c r="E581" s="2"/>
      <c r="F581" s="2"/>
    </row>
    <row r="582" spans="3:6" ht="15" customHeight="1">
      <c r="D582" s="207"/>
      <c r="F582" s="2"/>
    </row>
    <row r="583" spans="3:6" ht="15" customHeight="1">
      <c r="D583" s="207"/>
      <c r="F583" s="2"/>
    </row>
    <row r="584" spans="3:6" ht="15" customHeight="1">
      <c r="D584" s="207"/>
    </row>
    <row r="585" spans="3:6" ht="15" customHeight="1">
      <c r="D585" s="207"/>
    </row>
    <row r="586" spans="3:6" ht="15" customHeight="1">
      <c r="D586" s="57"/>
    </row>
    <row r="587" spans="3:6">
      <c r="D587" s="16"/>
    </row>
    <row r="588" spans="3:6">
      <c r="C588" s="206"/>
      <c r="D588" s="208"/>
      <c r="E588" s="6"/>
    </row>
    <row r="589" spans="3:6">
      <c r="D589" s="207"/>
    </row>
    <row r="590" spans="3:6">
      <c r="D590" s="207"/>
      <c r="F590" s="2"/>
    </row>
    <row r="591" spans="3:6">
      <c r="D591" s="207"/>
      <c r="F591" s="2"/>
    </row>
    <row r="592" spans="3:6">
      <c r="D592" s="156"/>
      <c r="F592" s="2"/>
    </row>
    <row r="593" spans="3:10">
      <c r="C593" s="206"/>
      <c r="F593" s="2"/>
    </row>
    <row r="594" spans="3:10">
      <c r="C594" s="206"/>
      <c r="D594" s="207"/>
      <c r="F594" s="2"/>
    </row>
    <row r="595" spans="3:10">
      <c r="D595" s="207"/>
      <c r="G595" s="16"/>
    </row>
    <row r="596" spans="3:10">
      <c r="D596" s="16"/>
      <c r="G596" s="16"/>
      <c r="H596" s="16"/>
    </row>
    <row r="597" spans="3:10">
      <c r="D597" s="207"/>
      <c r="G597" s="207"/>
    </row>
    <row r="598" spans="3:10">
      <c r="D598" s="207"/>
      <c r="G598" s="204"/>
    </row>
    <row r="599" spans="3:10">
      <c r="G599" s="16"/>
    </row>
    <row r="600" spans="3:10">
      <c r="D600" s="57"/>
      <c r="G600" s="24"/>
      <c r="H600" s="16"/>
    </row>
    <row r="601" spans="3:10">
      <c r="G601" s="24"/>
      <c r="H601" s="16"/>
    </row>
    <row r="602" spans="3:10">
      <c r="D602" s="156"/>
      <c r="J602" s="16"/>
    </row>
    <row r="603" spans="3:10">
      <c r="D603" s="156"/>
      <c r="J603" s="16"/>
    </row>
    <row r="605" spans="3:10">
      <c r="D605" s="16"/>
    </row>
    <row r="606" spans="3:10">
      <c r="D606" s="16"/>
    </row>
    <row r="607" spans="3:10">
      <c r="D607" s="16"/>
    </row>
    <row r="608" spans="3:10">
      <c r="D608" s="16"/>
    </row>
    <row r="611" spans="2:42" s="24" customFormat="1">
      <c r="B611"/>
      <c r="C611" s="206"/>
      <c r="E611" s="16"/>
      <c r="F611"/>
      <c r="G611"/>
      <c r="H611"/>
      <c r="I611"/>
      <c r="J611"/>
      <c r="K611"/>
      <c r="L611"/>
      <c r="M611"/>
      <c r="N611"/>
      <c r="O611"/>
      <c r="P611"/>
      <c r="Q611" s="2791"/>
      <c r="R611" s="2791"/>
      <c r="S611" s="2791"/>
      <c r="T611"/>
      <c r="U611"/>
      <c r="V611"/>
      <c r="W611"/>
      <c r="X611"/>
      <c r="Y611"/>
      <c r="Z611"/>
      <c r="AA611"/>
      <c r="AB611"/>
      <c r="AC611"/>
      <c r="AD611"/>
      <c r="AE611"/>
      <c r="AF611"/>
      <c r="AG611"/>
      <c r="AH611"/>
      <c r="AI611"/>
      <c r="AJ611"/>
      <c r="AK611"/>
      <c r="AL611"/>
      <c r="AM611"/>
      <c r="AN611"/>
      <c r="AO611"/>
      <c r="AP611"/>
    </row>
    <row r="612" spans="2:42" s="24" customFormat="1">
      <c r="B612"/>
      <c r="C612" s="206"/>
      <c r="E612" s="16"/>
      <c r="F612"/>
      <c r="G612"/>
      <c r="H612"/>
      <c r="I612"/>
      <c r="J612"/>
      <c r="K612"/>
      <c r="L612"/>
      <c r="M612"/>
      <c r="N612"/>
      <c r="O612"/>
      <c r="P612"/>
      <c r="Q612" s="2791"/>
      <c r="R612" s="2791"/>
      <c r="S612" s="2791"/>
      <c r="T612"/>
      <c r="U612"/>
      <c r="V612"/>
      <c r="W612"/>
      <c r="X612"/>
      <c r="Y612"/>
      <c r="Z612"/>
      <c r="AA612"/>
      <c r="AB612"/>
      <c r="AC612"/>
      <c r="AD612"/>
      <c r="AE612"/>
      <c r="AF612"/>
      <c r="AG612"/>
      <c r="AH612"/>
      <c r="AI612"/>
      <c r="AJ612"/>
      <c r="AK612"/>
      <c r="AL612"/>
      <c r="AM612"/>
      <c r="AN612"/>
      <c r="AO612"/>
      <c r="AP612"/>
    </row>
    <row r="613" spans="2:42" s="24" customFormat="1">
      <c r="B613"/>
      <c r="C613" s="206"/>
      <c r="E613" s="16"/>
      <c r="F613"/>
      <c r="G613"/>
      <c r="H613"/>
      <c r="I613"/>
      <c r="J613"/>
      <c r="K613"/>
      <c r="L613"/>
      <c r="M613"/>
      <c r="N613"/>
      <c r="O613"/>
      <c r="P613"/>
      <c r="Q613" s="2791"/>
      <c r="R613" s="2791"/>
      <c r="S613" s="2791"/>
      <c r="T613"/>
      <c r="U613"/>
      <c r="V613"/>
      <c r="W613"/>
      <c r="X613"/>
      <c r="Y613"/>
      <c r="Z613"/>
      <c r="AA613"/>
      <c r="AB613"/>
      <c r="AC613"/>
      <c r="AD613"/>
      <c r="AE613"/>
      <c r="AF613"/>
      <c r="AG613"/>
      <c r="AH613"/>
      <c r="AI613"/>
      <c r="AJ613"/>
      <c r="AK613"/>
      <c r="AL613"/>
      <c r="AM613"/>
      <c r="AN613"/>
      <c r="AO613"/>
      <c r="AP613"/>
    </row>
    <row r="614" spans="2:42" s="24" customFormat="1">
      <c r="B614"/>
      <c r="C614" s="206"/>
      <c r="E614" s="16"/>
      <c r="F614"/>
      <c r="G614"/>
      <c r="H614"/>
      <c r="I614"/>
      <c r="J614"/>
      <c r="K614"/>
      <c r="L614"/>
      <c r="M614"/>
      <c r="N614"/>
      <c r="O614"/>
      <c r="P614"/>
      <c r="Q614" s="2791"/>
      <c r="R614" s="2791"/>
      <c r="S614" s="2791"/>
      <c r="T614"/>
      <c r="U614"/>
      <c r="V614"/>
      <c r="W614"/>
      <c r="X614"/>
      <c r="Y614"/>
      <c r="Z614"/>
      <c r="AA614"/>
      <c r="AB614"/>
      <c r="AC614"/>
      <c r="AD614"/>
      <c r="AE614"/>
      <c r="AF614"/>
      <c r="AG614"/>
      <c r="AH614"/>
      <c r="AI614"/>
      <c r="AJ614"/>
      <c r="AK614"/>
      <c r="AL614"/>
      <c r="AM614"/>
      <c r="AN614"/>
      <c r="AO614"/>
      <c r="AP614"/>
    </row>
    <row r="615" spans="2:42" s="24" customFormat="1">
      <c r="B615"/>
      <c r="C615" s="206"/>
      <c r="E615" s="16"/>
      <c r="F615"/>
      <c r="G615"/>
      <c r="H615"/>
      <c r="I615"/>
      <c r="J615"/>
      <c r="K615"/>
      <c r="L615"/>
      <c r="M615"/>
      <c r="N615"/>
      <c r="O615"/>
      <c r="P615"/>
      <c r="Q615" s="2791"/>
      <c r="R615" s="2791"/>
      <c r="S615" s="2791"/>
      <c r="T615"/>
      <c r="U615"/>
      <c r="V615"/>
      <c r="W615"/>
      <c r="X615"/>
      <c r="Y615"/>
      <c r="Z615"/>
      <c r="AA615"/>
      <c r="AB615"/>
      <c r="AC615"/>
      <c r="AD615"/>
      <c r="AE615"/>
      <c r="AF615"/>
      <c r="AG615"/>
      <c r="AH615"/>
      <c r="AI615"/>
      <c r="AJ615"/>
      <c r="AK615"/>
      <c r="AL615"/>
      <c r="AM615"/>
      <c r="AN615"/>
      <c r="AO615"/>
      <c r="AP615"/>
    </row>
    <row r="616" spans="2:42" s="24" customFormat="1">
      <c r="B616"/>
      <c r="C616" s="206"/>
      <c r="E616" s="16"/>
      <c r="F616"/>
      <c r="G616"/>
      <c r="H616"/>
      <c r="I616"/>
      <c r="J616"/>
      <c r="K616"/>
      <c r="L616"/>
      <c r="M616"/>
      <c r="N616"/>
      <c r="O616"/>
      <c r="P616"/>
      <c r="Q616" s="2791"/>
      <c r="R616" s="2791"/>
      <c r="S616" s="2791"/>
      <c r="T616"/>
      <c r="U616"/>
      <c r="V616"/>
      <c r="W616"/>
      <c r="X616"/>
      <c r="Y616"/>
      <c r="Z616"/>
      <c r="AA616"/>
      <c r="AB616"/>
      <c r="AC616"/>
      <c r="AD616"/>
      <c r="AE616"/>
      <c r="AF616"/>
      <c r="AG616"/>
      <c r="AH616"/>
      <c r="AI616"/>
      <c r="AJ616"/>
      <c r="AK616"/>
      <c r="AL616"/>
      <c r="AM616"/>
      <c r="AN616"/>
      <c r="AO616"/>
      <c r="AP616"/>
    </row>
    <row r="617" spans="2:42" s="24" customFormat="1">
      <c r="B617"/>
      <c r="C617" s="206"/>
      <c r="E617" s="16"/>
      <c r="F617"/>
      <c r="G617"/>
      <c r="H617"/>
      <c r="I617"/>
      <c r="J617"/>
      <c r="K617"/>
      <c r="L617"/>
      <c r="M617"/>
      <c r="N617"/>
      <c r="O617"/>
      <c r="P617"/>
      <c r="Q617" s="2791"/>
      <c r="R617" s="2791"/>
      <c r="S617" s="2791"/>
      <c r="T617"/>
      <c r="U617"/>
      <c r="V617"/>
      <c r="W617"/>
      <c r="X617"/>
      <c r="Y617"/>
      <c r="Z617"/>
      <c r="AA617"/>
      <c r="AB617"/>
      <c r="AC617"/>
      <c r="AD617"/>
      <c r="AE617"/>
      <c r="AF617"/>
      <c r="AG617"/>
      <c r="AH617"/>
      <c r="AI617"/>
      <c r="AJ617"/>
      <c r="AK617"/>
      <c r="AL617"/>
      <c r="AM617"/>
      <c r="AN617"/>
      <c r="AO617"/>
      <c r="AP617"/>
    </row>
  </sheetData>
  <mergeCells count="55">
    <mergeCell ref="C51:C54"/>
    <mergeCell ref="D51:D54"/>
    <mergeCell ref="D67:D70"/>
    <mergeCell ref="C55:C58"/>
    <mergeCell ref="D55:D58"/>
    <mergeCell ref="C59:C62"/>
    <mergeCell ref="D59:D62"/>
    <mergeCell ref="C63:C66"/>
    <mergeCell ref="D63:D66"/>
    <mergeCell ref="C39:C42"/>
    <mergeCell ref="D39:D42"/>
    <mergeCell ref="C43:C46"/>
    <mergeCell ref="D43:D46"/>
    <mergeCell ref="C47:C50"/>
    <mergeCell ref="D47:D50"/>
    <mergeCell ref="AJ21:AJ22"/>
    <mergeCell ref="AK21:AK22"/>
    <mergeCell ref="D27:D30"/>
    <mergeCell ref="D31:D34"/>
    <mergeCell ref="D35:D38"/>
    <mergeCell ref="Q21:Q22"/>
    <mergeCell ref="R21:R22"/>
    <mergeCell ref="S21:S22"/>
    <mergeCell ref="C23:C26"/>
    <mergeCell ref="D23:D26"/>
    <mergeCell ref="V21:V22"/>
    <mergeCell ref="W21:W22"/>
    <mergeCell ref="X21:X22"/>
    <mergeCell ref="AH19:AK20"/>
    <mergeCell ref="C21:C22"/>
    <mergeCell ref="D21:D22"/>
    <mergeCell ref="E21:E22"/>
    <mergeCell ref="F21:G21"/>
    <mergeCell ref="H21:I21"/>
    <mergeCell ref="L21:M21"/>
    <mergeCell ref="N21:N22"/>
    <mergeCell ref="O21:O22"/>
    <mergeCell ref="P21:P22"/>
    <mergeCell ref="B17:K20"/>
    <mergeCell ref="L17:P18"/>
    <mergeCell ref="U17:AE18"/>
    <mergeCell ref="AB21:AB22"/>
    <mergeCell ref="AD21:AD22"/>
    <mergeCell ref="AE21:AE22"/>
    <mergeCell ref="AD19:AE20"/>
    <mergeCell ref="U21:U22"/>
    <mergeCell ref="L19:P20"/>
    <mergeCell ref="U19:U20"/>
    <mergeCell ref="V19:Z20"/>
    <mergeCell ref="AA19:AB20"/>
    <mergeCell ref="AC19:AC22"/>
    <mergeCell ref="Y21:Y22"/>
    <mergeCell ref="Z21:Z22"/>
    <mergeCell ref="AA21:AA22"/>
    <mergeCell ref="Q17:S20"/>
  </mergeCells>
  <hyperlinks>
    <hyperlink ref="K245" r:id="rId1" display="https://www.cpsm-phytophthora.org/phytophthora.php" xr:uid="{00000000-0004-0000-0C00-000000000000}"/>
    <hyperlink ref="K248" r:id="rId2" display="https://www.ebay.com.au/itm/Monopotassium-Phosphate-technincal-grade/174310281922?hash=item2895b3d2c2:g:idYAAOSwVzxe3edi" xr:uid="{00000000-0004-0000-0C00-000001000000}"/>
    <hyperlink ref="K254" r:id="rId3" display="https://specialistsales.com.au/shop/woody-weeds/wetting-agents-woody-weeds/protec-plus-spray-adjuvant-canola-oil/" xr:uid="{00000000-0004-0000-0C00-000002000000}"/>
    <hyperlink ref="K257" r:id="rId4" display="https://www.smbsc.com/pdf/SprayAdjuvants.pdf" xr:uid="{00000000-0004-0000-0C00-000003000000}"/>
    <hyperlink ref="K237" r:id="rId5" xr:uid="{00000000-0004-0000-0C00-000004000000}"/>
    <hyperlink ref="C569" r:id="rId6" xr:uid="{00000000-0004-0000-0C00-000005000000}"/>
    <hyperlink ref="AE39" r:id="rId7" xr:uid="{00000000-0004-0000-0C00-000006000000}"/>
  </hyperlinks>
  <pageMargins left="0.7" right="0.7" top="0.75" bottom="0.75" header="0.3" footer="0.3"/>
  <pageSetup paperSize="9" orientation="portrait" horizontalDpi="0" verticalDpi="0"/>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1:Y62"/>
  <sheetViews>
    <sheetView showGridLines="0" zoomScaleNormal="100" workbookViewId="0">
      <selection activeCell="H36" sqref="H36"/>
    </sheetView>
  </sheetViews>
  <sheetFormatPr baseColWidth="10" defaultColWidth="11" defaultRowHeight="16"/>
  <cols>
    <col min="1" max="1" width="4.6640625" customWidth="1"/>
    <col min="2" max="2" width="17.5" customWidth="1"/>
    <col min="3" max="3" width="45.1640625" customWidth="1"/>
    <col min="4" max="4" width="15.33203125" customWidth="1"/>
    <col min="5" max="5" width="13.33203125" customWidth="1"/>
    <col min="6" max="8" width="18.1640625" customWidth="1"/>
    <col min="9" max="9" width="16.6640625" customWidth="1"/>
    <col min="10" max="10" width="23" customWidth="1"/>
    <col min="11" max="13" width="11.83203125" customWidth="1"/>
    <col min="14" max="14" width="14.6640625" customWidth="1"/>
    <col min="15" max="15" width="11.83203125" customWidth="1"/>
    <col min="16" max="16" width="12.1640625" customWidth="1"/>
    <col min="17" max="20" width="13.5" customWidth="1"/>
  </cols>
  <sheetData>
    <row r="1" spans="2:24">
      <c r="B1" s="8" t="s">
        <v>1035</v>
      </c>
    </row>
    <row r="3" spans="2:24">
      <c r="B3" s="8" t="s">
        <v>844</v>
      </c>
      <c r="F3" s="692"/>
      <c r="G3" s="692"/>
      <c r="H3" s="692"/>
      <c r="I3" s="692"/>
    </row>
    <row r="4" spans="2:24" ht="17" thickBot="1">
      <c r="B4" t="s">
        <v>839</v>
      </c>
      <c r="C4" t="s">
        <v>845</v>
      </c>
      <c r="D4" s="1"/>
      <c r="E4" s="1"/>
      <c r="F4" s="1"/>
      <c r="G4" s="1"/>
      <c r="H4" s="1"/>
    </row>
    <row r="5" spans="2:24">
      <c r="C5" s="804" t="s">
        <v>838</v>
      </c>
      <c r="D5" t="s">
        <v>2180</v>
      </c>
      <c r="E5" s="805"/>
      <c r="F5" s="79"/>
      <c r="G5" s="79"/>
      <c r="H5" s="79"/>
    </row>
    <row r="6" spans="2:24">
      <c r="C6" s="807" t="s">
        <v>827</v>
      </c>
      <c r="D6" t="s">
        <v>2390</v>
      </c>
      <c r="F6" s="79"/>
      <c r="G6" s="79"/>
      <c r="H6" s="79"/>
    </row>
    <row r="7" spans="2:24">
      <c r="C7" s="807" t="s">
        <v>827</v>
      </c>
      <c r="D7" t="s">
        <v>2371</v>
      </c>
      <c r="F7" s="79"/>
      <c r="G7" s="79"/>
      <c r="H7" s="79"/>
    </row>
    <row r="8" spans="2:24">
      <c r="F8" s="79"/>
      <c r="G8" s="79"/>
      <c r="H8" s="79"/>
    </row>
    <row r="9" spans="2:24" ht="17" thickBot="1">
      <c r="C9" s="808"/>
      <c r="D9" s="574"/>
      <c r="E9" s="574"/>
      <c r="F9" s="79"/>
      <c r="G9" s="79"/>
      <c r="H9" s="79"/>
      <c r="X9" s="587">
        <v>0</v>
      </c>
    </row>
    <row r="10" spans="2:24">
      <c r="C10" s="360" t="s">
        <v>851</v>
      </c>
      <c r="X10" s="587"/>
    </row>
    <row r="11" spans="2:24">
      <c r="X11" s="587"/>
    </row>
    <row r="12" spans="2:24">
      <c r="B12" t="s">
        <v>942</v>
      </c>
      <c r="C12" s="359" t="s">
        <v>848</v>
      </c>
      <c r="X12" s="587"/>
    </row>
    <row r="14" spans="2:24">
      <c r="B14" s="8" t="s">
        <v>730</v>
      </c>
    </row>
    <row r="15" spans="2:24" ht="17">
      <c r="B15" s="3" t="s">
        <v>847</v>
      </c>
      <c r="F15" s="562"/>
      <c r="G15" s="562"/>
      <c r="H15" s="562"/>
      <c r="I15" s="562"/>
    </row>
    <row r="16" spans="2:24" ht="17">
      <c r="F16" s="562"/>
      <c r="G16" s="562"/>
      <c r="H16" s="562"/>
      <c r="I16" s="562"/>
    </row>
    <row r="17" spans="2:9">
      <c r="C17" t="s">
        <v>1098</v>
      </c>
      <c r="F17" s="692"/>
      <c r="G17" s="692"/>
      <c r="H17" s="692"/>
      <c r="I17" s="692"/>
    </row>
    <row r="18" spans="2:9">
      <c r="C18" t="s">
        <v>843</v>
      </c>
      <c r="F18" s="692"/>
      <c r="G18" s="692"/>
      <c r="H18" s="692"/>
      <c r="I18" s="692"/>
    </row>
    <row r="19" spans="2:9" ht="17">
      <c r="C19" t="s">
        <v>867</v>
      </c>
      <c r="F19" s="562"/>
      <c r="G19" s="562"/>
      <c r="H19" s="562"/>
      <c r="I19" s="562"/>
    </row>
    <row r="20" spans="2:9" ht="17">
      <c r="C20" t="s">
        <v>805</v>
      </c>
      <c r="D20" s="31"/>
      <c r="F20" s="562"/>
      <c r="G20" s="562"/>
      <c r="H20" s="562"/>
      <c r="I20" s="562"/>
    </row>
    <row r="21" spans="2:9" ht="17">
      <c r="D21" s="31"/>
      <c r="F21" s="562"/>
      <c r="G21" s="562"/>
      <c r="H21" s="562"/>
      <c r="I21" s="562"/>
    </row>
    <row r="22" spans="2:9" ht="17">
      <c r="D22" s="31"/>
      <c r="F22" s="562"/>
      <c r="G22" s="562"/>
      <c r="H22" s="562"/>
      <c r="I22" s="562"/>
    </row>
    <row r="23" spans="2:9" ht="17">
      <c r="D23" s="31"/>
      <c r="F23" s="562"/>
      <c r="G23" s="562"/>
      <c r="H23" s="562"/>
      <c r="I23" s="562"/>
    </row>
    <row r="24" spans="2:9" ht="17">
      <c r="B24" s="3" t="s">
        <v>846</v>
      </c>
      <c r="F24" s="562"/>
      <c r="G24" s="562"/>
      <c r="H24" s="562"/>
      <c r="I24" s="562"/>
    </row>
    <row r="25" spans="2:9" ht="17">
      <c r="F25" s="562"/>
      <c r="G25" s="562"/>
      <c r="H25" s="562"/>
      <c r="I25" s="562"/>
    </row>
    <row r="26" spans="2:9" ht="17">
      <c r="C26" s="693" t="s">
        <v>2176</v>
      </c>
      <c r="D26" s="31"/>
      <c r="F26" s="562"/>
      <c r="G26" s="562"/>
      <c r="H26" s="562"/>
      <c r="I26" s="562"/>
    </row>
    <row r="27" spans="2:9" ht="17">
      <c r="C27" t="s">
        <v>2177</v>
      </c>
      <c r="F27" s="562"/>
      <c r="G27" s="562"/>
      <c r="H27" s="562"/>
      <c r="I27" s="562"/>
    </row>
    <row r="28" spans="2:9">
      <c r="C28" t="s">
        <v>2178</v>
      </c>
      <c r="F28" s="692"/>
      <c r="G28" s="692"/>
      <c r="H28" s="692"/>
      <c r="I28" s="692"/>
    </row>
    <row r="29" spans="2:9">
      <c r="D29" t="s">
        <v>2370</v>
      </c>
      <c r="F29" s="692"/>
      <c r="G29" s="692"/>
      <c r="H29" s="692"/>
      <c r="I29" s="692"/>
    </row>
    <row r="30" spans="2:9">
      <c r="F30" s="692"/>
      <c r="G30" s="692"/>
      <c r="H30" s="692"/>
      <c r="I30" s="692"/>
    </row>
    <row r="31" spans="2:9">
      <c r="F31" s="692"/>
      <c r="G31" s="692"/>
      <c r="H31" s="692"/>
      <c r="I31" s="692"/>
    </row>
    <row r="32" spans="2:9">
      <c r="F32" s="692"/>
      <c r="G32" s="692"/>
      <c r="H32" s="692"/>
      <c r="I32" s="692"/>
    </row>
    <row r="33" spans="2:25">
      <c r="B33" s="1"/>
      <c r="C33" s="360"/>
      <c r="X33" s="587"/>
    </row>
    <row r="34" spans="2:25">
      <c r="B34" s="8" t="s">
        <v>1036</v>
      </c>
      <c r="C34" s="100"/>
      <c r="F34" s="1"/>
      <c r="G34" s="1"/>
      <c r="H34" s="1"/>
      <c r="J34" s="1" t="s">
        <v>1049</v>
      </c>
      <c r="K34" s="1" t="s">
        <v>1050</v>
      </c>
      <c r="L34" s="1"/>
      <c r="M34" s="1"/>
      <c r="N34" s="1"/>
      <c r="X34" s="587"/>
    </row>
    <row r="35" spans="2:25">
      <c r="B35" t="s">
        <v>841</v>
      </c>
      <c r="P35" t="s">
        <v>1053</v>
      </c>
      <c r="X35" s="587"/>
    </row>
    <row r="36" spans="2:25">
      <c r="C36" t="s">
        <v>829</v>
      </c>
      <c r="J36" s="259">
        <f>'Overall Assumptions'!$C$186</f>
        <v>1241</v>
      </c>
      <c r="K36" s="259">
        <f>'Overall Assumptions'!$C$179</f>
        <v>208.4</v>
      </c>
      <c r="L36" s="259"/>
      <c r="M36" s="259"/>
      <c r="N36" s="259"/>
      <c r="X36" s="587"/>
    </row>
    <row r="37" spans="2:25">
      <c r="C37" s="360" t="s">
        <v>1052</v>
      </c>
      <c r="D37" s="1"/>
      <c r="E37" s="1"/>
      <c r="N37" s="79"/>
      <c r="X37" s="587"/>
    </row>
    <row r="38" spans="2:25">
      <c r="C38" s="4" t="s">
        <v>730</v>
      </c>
      <c r="D38" s="593" t="s">
        <v>832</v>
      </c>
      <c r="F38" s="3739" t="s">
        <v>2179</v>
      </c>
      <c r="G38" s="3744"/>
      <c r="H38" s="3740"/>
      <c r="I38" s="1270"/>
      <c r="J38" s="2620" t="s">
        <v>870</v>
      </c>
      <c r="K38" s="3741" t="s">
        <v>1105</v>
      </c>
      <c r="L38" s="3742"/>
      <c r="M38" s="3743"/>
      <c r="N38" s="79"/>
      <c r="P38">
        <v>0</v>
      </c>
      <c r="Q38">
        <v>1</v>
      </c>
      <c r="R38">
        <v>2</v>
      </c>
      <c r="S38">
        <v>3</v>
      </c>
      <c r="Y38" s="587"/>
    </row>
    <row r="39" spans="2:25" ht="16" customHeight="1">
      <c r="C39" s="480" t="s">
        <v>819</v>
      </c>
      <c r="D39" s="3828" t="s">
        <v>801</v>
      </c>
      <c r="F39" s="3883"/>
      <c r="G39" s="3884"/>
      <c r="H39" s="3885"/>
      <c r="I39" s="1272"/>
      <c r="J39" s="3742"/>
      <c r="K39" s="3742"/>
      <c r="L39" s="3742"/>
      <c r="M39" s="3743"/>
      <c r="N39" s="1323"/>
      <c r="P39" s="402" t="s">
        <v>821</v>
      </c>
      <c r="Q39" s="255"/>
      <c r="R39" s="255"/>
      <c r="S39" s="161"/>
      <c r="Y39" s="587"/>
    </row>
    <row r="40" spans="2:25" ht="16" customHeight="1">
      <c r="C40" s="591"/>
      <c r="D40" s="3829"/>
      <c r="F40" s="3892"/>
      <c r="G40" s="3893"/>
      <c r="H40" s="3894"/>
      <c r="I40" s="2622"/>
      <c r="J40" s="274" t="s">
        <v>768</v>
      </c>
      <c r="K40" s="3889" t="s">
        <v>767</v>
      </c>
      <c r="L40" s="3890"/>
      <c r="M40" s="3891"/>
      <c r="N40" s="1323"/>
      <c r="P40" s="480" t="s">
        <v>3</v>
      </c>
      <c r="Q40" s="161" t="s">
        <v>132</v>
      </c>
      <c r="R40" s="161" t="s">
        <v>4</v>
      </c>
      <c r="S40" s="161" t="s">
        <v>21</v>
      </c>
      <c r="Y40" s="587"/>
    </row>
    <row r="41" spans="2:25" ht="16" customHeight="1">
      <c r="C41" s="591"/>
      <c r="D41" s="3829"/>
      <c r="F41" s="3886" t="s">
        <v>796</v>
      </c>
      <c r="G41" s="3887"/>
      <c r="H41" s="3888"/>
      <c r="I41" s="2622"/>
      <c r="J41" s="769"/>
      <c r="K41" s="3895" t="s">
        <v>796</v>
      </c>
      <c r="L41" s="3896"/>
      <c r="M41" s="3897"/>
      <c r="N41" s="1323"/>
      <c r="P41" s="2621"/>
      <c r="Q41" s="2622"/>
      <c r="R41" s="2622"/>
      <c r="S41" s="246"/>
      <c r="Y41" s="587"/>
    </row>
    <row r="42" spans="2:25">
      <c r="B42" s="79"/>
      <c r="C42" s="481"/>
      <c r="D42" s="3830"/>
      <c r="F42" s="404" t="s">
        <v>802</v>
      </c>
      <c r="G42" s="79" t="s">
        <v>803</v>
      </c>
      <c r="H42" s="246" t="s">
        <v>733</v>
      </c>
      <c r="I42" s="246"/>
      <c r="J42" s="770"/>
      <c r="K42" s="405" t="s">
        <v>802</v>
      </c>
      <c r="L42" s="439" t="s">
        <v>803</v>
      </c>
      <c r="M42" s="162" t="s">
        <v>733</v>
      </c>
      <c r="N42" s="1323"/>
      <c r="P42" s="481"/>
      <c r="Q42" s="162"/>
      <c r="R42" s="162"/>
      <c r="S42" s="162"/>
      <c r="Y42" s="587"/>
    </row>
    <row r="43" spans="2:25">
      <c r="B43" s="480" t="s">
        <v>862</v>
      </c>
      <c r="C43" s="246" t="s">
        <v>57</v>
      </c>
      <c r="D43" s="606"/>
      <c r="F43" s="1181">
        <f>'Disease (Phytophthora)'!$AB$23</f>
        <v>171.11249999999984</v>
      </c>
      <c r="G43" s="1182">
        <f>'Disease (Phytophthora)'!$AB$23</f>
        <v>171.11249999999984</v>
      </c>
      <c r="H43" s="1183">
        <f>'Disease (Phytophthora)'!$AB$23</f>
        <v>171.11249999999984</v>
      </c>
      <c r="I43" s="1259"/>
      <c r="J43" s="3129"/>
      <c r="K43" s="3130"/>
      <c r="L43" s="3129"/>
      <c r="M43" s="3000"/>
      <c r="N43" s="122"/>
      <c r="P43" s="1208">
        <f ca="1">OFFSET('Disease (Phytophthora)'!$AC$23,P$38+$T43,0)</f>
        <v>1</v>
      </c>
      <c r="Q43" s="1208" t="str">
        <f ca="1">OFFSET('Disease (Phytophthora)'!$AC$23,Q$38+$T43,0)</f>
        <v/>
      </c>
      <c r="R43" s="1208" t="str">
        <f ca="1">OFFSET('Disease (Phytophthora)'!$AC$23,R$38+$T43,0)</f>
        <v/>
      </c>
      <c r="S43" s="1208" t="str">
        <f ca="1">OFFSET('Disease (Phytophthora)'!$AC$23,S$38+$T43,0)</f>
        <v/>
      </c>
      <c r="T43" s="587">
        <v>0</v>
      </c>
      <c r="U43" s="578">
        <f t="shared" ref="U43:U48" ca="1" si="0">SUM(P43:S43)</f>
        <v>1</v>
      </c>
      <c r="Y43" s="587"/>
    </row>
    <row r="44" spans="2:25" ht="16" customHeight="1">
      <c r="B44" s="591" t="s">
        <v>863</v>
      </c>
      <c r="C44" s="109" t="s">
        <v>58</v>
      </c>
      <c r="D44" s="606"/>
      <c r="F44" s="841">
        <f>'Disease (Phytophthora)'!$AB$27</f>
        <v>189.73898355754841</v>
      </c>
      <c r="G44" s="337">
        <f>'Disease (Phytophthora)'!$AB$31</f>
        <v>226.54620029895349</v>
      </c>
      <c r="H44" s="842">
        <f>'Disease (Phytophthora)'!$AB$35</f>
        <v>300.16063378176352</v>
      </c>
      <c r="I44" s="1259"/>
      <c r="J44" s="2883"/>
      <c r="K44" s="2882">
        <f>'Disease (Phytophthora)'!$S$28</f>
        <v>0.99999999999999911</v>
      </c>
      <c r="L44" s="2333">
        <f>'Disease (Phytophthora)'!$S$32</f>
        <v>0.99999999999999911</v>
      </c>
      <c r="M44" s="3104">
        <f>'Disease (Phytophthora)'!$S$36</f>
        <v>0.99999999999999911</v>
      </c>
      <c r="N44" s="122"/>
      <c r="P44" s="751">
        <f ca="1">OFFSET('Disease (Phytophthora)'!$AC$23,P$38+$T44,0)</f>
        <v>0.45956785255615895</v>
      </c>
      <c r="Q44" s="751">
        <f ca="1">OFFSET('Disease (Phytophthora)'!$AC$23,Q$38+$T44,0)</f>
        <v>0.22389203073248767</v>
      </c>
      <c r="R44" s="751">
        <f ca="1">OFFSET('Disease (Phytophthora)'!$AC$23,R$38+$T44,0)</f>
        <v>0.31654011671135346</v>
      </c>
      <c r="S44" s="751">
        <f ca="1">OFFSET('Disease (Phytophthora)'!$AC$23,S$38+$T44,0)</f>
        <v>0</v>
      </c>
      <c r="T44" s="587">
        <v>4</v>
      </c>
      <c r="U44" s="578">
        <f t="shared" ca="1" si="0"/>
        <v>1</v>
      </c>
      <c r="Y44" s="587"/>
    </row>
    <row r="45" spans="2:25">
      <c r="B45" s="591" t="s">
        <v>862</v>
      </c>
      <c r="C45" s="389" t="s">
        <v>1981</v>
      </c>
      <c r="D45" s="606"/>
      <c r="F45" s="841">
        <f>'Disease (Phytophthora)'!$AB$39</f>
        <v>159851.93091999987</v>
      </c>
      <c r="G45" s="841">
        <f>'Disease (Phytophthora)'!$AB$39</f>
        <v>159851.93091999987</v>
      </c>
      <c r="H45" s="689">
        <f>'Disease (Phytophthora)'!$AB$39</f>
        <v>159851.93091999987</v>
      </c>
      <c r="I45" s="1259"/>
      <c r="J45" s="2333">
        <f>'Disease (Phytophthora)'!$S$40</f>
        <v>1.9999999999999982</v>
      </c>
      <c r="K45" s="2885"/>
      <c r="L45" s="2883"/>
      <c r="M45" s="2884"/>
      <c r="N45" s="122"/>
      <c r="P45" s="751">
        <f ca="1">OFFSET('Disease (Phytophthora)'!$AC$23,P$38+$T45,0)</f>
        <v>3.0186635671075693E-4</v>
      </c>
      <c r="Q45" s="751">
        <f ca="1">OFFSET('Disease (Phytophthora)'!$AC$23,Q$38+$T45,0)</f>
        <v>3.2895692718479929E-3</v>
      </c>
      <c r="R45" s="751">
        <f ca="1">OFFSET('Disease (Phytophthora)'!$AC$23,R$38+$T45,0)</f>
        <v>0.99640856437144121</v>
      </c>
      <c r="S45" s="751">
        <f ca="1">OFFSET('Disease (Phytophthora)'!$AC$23,S$38+$T45,0)</f>
        <v>0</v>
      </c>
      <c r="T45" s="2623">
        <v>16</v>
      </c>
      <c r="U45" s="578">
        <f t="shared" ca="1" si="0"/>
        <v>1</v>
      </c>
      <c r="Y45" s="587"/>
    </row>
    <row r="46" spans="2:25">
      <c r="B46" s="591" t="s">
        <v>863</v>
      </c>
      <c r="C46" s="389" t="s">
        <v>1982</v>
      </c>
      <c r="D46" s="606"/>
      <c r="F46" s="841">
        <f>'Disease (Phytophthora)'!$AB$43</f>
        <v>21266.210158445421</v>
      </c>
      <c r="G46" s="337">
        <f>'Disease (Phytophthora)'!$AB$47</f>
        <v>21284.613766816125</v>
      </c>
      <c r="H46" s="842">
        <f>'Disease (Phytophthora)'!$AB$51</f>
        <v>21321.420983557531</v>
      </c>
      <c r="I46" s="1259"/>
      <c r="J46" s="2883"/>
      <c r="K46" s="2882">
        <f>'Disease (Phytophthora)'!$S$44</f>
        <v>53.99999999999995</v>
      </c>
      <c r="L46" s="2333">
        <f>'Disease (Phytophthora)'!$S$48</f>
        <v>53.99999999999995</v>
      </c>
      <c r="M46" s="3104">
        <f>'Disease (Phytophthora)'!$S$52</f>
        <v>53.99999999999995</v>
      </c>
      <c r="N46" s="122"/>
      <c r="P46" s="751">
        <f ca="1">OFFSET('Disease (Phytophthora)'!$AC$23,P$38+$T46,0)</f>
        <v>0.438254343353633</v>
      </c>
      <c r="Q46" s="751">
        <f ca="1">OFFSET('Disease (Phytophthora)'!$AC$23,Q$38+$T46,0)</f>
        <v>0.2135085262492058</v>
      </c>
      <c r="R46" s="751">
        <f ca="1">OFFSET('Disease (Phytophthora)'!$AC$23,R$38+$T46,0)</f>
        <v>0.34823713039716125</v>
      </c>
      <c r="S46" s="751" t="str">
        <f ca="1">OFFSET('Disease (Phytophthora)'!$AC$23,S$38+$T46,0)</f>
        <v/>
      </c>
      <c r="T46" s="587">
        <v>20</v>
      </c>
      <c r="U46" s="578">
        <f t="shared" ca="1" si="0"/>
        <v>1</v>
      </c>
      <c r="Y46" s="587"/>
    </row>
    <row r="47" spans="2:25">
      <c r="B47" s="591" t="s">
        <v>863</v>
      </c>
      <c r="C47" s="109" t="s">
        <v>1103</v>
      </c>
      <c r="D47" s="606"/>
      <c r="F47" s="841">
        <f>'Disease (Phytophthora)'!$AB$55</f>
        <v>189.73898355754841</v>
      </c>
      <c r="G47" s="337">
        <f>'Disease (Phytophthora)'!$AB$59</f>
        <v>226.54620029895349</v>
      </c>
      <c r="H47" s="842">
        <f>'Disease (Phytophthora)'!$AB$63</f>
        <v>300.16063378176352</v>
      </c>
      <c r="I47" s="1259"/>
      <c r="J47" s="2883"/>
      <c r="K47" s="2882">
        <f>'Disease (Phytophthora)'!$S$56</f>
        <v>0.99999999999999911</v>
      </c>
      <c r="L47" s="2333">
        <f>'Disease (Phytophthora)'!$S$60</f>
        <v>0.99999999999999911</v>
      </c>
      <c r="M47" s="3104">
        <f>'Disease (Phytophthora)'!$S$64</f>
        <v>0.99999999999999911</v>
      </c>
      <c r="N47" s="122"/>
      <c r="P47" s="751">
        <f ca="1">OFFSET('Disease (Phytophthora)'!$AC$23,P$38+$T47,0)</f>
        <v>0.45956785255615895</v>
      </c>
      <c r="Q47" s="751">
        <f ca="1">OFFSET('Disease (Phytophthora)'!$AC$23,Q$38+$T47,0)</f>
        <v>0.22389203073248767</v>
      </c>
      <c r="R47" s="751">
        <f ca="1">OFFSET('Disease (Phytophthora)'!$AC$23,R$38+$T47,0)</f>
        <v>0.31654011671135346</v>
      </c>
      <c r="S47" s="751" t="str">
        <f ca="1">OFFSET('Disease (Phytophthora)'!$AC$23,S$38+$T47,0)</f>
        <v/>
      </c>
      <c r="T47" s="587">
        <v>32</v>
      </c>
      <c r="U47" s="578">
        <f t="shared" ca="1" si="0"/>
        <v>1</v>
      </c>
    </row>
    <row r="48" spans="2:25">
      <c r="B48" s="481" t="s">
        <v>862</v>
      </c>
      <c r="C48" s="162" t="s">
        <v>1104</v>
      </c>
      <c r="D48" s="607"/>
      <c r="F48" s="1263">
        <f>'Disease (Phytophthora)'!$AB$67</f>
        <v>171.11249999999984</v>
      </c>
      <c r="G48" s="338">
        <f>'Disease (Phytophthora)'!$AB$67</f>
        <v>171.11249999999984</v>
      </c>
      <c r="H48" s="1264">
        <f>'Disease (Phytophthora)'!$AB$67</f>
        <v>171.11249999999984</v>
      </c>
      <c r="I48" s="1259"/>
      <c r="J48" s="3106"/>
      <c r="K48" s="3105"/>
      <c r="L48" s="3106"/>
      <c r="M48" s="3107"/>
      <c r="N48" s="122"/>
      <c r="P48" s="752">
        <f ca="1">OFFSET('Disease (Phytophthora)'!$AC$23,P$38+$T48,0)</f>
        <v>1</v>
      </c>
      <c r="Q48" s="752" t="str">
        <f ca="1">OFFSET('Disease (Phytophthora)'!$AC$23,Q$38+$T48,0)</f>
        <v/>
      </c>
      <c r="R48" s="752" t="str">
        <f ca="1">OFFSET('Disease (Phytophthora)'!$AC$23,R$38+$T48,0)</f>
        <v/>
      </c>
      <c r="S48" s="752" t="str">
        <f ca="1">OFFSET('Disease (Phytophthora)'!$AC$23,S$38+$T48,0)</f>
        <v/>
      </c>
      <c r="T48" s="587">
        <v>44</v>
      </c>
      <c r="U48" s="578">
        <f t="shared" ca="1" si="0"/>
        <v>1</v>
      </c>
    </row>
    <row r="49" spans="2:24">
      <c r="C49" s="771" t="s">
        <v>833</v>
      </c>
      <c r="D49" s="778">
        <f>SUM(D43:D48)</f>
        <v>0</v>
      </c>
      <c r="E49" s="2089" t="s">
        <v>826</v>
      </c>
      <c r="F49" s="1265">
        <f>SUM(F43:F48)</f>
        <v>181839.8440455604</v>
      </c>
      <c r="G49" s="1260">
        <f>SUM(G43:G48)</f>
        <v>181931.8620874139</v>
      </c>
      <c r="H49" s="1266">
        <f>SUM(H43:H48)</f>
        <v>182115.89817112091</v>
      </c>
      <c r="I49" s="1271" t="s">
        <v>2226</v>
      </c>
      <c r="J49" s="3116">
        <f>SUM(J43:J48)</f>
        <v>1.9999999999999982</v>
      </c>
      <c r="K49" s="3116">
        <f>SUM(K43:K48)</f>
        <v>55.99999999999995</v>
      </c>
      <c r="L49" s="3116">
        <f>SUM(L43:L48)</f>
        <v>55.99999999999995</v>
      </c>
      <c r="M49" s="3117">
        <f>SUM(M43:M48)</f>
        <v>55.99999999999995</v>
      </c>
      <c r="N49" s="276"/>
      <c r="P49" s="609"/>
      <c r="Q49" s="609"/>
      <c r="R49" s="609"/>
      <c r="S49" s="1"/>
      <c r="T49" s="1"/>
    </row>
    <row r="50" spans="2:24">
      <c r="B50" s="811"/>
      <c r="E50" s="16"/>
      <c r="F50" s="404"/>
      <c r="G50" s="79"/>
      <c r="H50" s="246"/>
      <c r="S50" s="609"/>
      <c r="T50" s="609"/>
      <c r="U50" s="609"/>
    </row>
    <row r="51" spans="2:24">
      <c r="B51" s="811"/>
      <c r="C51" s="16"/>
      <c r="D51" s="16"/>
      <c r="F51" s="404"/>
      <c r="G51" s="79"/>
      <c r="H51" s="246"/>
      <c r="J51" s="543"/>
      <c r="K51" s="543"/>
      <c r="L51" s="543"/>
      <c r="M51" s="543"/>
      <c r="P51" s="609"/>
    </row>
    <row r="52" spans="2:24">
      <c r="B52" s="811"/>
      <c r="C52" s="28" t="s">
        <v>822</v>
      </c>
      <c r="D52" s="28"/>
      <c r="E52" s="3"/>
      <c r="F52" s="775"/>
      <c r="G52" s="1209"/>
      <c r="H52" s="2624"/>
      <c r="I52" s="3"/>
      <c r="J52" s="543"/>
      <c r="K52" s="543"/>
      <c r="L52" s="543"/>
      <c r="M52" s="543"/>
      <c r="P52" s="609"/>
    </row>
    <row r="53" spans="2:24" ht="15" customHeight="1">
      <c r="B53" s="811"/>
      <c r="C53" s="480" t="s">
        <v>57</v>
      </c>
      <c r="D53" s="749"/>
      <c r="E53" s="1209"/>
      <c r="F53" s="1181">
        <f>'Disease (Phytophthora)'!$Z$23</f>
        <v>69.862499999999926</v>
      </c>
      <c r="G53" s="1182">
        <f>'Disease (Phytophthora)'!$Z$23</f>
        <v>69.862499999999926</v>
      </c>
      <c r="H53" s="1183">
        <f>'Disease (Phytophthora)'!$Z$23</f>
        <v>69.862499999999926</v>
      </c>
      <c r="I53" s="768"/>
      <c r="J53" s="543"/>
      <c r="K53" s="543"/>
      <c r="L53" s="543"/>
      <c r="M53" s="543"/>
      <c r="P53" s="609"/>
    </row>
    <row r="54" spans="2:24">
      <c r="B54" s="811"/>
      <c r="C54" s="1179" t="s">
        <v>58</v>
      </c>
      <c r="D54" s="606"/>
      <c r="E54" s="1209"/>
      <c r="F54" s="841">
        <f>'Disease (Phytophthora)'!$Z$27</f>
        <v>71.126128550074682</v>
      </c>
      <c r="G54" s="337">
        <f>'Disease (Phytophthora)'!$Z$31</f>
        <v>84.88461584454403</v>
      </c>
      <c r="H54" s="842">
        <f>'Disease (Phytophthora)'!$Z$35</f>
        <v>112.40159043348271</v>
      </c>
      <c r="I54" s="779"/>
      <c r="J54" s="543"/>
      <c r="K54" s="543"/>
      <c r="L54" s="543"/>
      <c r="M54" s="543"/>
      <c r="P54" s="609"/>
    </row>
    <row r="55" spans="2:24">
      <c r="B55" s="811"/>
      <c r="C55" s="1080" t="s">
        <v>1101</v>
      </c>
      <c r="D55" s="606"/>
      <c r="E55" s="1209"/>
      <c r="F55" s="841">
        <f>'Disease (Phytophthora)'!$Z$39</f>
        <v>48075.150919999956</v>
      </c>
      <c r="G55" s="337">
        <f>'Disease (Phytophthora)'!$Z$39</f>
        <v>48075.150919999956</v>
      </c>
      <c r="H55" s="842">
        <f>'Disease (Phytophthora)'!$Z$39</f>
        <v>48075.150919999956</v>
      </c>
      <c r="I55" s="779"/>
      <c r="J55" s="543"/>
      <c r="K55" s="543"/>
      <c r="L55" s="543"/>
      <c r="M55" s="543"/>
      <c r="P55" s="609"/>
    </row>
    <row r="56" spans="2:24">
      <c r="B56" s="811"/>
      <c r="C56" s="1080" t="s">
        <v>1102</v>
      </c>
      <c r="D56" s="606"/>
      <c r="E56" s="1209"/>
      <c r="F56" s="841">
        <f>'Disease (Phytophthora)'!$Z$43</f>
        <v>7898.7703976083621</v>
      </c>
      <c r="G56" s="337">
        <f>'Disease (Phytophthora)'!$Z$47</f>
        <v>7905.6496412555971</v>
      </c>
      <c r="H56" s="842">
        <f>'Disease (Phytophthora)'!$Z$51</f>
        <v>7919.4081285500688</v>
      </c>
      <c r="I56" s="779"/>
      <c r="J56" s="543"/>
      <c r="K56" s="543"/>
      <c r="L56" s="543"/>
      <c r="M56" s="543"/>
      <c r="P56" s="609"/>
    </row>
    <row r="57" spans="2:24">
      <c r="B57" s="811"/>
      <c r="C57" s="1179" t="s">
        <v>1103</v>
      </c>
      <c r="D57" s="606"/>
      <c r="E57" s="1209"/>
      <c r="F57" s="841">
        <f>'Disease (Phytophthora)'!$Z$55</f>
        <v>71.126128550074682</v>
      </c>
      <c r="G57" s="337">
        <f>'Disease (Phytophthora)'!$Z$59</f>
        <v>84.88461584454403</v>
      </c>
      <c r="H57" s="842">
        <f>'Disease (Phytophthora)'!$Z$63</f>
        <v>112.40159043348271</v>
      </c>
      <c r="I57" s="779"/>
      <c r="J57" s="543"/>
      <c r="K57" s="543"/>
      <c r="L57" s="543"/>
      <c r="M57" s="543"/>
      <c r="P57" s="609"/>
    </row>
    <row r="58" spans="2:24">
      <c r="B58" s="811"/>
      <c r="C58" s="481" t="s">
        <v>1104</v>
      </c>
      <c r="D58" s="607"/>
      <c r="E58" s="1209"/>
      <c r="F58" s="841">
        <f>'Disease (Phytophthora)'!$Z$67</f>
        <v>69.862499999999926</v>
      </c>
      <c r="G58" s="337">
        <f>'Disease (Phytophthora)'!$Z$67</f>
        <v>69.862499999999926</v>
      </c>
      <c r="H58" s="842">
        <f>'Disease (Phytophthora)'!$Z$67</f>
        <v>69.862499999999926</v>
      </c>
      <c r="I58" s="779"/>
      <c r="J58" s="543"/>
      <c r="K58" s="543"/>
      <c r="L58" s="543"/>
      <c r="M58" s="543"/>
      <c r="P58" s="609"/>
    </row>
    <row r="59" spans="2:24">
      <c r="B59" s="811"/>
      <c r="C59" s="764" t="s">
        <v>766</v>
      </c>
      <c r="D59" s="764"/>
      <c r="E59" s="812"/>
      <c r="F59" s="1267">
        <f t="shared" ref="F59:H59" si="1">SUM(F53:F58)</f>
        <v>56255.898574708473</v>
      </c>
      <c r="G59" s="1268">
        <f t="shared" si="1"/>
        <v>56290.294792944645</v>
      </c>
      <c r="H59" s="1269">
        <f t="shared" si="1"/>
        <v>56359.087229416997</v>
      </c>
      <c r="I59" s="779"/>
      <c r="J59" s="543"/>
      <c r="K59" s="543"/>
      <c r="L59" s="543"/>
      <c r="M59" s="543"/>
      <c r="P59" s="609"/>
    </row>
    <row r="62" spans="2:24">
      <c r="X62" s="587"/>
    </row>
  </sheetData>
  <mergeCells count="9">
    <mergeCell ref="F41:H41"/>
    <mergeCell ref="K41:M41"/>
    <mergeCell ref="F38:H38"/>
    <mergeCell ref="K38:M38"/>
    <mergeCell ref="D39:D42"/>
    <mergeCell ref="F39:H39"/>
    <mergeCell ref="J39:M39"/>
    <mergeCell ref="F40:H40"/>
    <mergeCell ref="K40:M40"/>
  </mergeCell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37</vt:i4>
      </vt:variant>
      <vt:variant>
        <vt:lpstr>Named Ranges</vt:lpstr>
      </vt:variant>
      <vt:variant>
        <vt:i4>1</vt:i4>
      </vt:variant>
    </vt:vector>
  </HeadingPairs>
  <TitlesOfParts>
    <vt:vector size="38" baseType="lpstr">
      <vt:lpstr>Overall Assumptions</vt:lpstr>
      <vt:lpstr>Biosecurity</vt:lpstr>
      <vt:lpstr>GIS - Biosecurity</vt:lpstr>
      <vt:lpstr>Critical Sites Access</vt:lpstr>
      <vt:lpstr>GIS - Critical Sites Access</vt:lpstr>
      <vt:lpstr>Disease management (General)</vt:lpstr>
      <vt:lpstr>GIS - Disease Management (Gen)</vt:lpstr>
      <vt:lpstr>Disease (Phytophthora)</vt:lpstr>
      <vt:lpstr>GIS - Disease Phytophthora</vt:lpstr>
      <vt:lpstr>Ecological Fire Regimes</vt:lpstr>
      <vt:lpstr>GIS - Ecological Fire Regimes</vt:lpstr>
      <vt:lpstr>Forestry Management</vt:lpstr>
      <vt:lpstr>GIS - Forestry Management</vt:lpstr>
      <vt:lpstr>Grazing Management</vt:lpstr>
      <vt:lpstr>GIS - Grazing Management</vt:lpstr>
      <vt:lpstr>Habitat Restoration</vt:lpstr>
      <vt:lpstr>GIS - Habitat Mgmt+Restoration</vt:lpstr>
      <vt:lpstr>Hydrology Management</vt:lpstr>
      <vt:lpstr>GIS - Hydrology Management</vt:lpstr>
      <vt:lpstr>Invasive Fish Mgmt</vt:lpstr>
      <vt:lpstr>GIS - Invasive Fish Mgmt</vt:lpstr>
      <vt:lpstr>Invasive Large Herbivore</vt:lpstr>
      <vt:lpstr>GIS - Invasive Large Herbivores</vt:lpstr>
      <vt:lpstr>Invasive Predators</vt:lpstr>
      <vt:lpstr>GIS - Invasive Predators</vt:lpstr>
      <vt:lpstr>Invasive Rabbit Management</vt:lpstr>
      <vt:lpstr>GIS - Rabbit Management</vt:lpstr>
      <vt:lpstr>Invasive Weed Management</vt:lpstr>
      <vt:lpstr>GIS - Invasive Weed Mgt_New</vt:lpstr>
      <vt:lpstr>Invasive Problematic Birds</vt:lpstr>
      <vt:lpstr>GIS - Invasive Birds</vt:lpstr>
      <vt:lpstr>Map and Protect</vt:lpstr>
      <vt:lpstr>GIS - Map and Protect</vt:lpstr>
      <vt:lpstr>Native Herbivore Management</vt:lpstr>
      <vt:lpstr>GIS - Native Herbivore Mgmt</vt:lpstr>
      <vt:lpstr>Policy and Education</vt:lpstr>
      <vt:lpstr>GIS - Policy and Education</vt:lpstr>
      <vt:lpstr>'Disease (Phytophthora)'!_GoBack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CJ Yong</dc:creator>
  <cp:lastModifiedBy>Chuanji Yong</cp:lastModifiedBy>
  <dcterms:created xsi:type="dcterms:W3CDTF">2020-06-23T05:04:17Z</dcterms:created>
  <dcterms:modified xsi:type="dcterms:W3CDTF">2021-06-29T02:52:34Z</dcterms:modified>
</cp:coreProperties>
</file>