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charts/chart20.xml" ContentType="application/vnd.openxmlformats-officedocument.drawingml.chart+xml"/>
  <Override PartName="/xl/charts/style2.xml" ContentType="application/vnd.ms-office.chartstyle+xml"/>
  <Override PartName="/xl/charts/colors2.xml" ContentType="application/vnd.ms-office.chartcolorstyle+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charts/chart27.xml" ContentType="application/vnd.openxmlformats-officedocument.drawingml.chart+xml"/>
  <Override PartName="/xl/charts/style9.xml" ContentType="application/vnd.ms-office.chartstyle+xml"/>
  <Override PartName="/xl/charts/colors9.xml" ContentType="application/vnd.ms-office.chartcolorstyle+xml"/>
  <Override PartName="/xl/charts/chart28.xml" ContentType="application/vnd.openxmlformats-officedocument.drawingml.chart+xml"/>
  <Override PartName="/xl/charts/style10.xml" ContentType="application/vnd.ms-office.chartstyle+xml"/>
  <Override PartName="/xl/charts/colors10.xml" ContentType="application/vnd.ms-office.chartcolorstyle+xml"/>
  <Override PartName="/xl/charts/chart29.xml" ContentType="application/vnd.openxmlformats-officedocument.drawingml.chart+xml"/>
  <Override PartName="/xl/charts/style11.xml" ContentType="application/vnd.ms-office.chartstyle+xml"/>
  <Override PartName="/xl/charts/colors11.xml" ContentType="application/vnd.ms-office.chartcolorstyle+xml"/>
  <Override PartName="/xl/charts/chart30.xml" ContentType="application/vnd.openxmlformats-officedocument.drawingml.chart+xml"/>
  <Override PartName="/xl/charts/style12.xml" ContentType="application/vnd.ms-office.chartstyle+xml"/>
  <Override PartName="/xl/charts/colors12.xml" ContentType="application/vnd.ms-office.chartcolorstyle+xml"/>
  <Override PartName="/xl/charts/chart31.xml" ContentType="application/vnd.openxmlformats-officedocument.drawingml.chart+xml"/>
  <Override PartName="/xl/charts/style13.xml" ContentType="application/vnd.ms-office.chartstyle+xml"/>
  <Override PartName="/xl/charts/colors13.xml" ContentType="application/vnd.ms-office.chartcolorstyle+xml"/>
  <Override PartName="/xl/charts/chart32.xml" ContentType="application/vnd.openxmlformats-officedocument.drawingml.chart+xml"/>
  <Override PartName="/xl/charts/style14.xml" ContentType="application/vnd.ms-office.chartstyle+xml"/>
  <Override PartName="/xl/charts/colors14.xml" ContentType="application/vnd.ms-office.chartcolorstyle+xml"/>
  <Override PartName="/xl/charts/chart33.xml" ContentType="application/vnd.openxmlformats-officedocument.drawingml.chart+xml"/>
  <Override PartName="/xl/charts/style15.xml" ContentType="application/vnd.ms-office.chartstyle+xml"/>
  <Override PartName="/xl/charts/colors15.xml" ContentType="application/vnd.ms-office.chartcolorstyle+xml"/>
  <Override PartName="/xl/charts/chart34.xml" ContentType="application/vnd.openxmlformats-officedocument.drawingml.chart+xml"/>
  <Override PartName="/xl/charts/style16.xml" ContentType="application/vnd.ms-office.chartstyle+xml"/>
  <Override PartName="/xl/charts/colors16.xml" ContentType="application/vnd.ms-office.chartcolorstyle+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harts/chart3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3.xml" ContentType="application/vnd.openxmlformats-officedocument.drawing+xml"/>
  <Override PartName="/xl/charts/chart38.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qtrout1_local\Dropbox\Ex situ decision tool\Final Oct 2020\"/>
    </mc:Choice>
  </mc:AlternateContent>
  <bookViews>
    <workbookView xWindow="20370" yWindow="-120" windowWidth="29040" windowHeight="15840" tabRatio="853" firstSheet="8" activeTab="12"/>
  </bookViews>
  <sheets>
    <sheet name="Outline" sheetId="16" r:id="rId1"/>
    <sheet name="Quick guide" sheetId="3" r:id="rId2"/>
    <sheet name="Initial information" sheetId="61" r:id="rId3"/>
    <sheet name="1. In-situ status quo plan" sheetId="14" r:id="rId4"/>
    <sheet name="2. Ex-situ plan" sheetId="20" r:id="rId5"/>
    <sheet name="3. In-situ plus plan" sheetId="15" r:id="rId6"/>
    <sheet name="4. Expert elicitation" sheetId="60" r:id="rId7"/>
    <sheet name="4.1 Elicitation form 1 Events" sheetId="50" r:id="rId8"/>
    <sheet name="4.2 Elicitation form 2 Payoffs" sheetId="37" r:id="rId9"/>
    <sheet name="4.3 Elicitation data entry" sheetId="51" r:id="rId10"/>
    <sheet name="4.4 Group results Events" sheetId="59" r:id="rId11"/>
    <sheet name="4.5 Group results Payoffs" sheetId="38" r:id="rId12"/>
    <sheet name="5. Decision tree Outputs" sheetId="1" r:id="rId13"/>
    <sheet name="6.1 Value judgements" sheetId="24" r:id="rId14"/>
    <sheet name="6.2 Value judgements summary" sheetId="44" r:id="rId15"/>
    <sheet name="S1 IUCN Ex-situ Guidelines form" sheetId="53" r:id="rId16"/>
    <sheet name="lists_do not touch!" sheetId="19" r:id="rId17"/>
  </sheets>
  <definedNames>
    <definedName name="_xlnm._FilterDatabase" localSheetId="3" hidden="1">'1. In-situ status quo plan'!$L$16:$L$25</definedName>
    <definedName name="_xlnm._FilterDatabase" localSheetId="2" hidden="1">'Initial information'!$D$20:$D$25</definedName>
    <definedName name="_xlnm._FilterDatabase" localSheetId="16" hidden="1">'lists_do not touch!'!$A$2:$A$7</definedName>
    <definedName name="_xlnm._FilterDatabase" localSheetId="1" hidden="1">'Quick guide'!$C$4:$C$9</definedName>
    <definedName name="_xlnm.Extract" localSheetId="3">'1. In-situ status quo plan'!$J$31</definedName>
    <definedName name="_xlnm.Extract" localSheetId="2">'Initial information'!$F$16</definedName>
    <definedName name="_xlnm.Extract" localSheetId="16">'lists_do not touch!'!$B$2:$B$7</definedName>
    <definedName name="_xlnm.Extract" localSheetId="1">'Quick guide'!#REF!</definedName>
    <definedName name="_xlnm.Print_Area" localSheetId="7">'4.1 Elicitation form 1 Events'!$A$1:$C$14</definedName>
    <definedName name="_xlnm.Print_Area" localSheetId="8">'4.2 Elicitation form 2 Payoffs'!$A$1:$F$103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1" l="1"/>
  <c r="B34" i="1"/>
  <c r="B27" i="1" l="1"/>
  <c r="B15" i="1"/>
  <c r="B48" i="59"/>
  <c r="B3" i="59"/>
  <c r="B8" i="51"/>
  <c r="B5" i="51"/>
  <c r="B9" i="50"/>
  <c r="B6" i="50"/>
  <c r="D37" i="38" l="1"/>
  <c r="A3" i="19" l="1"/>
  <c r="A4" i="19"/>
  <c r="A5" i="19"/>
  <c r="A6" i="19"/>
  <c r="A7" i="19"/>
  <c r="A2" i="19"/>
  <c r="J31" i="14"/>
  <c r="C309" i="24" l="1"/>
  <c r="C252" i="24"/>
  <c r="C195" i="24"/>
  <c r="C138" i="24"/>
  <c r="C81" i="24"/>
  <c r="C24" i="24"/>
  <c r="G111" i="24"/>
  <c r="G114" i="24"/>
  <c r="C310" i="24" l="1"/>
  <c r="C253" i="24"/>
  <c r="C196" i="24"/>
  <c r="C139" i="24"/>
  <c r="C82" i="24"/>
  <c r="C25" i="24"/>
  <c r="C34" i="15"/>
  <c r="D34" i="15" s="1"/>
  <c r="C33" i="15"/>
  <c r="D33" i="15" s="1"/>
  <c r="C32" i="15"/>
  <c r="D32" i="15" s="1"/>
  <c r="C31" i="15"/>
  <c r="C30" i="15"/>
  <c r="D30" i="15" s="1"/>
  <c r="C29" i="15"/>
  <c r="J99" i="20"/>
  <c r="K99" i="20" s="1"/>
  <c r="J98" i="20"/>
  <c r="K98" i="20" s="1"/>
  <c r="J97" i="20"/>
  <c r="K97" i="20" s="1"/>
  <c r="J96" i="20"/>
  <c r="J95" i="20"/>
  <c r="K95" i="20" s="1"/>
  <c r="J94" i="20"/>
  <c r="J36" i="14"/>
  <c r="K36" i="14" s="1"/>
  <c r="J35" i="14"/>
  <c r="K35" i="14" s="1"/>
  <c r="J34" i="14"/>
  <c r="K34" i="14" s="1"/>
  <c r="J33" i="14"/>
  <c r="K33" i="14" s="1"/>
  <c r="J32" i="14"/>
  <c r="K32" i="14" s="1"/>
  <c r="B40" i="1" l="1"/>
  <c r="B38" i="1"/>
  <c r="G339" i="24" l="1"/>
  <c r="G342" i="24"/>
  <c r="G282" i="24"/>
  <c r="G285" i="24"/>
  <c r="G225" i="24"/>
  <c r="G228" i="24"/>
  <c r="G168" i="24"/>
  <c r="G171" i="24"/>
  <c r="A601" i="38" l="1"/>
  <c r="B601" i="38"/>
  <c r="D601" i="38"/>
  <c r="E601" i="38"/>
  <c r="F601" i="38"/>
  <c r="G601" i="38"/>
  <c r="D602" i="38"/>
  <c r="E602" i="38"/>
  <c r="F602" i="38"/>
  <c r="G602" i="38"/>
  <c r="D603" i="38"/>
  <c r="E603" i="38"/>
  <c r="F603" i="38"/>
  <c r="G603" i="38"/>
  <c r="D604" i="38"/>
  <c r="E604" i="38"/>
  <c r="F604" i="38"/>
  <c r="G604" i="38"/>
  <c r="D605" i="38"/>
  <c r="E605" i="38"/>
  <c r="F605" i="38"/>
  <c r="G605" i="38"/>
  <c r="J605" i="38"/>
  <c r="H605" i="38" s="1"/>
  <c r="D606" i="38"/>
  <c r="E606" i="38"/>
  <c r="F606" i="38"/>
  <c r="K606" i="38" s="1"/>
  <c r="G606" i="38"/>
  <c r="A554" i="38"/>
  <c r="B554" i="38"/>
  <c r="D554" i="38"/>
  <c r="E554" i="38"/>
  <c r="F554" i="38"/>
  <c r="G554" i="38"/>
  <c r="D555" i="38"/>
  <c r="E555" i="38"/>
  <c r="F555" i="38"/>
  <c r="G555" i="38"/>
  <c r="D556" i="38"/>
  <c r="E556" i="38"/>
  <c r="F556" i="38"/>
  <c r="G556" i="38"/>
  <c r="D557" i="38"/>
  <c r="E557" i="38"/>
  <c r="F557" i="38"/>
  <c r="G557" i="38"/>
  <c r="D558" i="38"/>
  <c r="E558" i="38"/>
  <c r="F558" i="38"/>
  <c r="G558" i="38"/>
  <c r="D559" i="38"/>
  <c r="E559" i="38"/>
  <c r="F559" i="38"/>
  <c r="K559" i="38" s="1"/>
  <c r="G559" i="38"/>
  <c r="A507" i="38"/>
  <c r="B507" i="38"/>
  <c r="D507" i="38"/>
  <c r="E507" i="38"/>
  <c r="F507" i="38"/>
  <c r="G507" i="38"/>
  <c r="D508" i="38"/>
  <c r="E508" i="38"/>
  <c r="F508" i="38"/>
  <c r="G508" i="38"/>
  <c r="D509" i="38"/>
  <c r="E509" i="38"/>
  <c r="F509" i="38"/>
  <c r="G509" i="38"/>
  <c r="D510" i="38"/>
  <c r="E510" i="38"/>
  <c r="F510" i="38"/>
  <c r="G510" i="38"/>
  <c r="D511" i="38"/>
  <c r="E511" i="38"/>
  <c r="F511" i="38"/>
  <c r="G511" i="38"/>
  <c r="D512" i="38"/>
  <c r="E512" i="38"/>
  <c r="F512" i="38"/>
  <c r="H512" i="38" s="1"/>
  <c r="G512" i="38"/>
  <c r="A460" i="38"/>
  <c r="B460" i="38"/>
  <c r="D460" i="38"/>
  <c r="E460" i="38"/>
  <c r="F460" i="38"/>
  <c r="G460" i="38"/>
  <c r="D461" i="38"/>
  <c r="E461" i="38"/>
  <c r="F461" i="38"/>
  <c r="G461" i="38"/>
  <c r="D462" i="38"/>
  <c r="E462" i="38"/>
  <c r="F462" i="38"/>
  <c r="G462" i="38"/>
  <c r="D463" i="38"/>
  <c r="E463" i="38"/>
  <c r="F463" i="38"/>
  <c r="G463" i="38"/>
  <c r="D464" i="38"/>
  <c r="E464" i="38"/>
  <c r="F464" i="38"/>
  <c r="G464" i="38"/>
  <c r="D465" i="38"/>
  <c r="E465" i="38"/>
  <c r="F465" i="38"/>
  <c r="I465" i="38" s="1"/>
  <c r="G465" i="38"/>
  <c r="A413" i="38"/>
  <c r="B413" i="38"/>
  <c r="D413" i="38"/>
  <c r="E413" i="38"/>
  <c r="F413" i="38"/>
  <c r="G413" i="38"/>
  <c r="D414" i="38"/>
  <c r="E414" i="38"/>
  <c r="F414" i="38"/>
  <c r="G414" i="38"/>
  <c r="D415" i="38"/>
  <c r="E415" i="38"/>
  <c r="F415" i="38"/>
  <c r="G415" i="38"/>
  <c r="D416" i="38"/>
  <c r="E416" i="38"/>
  <c r="F416" i="38"/>
  <c r="G416" i="38"/>
  <c r="D417" i="38"/>
  <c r="E417" i="38"/>
  <c r="F417" i="38"/>
  <c r="G417" i="38"/>
  <c r="D418" i="38"/>
  <c r="E418" i="38"/>
  <c r="F418" i="38"/>
  <c r="I418" i="38" s="1"/>
  <c r="G418" i="38"/>
  <c r="G371" i="38"/>
  <c r="F371" i="38"/>
  <c r="J371" i="38" s="1"/>
  <c r="E371" i="38"/>
  <c r="D371" i="38"/>
  <c r="G370" i="38"/>
  <c r="F370" i="38"/>
  <c r="E370" i="38"/>
  <c r="D370" i="38"/>
  <c r="G369" i="38"/>
  <c r="F369" i="38"/>
  <c r="E369" i="38"/>
  <c r="D369" i="38"/>
  <c r="G368" i="38"/>
  <c r="F368" i="38"/>
  <c r="E368" i="38"/>
  <c r="D368" i="38"/>
  <c r="G367" i="38"/>
  <c r="F367" i="38"/>
  <c r="E367" i="38"/>
  <c r="D367" i="38"/>
  <c r="G366" i="38"/>
  <c r="F366" i="38"/>
  <c r="E366" i="38"/>
  <c r="D366" i="38"/>
  <c r="A366" i="38"/>
  <c r="B366" i="38"/>
  <c r="G324" i="38"/>
  <c r="F324" i="38"/>
  <c r="K324" i="38" s="1"/>
  <c r="E324" i="38"/>
  <c r="D324" i="38"/>
  <c r="G323" i="38"/>
  <c r="F323" i="38"/>
  <c r="E323" i="38"/>
  <c r="D323" i="38"/>
  <c r="G322" i="38"/>
  <c r="F322" i="38"/>
  <c r="E322" i="38"/>
  <c r="D322" i="38"/>
  <c r="G321" i="38"/>
  <c r="F321" i="38"/>
  <c r="E321" i="38"/>
  <c r="D321" i="38"/>
  <c r="G320" i="38"/>
  <c r="F320" i="38"/>
  <c r="E320" i="38"/>
  <c r="D320" i="38"/>
  <c r="G319" i="38"/>
  <c r="F319" i="38"/>
  <c r="E319" i="38"/>
  <c r="D319" i="38"/>
  <c r="A319" i="38"/>
  <c r="B319" i="38"/>
  <c r="G277" i="38"/>
  <c r="F277" i="38"/>
  <c r="I277" i="38" s="1"/>
  <c r="E277" i="38"/>
  <c r="D277" i="38"/>
  <c r="G276" i="38"/>
  <c r="F276" i="38"/>
  <c r="E276" i="38"/>
  <c r="D276" i="38"/>
  <c r="G275" i="38"/>
  <c r="F275" i="38"/>
  <c r="E275" i="38"/>
  <c r="D275" i="38"/>
  <c r="G274" i="38"/>
  <c r="F274" i="38"/>
  <c r="E274" i="38"/>
  <c r="D274" i="38"/>
  <c r="G273" i="38"/>
  <c r="F273" i="38"/>
  <c r="E273" i="38"/>
  <c r="D273" i="38"/>
  <c r="G272" i="38"/>
  <c r="F272" i="38"/>
  <c r="E272" i="38"/>
  <c r="D272" i="38"/>
  <c r="A272" i="38"/>
  <c r="B272" i="38"/>
  <c r="G230" i="38"/>
  <c r="F230" i="38"/>
  <c r="H230" i="38" s="1"/>
  <c r="E230" i="38"/>
  <c r="D230" i="38"/>
  <c r="G229" i="38"/>
  <c r="F229" i="38"/>
  <c r="E229" i="38"/>
  <c r="D229" i="38"/>
  <c r="G228" i="38"/>
  <c r="F228" i="38"/>
  <c r="E228" i="38"/>
  <c r="D228" i="38"/>
  <c r="G227" i="38"/>
  <c r="F227" i="38"/>
  <c r="E227" i="38"/>
  <c r="D227" i="38"/>
  <c r="G226" i="38"/>
  <c r="F226" i="38"/>
  <c r="E226" i="38"/>
  <c r="D226" i="38"/>
  <c r="G225" i="38"/>
  <c r="F225" i="38"/>
  <c r="E225" i="38"/>
  <c r="D225" i="38"/>
  <c r="D231" i="38" s="1"/>
  <c r="A225" i="38"/>
  <c r="B225" i="38"/>
  <c r="G183" i="38"/>
  <c r="F183" i="38"/>
  <c r="K183" i="38" s="1"/>
  <c r="E183" i="38"/>
  <c r="D183" i="38"/>
  <c r="G182" i="38"/>
  <c r="F182" i="38"/>
  <c r="E182" i="38"/>
  <c r="D182" i="38"/>
  <c r="G181" i="38"/>
  <c r="F181" i="38"/>
  <c r="E181" i="38"/>
  <c r="D181" i="38"/>
  <c r="G180" i="38"/>
  <c r="F180" i="38"/>
  <c r="E180" i="38"/>
  <c r="D180" i="38"/>
  <c r="G179" i="38"/>
  <c r="F179" i="38"/>
  <c r="E179" i="38"/>
  <c r="D179" i="38"/>
  <c r="G178" i="38"/>
  <c r="F178" i="38"/>
  <c r="E178" i="38"/>
  <c r="D178" i="38"/>
  <c r="A178" i="38"/>
  <c r="B178" i="38"/>
  <c r="G136" i="38"/>
  <c r="G135" i="38"/>
  <c r="G134" i="38"/>
  <c r="G133" i="38"/>
  <c r="G131" i="38"/>
  <c r="G132" i="38"/>
  <c r="F136" i="38"/>
  <c r="J136" i="38" s="1"/>
  <c r="F135" i="38"/>
  <c r="F134" i="38"/>
  <c r="F133" i="38"/>
  <c r="F132" i="38"/>
  <c r="F131" i="38"/>
  <c r="E136" i="38"/>
  <c r="E135" i="38"/>
  <c r="E134" i="38"/>
  <c r="E133" i="38"/>
  <c r="E132" i="38"/>
  <c r="E131" i="38"/>
  <c r="D136" i="38"/>
  <c r="D135" i="38"/>
  <c r="D134" i="38"/>
  <c r="D133" i="38"/>
  <c r="D132" i="38"/>
  <c r="D131" i="38"/>
  <c r="A131" i="38"/>
  <c r="B131" i="38"/>
  <c r="G89" i="38"/>
  <c r="G88" i="38"/>
  <c r="G87" i="38"/>
  <c r="G86" i="38"/>
  <c r="G85" i="38"/>
  <c r="G84" i="38"/>
  <c r="F89" i="38"/>
  <c r="H89" i="38" s="1"/>
  <c r="F88" i="38"/>
  <c r="K88" i="38" s="1"/>
  <c r="F87" i="38"/>
  <c r="F86" i="38"/>
  <c r="F85" i="38"/>
  <c r="F84" i="38"/>
  <c r="E89" i="38"/>
  <c r="E88" i="38"/>
  <c r="E87" i="38"/>
  <c r="E86" i="38"/>
  <c r="E85" i="38"/>
  <c r="E84" i="38"/>
  <c r="D89" i="38"/>
  <c r="D88" i="38"/>
  <c r="D87" i="38"/>
  <c r="D86" i="38"/>
  <c r="D85" i="38"/>
  <c r="D84" i="38"/>
  <c r="A84" i="38"/>
  <c r="B84" i="38"/>
  <c r="G42" i="38"/>
  <c r="G41" i="38"/>
  <c r="G40" i="38"/>
  <c r="G39" i="38"/>
  <c r="G38" i="38"/>
  <c r="G37" i="38"/>
  <c r="F42" i="38"/>
  <c r="F41" i="38"/>
  <c r="F40" i="38"/>
  <c r="F39" i="38"/>
  <c r="F38" i="38"/>
  <c r="F37" i="38"/>
  <c r="E42" i="38"/>
  <c r="E41" i="38"/>
  <c r="E40" i="38"/>
  <c r="E39" i="38"/>
  <c r="E38" i="38"/>
  <c r="E37" i="38"/>
  <c r="D42" i="38"/>
  <c r="D41" i="38"/>
  <c r="D40" i="38"/>
  <c r="D39" i="38"/>
  <c r="D38" i="38"/>
  <c r="D222" i="59"/>
  <c r="D221" i="59"/>
  <c r="D220" i="59"/>
  <c r="D219" i="59"/>
  <c r="D218" i="59"/>
  <c r="D217" i="59"/>
  <c r="D177" i="59"/>
  <c r="D176" i="59"/>
  <c r="D175" i="59"/>
  <c r="D174" i="59"/>
  <c r="D173" i="59"/>
  <c r="D172" i="59"/>
  <c r="D132" i="59"/>
  <c r="D131" i="59"/>
  <c r="D130" i="59"/>
  <c r="D129" i="59"/>
  <c r="D128" i="59"/>
  <c r="D127" i="59"/>
  <c r="D82" i="59"/>
  <c r="D83" i="59"/>
  <c r="D84" i="59"/>
  <c r="B183" i="59"/>
  <c r="B217" i="59" s="1"/>
  <c r="B138" i="59"/>
  <c r="B172" i="59" s="1"/>
  <c r="B93" i="59"/>
  <c r="B127" i="59" s="1"/>
  <c r="B82" i="59"/>
  <c r="D85" i="59"/>
  <c r="D86" i="59"/>
  <c r="D87" i="59"/>
  <c r="D42" i="59"/>
  <c r="D41" i="59"/>
  <c r="D40" i="59"/>
  <c r="D39" i="59"/>
  <c r="D38" i="59"/>
  <c r="D37" i="59"/>
  <c r="B37" i="59"/>
  <c r="A37" i="38"/>
  <c r="B31" i="37"/>
  <c r="B47" i="1" s="1"/>
  <c r="B14" i="50"/>
  <c r="B13" i="51"/>
  <c r="B12" i="51"/>
  <c r="B11" i="51"/>
  <c r="B103" i="37"/>
  <c r="B102" i="37"/>
  <c r="B13" i="50"/>
  <c r="B44" i="37"/>
  <c r="B38" i="37"/>
  <c r="B99" i="37"/>
  <c r="B100" i="37"/>
  <c r="B101" i="37"/>
  <c r="B12" i="50"/>
  <c r="E607" i="38" l="1"/>
  <c r="J182" i="38"/>
  <c r="K229" i="38"/>
  <c r="K135" i="38"/>
  <c r="K605" i="38"/>
  <c r="J558" i="38"/>
  <c r="H558" i="38" s="1"/>
  <c r="I605" i="38"/>
  <c r="J370" i="38"/>
  <c r="K132" i="38"/>
  <c r="K558" i="38"/>
  <c r="I558" i="38" s="1"/>
  <c r="J276" i="38"/>
  <c r="J601" i="38"/>
  <c r="H601" i="38" s="1"/>
  <c r="J559" i="38"/>
  <c r="J606" i="38"/>
  <c r="I559" i="38"/>
  <c r="K87" i="38"/>
  <c r="I87" i="38" s="1"/>
  <c r="E184" i="38"/>
  <c r="K226" i="38"/>
  <c r="I226" i="38" s="1"/>
  <c r="J227" i="38"/>
  <c r="H227" i="38" s="1"/>
  <c r="K228" i="38"/>
  <c r="I228" i="38" s="1"/>
  <c r="K319" i="38"/>
  <c r="I319" i="38" s="1"/>
  <c r="K321" i="38"/>
  <c r="I321" i="38" s="1"/>
  <c r="K508" i="38"/>
  <c r="I508" i="38" s="1"/>
  <c r="H559" i="38"/>
  <c r="H606" i="38"/>
  <c r="J602" i="38"/>
  <c r="H602" i="38" s="1"/>
  <c r="I606" i="38"/>
  <c r="J180" i="38"/>
  <c r="H180" i="38" s="1"/>
  <c r="K556" i="38"/>
  <c r="I556" i="38" s="1"/>
  <c r="K604" i="38"/>
  <c r="K603" i="38"/>
  <c r="I603" i="38" s="1"/>
  <c r="D179" i="59"/>
  <c r="D224" i="59"/>
  <c r="K86" i="38"/>
  <c r="I86" i="38" s="1"/>
  <c r="K134" i="38"/>
  <c r="I134" i="38" s="1"/>
  <c r="K557" i="38"/>
  <c r="I557" i="38" s="1"/>
  <c r="J603" i="38"/>
  <c r="H603" i="38" s="1"/>
  <c r="E608" i="38"/>
  <c r="J507" i="38"/>
  <c r="H507" i="38" s="1"/>
  <c r="J85" i="38"/>
  <c r="H85" i="38" s="1"/>
  <c r="K273" i="38"/>
  <c r="I273" i="38" s="1"/>
  <c r="K367" i="38"/>
  <c r="I367" i="38" s="1"/>
  <c r="K369" i="38"/>
  <c r="I369" i="38" s="1"/>
  <c r="G607" i="38"/>
  <c r="F608" i="38"/>
  <c r="I604" i="38"/>
  <c r="J557" i="38"/>
  <c r="H557" i="38" s="1"/>
  <c r="J604" i="38"/>
  <c r="H604" i="38" s="1"/>
  <c r="D561" i="38"/>
  <c r="D608" i="38"/>
  <c r="D607" i="38"/>
  <c r="J556" i="38"/>
  <c r="H556" i="38" s="1"/>
  <c r="G561" i="38"/>
  <c r="K602" i="38"/>
  <c r="I602" i="38" s="1"/>
  <c r="G608" i="38"/>
  <c r="G560" i="38"/>
  <c r="K555" i="38"/>
  <c r="I555" i="38" s="1"/>
  <c r="J555" i="38"/>
  <c r="H555" i="38" s="1"/>
  <c r="F607" i="38"/>
  <c r="E560" i="38"/>
  <c r="D560" i="38"/>
  <c r="K601" i="38"/>
  <c r="F561" i="38"/>
  <c r="F560" i="38"/>
  <c r="K554" i="38"/>
  <c r="J554" i="38"/>
  <c r="K507" i="38"/>
  <c r="I507" i="38" s="1"/>
  <c r="E561" i="38"/>
  <c r="G373" i="38"/>
  <c r="K133" i="38"/>
  <c r="J179" i="38"/>
  <c r="H179" i="38" s="1"/>
  <c r="E185" i="38"/>
  <c r="I132" i="38"/>
  <c r="K366" i="38"/>
  <c r="I366" i="38" s="1"/>
  <c r="K225" i="38"/>
  <c r="I225" i="38" s="1"/>
  <c r="J178" i="38"/>
  <c r="H178" i="38" s="1"/>
  <c r="D89" i="59"/>
  <c r="D44" i="59"/>
  <c r="J508" i="38"/>
  <c r="H508" i="38" s="1"/>
  <c r="K511" i="38"/>
  <c r="D514" i="38"/>
  <c r="J462" i="38"/>
  <c r="H462" i="38" s="1"/>
  <c r="J511" i="38"/>
  <c r="H511" i="38" s="1"/>
  <c r="I511" i="38"/>
  <c r="J463" i="38"/>
  <c r="H463" i="38" s="1"/>
  <c r="E467" i="38"/>
  <c r="D513" i="38"/>
  <c r="G513" i="38"/>
  <c r="E513" i="38"/>
  <c r="K275" i="38"/>
  <c r="I275" i="38" s="1"/>
  <c r="J416" i="38"/>
  <c r="H416" i="38" s="1"/>
  <c r="J465" i="38"/>
  <c r="E466" i="38"/>
  <c r="J460" i="38"/>
  <c r="H460" i="38" s="1"/>
  <c r="K512" i="38"/>
  <c r="J89" i="38"/>
  <c r="K136" i="38"/>
  <c r="G372" i="38"/>
  <c r="H465" i="38"/>
  <c r="I512" i="38"/>
  <c r="K510" i="38"/>
  <c r="I510" i="38" s="1"/>
  <c r="J132" i="38"/>
  <c r="K277" i="38"/>
  <c r="J275" i="38"/>
  <c r="H275" i="38" s="1"/>
  <c r="G419" i="38"/>
  <c r="J415" i="38"/>
  <c r="K509" i="38"/>
  <c r="I509" i="38" s="1"/>
  <c r="H277" i="38"/>
  <c r="J274" i="38"/>
  <c r="H274" i="38" s="1"/>
  <c r="H415" i="38"/>
  <c r="J509" i="38"/>
  <c r="H509" i="38" s="1"/>
  <c r="D419" i="38"/>
  <c r="K181" i="38"/>
  <c r="I181" i="38" s="1"/>
  <c r="J418" i="38"/>
  <c r="J413" i="38"/>
  <c r="H413" i="38" s="1"/>
  <c r="J512" i="38"/>
  <c r="J229" i="38"/>
  <c r="J226" i="38"/>
  <c r="H226" i="38" s="1"/>
  <c r="K272" i="38"/>
  <c r="I272" i="38" s="1"/>
  <c r="K323" i="38"/>
  <c r="I323" i="38" s="1"/>
  <c r="J417" i="38"/>
  <c r="H417" i="38" s="1"/>
  <c r="E419" i="38"/>
  <c r="G420" i="38"/>
  <c r="F466" i="38"/>
  <c r="J464" i="38"/>
  <c r="H464" i="38" s="1"/>
  <c r="J461" i="38"/>
  <c r="H461" i="38" s="1"/>
  <c r="J510" i="38"/>
  <c r="H510" i="38" s="1"/>
  <c r="I229" i="38"/>
  <c r="E231" i="38"/>
  <c r="K274" i="38"/>
  <c r="I274" i="38" s="1"/>
  <c r="J414" i="38"/>
  <c r="H414" i="38" s="1"/>
  <c r="D466" i="38"/>
  <c r="J368" i="38"/>
  <c r="H368" i="38" s="1"/>
  <c r="F467" i="38"/>
  <c r="G466" i="38"/>
  <c r="F514" i="38"/>
  <c r="F513" i="38"/>
  <c r="E514" i="38"/>
  <c r="J369" i="38"/>
  <c r="H369" i="38" s="1"/>
  <c r="F419" i="38"/>
  <c r="H418" i="38"/>
  <c r="D467" i="38"/>
  <c r="G467" i="38"/>
  <c r="G514" i="38"/>
  <c r="G279" i="38"/>
  <c r="E420" i="38"/>
  <c r="I324" i="38"/>
  <c r="K320" i="38"/>
  <c r="I320" i="38" s="1"/>
  <c r="D420" i="38"/>
  <c r="K182" i="38"/>
  <c r="I182" i="38" s="1"/>
  <c r="G185" i="38"/>
  <c r="I371" i="38"/>
  <c r="J366" i="38"/>
  <c r="H366" i="38" s="1"/>
  <c r="K418" i="38"/>
  <c r="K417" i="38"/>
  <c r="I417" i="38" s="1"/>
  <c r="K416" i="38"/>
  <c r="I416" i="38" s="1"/>
  <c r="K415" i="38"/>
  <c r="I415" i="38" s="1"/>
  <c r="K414" i="38"/>
  <c r="I414" i="38" s="1"/>
  <c r="K413" i="38"/>
  <c r="I413" i="38" s="1"/>
  <c r="K465" i="38"/>
  <c r="K464" i="38"/>
  <c r="I464" i="38" s="1"/>
  <c r="K463" i="38"/>
  <c r="I463" i="38" s="1"/>
  <c r="K462" i="38"/>
  <c r="I462" i="38" s="1"/>
  <c r="K461" i="38"/>
  <c r="I461" i="38" s="1"/>
  <c r="K460" i="38"/>
  <c r="I460" i="38" s="1"/>
  <c r="G184" i="38"/>
  <c r="J181" i="38"/>
  <c r="H181" i="38" s="1"/>
  <c r="D184" i="38"/>
  <c r="J272" i="38"/>
  <c r="H272" i="38" s="1"/>
  <c r="G326" i="38"/>
  <c r="H371" i="38"/>
  <c r="D373" i="38"/>
  <c r="K131" i="38"/>
  <c r="I131" i="38" s="1"/>
  <c r="J183" i="38"/>
  <c r="H229" i="38"/>
  <c r="G231" i="38"/>
  <c r="I183" i="38"/>
  <c r="K179" i="38"/>
  <c r="I179" i="38" s="1"/>
  <c r="J228" i="38"/>
  <c r="H228" i="38" s="1"/>
  <c r="J225" i="38"/>
  <c r="H225" i="38" s="1"/>
  <c r="F279" i="38"/>
  <c r="H276" i="38"/>
  <c r="J273" i="38"/>
  <c r="H273" i="38" s="1"/>
  <c r="J324" i="38"/>
  <c r="J321" i="38"/>
  <c r="H321" i="38" s="1"/>
  <c r="J319" i="38"/>
  <c r="H319" i="38" s="1"/>
  <c r="K368" i="38"/>
  <c r="I368" i="38" s="1"/>
  <c r="E373" i="38"/>
  <c r="F420" i="38"/>
  <c r="K371" i="38"/>
  <c r="H370" i="38"/>
  <c r="K370" i="38"/>
  <c r="I370" i="38" s="1"/>
  <c r="E372" i="38"/>
  <c r="D372" i="38"/>
  <c r="F373" i="38"/>
  <c r="F372" i="38"/>
  <c r="J367" i="38"/>
  <c r="H367" i="38" s="1"/>
  <c r="G325" i="38"/>
  <c r="H324" i="38"/>
  <c r="J323" i="38"/>
  <c r="H323" i="38" s="1"/>
  <c r="K322" i="38"/>
  <c r="I322" i="38" s="1"/>
  <c r="J322" i="38"/>
  <c r="H322" i="38" s="1"/>
  <c r="J320" i="38"/>
  <c r="H320" i="38" s="1"/>
  <c r="E325" i="38"/>
  <c r="D326" i="38"/>
  <c r="F325" i="38"/>
  <c r="F326" i="38"/>
  <c r="E326" i="38"/>
  <c r="D325" i="38"/>
  <c r="J277" i="38"/>
  <c r="K276" i="38"/>
  <c r="I276" i="38" s="1"/>
  <c r="E279" i="38"/>
  <c r="D278" i="38"/>
  <c r="G278" i="38"/>
  <c r="F278" i="38"/>
  <c r="E278" i="38"/>
  <c r="D279" i="38"/>
  <c r="K230" i="38"/>
  <c r="J230" i="38"/>
  <c r="F231" i="38"/>
  <c r="I230" i="38"/>
  <c r="D232" i="38"/>
  <c r="G232" i="38"/>
  <c r="K227" i="38"/>
  <c r="I227" i="38" s="1"/>
  <c r="E232" i="38"/>
  <c r="F232" i="38"/>
  <c r="F185" i="38"/>
  <c r="K180" i="38"/>
  <c r="I180" i="38" s="1"/>
  <c r="F184" i="38"/>
  <c r="D185" i="38"/>
  <c r="K178" i="38"/>
  <c r="I178" i="38" s="1"/>
  <c r="H183" i="38"/>
  <c r="H182" i="38"/>
  <c r="F138" i="38"/>
  <c r="F137" i="38"/>
  <c r="J131" i="38"/>
  <c r="H131" i="38" s="1"/>
  <c r="D138" i="38"/>
  <c r="I88" i="38"/>
  <c r="J84" i="38"/>
  <c r="H84" i="38" s="1"/>
  <c r="I136" i="38"/>
  <c r="D137" i="38"/>
  <c r="G138" i="38"/>
  <c r="J87" i="38"/>
  <c r="H87" i="38" s="1"/>
  <c r="G137" i="38"/>
  <c r="J134" i="38"/>
  <c r="H134" i="38" s="1"/>
  <c r="E138" i="38"/>
  <c r="J133" i="38"/>
  <c r="H133" i="38" s="1"/>
  <c r="E137" i="38"/>
  <c r="J135" i="38"/>
  <c r="H135" i="38" s="1"/>
  <c r="J86" i="38"/>
  <c r="H86" i="38" s="1"/>
  <c r="G90" i="38"/>
  <c r="I135" i="38"/>
  <c r="I133" i="38"/>
  <c r="G91" i="38"/>
  <c r="J88" i="38"/>
  <c r="H88" i="38" s="1"/>
  <c r="H136" i="38"/>
  <c r="H132" i="38"/>
  <c r="K84" i="38"/>
  <c r="I84" i="38" s="1"/>
  <c r="K89" i="38"/>
  <c r="K85" i="38"/>
  <c r="I85" i="38" s="1"/>
  <c r="I89" i="38"/>
  <c r="F91" i="38"/>
  <c r="F90" i="38"/>
  <c r="C51" i="1" s="1"/>
  <c r="E90" i="38"/>
  <c r="E91" i="38"/>
  <c r="D90" i="38"/>
  <c r="D91" i="38"/>
  <c r="D223" i="59"/>
  <c r="C40" i="1" s="1"/>
  <c r="D178" i="59"/>
  <c r="C38" i="1" s="1"/>
  <c r="AA84" i="24" s="1"/>
  <c r="D133" i="59"/>
  <c r="C36" i="1" s="1"/>
  <c r="D134" i="59"/>
  <c r="D88" i="59"/>
  <c r="C27" i="1" s="1"/>
  <c r="D43" i="59"/>
  <c r="C15" i="1" s="1"/>
  <c r="B24" i="15"/>
  <c r="B23" i="15"/>
  <c r="B22" i="15"/>
  <c r="B21" i="15"/>
  <c r="B20" i="15"/>
  <c r="B19" i="15"/>
  <c r="B18" i="15"/>
  <c r="B17" i="15"/>
  <c r="B16" i="15"/>
  <c r="B35" i="37"/>
  <c r="B36" i="37"/>
  <c r="C70" i="20"/>
  <c r="D70" i="20"/>
  <c r="E70" i="20"/>
  <c r="F70" i="20"/>
  <c r="C71" i="20"/>
  <c r="D71" i="20"/>
  <c r="E71" i="20"/>
  <c r="F71" i="20"/>
  <c r="C72" i="20"/>
  <c r="D72" i="20"/>
  <c r="E72" i="20"/>
  <c r="F72" i="20"/>
  <c r="C73" i="20"/>
  <c r="D73" i="20"/>
  <c r="E73" i="20"/>
  <c r="F73" i="20"/>
  <c r="C74" i="20"/>
  <c r="D74" i="20"/>
  <c r="E74" i="20"/>
  <c r="F74" i="20"/>
  <c r="C75" i="20"/>
  <c r="D75" i="20"/>
  <c r="E75" i="20"/>
  <c r="F75" i="20"/>
  <c r="C76" i="20"/>
  <c r="D76" i="20"/>
  <c r="E76" i="20"/>
  <c r="F76" i="20"/>
  <c r="C77" i="20"/>
  <c r="D77" i="20"/>
  <c r="E77" i="20"/>
  <c r="F77" i="20"/>
  <c r="C78" i="20"/>
  <c r="D78" i="20"/>
  <c r="E78" i="20"/>
  <c r="F78" i="20"/>
  <c r="C79" i="20"/>
  <c r="D79" i="20"/>
  <c r="E79" i="20"/>
  <c r="F79" i="20"/>
  <c r="G70" i="20"/>
  <c r="H70" i="20"/>
  <c r="I70" i="20"/>
  <c r="J70" i="20"/>
  <c r="B71" i="20"/>
  <c r="G71" i="20"/>
  <c r="H71" i="20"/>
  <c r="I71" i="20"/>
  <c r="J71" i="20"/>
  <c r="B72" i="20"/>
  <c r="G72" i="20"/>
  <c r="H72" i="20"/>
  <c r="I72" i="20"/>
  <c r="J72" i="20"/>
  <c r="B73" i="20"/>
  <c r="G73" i="20"/>
  <c r="H73" i="20"/>
  <c r="I73" i="20"/>
  <c r="J73" i="20"/>
  <c r="B74" i="20"/>
  <c r="G74" i="20"/>
  <c r="H74" i="20"/>
  <c r="I74" i="20"/>
  <c r="J74" i="20"/>
  <c r="B75" i="20"/>
  <c r="G75" i="20"/>
  <c r="H75" i="20"/>
  <c r="I75" i="20"/>
  <c r="J75" i="20"/>
  <c r="B76" i="20"/>
  <c r="G76" i="20"/>
  <c r="H76" i="20"/>
  <c r="I76" i="20"/>
  <c r="J76" i="20"/>
  <c r="B77" i="20"/>
  <c r="G77" i="20"/>
  <c r="H77" i="20"/>
  <c r="I77" i="20"/>
  <c r="J77" i="20"/>
  <c r="B78" i="20"/>
  <c r="G78" i="20"/>
  <c r="H78" i="20"/>
  <c r="I78" i="20"/>
  <c r="J78" i="20"/>
  <c r="B79" i="20"/>
  <c r="G79" i="20"/>
  <c r="H79" i="20"/>
  <c r="I79" i="20"/>
  <c r="J79" i="20"/>
  <c r="L70" i="20"/>
  <c r="B16" i="20"/>
  <c r="H607" i="38" l="1"/>
  <c r="K607" i="38"/>
  <c r="E96" i="1" s="1"/>
  <c r="K608" i="38"/>
  <c r="I601" i="38"/>
  <c r="I607" i="38" s="1"/>
  <c r="H608" i="38"/>
  <c r="J607" i="38"/>
  <c r="D96" i="1" s="1"/>
  <c r="AA198" i="24"/>
  <c r="AA255" i="24"/>
  <c r="AA304" i="24"/>
  <c r="AA141" i="24"/>
  <c r="J608" i="38"/>
  <c r="J560" i="38"/>
  <c r="D92" i="1" s="1"/>
  <c r="J561" i="38"/>
  <c r="K561" i="38"/>
  <c r="H514" i="38"/>
  <c r="I608" i="38"/>
  <c r="H513" i="38"/>
  <c r="K560" i="38"/>
  <c r="E92" i="1" s="1"/>
  <c r="I554" i="38"/>
  <c r="H554" i="38"/>
  <c r="I466" i="38"/>
  <c r="I467" i="38"/>
  <c r="I420" i="38"/>
  <c r="I419" i="38"/>
  <c r="K513" i="38"/>
  <c r="E87" i="1" s="1"/>
  <c r="K231" i="38"/>
  <c r="E61" i="1" s="1"/>
  <c r="J514" i="38"/>
  <c r="I278" i="38"/>
  <c r="K419" i="38"/>
  <c r="E78" i="1" s="1"/>
  <c r="K514" i="38"/>
  <c r="K138" i="38"/>
  <c r="J419" i="38"/>
  <c r="D78" i="1" s="1"/>
  <c r="J467" i="38"/>
  <c r="K232" i="38"/>
  <c r="J420" i="38"/>
  <c r="K373" i="38"/>
  <c r="K326" i="38"/>
  <c r="J513" i="38"/>
  <c r="D87" i="1" s="1"/>
  <c r="K279" i="38"/>
  <c r="I514" i="38"/>
  <c r="K466" i="38"/>
  <c r="E83" i="1" s="1"/>
  <c r="I231" i="38"/>
  <c r="I279" i="38"/>
  <c r="H420" i="38"/>
  <c r="I325" i="38"/>
  <c r="H279" i="38"/>
  <c r="J185" i="38"/>
  <c r="K185" i="38"/>
  <c r="J231" i="38"/>
  <c r="D61" i="1" s="1"/>
  <c r="J466" i="38"/>
  <c r="D83" i="1" s="1"/>
  <c r="I513" i="38"/>
  <c r="H419" i="38"/>
  <c r="J373" i="38"/>
  <c r="H467" i="38"/>
  <c r="H466" i="38"/>
  <c r="H278" i="38"/>
  <c r="I326" i="38"/>
  <c r="H372" i="38"/>
  <c r="I185" i="38"/>
  <c r="J279" i="38"/>
  <c r="J90" i="38"/>
  <c r="D51" i="1" s="1"/>
  <c r="I184" i="38"/>
  <c r="J232" i="38"/>
  <c r="J326" i="38"/>
  <c r="I373" i="38"/>
  <c r="H373" i="38"/>
  <c r="K420" i="38"/>
  <c r="K184" i="38"/>
  <c r="E58" i="1" s="1"/>
  <c r="K467" i="38"/>
  <c r="J372" i="38"/>
  <c r="D74" i="1" s="1"/>
  <c r="K372" i="38"/>
  <c r="E74" i="1" s="1"/>
  <c r="I372" i="38"/>
  <c r="K325" i="38"/>
  <c r="E69" i="1" s="1"/>
  <c r="J325" i="38"/>
  <c r="D69" i="1" s="1"/>
  <c r="H326" i="38"/>
  <c r="H325" i="38"/>
  <c r="K278" i="38"/>
  <c r="E65" i="1" s="1"/>
  <c r="J278" i="38"/>
  <c r="D65" i="1" s="1"/>
  <c r="I232" i="38"/>
  <c r="H232" i="38"/>
  <c r="H231" i="38"/>
  <c r="J184" i="38"/>
  <c r="D58" i="1" s="1"/>
  <c r="H185" i="38"/>
  <c r="H184" i="38"/>
  <c r="K137" i="38"/>
  <c r="E54" i="1" s="1"/>
  <c r="J137" i="38"/>
  <c r="D54" i="1" s="1"/>
  <c r="I138" i="38"/>
  <c r="J91" i="38"/>
  <c r="J138" i="38"/>
  <c r="I137" i="38"/>
  <c r="H91" i="38"/>
  <c r="K91" i="38"/>
  <c r="I91" i="38"/>
  <c r="I90" i="38"/>
  <c r="H138" i="38"/>
  <c r="H137" i="38"/>
  <c r="H90" i="38"/>
  <c r="K90" i="38"/>
  <c r="E51" i="1" s="1"/>
  <c r="I561" i="38" l="1"/>
  <c r="I560" i="38"/>
  <c r="H560" i="38"/>
  <c r="H561" i="38"/>
  <c r="E16" i="15"/>
  <c r="E17" i="15"/>
  <c r="E18" i="15"/>
  <c r="E19" i="15"/>
  <c r="E20" i="15"/>
  <c r="E21" i="15"/>
  <c r="E22" i="15"/>
  <c r="E23" i="15"/>
  <c r="E24" i="15"/>
  <c r="E15" i="15"/>
  <c r="L71" i="20"/>
  <c r="L72" i="20"/>
  <c r="L73" i="20"/>
  <c r="L74" i="20"/>
  <c r="L75" i="20"/>
  <c r="L76" i="20"/>
  <c r="L77" i="20"/>
  <c r="L78" i="20"/>
  <c r="L79" i="20"/>
  <c r="B15" i="15"/>
  <c r="H81" i="20"/>
  <c r="B70" i="20"/>
  <c r="D31" i="15" l="1"/>
  <c r="H53" i="20"/>
  <c r="B39" i="51" l="1"/>
  <c r="B38" i="51"/>
  <c r="B36" i="51"/>
  <c r="B35" i="51"/>
  <c r="B33" i="51"/>
  <c r="B32" i="51"/>
  <c r="B30" i="51"/>
  <c r="B29" i="51"/>
  <c r="B26" i="51"/>
  <c r="B25" i="51"/>
  <c r="B22" i="51"/>
  <c r="B21" i="51"/>
  <c r="B18" i="51"/>
  <c r="K38" i="38" l="1"/>
  <c r="I38" i="38" s="1"/>
  <c r="J38" i="38"/>
  <c r="H38" i="38" s="1"/>
  <c r="K39" i="38"/>
  <c r="I39" i="38" s="1"/>
  <c r="J39" i="38"/>
  <c r="H39" i="38" s="1"/>
  <c r="J40" i="38"/>
  <c r="H40" i="38" s="1"/>
  <c r="K40" i="38"/>
  <c r="I40" i="38" s="1"/>
  <c r="J41" i="38"/>
  <c r="H41" i="38" s="1"/>
  <c r="K41" i="38"/>
  <c r="I41" i="38" s="1"/>
  <c r="K42" i="38"/>
  <c r="J42" i="38"/>
  <c r="H42" i="38" s="1"/>
  <c r="I42" i="38"/>
  <c r="K37" i="38" l="1"/>
  <c r="I37" i="38" s="1"/>
  <c r="J37" i="38"/>
  <c r="H37" i="38" s="1"/>
  <c r="D19" i="44" l="1"/>
  <c r="E19" i="44"/>
  <c r="F19" i="44"/>
  <c r="C19" i="44"/>
  <c r="B29" i="20" l="1"/>
  <c r="AA29" i="24" l="1"/>
  <c r="C42" i="1"/>
  <c r="G44" i="38" l="1"/>
  <c r="F44" i="38"/>
  <c r="E44" i="38"/>
  <c r="D44" i="38"/>
  <c r="G43" i="38"/>
  <c r="F43" i="38"/>
  <c r="C47" i="1" s="1"/>
  <c r="E43" i="38"/>
  <c r="D43" i="38"/>
  <c r="B37" i="38"/>
  <c r="C34" i="1"/>
  <c r="R39" i="1"/>
  <c r="AW16" i="1" l="1"/>
  <c r="O83" i="24" s="1"/>
  <c r="J43" i="38"/>
  <c r="K43" i="38"/>
  <c r="H44" i="38"/>
  <c r="J44" i="38"/>
  <c r="K44" i="38"/>
  <c r="I44" i="38"/>
  <c r="H43" i="38"/>
  <c r="I43" i="38"/>
  <c r="B57" i="37"/>
  <c r="B96" i="1" s="1"/>
  <c r="B56" i="37"/>
  <c r="B92" i="1" s="1"/>
  <c r="B53" i="37"/>
  <c r="B83" i="1" s="1"/>
  <c r="B54" i="37"/>
  <c r="B87" i="1" s="1"/>
  <c r="B51" i="37"/>
  <c r="B78" i="1" s="1"/>
  <c r="B50" i="37"/>
  <c r="B74" i="1" s="1"/>
  <c r="B48" i="37"/>
  <c r="B69" i="1" s="1"/>
  <c r="B47" i="37"/>
  <c r="B65" i="1" s="1"/>
  <c r="B41" i="37"/>
  <c r="B58" i="1" s="1"/>
  <c r="B42" i="37"/>
  <c r="B61" i="1" s="1"/>
  <c r="B54" i="1"/>
  <c r="B51" i="1"/>
  <c r="E47" i="1" l="1"/>
  <c r="AY16" i="1" s="1"/>
  <c r="P83" i="24" s="1"/>
  <c r="D47" i="1"/>
  <c r="AX16" i="1" s="1"/>
  <c r="N83" i="24" s="1"/>
  <c r="O28" i="24"/>
  <c r="O303" i="24"/>
  <c r="O254" i="24"/>
  <c r="O197" i="24"/>
  <c r="O140" i="24"/>
  <c r="G57" i="24"/>
  <c r="G54" i="24"/>
  <c r="C96" i="1"/>
  <c r="C92" i="1"/>
  <c r="C87" i="1"/>
  <c r="C83" i="1"/>
  <c r="N254" i="24" l="1"/>
  <c r="N303" i="24"/>
  <c r="N197" i="24"/>
  <c r="AX21" i="1"/>
  <c r="N140" i="24"/>
  <c r="N28" i="24"/>
  <c r="P303" i="24"/>
  <c r="P140" i="24"/>
  <c r="AY21" i="1"/>
  <c r="P254" i="24"/>
  <c r="P28" i="24"/>
  <c r="P197" i="24"/>
  <c r="C74" i="1"/>
  <c r="C58" i="1"/>
  <c r="C69" i="1"/>
  <c r="C54" i="1"/>
  <c r="C78" i="1"/>
  <c r="C61" i="1"/>
  <c r="AW17" i="1" l="1"/>
  <c r="S83" i="24" s="1"/>
  <c r="AW18" i="1"/>
  <c r="W83" i="24" s="1"/>
  <c r="W254" i="24" l="1"/>
  <c r="W197" i="24"/>
  <c r="W140" i="24"/>
  <c r="W303" i="24"/>
  <c r="S303" i="24"/>
  <c r="S254" i="24"/>
  <c r="S197" i="24"/>
  <c r="S140" i="24"/>
  <c r="B23" i="20"/>
  <c r="C31" i="1"/>
  <c r="H57" i="20"/>
  <c r="H84" i="20"/>
  <c r="H85" i="20" s="1"/>
  <c r="K75" i="20" l="1"/>
  <c r="K77" i="20"/>
  <c r="K76" i="20"/>
  <c r="K74" i="20"/>
  <c r="K71" i="20"/>
  <c r="K73" i="20"/>
  <c r="K70" i="20"/>
  <c r="K78" i="20"/>
  <c r="K79" i="20"/>
  <c r="K72" i="20"/>
  <c r="K43" i="20"/>
  <c r="K42" i="20"/>
  <c r="K44" i="20"/>
  <c r="K48" i="20"/>
  <c r="K49" i="20"/>
  <c r="K46" i="20"/>
  <c r="K47" i="20"/>
  <c r="K50" i="20"/>
  <c r="K51" i="20"/>
  <c r="K45" i="20"/>
  <c r="K94" i="20"/>
  <c r="K96" i="20" l="1"/>
  <c r="K53" i="20"/>
  <c r="K81" i="20"/>
  <c r="AA30" i="24" l="1"/>
  <c r="AA85" i="24"/>
  <c r="AA256" i="24"/>
  <c r="AA305" i="24"/>
  <c r="AA199" i="24"/>
  <c r="AA142" i="24"/>
  <c r="K100" i="20"/>
  <c r="K90" i="20"/>
  <c r="C65" i="1" l="1"/>
  <c r="AW19" i="1" s="1"/>
  <c r="AA83" i="24" s="1"/>
  <c r="AA303" i="24" l="1"/>
  <c r="AA254" i="24"/>
  <c r="AA140" i="24"/>
  <c r="AA197" i="24"/>
  <c r="AX19" i="1"/>
  <c r="Z83" i="24" s="1"/>
  <c r="AY19" i="1"/>
  <c r="AB83" i="24" s="1"/>
  <c r="Z254" i="24" l="1"/>
  <c r="Z140" i="24"/>
  <c r="Z303" i="24"/>
  <c r="Z197" i="24"/>
  <c r="AB303" i="24"/>
  <c r="AB197" i="24"/>
  <c r="AB254" i="24"/>
  <c r="AB140" i="24"/>
  <c r="H31" i="14"/>
  <c r="K16" i="14" l="1"/>
  <c r="K17" i="14"/>
  <c r="K18" i="14"/>
  <c r="K19" i="14"/>
  <c r="K23" i="14"/>
  <c r="K20" i="14"/>
  <c r="K24" i="14"/>
  <c r="K21" i="14"/>
  <c r="K25" i="14"/>
  <c r="K22" i="14"/>
  <c r="AB28" i="24"/>
  <c r="Z28" i="24"/>
  <c r="AA28" i="24"/>
  <c r="AX18" i="1"/>
  <c r="V83" i="24" s="1"/>
  <c r="AY18" i="1"/>
  <c r="X83" i="24" s="1"/>
  <c r="W28" i="24"/>
  <c r="AY17" i="1"/>
  <c r="T83" i="24" s="1"/>
  <c r="AX17" i="1"/>
  <c r="R83" i="24" s="1"/>
  <c r="S28" i="24"/>
  <c r="K31" i="14" l="1"/>
  <c r="C95" i="24"/>
  <c r="D111" i="24" s="1"/>
  <c r="C92" i="24"/>
  <c r="X303" i="24"/>
  <c r="X197" i="24"/>
  <c r="X140" i="24"/>
  <c r="X254" i="24"/>
  <c r="V197" i="24"/>
  <c r="V254" i="24"/>
  <c r="V140" i="24"/>
  <c r="V303" i="24"/>
  <c r="T303" i="24"/>
  <c r="T254" i="24"/>
  <c r="T197" i="24"/>
  <c r="T140" i="24"/>
  <c r="R303" i="24"/>
  <c r="R254" i="24"/>
  <c r="R197" i="24"/>
  <c r="R140" i="24"/>
  <c r="X28" i="24"/>
  <c r="V28" i="24"/>
  <c r="R28" i="24"/>
  <c r="T28" i="24"/>
  <c r="K27" i="14"/>
  <c r="D11" i="15" s="1"/>
  <c r="AY23" i="1"/>
  <c r="AX24" i="1"/>
  <c r="AX23" i="1"/>
  <c r="AY24" i="1"/>
  <c r="AX22" i="1"/>
  <c r="AY22" i="1"/>
  <c r="L37" i="1"/>
  <c r="U58" i="1"/>
  <c r="U54" i="1"/>
  <c r="U50" i="1"/>
  <c r="U46" i="1"/>
  <c r="U42" i="1"/>
  <c r="U38" i="1"/>
  <c r="U26" i="1"/>
  <c r="U30" i="1"/>
  <c r="U22" i="1"/>
  <c r="U19" i="1"/>
  <c r="U15" i="1"/>
  <c r="S85" i="24" l="1"/>
  <c r="C323" i="24"/>
  <c r="D339" i="24" s="1"/>
  <c r="C320" i="24"/>
  <c r="C339" i="24" s="1"/>
  <c r="C149" i="24"/>
  <c r="C168" i="24" s="1"/>
  <c r="C152" i="24"/>
  <c r="D168" i="24" s="1"/>
  <c r="C263" i="24"/>
  <c r="C266" i="24"/>
  <c r="C209" i="24"/>
  <c r="C206" i="24"/>
  <c r="C111" i="24"/>
  <c r="C93" i="24"/>
  <c r="C35" i="24"/>
  <c r="C54" i="24" s="1"/>
  <c r="C38" i="24"/>
  <c r="D15" i="15"/>
  <c r="D16" i="15"/>
  <c r="S30" i="24"/>
  <c r="S142" i="24"/>
  <c r="S199" i="24"/>
  <c r="S256" i="24"/>
  <c r="S305" i="24"/>
  <c r="K37" i="14"/>
  <c r="D19" i="15"/>
  <c r="D21" i="15"/>
  <c r="D17" i="15"/>
  <c r="D18" i="15"/>
  <c r="D22" i="15"/>
  <c r="D23" i="15"/>
  <c r="D20" i="15"/>
  <c r="D24" i="15"/>
  <c r="U34" i="1"/>
  <c r="R59" i="1"/>
  <c r="R55" i="1"/>
  <c r="R51" i="1"/>
  <c r="R47" i="1"/>
  <c r="R43" i="1"/>
  <c r="R35" i="1"/>
  <c r="R31" i="1"/>
  <c r="O57" i="1"/>
  <c r="O49" i="1"/>
  <c r="O41" i="1"/>
  <c r="O33" i="1"/>
  <c r="L53" i="1"/>
  <c r="O27" i="1"/>
  <c r="O23" i="1"/>
  <c r="O20" i="1"/>
  <c r="O16" i="1"/>
  <c r="D29" i="15" l="1"/>
  <c r="C322" i="24"/>
  <c r="C321" i="24"/>
  <c r="C36" i="24"/>
  <c r="D54" i="24"/>
  <c r="C150" i="24"/>
  <c r="C207" i="24"/>
  <c r="D225" i="24"/>
  <c r="D282" i="24"/>
  <c r="C264" i="24"/>
  <c r="C225" i="24"/>
  <c r="C208" i="24"/>
  <c r="C282" i="24"/>
  <c r="C265" i="24"/>
  <c r="C151" i="24"/>
  <c r="C94" i="24"/>
  <c r="C37" i="24"/>
  <c r="D26" i="15"/>
  <c r="W30" i="24" l="1"/>
  <c r="C57" i="24" s="1"/>
  <c r="W85" i="24"/>
  <c r="W309" i="24"/>
  <c r="AG304" i="24" s="1"/>
  <c r="AG306" i="24" s="1"/>
  <c r="P309" i="24"/>
  <c r="AE317" i="24" s="1"/>
  <c r="AE319" i="24" s="1"/>
  <c r="X309" i="24"/>
  <c r="AG317" i="24" s="1"/>
  <c r="AG319" i="24" s="1"/>
  <c r="T309" i="24"/>
  <c r="AF317" i="24" s="1"/>
  <c r="AF319" i="24" s="1"/>
  <c r="Z309" i="24"/>
  <c r="AH310" i="24" s="1"/>
  <c r="AH312" i="24" s="1"/>
  <c r="N309" i="24"/>
  <c r="AE310" i="24" s="1"/>
  <c r="AE312" i="24" s="1"/>
  <c r="O309" i="24"/>
  <c r="AE304" i="24" s="1"/>
  <c r="AE306" i="24" s="1"/>
  <c r="V309" i="24"/>
  <c r="AG310" i="24" s="1"/>
  <c r="AG312" i="24" s="1"/>
  <c r="AA309" i="24"/>
  <c r="AH304" i="24" s="1"/>
  <c r="AH306" i="24" s="1"/>
  <c r="R309" i="24"/>
  <c r="AF310" i="24" s="1"/>
  <c r="AF312" i="24" s="1"/>
  <c r="AB309" i="24"/>
  <c r="AH317" i="24" s="1"/>
  <c r="AH319" i="24" s="1"/>
  <c r="S309" i="24"/>
  <c r="AF304" i="24" s="1"/>
  <c r="AF306" i="24" s="1"/>
  <c r="P146" i="24"/>
  <c r="AE154" i="24" s="1"/>
  <c r="T146" i="24"/>
  <c r="AF154" i="24" s="1"/>
  <c r="R146" i="24"/>
  <c r="AF147" i="24" s="1"/>
  <c r="N146" i="24"/>
  <c r="AE147" i="24" s="1"/>
  <c r="Z146" i="24"/>
  <c r="AH147" i="24" s="1"/>
  <c r="O146" i="24"/>
  <c r="AE141" i="24" s="1"/>
  <c r="V146" i="24"/>
  <c r="AG147" i="24" s="1"/>
  <c r="AA146" i="24"/>
  <c r="AH141" i="24" s="1"/>
  <c r="X146" i="24"/>
  <c r="AG154" i="24" s="1"/>
  <c r="W146" i="24"/>
  <c r="AG141" i="24" s="1"/>
  <c r="AB146" i="24"/>
  <c r="AH154" i="24" s="1"/>
  <c r="S146" i="24"/>
  <c r="AF141" i="24" s="1"/>
  <c r="AB260" i="24"/>
  <c r="AH268" i="24" s="1"/>
  <c r="Z260" i="24"/>
  <c r="AH261" i="24" s="1"/>
  <c r="N260" i="24"/>
  <c r="AE261" i="24" s="1"/>
  <c r="P260" i="24"/>
  <c r="AE268" i="24" s="1"/>
  <c r="T260" i="24"/>
  <c r="AF268" i="24" s="1"/>
  <c r="O260" i="24"/>
  <c r="AE255" i="24" s="1"/>
  <c r="X260" i="24"/>
  <c r="AG268" i="24" s="1"/>
  <c r="V260" i="24"/>
  <c r="AG261" i="24" s="1"/>
  <c r="AA260" i="24"/>
  <c r="AH255" i="24" s="1"/>
  <c r="S260" i="24"/>
  <c r="AF255" i="24" s="1"/>
  <c r="R260" i="24"/>
  <c r="AF261" i="24" s="1"/>
  <c r="W260" i="24"/>
  <c r="AG255" i="24" s="1"/>
  <c r="S203" i="24"/>
  <c r="AF198" i="24" s="1"/>
  <c r="Z203" i="24"/>
  <c r="AH204" i="24" s="1"/>
  <c r="X203" i="24"/>
  <c r="AG211" i="24" s="1"/>
  <c r="O203" i="24"/>
  <c r="AE198" i="24" s="1"/>
  <c r="T203" i="24"/>
  <c r="AF211" i="24" s="1"/>
  <c r="N203" i="24"/>
  <c r="AE204" i="24" s="1"/>
  <c r="V203" i="24"/>
  <c r="AG204" i="24" s="1"/>
  <c r="AA203" i="24"/>
  <c r="AH198" i="24" s="1"/>
  <c r="AB203" i="24"/>
  <c r="AH211" i="24" s="1"/>
  <c r="R203" i="24"/>
  <c r="AF204" i="24" s="1"/>
  <c r="W203" i="24"/>
  <c r="AG198" i="24" s="1"/>
  <c r="P203" i="24"/>
  <c r="AE211" i="24" s="1"/>
  <c r="O89" i="24"/>
  <c r="AE84" i="24" s="1"/>
  <c r="R89" i="24"/>
  <c r="AF90" i="24" s="1"/>
  <c r="S89" i="24"/>
  <c r="AF84" i="24" s="1"/>
  <c r="P89" i="24"/>
  <c r="AE97" i="24" s="1"/>
  <c r="AA89" i="24"/>
  <c r="AH84" i="24" s="1"/>
  <c r="Z89" i="24"/>
  <c r="AH90" i="24" s="1"/>
  <c r="T89" i="24"/>
  <c r="AF97" i="24" s="1"/>
  <c r="X89" i="24"/>
  <c r="AG97" i="24" s="1"/>
  <c r="W89" i="24"/>
  <c r="AG84" i="24" s="1"/>
  <c r="V89" i="24"/>
  <c r="AG90" i="24" s="1"/>
  <c r="N89" i="24"/>
  <c r="AE90" i="24" s="1"/>
  <c r="AB89" i="24"/>
  <c r="AH97" i="24" s="1"/>
  <c r="W199" i="24"/>
  <c r="W142" i="24"/>
  <c r="W305" i="24"/>
  <c r="W256" i="24"/>
  <c r="P34" i="24"/>
  <c r="AE42" i="24" s="1"/>
  <c r="V34" i="24"/>
  <c r="AG35" i="24" s="1"/>
  <c r="D35" i="15"/>
  <c r="W34" i="24"/>
  <c r="AG29" i="24" s="1"/>
  <c r="AB34" i="24"/>
  <c r="AH42" i="24" s="1"/>
  <c r="O34" i="24"/>
  <c r="AE29" i="24" s="1"/>
  <c r="X34" i="24"/>
  <c r="AG42" i="24" s="1"/>
  <c r="S34" i="24"/>
  <c r="AF29" i="24" s="1"/>
  <c r="T34" i="24"/>
  <c r="AF42" i="24" s="1"/>
  <c r="Z34" i="24"/>
  <c r="AH35" i="24" s="1"/>
  <c r="AA34" i="24"/>
  <c r="AH29" i="24" s="1"/>
  <c r="N34" i="24"/>
  <c r="AE35" i="24" s="1"/>
  <c r="R34" i="24"/>
  <c r="AF35" i="24" s="1"/>
  <c r="D57" i="24" l="1"/>
  <c r="W35" i="24" s="1"/>
  <c r="AG30" i="24" s="1"/>
  <c r="AG31" i="24" s="1"/>
  <c r="D114" i="24"/>
  <c r="C114" i="24"/>
  <c r="D342" i="24"/>
  <c r="C342" i="24"/>
  <c r="D285" i="24"/>
  <c r="C285" i="24"/>
  <c r="D228" i="24"/>
  <c r="C228" i="24"/>
  <c r="D171" i="24"/>
  <c r="C171" i="24"/>
  <c r="O310" i="24" l="1"/>
  <c r="AE311" i="24" s="1"/>
  <c r="O261" i="24"/>
  <c r="AA90" i="24"/>
  <c r="AH85" i="24" s="1"/>
  <c r="AH86" i="24" s="1"/>
  <c r="S90" i="24"/>
  <c r="AF85" i="24" s="1"/>
  <c r="AF86" i="24" s="1"/>
  <c r="W90" i="24"/>
  <c r="AG85" i="24" s="1"/>
  <c r="AG86" i="24" s="1"/>
  <c r="O90" i="24"/>
  <c r="AE85" i="24" s="1"/>
  <c r="AE86" i="24" s="1"/>
  <c r="W261" i="24"/>
  <c r="AA261" i="24"/>
  <c r="S261" i="24"/>
  <c r="W147" i="24"/>
  <c r="S147" i="24"/>
  <c r="AA147" i="24"/>
  <c r="O147" i="24"/>
  <c r="W204" i="24"/>
  <c r="O204" i="24"/>
  <c r="S204" i="24"/>
  <c r="AA204" i="24"/>
  <c r="AA310" i="24"/>
  <c r="W310" i="24"/>
  <c r="S310" i="24"/>
  <c r="AA35" i="24"/>
  <c r="AH30" i="24" s="1"/>
  <c r="AH31" i="24" s="1"/>
  <c r="O35" i="24"/>
  <c r="AE43" i="24" s="1"/>
  <c r="AE44" i="24" s="1"/>
  <c r="S35" i="24"/>
  <c r="AF36" i="24" s="1"/>
  <c r="AF37" i="24" s="1"/>
  <c r="AE305" i="24" l="1"/>
  <c r="AE318" i="24"/>
  <c r="AH305" i="24"/>
  <c r="AH311" i="24"/>
  <c r="AH318" i="24"/>
  <c r="AG199" i="24"/>
  <c r="AG200" i="24" s="1"/>
  <c r="AG212" i="24"/>
  <c r="AG213" i="24" s="1"/>
  <c r="AG205" i="24"/>
  <c r="AG206" i="24" s="1"/>
  <c r="AG148" i="24"/>
  <c r="AG149" i="24" s="1"/>
  <c r="AG155" i="24"/>
  <c r="AG156" i="24" s="1"/>
  <c r="AG142" i="24"/>
  <c r="AG143" i="24" s="1"/>
  <c r="AF256" i="24"/>
  <c r="AF257" i="24" s="1"/>
  <c r="AF269" i="24"/>
  <c r="AF270" i="24" s="1"/>
  <c r="AF262" i="24"/>
  <c r="AF263" i="24" s="1"/>
  <c r="AG91" i="24"/>
  <c r="AG92" i="24" s="1"/>
  <c r="AG98" i="24"/>
  <c r="AG99" i="24" s="1"/>
  <c r="AH199" i="24"/>
  <c r="AH200" i="24" s="1"/>
  <c r="AH212" i="24"/>
  <c r="AH213" i="24" s="1"/>
  <c r="AH205" i="24"/>
  <c r="AH206" i="24" s="1"/>
  <c r="AE142" i="24"/>
  <c r="AE143" i="24" s="1"/>
  <c r="AE148" i="24"/>
  <c r="AE149" i="24" s="1"/>
  <c r="AE155" i="24"/>
  <c r="AE156" i="24" s="1"/>
  <c r="AH269" i="24"/>
  <c r="AH270" i="24" s="1"/>
  <c r="AH256" i="24"/>
  <c r="AH257" i="24" s="1"/>
  <c r="AH262" i="24"/>
  <c r="AH263" i="24" s="1"/>
  <c r="AF98" i="24"/>
  <c r="AF99" i="24" s="1"/>
  <c r="AF91" i="24"/>
  <c r="AF92" i="24" s="1"/>
  <c r="AF311" i="24"/>
  <c r="AF305" i="24"/>
  <c r="AF318" i="24"/>
  <c r="AF199" i="24"/>
  <c r="AF200" i="24" s="1"/>
  <c r="AF212" i="24"/>
  <c r="AF213" i="24" s="1"/>
  <c r="AF205" i="24"/>
  <c r="AF206" i="24" s="1"/>
  <c r="AH155" i="24"/>
  <c r="AH156" i="24" s="1"/>
  <c r="AH142" i="24"/>
  <c r="AH143" i="24" s="1"/>
  <c r="AH148" i="24"/>
  <c r="AH149" i="24" s="1"/>
  <c r="AG256" i="24"/>
  <c r="AG257" i="24" s="1"/>
  <c r="AG262" i="24"/>
  <c r="AG263" i="24" s="1"/>
  <c r="AG269" i="24"/>
  <c r="AG270" i="24" s="1"/>
  <c r="AH91" i="24"/>
  <c r="AH92" i="24" s="1"/>
  <c r="AH98" i="24"/>
  <c r="AH99" i="24" s="1"/>
  <c r="AG311" i="24"/>
  <c r="AG318" i="24"/>
  <c r="AG305" i="24"/>
  <c r="AE212" i="24"/>
  <c r="AE213" i="24" s="1"/>
  <c r="AE199" i="24"/>
  <c r="AE200" i="24" s="1"/>
  <c r="AE205" i="24"/>
  <c r="AE206" i="24" s="1"/>
  <c r="AF155" i="24"/>
  <c r="AF156" i="24" s="1"/>
  <c r="AF148" i="24"/>
  <c r="AF149" i="24" s="1"/>
  <c r="AF142" i="24"/>
  <c r="AF143" i="24" s="1"/>
  <c r="AE91" i="24"/>
  <c r="AE92" i="24" s="1"/>
  <c r="AE98" i="24"/>
  <c r="AE99" i="24" s="1"/>
  <c r="AE256" i="24"/>
  <c r="AE257" i="24" s="1"/>
  <c r="AE262" i="24"/>
  <c r="AE263" i="24" s="1"/>
  <c r="AE269" i="24"/>
  <c r="AE270" i="24" s="1"/>
  <c r="AG36" i="24"/>
  <c r="AG37" i="24" s="1"/>
  <c r="AG43" i="24"/>
  <c r="AG44" i="24" s="1"/>
  <c r="AE30" i="24"/>
  <c r="AE31" i="24" s="1"/>
  <c r="AE36" i="24"/>
  <c r="AE37" i="24" s="1"/>
  <c r="AH36" i="24"/>
  <c r="AH37" i="24" s="1"/>
  <c r="AH43" i="24"/>
  <c r="AH44" i="24" s="1"/>
  <c r="E18" i="44"/>
  <c r="D18" i="44"/>
  <c r="AF30" i="24"/>
  <c r="AF31" i="24" s="1"/>
  <c r="D13" i="44" s="1"/>
  <c r="C18" i="44"/>
  <c r="AF43" i="24"/>
  <c r="AF44" i="24" s="1"/>
  <c r="F18" i="44"/>
  <c r="F13" i="44" l="1"/>
  <c r="C13" i="44"/>
  <c r="E13" i="44"/>
  <c r="C17" i="44"/>
  <c r="F14" i="44"/>
  <c r="C16" i="44"/>
  <c r="C14" i="44"/>
  <c r="D14" i="44"/>
  <c r="E14" i="44"/>
  <c r="F15" i="44"/>
  <c r="F17" i="44"/>
  <c r="E17" i="44"/>
  <c r="D17" i="44"/>
  <c r="F16" i="44"/>
  <c r="D16" i="44"/>
  <c r="E16" i="44"/>
  <c r="E15" i="44"/>
  <c r="C15" i="44"/>
  <c r="D15" i="44"/>
  <c r="F20" i="44" l="1"/>
  <c r="C20" i="44"/>
  <c r="C21" i="44"/>
  <c r="E21" i="44"/>
  <c r="D20" i="44"/>
  <c r="D21" i="44"/>
  <c r="E20" i="44"/>
  <c r="F21" i="44"/>
</calcChain>
</file>

<file path=xl/sharedStrings.xml><?xml version="1.0" encoding="utf-8"?>
<sst xmlns="http://schemas.openxmlformats.org/spreadsheetml/2006/main" count="1261" uniqueCount="306">
  <si>
    <t>In-situ status quo</t>
  </si>
  <si>
    <t>In-situ plus</t>
  </si>
  <si>
    <t>Ex-situ</t>
  </si>
  <si>
    <t>Target ex-situ founder population</t>
  </si>
  <si>
    <t>impact on source population(s)</t>
  </si>
  <si>
    <t>IN-SITU STATUS QUO</t>
  </si>
  <si>
    <t>IN-SITU PLUS</t>
  </si>
  <si>
    <t>EX-SITU</t>
  </si>
  <si>
    <t>source population</t>
  </si>
  <si>
    <t>best</t>
  </si>
  <si>
    <t>lower</t>
  </si>
  <si>
    <t>upper</t>
  </si>
  <si>
    <t>chance of timely implementation</t>
  </si>
  <si>
    <t>chance of late or incomplete implementation</t>
  </si>
  <si>
    <t>in-situ status quo</t>
  </si>
  <si>
    <t>in-situ plus</t>
  </si>
  <si>
    <t>Then your LOWEST estimate is</t>
  </si>
  <si>
    <t>And your HIGHEST estimate is</t>
  </si>
  <si>
    <t>extinction and a 20% decline</t>
  </si>
  <si>
    <t>extinction and no change</t>
  </si>
  <si>
    <t>a 50% decline and a 30% increase</t>
  </si>
  <si>
    <t>a 5% decline and a doubling of population size</t>
  </si>
  <si>
    <t>a 20% increase and a tripling of population size</t>
  </si>
  <si>
    <t>best estimate</t>
  </si>
  <si>
    <t>ex-situ</t>
  </si>
  <si>
    <t>Source for population restoration</t>
  </si>
  <si>
    <t>What type of environment will be required to maintain the individuals in a suitable condition during the length of the programme?</t>
  </si>
  <si>
    <t>What facilities, infrastructure, and space is required?</t>
  </si>
  <si>
    <t>What staffing is required (in terms of numbers, skills, and continuity)?</t>
  </si>
  <si>
    <t>CAPITAL COSTS</t>
  </si>
  <si>
    <t>ANNUAL MAINTENANCE COSTS</t>
  </si>
  <si>
    <t>Personnel time p.a.</t>
  </si>
  <si>
    <t>Capital equipment p.a.</t>
  </si>
  <si>
    <t>Maintenance materials p.a.</t>
  </si>
  <si>
    <t>TOTAL COST</t>
  </si>
  <si>
    <t>Start year</t>
  </si>
  <si>
    <t>End year</t>
  </si>
  <si>
    <t>(person days)</t>
  </si>
  <si>
    <t>($'000)</t>
  </si>
  <si>
    <t>Personnel costs</t>
  </si>
  <si>
    <t>TOTAL</t>
  </si>
  <si>
    <t>Median annual salary ($'000)</t>
  </si>
  <si>
    <t>Estmated cost per person-day ($'000)</t>
  </si>
  <si>
    <t>ACTION</t>
  </si>
  <si>
    <t>Experts</t>
    <phoneticPr fontId="0" type="noConversion"/>
  </si>
  <si>
    <t>A</t>
  </si>
  <si>
    <t>B</t>
  </si>
  <si>
    <t>C</t>
  </si>
  <si>
    <t>D</t>
  </si>
  <si>
    <t>E</t>
  </si>
  <si>
    <t>F</t>
  </si>
  <si>
    <t>AVERAGE OF</t>
  </si>
  <si>
    <t>GROUP</t>
  </si>
  <si>
    <t>S.E.</t>
    <phoneticPr fontId="0" type="noConversion"/>
  </si>
  <si>
    <t>Release into the wild</t>
  </si>
  <si>
    <t>Role of ex-situ</t>
  </si>
  <si>
    <t>Temporary rescue</t>
  </si>
  <si>
    <t>Demographic manipulation</t>
  </si>
  <si>
    <t>Source for ecological replacement</t>
  </si>
  <si>
    <t>Source for assisted colonisation</t>
  </si>
  <si>
    <t>IN-SITU COSTS</t>
  </si>
  <si>
    <t>TOTAL COST (ex-situ + in-situ)</t>
  </si>
  <si>
    <t>At what year of the program do you think successful breeding needs to be achieved?</t>
  </si>
  <si>
    <t>Nominal investor</t>
  </si>
  <si>
    <t>(who pays?)</t>
  </si>
  <si>
    <t>In-situ status quo plan</t>
  </si>
  <si>
    <t>Answer</t>
  </si>
  <si>
    <t>In-situ plus plan</t>
  </si>
  <si>
    <t>Ex situ plan</t>
  </si>
  <si>
    <t>worst</t>
  </si>
  <si>
    <t>Insurance population</t>
  </si>
  <si>
    <t>no</t>
  </si>
  <si>
    <t>yes</t>
  </si>
  <si>
    <t>Value</t>
  </si>
  <si>
    <t>Relative change (%) in population size in the wild</t>
  </si>
  <si>
    <t>Objective</t>
  </si>
  <si>
    <t>Indicator</t>
  </si>
  <si>
    <t>Preferred direction</t>
  </si>
  <si>
    <t>SQ in situ</t>
  </si>
  <si>
    <t>point</t>
  </si>
  <si>
    <t>Cost</t>
  </si>
  <si>
    <t>$('000)</t>
  </si>
  <si>
    <t>probability captive breeding = successful</t>
  </si>
  <si>
    <t>relative change (%) in population size</t>
  </si>
  <si>
    <t>Status in the wild</t>
  </si>
  <si>
    <t>more</t>
  </si>
  <si>
    <t>less</t>
  </si>
  <si>
    <t>cost</t>
  </si>
  <si>
    <t>WORST</t>
  </si>
  <si>
    <t>BEST</t>
  </si>
  <si>
    <t>Cost ($'000)</t>
  </si>
  <si>
    <t>Rank</t>
  </si>
  <si>
    <t>Species status (% change in wild population)</t>
  </si>
  <si>
    <t>normalised</t>
  </si>
  <si>
    <t>Wild &amp; insurance</t>
  </si>
  <si>
    <t>Decision scores</t>
  </si>
  <si>
    <t>point estimates</t>
  </si>
  <si>
    <t>status of species (wild AND captive)</t>
  </si>
  <si>
    <t>Form for individual expert elicitation - payoff judgments</t>
  </si>
  <si>
    <t>lower bound</t>
  </si>
  <si>
    <t>upper bound</t>
  </si>
  <si>
    <t>confidence</t>
  </si>
  <si>
    <t>Alternative 1: Status quo in-situ management</t>
  </si>
  <si>
    <t>Alternative 2: In-situ plus</t>
  </si>
  <si>
    <t>Alternative 3: Ex-situ</t>
  </si>
  <si>
    <t>in-situ component</t>
  </si>
  <si>
    <t xml:space="preserve">captive breeding AND release </t>
  </si>
  <si>
    <t>into the wild successful</t>
  </si>
  <si>
    <t>captive breeding OR release</t>
  </si>
  <si>
    <t>into the wild unsuccessful</t>
  </si>
  <si>
    <t>chance of timely</t>
  </si>
  <si>
    <t xml:space="preserve"> implementation</t>
  </si>
  <si>
    <t>chance of late or</t>
  </si>
  <si>
    <t>incomplete implementation</t>
  </si>
  <si>
    <t>do nothing</t>
  </si>
  <si>
    <t>Captive insurance population</t>
  </si>
  <si>
    <t>Chance of successful captive breeding AND successful release of captive bred individuals into the wild</t>
  </si>
  <si>
    <t>Over what time horizon (in months) does it make sense to think about survival of released individuals in the wild?</t>
  </si>
  <si>
    <t>trivial impact on</t>
  </si>
  <si>
    <t>material impact on</t>
  </si>
  <si>
    <t>Let's say we DO NOTHING. 
At the end of the planning time horizon, what will be the CHANGE (as a % relative to current population size) in population size IN THE WILD?</t>
  </si>
  <si>
    <t>Let's say implementation of the STATUS QUO IN-SITU PLAN = SUCCESSFUL. 
At the end of the planning time horizon, what will be the CHANGE (as a % relative to current population size) in population size IN THE WILD?</t>
  </si>
  <si>
    <t>Let's say implementation of the STATUS QUO IN-SITU PLAN = UNSUCCESSFUL. 
At the end of the planning time horizon, what will be the CHANGE (as a % relative to current population size) in population size IN THE WILD?</t>
  </si>
  <si>
    <t>Let's say implementation of the IN-SITU PLUS PLAN = SUCCESSFUL. 
At the end of the planning time horizon, what will be the CHANGE (as a % relative to current population size) in population size IN THE WILD?</t>
  </si>
  <si>
    <t>Let's say implementation of the IN-SITU PLUS PLAN = UNSUCCESSFUL. 
At the end of the planning time horizon, what will be the CHANGE (as a % relative to current population size) in population size IN THE WILD?</t>
  </si>
  <si>
    <t>Let's say IN-SITU COMPONENT = SUCCESSFUL, impact on source population = TRIVIAL, and captive breeding AND release into the wild = SUCCESSFUL. 
At the end of the planning time horizon, what will be the CHANGE (as a % relative to current population size) in population size IN THE WILD?</t>
  </si>
  <si>
    <t>Let's say IN-SITU COMPONENT = SUCCESSFUL, impact on source population = TRIVIAL, and captive breeding OR release into the wild = UNSUCCESSFUL.  
At the end of the planning time horizon, what will be the CHANGE (as a % relative to current population size) in population size IN THE WILD?</t>
  </si>
  <si>
    <t>Let's say IN-SITU COMPONENT = SUCCESSFUL, impact on source population = MATERIAL, and captive breeding AND release into the wild = SUCCESSFUL. 
At the end of the planning time horizon, what will be the CHANGE (as a % relative to current population size) in population size IN THE WILD?</t>
  </si>
  <si>
    <t>Let's say IN-SITU COMPONENT = SUCCESSFUL, impact on source population = MATERIAL, and captive breeding OR release into the wild = UNSUCCESSFUL. 
At the end of the planning time horizon, what will be the CHANGE (as a % relative to current population size) in population size IN THE WILD?</t>
  </si>
  <si>
    <t>Let's say IN-SITU COMPONENT = UNSUCCESSFUL, impact on source population = TRIVIAL, and captive breeding AND release into the wild = SUCCESSFUL. 
At the end of the planning time horizon, what will be the CHANGE (as a % relative to current population size) in population size IN THE WILD?</t>
  </si>
  <si>
    <t>Let's say IN-SITU COMPONENT = UNSUCCESSFUL, impact on source population = TRIVIAL, and captive breeding OR release into the wild = UNSUCCESSFUL. 
At the end of the planning time horizon, what will be the CHANGE (as a % relative to current population size) in population size IN THE WILD?</t>
  </si>
  <si>
    <t>Let's say IN-SITU COMPONENT = UNSUCCESSFUL, impact on source population = MATERIAL, and captive breeding AND release into the wild = SUCCESSFUL. 
At the end of the planning time horizon, what will be the CHANGE (as a % relative to current population size) in population size IN THE WILD?</t>
  </si>
  <si>
    <t>Let's say IN-SITU COMPONENT = UNSUCCESSFUL, impact on source population = MATERIAL, and captive breeding OR release into the wild = UNSUCCESSFUL. 
At the end of the planning time horizon, what will be the CHANGE (as a % relative to current population size) in population size IN THE WILD?</t>
  </si>
  <si>
    <t>Participant name</t>
  </si>
  <si>
    <t>Organisation</t>
  </si>
  <si>
    <t>supported</t>
  </si>
  <si>
    <t>opposed</t>
  </si>
  <si>
    <t>status quo in situ</t>
  </si>
  <si>
    <t>in situ plus</t>
  </si>
  <si>
    <t>ex situ</t>
  </si>
  <si>
    <t>Step 1</t>
  </si>
  <si>
    <t>Step 2</t>
  </si>
  <si>
    <t>Step 3</t>
  </si>
  <si>
    <t>Step 4</t>
  </si>
  <si>
    <t>Step 5</t>
  </si>
  <si>
    <t>Form for individual expert elicitation - chance events</t>
  </si>
  <si>
    <t>CHANCE EVENTS</t>
  </si>
  <si>
    <t>PAYOFFS</t>
  </si>
  <si>
    <t>conf</t>
  </si>
  <si>
    <t>Estimated time to implementation of plan (years)</t>
  </si>
  <si>
    <t>Date of assessment</t>
  </si>
  <si>
    <t>Organisation contributions</t>
  </si>
  <si>
    <t>Role</t>
  </si>
  <si>
    <t>Research and/or training</t>
  </si>
  <si>
    <t>Basis for an education and awareness programme</t>
  </si>
  <si>
    <t>Other (please specify)</t>
  </si>
  <si>
    <t>Priority</t>
  </si>
  <si>
    <t>Other details</t>
  </si>
  <si>
    <t>Biological factors</t>
  </si>
  <si>
    <t>Will reproduction or propagation be required during the duration of the programme?</t>
  </si>
  <si>
    <t>What is the likely required length of the programme? (in generations and in years)</t>
  </si>
  <si>
    <t>Practical considerations</t>
  </si>
  <si>
    <t>Do whole living organisms and/or live bio-samples need to be marked and tracked? If so, how?</t>
  </si>
  <si>
    <t>What welfare issues are associated with the programme?</t>
  </si>
  <si>
    <t>Is there potential for, and any benefit to, maintaining individuals on public display vs. in non-public restricted facilities?</t>
  </si>
  <si>
    <t>Are there legal and regulatory requirements for removing individuals or biomaterials from the wild and/or transporting them regionally, nationally, or internationally?</t>
  </si>
  <si>
    <t>How will ownership and access to individuals and biosamples be managed, and what degree of ongoing commitment can be assured from holding and owning parties?</t>
  </si>
  <si>
    <t>What need is there for biosecurity, quarantine, diagnostics, and research to manage the risk for the spread of disease?</t>
  </si>
  <si>
    <t>What finances are required for all essential activities over an adequate period of time (in proportion to the expected total length of the programme)?</t>
  </si>
  <si>
    <t>Will there be competition for resources with other programmes for the same or other taxa, or opportunities for cost-sharing?</t>
  </si>
  <si>
    <t>Is there available expertise in husbandry/disease control/cultivation/propagation/banking for relevant life stages for this or for related/comparable taxa?</t>
  </si>
  <si>
    <t>What is the degree of stability in, or level of agreement about, the taxonomy of the taxon in question and the degree of knowledge on evolutionary significant units, genetic population structure and risks for inbreeding and outbreeding depression?</t>
  </si>
  <si>
    <t>What are the critical governmental and non-governmental partner institutions, and what is the probability of successful collaboration among these? (including partners responsible for field conservation)</t>
  </si>
  <si>
    <t>What are the ecological risks (e.g., containment of potentially invasive species, hybridisation risks) and what is required to minimise them?</t>
  </si>
  <si>
    <t>Are there any health and safety risks (for people and/or other species) and what is required to minimise them?</t>
  </si>
  <si>
    <t>IUCN Ex-Situ Guidelines</t>
  </si>
  <si>
    <t>The conservation role/s of this ex-situ management programme are:</t>
  </si>
  <si>
    <t>How many founders are required to meet the genetic and demographic goals of the ex-situ population?</t>
  </si>
  <si>
    <t>How many individuals or bio-samples need to be maintained or produced ex-situ?</t>
  </si>
  <si>
    <t>What is the relative risk for artificial selection/adaptation (genetic, phenotypic, etc.) during consecutive generations in ex-situ conditions?</t>
  </si>
  <si>
    <t>Will the ex-situ phase be followed by a release, and how will this impact the requirements of the ex-situ environment?</t>
  </si>
  <si>
    <t>Where is the most suitable geographic location and scale for the ex-situ activities? (e.g., inside vs. outside current/indigenous range; centralised vs. multi-facility). Where possible ex-situ management should be undertaken within the range and under similar climatic regimes to the wild populations.</t>
  </si>
  <si>
    <t>Do whole living organisms need to be maintained ex-situ, and/or live bio-samples? (e.g., tissue or gametes/seeds/spores)</t>
  </si>
  <si>
    <t>Can individuals from existing ex-situ populations be included in the ex-situ conservation programme? (Thus reducing the risks to the wild population associated with removing individuals)</t>
  </si>
  <si>
    <t>What intensity of genetic and demographic management will be required to achieve the roles and goals of the ex-situ programme?</t>
  </si>
  <si>
    <t>What potential bio-security risks are associated with the programme, both at the ex-situ location/s and in any subsequent release?</t>
  </si>
  <si>
    <t>What degree of human proximity and interaction can be allowed in terms of the potential for habituation of ex-situ individuals to people?</t>
  </si>
  <si>
    <t>What would be the fate of any individuals or bio-samples remaining in the ex-situ programme when its purpose has been achieved?</t>
  </si>
  <si>
    <t>What is the risk of catastrophes impacting the ex-situ programme? (e.g., natural or human caused catastrophes such as fire, civil unrest etc.)</t>
  </si>
  <si>
    <t>What is the probability of obtaining the required resources, including technical experts and project managers with the required skill set? Effective ex-situ management for conservation will require effective multidisciplinary teams within the biological, technical and social skill sets.</t>
  </si>
  <si>
    <t>What is the degree of compatibility of the ecological, demographic, behavioural or other characteristics of the species with the type of ex-situ management proposed?</t>
  </si>
  <si>
    <t>What is needed to ensure the welfare of any living individuals ex-situ?</t>
  </si>
  <si>
    <t>What are the legal and regulatory requirements for the project (so that the intended ex-situ management is approved and supported by all relevant agencies) and how likely is it that they can be fulfilled? An ex-situ conservation programme may need to meet regulatory requirements at any or all of the international, national, regional or sub-regional levels. This may among others involve regulations for the capture or collection of individuals from the source populations, for the movement of individuals across international borders (e.g. CITES) and across jurisdictional or formally recognised tribal boundaries, for dealing with benefits arising from the use of genetic resources and/or traditional knowledge (e.g. Nagoya Protocol), for veterinary and phyto-sanitary aspects, and for the holding of wild individuals in ex-situ conditions.</t>
  </si>
  <si>
    <t>Is any formal endorsement required for the project from relevant in situ and/or ex-situ entitites? How likely is this to be obtained?</t>
  </si>
  <si>
    <t>Are there any potential political, social or public conflicts of interest and how can they be dealt with? A review of the cultural status of the species should be conducted to ensure that any ex-situ conservation management is compatible with local traditions and values and supported by local communities at the source location(s) and/or the ex-situ location(s). Mechanisms for communication, engagement and problem-solving between the public (especially key individuals most likely affected by or concerned about the removal of individuals from nature or the maintenance of individuals ex-situ) and ex-situ managers should be established.</t>
  </si>
  <si>
    <t>Maintenance of a long term ex-situ population</t>
  </si>
  <si>
    <t>Estimated cost per person-day ($'000)</t>
  </si>
  <si>
    <t>Should be equal to or less than the time horizon of assessment</t>
  </si>
  <si>
    <t>COST ITEM</t>
  </si>
  <si>
    <t>Sourcing from the wild</t>
  </si>
  <si>
    <t>How many founders are required from the wild to give the ex-situ program some chance of success?</t>
  </si>
  <si>
    <t>EX-SITU COSTS</t>
  </si>
  <si>
    <t>Organisation contributions to total cost</t>
  </si>
  <si>
    <t>Resource availability as a multiple of Alternative 1 Status quo in-situ</t>
  </si>
  <si>
    <t>Later we ask about the prospects for 'successful' implementation of the in-situ status quo plan. What proportion (%) of the plan needs to be completed within the time horizon specified above for you to regard implementation to be a success?</t>
  </si>
  <si>
    <t>Do nothing</t>
  </si>
  <si>
    <t>Percentage change is a notoriously ambiguous descriptor.  Multiple interpretations are possible. Here we ask that you use the interpretation presented graphically below.</t>
  </si>
  <si>
    <t>For example, if your interval judgment is that the change in population could be somewhere between:</t>
  </si>
  <si>
    <t>Please fill in the 4 estimates for the 13 questions below. Under each set of questions the decision tree shows how the questions relate to each branch.</t>
  </si>
  <si>
    <t>Chance Q1</t>
  </si>
  <si>
    <t>Best estimate</t>
  </si>
  <si>
    <t>Chance Q2</t>
  </si>
  <si>
    <t>Chance Q3</t>
  </si>
  <si>
    <t>Chance Q4</t>
  </si>
  <si>
    <t>Chance Q5</t>
  </si>
  <si>
    <t>lower bound error</t>
  </si>
  <si>
    <t>upper bound error</t>
  </si>
  <si>
    <t>lower bound error 90%</t>
  </si>
  <si>
    <t>upper bound error 90%</t>
  </si>
  <si>
    <t>Payoffs Q1</t>
  </si>
  <si>
    <t>Payoffs Q2</t>
  </si>
  <si>
    <t>Payoffs Q3</t>
  </si>
  <si>
    <t>Payoffs Q4</t>
  </si>
  <si>
    <t>Payoffs Q5</t>
  </si>
  <si>
    <t>Payoffs Q6</t>
  </si>
  <si>
    <t>Payoffs Q7</t>
  </si>
  <si>
    <t>Payoffs Q8</t>
  </si>
  <si>
    <t>Payoffs Q9</t>
  </si>
  <si>
    <t>Payoffs Q10</t>
  </si>
  <si>
    <t>Payoffs Q11</t>
  </si>
  <si>
    <t>Payoffs Q12</t>
  </si>
  <si>
    <t>Payoffs Q13</t>
  </si>
  <si>
    <t>Weight</t>
  </si>
  <si>
    <t>Ignoring challenges associated with funding, list below the actions that are likely to be difficult to implement.</t>
  </si>
  <si>
    <t>Chance events</t>
  </si>
  <si>
    <t>Payoffs</t>
  </si>
  <si>
    <t>Notes, e.g. where will founders be sourced from?</t>
  </si>
  <si>
    <t>Notes, e.g. where will individuals be released?</t>
  </si>
  <si>
    <t>Notes on captive breeding program</t>
  </si>
  <si>
    <t>Outline</t>
  </si>
  <si>
    <t>Elicitation data entry</t>
  </si>
  <si>
    <t>Combined group estimates - chance events</t>
  </si>
  <si>
    <t>Combined group estimates - payoffs</t>
  </si>
  <si>
    <t>Alternative 3: In-situ plus management</t>
  </si>
  <si>
    <t>Alternative 2: Ex-situ management</t>
  </si>
  <si>
    <t>Alternative 1: In-situ status quo management</t>
  </si>
  <si>
    <t>Taxon (scientific name)</t>
  </si>
  <si>
    <t>Common name</t>
  </si>
  <si>
    <t>Time horizon of assessment (years)</t>
  </si>
  <si>
    <t>worst case (given uncertainty in status of wild population)</t>
  </si>
  <si>
    <t>best case (given uncertainty in status of wild population)</t>
  </si>
  <si>
    <t>Expert elicitation of event probabilities and payoffs</t>
  </si>
  <si>
    <t>Decision tree and expected payoffs of alternatives</t>
  </si>
  <si>
    <t>captive breeding and release</t>
  </si>
  <si>
    <t>Enter details of Alternative 1: In-situ status quo plan</t>
  </si>
  <si>
    <t>Enter details of Alternative 2: Ex-situ plan</t>
  </si>
  <si>
    <t>Enter details of Alternative 3: In-situ plus plan</t>
  </si>
  <si>
    <t>Expert elicitation</t>
  </si>
  <si>
    <t>Initial information</t>
  </si>
  <si>
    <t>Participants</t>
  </si>
  <si>
    <t>Number</t>
  </si>
  <si>
    <t>4.1 Individual elicitation form for chance events</t>
  </si>
  <si>
    <t>4.2 Individual elicitation form for payoffs</t>
  </si>
  <si>
    <t>4.3 Enter elicitation data</t>
  </si>
  <si>
    <t>4.4 View group results for chance events</t>
  </si>
  <si>
    <t>4.5 View group results for payoffs</t>
  </si>
  <si>
    <t>For best practice, perform a second round of expert elicitation (repeat 4.1 to 4.5)</t>
  </si>
  <si>
    <t>Step 6</t>
  </si>
  <si>
    <t>6.2 Group summary</t>
  </si>
  <si>
    <t>PARTICIPANT 1</t>
  </si>
  <si>
    <t>PARTICIPANT 2</t>
  </si>
  <si>
    <t>PARTICIPANT 3</t>
  </si>
  <si>
    <t>PARTICIPANT 4</t>
  </si>
  <si>
    <t>PARTICIPANT 5</t>
  </si>
  <si>
    <t>PARTICIPANT 6</t>
  </si>
  <si>
    <t>Participant 1</t>
  </si>
  <si>
    <t>Participant 2</t>
  </si>
  <si>
    <t>Participant 3</t>
  </si>
  <si>
    <t>Participant 4</t>
  </si>
  <si>
    <t>Participant 5</t>
  </si>
  <si>
    <t>Participant 6</t>
  </si>
  <si>
    <t>90% credible interval</t>
  </si>
  <si>
    <t>These cells are for entering data or other information.</t>
  </si>
  <si>
    <t>Ex situ program/captive breeding</t>
  </si>
  <si>
    <t>Decision tree outputs</t>
  </si>
  <si>
    <t>Thresholds for success</t>
  </si>
  <si>
    <t>These cells contain formulae or transferred data.</t>
  </si>
  <si>
    <t>To begin</t>
  </si>
  <si>
    <t>Fill out the initial information</t>
  </si>
  <si>
    <t>Consider the conservation payoff and whether you are using the correct workbook for your decision problem</t>
  </si>
  <si>
    <t>Using this decision support tool - quick guide</t>
  </si>
  <si>
    <t>Steps/table of contents</t>
  </si>
  <si>
    <t xml:space="preserve"> </t>
  </si>
  <si>
    <t>the point estimates for expected outcomes from the decision tree (left graph), worst case predicted outcomes (middle) and best case predicted outcomes (right).</t>
  </si>
  <si>
    <t>Organisations</t>
  </si>
  <si>
    <t>The questions from the IUCN Ex-Situ Guidelines can be used to create a detailed ex-situ management plan</t>
  </si>
  <si>
    <t>Discount rate (optional)</t>
  </si>
  <si>
    <t>ANONYMOUS PARTICIPANT IDENTIFIER (LETTER A-F, ASSIGNED BY FACILITATOR):</t>
  </si>
  <si>
    <t>intermediate A</t>
  </si>
  <si>
    <t>intermediate B</t>
  </si>
  <si>
    <t xml:space="preserve">The graphs below show the merit of each management alternative for this participant (higher is better), based on the values provided above and </t>
  </si>
  <si>
    <t>Value judgements and trade-offs</t>
  </si>
  <si>
    <t>6.1 Individual value judgements</t>
  </si>
  <si>
    <t>Value judgements</t>
  </si>
  <si>
    <t>Summary of value judgements</t>
  </si>
  <si>
    <t>What do you think is an appropriate threshold for describing offspring survivorship in the first year of successful breeding, expressed as months of survivorship?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</si>
</sst>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
    <numFmt numFmtId="165" formatCode="0.00000"/>
    <numFmt numFmtId="166" formatCode="&quot;$&quot;#,##0.00"/>
    <numFmt numFmtId="167" formatCode="&quot;$&quot;#,##0.00_);[Red]\(&quot;$&quot;#,##0.00\)"/>
  </numFmts>
  <fonts count="35" x14ac:knownFonts="1">
    <font>
      <sz val="11"/>
      <color theme="1"/>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u/>
      <sz val="11"/>
      <color theme="10"/>
      <name val="Calibri"/>
      <family val="2"/>
      <scheme val="minor"/>
    </font>
    <font>
      <b/>
      <sz val="11"/>
      <color rgb="FFFFFFFF"/>
      <name val="Calibri"/>
      <family val="2"/>
    </font>
    <font>
      <sz val="11"/>
      <color rgb="FF000000"/>
      <name val="Calibri"/>
      <family val="2"/>
    </font>
    <font>
      <sz val="11"/>
      <name val="Calibri"/>
      <family val="2"/>
      <scheme val="minor"/>
    </font>
    <font>
      <b/>
      <u/>
      <sz val="11"/>
      <color theme="10"/>
      <name val="Calibri"/>
      <family val="2"/>
      <scheme val="minor"/>
    </font>
    <font>
      <i/>
      <u/>
      <sz val="11"/>
      <color theme="10"/>
      <name val="Calibri"/>
      <family val="2"/>
      <scheme val="minor"/>
    </font>
    <font>
      <i/>
      <sz val="11"/>
      <color rgb="FF3F3F76"/>
      <name val="Calibri"/>
      <family val="2"/>
      <scheme val="minor"/>
    </font>
    <font>
      <i/>
      <sz val="11"/>
      <color rgb="FF006100"/>
      <name val="Calibri"/>
      <family val="2"/>
      <scheme val="minor"/>
    </font>
    <font>
      <sz val="11"/>
      <color rgb="FF9C5700"/>
      <name val="Calibri"/>
      <family val="2"/>
      <scheme val="minor"/>
    </font>
    <font>
      <b/>
      <sz val="11"/>
      <name val="Calibri"/>
      <family val="2"/>
    </font>
    <font>
      <sz val="11"/>
      <color indexed="8"/>
      <name val="Calibri"/>
      <family val="2"/>
    </font>
    <font>
      <sz val="10"/>
      <color theme="1"/>
      <name val="Calibri"/>
      <family val="2"/>
      <scheme val="minor"/>
    </font>
    <font>
      <b/>
      <sz val="10"/>
      <name val="Calibri"/>
      <family val="2"/>
      <scheme val="minor"/>
    </font>
    <font>
      <sz val="10"/>
      <name val="Calibri"/>
      <family val="2"/>
      <scheme val="minor"/>
    </font>
    <font>
      <b/>
      <sz val="11"/>
      <color rgb="FF006100"/>
      <name val="Calibri"/>
      <family val="2"/>
      <scheme val="minor"/>
    </font>
    <font>
      <b/>
      <sz val="14"/>
      <name val="Calibri"/>
      <family val="2"/>
    </font>
    <font>
      <b/>
      <sz val="11"/>
      <name val="Calibri"/>
      <family val="2"/>
      <scheme val="minor"/>
    </font>
    <font>
      <b/>
      <sz val="11"/>
      <color rgb="FF000000"/>
      <name val="Calibri"/>
      <family val="2"/>
    </font>
    <font>
      <b/>
      <sz val="14"/>
      <color theme="1"/>
      <name val="Calibri"/>
      <family val="2"/>
      <scheme val="minor"/>
    </font>
    <font>
      <sz val="11"/>
      <color theme="1"/>
      <name val="Calibri"/>
      <family val="2"/>
      <scheme val="minor"/>
    </font>
    <font>
      <sz val="11"/>
      <color theme="4"/>
      <name val="Calibri"/>
      <family val="2"/>
      <scheme val="minor"/>
    </font>
    <font>
      <i/>
      <sz val="11"/>
      <name val="Calibri"/>
      <family val="2"/>
      <scheme val="minor"/>
    </font>
    <font>
      <b/>
      <sz val="12"/>
      <color theme="1"/>
      <name val="Calibri"/>
      <family val="2"/>
      <scheme val="minor"/>
    </font>
    <font>
      <sz val="11"/>
      <color theme="0"/>
      <name val="Calibri"/>
      <family val="2"/>
      <scheme val="minor"/>
    </font>
    <font>
      <b/>
      <sz val="14"/>
      <color rgb="FF000000"/>
      <name val="Calibri"/>
      <family val="2"/>
      <scheme val="minor"/>
    </font>
    <font>
      <b/>
      <sz val="14"/>
      <name val="Calibri"/>
      <family val="2"/>
      <scheme val="minor"/>
    </font>
    <font>
      <b/>
      <sz val="11"/>
      <color rgb="FF000000"/>
      <name val="Calibri"/>
      <family val="2"/>
      <scheme val="minor"/>
    </font>
  </fonts>
  <fills count="22">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rgb="FFA5A5A5"/>
        <bgColor indexed="64"/>
      </patternFill>
    </fill>
    <fill>
      <patternFill patternType="solid">
        <fgColor rgb="FFE1E1E1"/>
        <bgColor indexed="64"/>
      </patternFill>
    </fill>
    <fill>
      <patternFill patternType="solid">
        <fgColor rgb="FFF0F0F0"/>
        <bgColor indexed="64"/>
      </patternFill>
    </fill>
    <fill>
      <patternFill patternType="solid">
        <fgColor rgb="FFFFEB9C"/>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7030A0"/>
        <bgColor indexed="64"/>
      </patternFill>
    </fill>
    <fill>
      <patternFill patternType="solid">
        <fgColor rgb="FF92D050"/>
        <bgColor indexed="64"/>
      </patternFill>
    </fill>
  </fills>
  <borders count="1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00B0F0"/>
      </bottom>
      <diagonal/>
    </border>
    <border>
      <left/>
      <right/>
      <top/>
      <bottom style="thick">
        <color rgb="FFFFFF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rgb="FF7F7F7F"/>
      </left>
      <right/>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auto="1"/>
      </top>
      <bottom/>
      <diagonal/>
    </border>
    <border>
      <left style="thin">
        <color rgb="FF7F7F7F"/>
      </left>
      <right style="thin">
        <color rgb="FF7F7F7F"/>
      </right>
      <top style="thin">
        <color auto="1"/>
      </top>
      <bottom/>
      <diagonal/>
    </border>
    <border>
      <left style="thin">
        <color rgb="FF7F7F7F"/>
      </left>
      <right/>
      <top style="thin">
        <color auto="1"/>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auto="1"/>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medium">
        <color auto="1"/>
      </right>
      <top/>
      <bottom style="medium">
        <color auto="1"/>
      </bottom>
      <diagonal/>
    </border>
    <border>
      <left/>
      <right style="hair">
        <color indexed="64"/>
      </right>
      <top style="medium">
        <color indexed="64"/>
      </top>
      <bottom/>
      <diagonal/>
    </border>
    <border>
      <left/>
      <right style="hair">
        <color indexed="64"/>
      </right>
      <top/>
      <bottom style="medium">
        <color auto="1"/>
      </bottom>
      <diagonal/>
    </border>
    <border>
      <left style="medium">
        <color indexed="64"/>
      </left>
      <right style="medium">
        <color indexed="64"/>
      </right>
      <top/>
      <bottom style="hair">
        <color indexed="64"/>
      </bottom>
      <diagonal/>
    </border>
    <border>
      <left/>
      <right style="thin">
        <color auto="1"/>
      </right>
      <top/>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theme="0" tint="-0.499984740745262"/>
      </right>
      <top style="thin">
        <color auto="1"/>
      </top>
      <bottom style="hair">
        <color theme="0" tint="-0.499984740745262"/>
      </bottom>
      <diagonal/>
    </border>
    <border>
      <left style="hair">
        <color theme="0" tint="-0.499984740745262"/>
      </left>
      <right style="hair">
        <color theme="0" tint="-0.499984740745262"/>
      </right>
      <top style="thin">
        <color auto="1"/>
      </top>
      <bottom style="hair">
        <color theme="0" tint="-0.499984740745262"/>
      </bottom>
      <diagonal/>
    </border>
    <border>
      <left style="hair">
        <color theme="0" tint="-0.499984740745262"/>
      </left>
      <right style="thin">
        <color auto="1"/>
      </right>
      <top style="thin">
        <color auto="1"/>
      </top>
      <bottom style="hair">
        <color theme="0" tint="-0.499984740745262"/>
      </bottom>
      <diagonal/>
    </border>
    <border>
      <left style="thin">
        <color auto="1"/>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auto="1"/>
      </right>
      <top style="hair">
        <color theme="0" tint="-0.499984740745262"/>
      </top>
      <bottom style="hair">
        <color theme="0" tint="-0.499984740745262"/>
      </bottom>
      <diagonal/>
    </border>
    <border>
      <left style="thin">
        <color auto="1"/>
      </left>
      <right style="hair">
        <color theme="0" tint="-0.499984740745262"/>
      </right>
      <top style="hair">
        <color theme="0" tint="-0.499984740745262"/>
      </top>
      <bottom style="thin">
        <color auto="1"/>
      </bottom>
      <diagonal/>
    </border>
    <border>
      <left style="hair">
        <color theme="0" tint="-0.499984740745262"/>
      </left>
      <right style="hair">
        <color theme="0" tint="-0.499984740745262"/>
      </right>
      <top style="hair">
        <color theme="0" tint="-0.499984740745262"/>
      </top>
      <bottom style="thin">
        <color auto="1"/>
      </bottom>
      <diagonal/>
    </border>
    <border>
      <left style="hair">
        <color theme="0" tint="-0.499984740745262"/>
      </left>
      <right style="thin">
        <color auto="1"/>
      </right>
      <top style="hair">
        <color theme="0" tint="-0.499984740745262"/>
      </top>
      <bottom style="thin">
        <color auto="1"/>
      </bottom>
      <diagonal/>
    </border>
    <border>
      <left/>
      <right style="thin">
        <color rgb="FF7F7F7F"/>
      </right>
      <top/>
      <bottom/>
      <diagonal/>
    </border>
    <border>
      <left style="thin">
        <color auto="1"/>
      </left>
      <right style="hair">
        <color rgb="FF7F7F7F"/>
      </right>
      <top style="thin">
        <color auto="1"/>
      </top>
      <bottom style="hair">
        <color rgb="FF7F7F7F"/>
      </bottom>
      <diagonal/>
    </border>
    <border>
      <left style="hair">
        <color rgb="FF7F7F7F"/>
      </left>
      <right style="hair">
        <color rgb="FF7F7F7F"/>
      </right>
      <top style="thin">
        <color auto="1"/>
      </top>
      <bottom style="hair">
        <color rgb="FF7F7F7F"/>
      </bottom>
      <diagonal/>
    </border>
    <border>
      <left style="hair">
        <color rgb="FF7F7F7F"/>
      </left>
      <right style="thin">
        <color auto="1"/>
      </right>
      <top style="thin">
        <color auto="1"/>
      </top>
      <bottom style="hair">
        <color rgb="FF7F7F7F"/>
      </bottom>
      <diagonal/>
    </border>
    <border>
      <left style="thin">
        <color auto="1"/>
      </left>
      <right style="hair">
        <color rgb="FF7F7F7F"/>
      </right>
      <top style="hair">
        <color rgb="FF7F7F7F"/>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thin">
        <color auto="1"/>
      </right>
      <top style="hair">
        <color rgb="FF7F7F7F"/>
      </top>
      <bottom style="hair">
        <color rgb="FF7F7F7F"/>
      </bottom>
      <diagonal/>
    </border>
    <border>
      <left style="thin">
        <color auto="1"/>
      </left>
      <right style="hair">
        <color rgb="FF7F7F7F"/>
      </right>
      <top style="hair">
        <color rgb="FF7F7F7F"/>
      </top>
      <bottom style="thin">
        <color auto="1"/>
      </bottom>
      <diagonal/>
    </border>
    <border>
      <left style="hair">
        <color rgb="FF7F7F7F"/>
      </left>
      <right style="hair">
        <color rgb="FF7F7F7F"/>
      </right>
      <top style="hair">
        <color rgb="FF7F7F7F"/>
      </top>
      <bottom style="thin">
        <color auto="1"/>
      </bottom>
      <diagonal/>
    </border>
    <border>
      <left style="hair">
        <color rgb="FF7F7F7F"/>
      </left>
      <right style="thin">
        <color auto="1"/>
      </right>
      <top style="hair">
        <color rgb="FF7F7F7F"/>
      </top>
      <bottom style="thin">
        <color auto="1"/>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medium">
        <color indexed="64"/>
      </left>
      <right style="medium">
        <color indexed="64"/>
      </right>
      <top style="hair">
        <color indexed="64"/>
      </top>
      <bottom/>
      <diagonal/>
    </border>
    <border>
      <left style="medium">
        <color auto="1"/>
      </left>
      <right style="medium">
        <color indexed="64"/>
      </right>
      <top style="hair">
        <color theme="0" tint="-0.499984740745262"/>
      </top>
      <bottom style="medium">
        <color auto="1"/>
      </bottom>
      <diagonal/>
    </border>
    <border>
      <left/>
      <right/>
      <top style="thick">
        <color rgb="FF92D050"/>
      </top>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medium">
        <color indexed="64"/>
      </left>
      <right style="medium">
        <color indexed="64"/>
      </right>
      <top style="thin">
        <color rgb="FF7F7F7F"/>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style="thin">
        <color rgb="FF7F7F7F"/>
      </top>
      <bottom style="thin">
        <color rgb="FF7F7F7F"/>
      </bottom>
      <diagonal/>
    </border>
    <border>
      <left style="thin">
        <color rgb="FF7F7F7F"/>
      </left>
      <right style="thin">
        <color auto="1"/>
      </right>
      <top/>
      <bottom style="thin">
        <color rgb="FF7F7F7F"/>
      </bottom>
      <diagonal/>
    </border>
    <border>
      <left style="thin">
        <color theme="0" tint="-0.14993743705557422"/>
      </left>
      <right/>
      <top/>
      <bottom/>
      <diagonal/>
    </border>
    <border>
      <left style="thin">
        <color rgb="FF7F7F7F"/>
      </left>
      <right style="thin">
        <color auto="1"/>
      </right>
      <top style="thin">
        <color auto="1"/>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auto="1"/>
      </right>
      <top style="hair">
        <color indexed="64"/>
      </top>
      <bottom style="medium">
        <color indexed="64"/>
      </bottom>
      <diagonal/>
    </border>
    <border>
      <left style="medium">
        <color auto="1"/>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s>
  <cellStyleXfs count="7">
    <xf numFmtId="0" fontId="0" fillId="0" borderId="0"/>
    <xf numFmtId="0" fontId="1" fillId="2" borderId="0" applyNumberFormat="0" applyBorder="0" applyAlignment="0" applyProtection="0"/>
    <xf numFmtId="0" fontId="2" fillId="3" borderId="1" applyNumberFormat="0" applyAlignment="0" applyProtection="0"/>
    <xf numFmtId="0" fontId="3" fillId="4" borderId="2" applyNumberFormat="0" applyAlignment="0" applyProtection="0"/>
    <xf numFmtId="0" fontId="8" fillId="0" borderId="0" applyNumberFormat="0" applyFill="0" applyBorder="0" applyAlignment="0" applyProtection="0"/>
    <xf numFmtId="0" fontId="16" fillId="8" borderId="0" applyNumberFormat="0" applyBorder="0" applyAlignment="0" applyProtection="0"/>
    <xf numFmtId="44" fontId="27" fillId="0" borderId="0" applyFont="0" applyFill="0" applyBorder="0" applyAlignment="0" applyProtection="0"/>
  </cellStyleXfs>
  <cellXfs count="497">
    <xf numFmtId="0" fontId="0" fillId="0" borderId="0" xfId="0"/>
    <xf numFmtId="0" fontId="2" fillId="3" borderId="1" xfId="2"/>
    <xf numFmtId="0" fontId="0" fillId="0" borderId="0" xfId="0" applyAlignment="1">
      <alignment horizontal="center"/>
    </xf>
    <xf numFmtId="0" fontId="4" fillId="0" borderId="0" xfId="0" applyFont="1"/>
    <xf numFmtId="0" fontId="5" fillId="0" borderId="0" xfId="0" applyFont="1"/>
    <xf numFmtId="2" fontId="0" fillId="0" borderId="0" xfId="0" applyNumberFormat="1"/>
    <xf numFmtId="0" fontId="0" fillId="0" borderId="0" xfId="0" applyFont="1" applyAlignment="1">
      <alignment horizontal="right"/>
    </xf>
    <xf numFmtId="0" fontId="0" fillId="0" borderId="0" xfId="0" applyAlignment="1">
      <alignment horizontal="right"/>
    </xf>
    <xf numFmtId="0" fontId="0" fillId="0" borderId="0" xfId="0" applyFill="1"/>
    <xf numFmtId="2" fontId="0" fillId="0" borderId="0" xfId="0" applyNumberFormat="1" applyFill="1"/>
    <xf numFmtId="0" fontId="9" fillId="5" borderId="5" xfId="0" applyFont="1" applyFill="1" applyBorder="1" applyAlignment="1">
      <alignment horizontal="left" vertical="center" wrapText="1" indent="5" readingOrder="1"/>
    </xf>
    <xf numFmtId="0" fontId="9" fillId="5" borderId="5" xfId="0" applyFont="1" applyFill="1" applyBorder="1" applyAlignment="1">
      <alignment horizontal="center" vertical="center" wrapText="1" readingOrder="1"/>
    </xf>
    <xf numFmtId="0" fontId="10" fillId="6" borderId="6" xfId="0" applyFont="1" applyFill="1" applyBorder="1" applyAlignment="1">
      <alignment horizontal="left" vertical="center" wrapText="1" indent="5" readingOrder="1"/>
    </xf>
    <xf numFmtId="0" fontId="10" fillId="6" borderId="6" xfId="0" applyFont="1" applyFill="1" applyBorder="1" applyAlignment="1">
      <alignment horizontal="center" vertical="center" wrapText="1" readingOrder="1"/>
    </xf>
    <xf numFmtId="0" fontId="10" fillId="7" borderId="7" xfId="0" applyFont="1" applyFill="1" applyBorder="1" applyAlignment="1">
      <alignment horizontal="left" vertical="center" wrapText="1" indent="5" readingOrder="1"/>
    </xf>
    <xf numFmtId="0" fontId="10" fillId="7" borderId="7" xfId="0" applyFont="1" applyFill="1" applyBorder="1" applyAlignment="1">
      <alignment horizontal="center" vertical="center" wrapText="1" readingOrder="1"/>
    </xf>
    <xf numFmtId="0" fontId="10" fillId="6" borderId="7" xfId="0" applyFont="1" applyFill="1" applyBorder="1" applyAlignment="1">
      <alignment horizontal="left" vertical="center" wrapText="1" indent="5" readingOrder="1"/>
    </xf>
    <xf numFmtId="0" fontId="10" fillId="6" borderId="7" xfId="0" applyFont="1" applyFill="1" applyBorder="1" applyAlignment="1">
      <alignment horizontal="center" vertical="center" wrapText="1" readingOrder="1"/>
    </xf>
    <xf numFmtId="164" fontId="0" fillId="0" borderId="0" xfId="0" applyNumberFormat="1" applyAlignment="1">
      <alignment horizontal="right"/>
    </xf>
    <xf numFmtId="164" fontId="0" fillId="0" borderId="0" xfId="0" applyNumberFormat="1"/>
    <xf numFmtId="0" fontId="4" fillId="0" borderId="9" xfId="0" applyFont="1" applyBorder="1"/>
    <xf numFmtId="0" fontId="0" fillId="9" borderId="0" xfId="0" applyFill="1"/>
    <xf numFmtId="0" fontId="0" fillId="9" borderId="0" xfId="0" applyFill="1" applyAlignment="1">
      <alignment horizontal="left"/>
    </xf>
    <xf numFmtId="0" fontId="0" fillId="0" borderId="0" xfId="0" applyAlignment="1">
      <alignment horizontal="left"/>
    </xf>
    <xf numFmtId="0" fontId="19" fillId="0" borderId="0" xfId="0" applyFont="1"/>
    <xf numFmtId="1" fontId="0" fillId="0" borderId="0" xfId="0" applyNumberFormat="1"/>
    <xf numFmtId="0" fontId="14" fillId="3" borderId="1" xfId="2" applyFont="1" applyAlignment="1">
      <alignment horizontal="right"/>
    </xf>
    <xf numFmtId="0" fontId="0" fillId="0" borderId="0" xfId="0" applyFont="1" applyFill="1"/>
    <xf numFmtId="0" fontId="4" fillId="0" borderId="25" xfId="0" applyFont="1" applyBorder="1"/>
    <xf numFmtId="0" fontId="0" fillId="0" borderId="30" xfId="0" applyBorder="1" applyAlignment="1">
      <alignment horizontal="left" vertical="center" wrapText="1"/>
    </xf>
    <xf numFmtId="0" fontId="5" fillId="0" borderId="0" xfId="0" applyFont="1" applyFill="1" applyAlignment="1">
      <alignment horizontal="right"/>
    </xf>
    <xf numFmtId="0" fontId="1" fillId="2" borderId="0" xfId="1"/>
    <xf numFmtId="0" fontId="0" fillId="0" borderId="24" xfId="0" applyBorder="1"/>
    <xf numFmtId="0" fontId="4" fillId="0" borderId="0" xfId="0" applyFont="1" applyAlignment="1">
      <alignment horizontal="center"/>
    </xf>
    <xf numFmtId="0" fontId="0" fillId="10" borderId="0" xfId="0" applyFill="1"/>
    <xf numFmtId="1" fontId="1" fillId="2" borderId="0" xfId="1" applyNumberFormat="1"/>
    <xf numFmtId="2" fontId="1" fillId="2" borderId="0" xfId="1" applyNumberFormat="1"/>
    <xf numFmtId="0" fontId="0" fillId="0" borderId="17" xfId="0" applyBorder="1"/>
    <xf numFmtId="0" fontId="4" fillId="0" borderId="17" xfId="0" applyFont="1" applyBorder="1" applyAlignment="1">
      <alignment vertical="center"/>
    </xf>
    <xf numFmtId="0" fontId="4" fillId="0" borderId="17" xfId="0" applyFont="1" applyBorder="1"/>
    <xf numFmtId="1" fontId="1" fillId="2" borderId="24" xfId="1" applyNumberFormat="1" applyBorder="1"/>
    <xf numFmtId="0" fontId="4" fillId="0" borderId="17" xfId="0" applyFont="1" applyFill="1" applyBorder="1" applyAlignment="1">
      <alignment horizontal="left"/>
    </xf>
    <xf numFmtId="0" fontId="4" fillId="0" borderId="17" xfId="0" applyFont="1" applyBorder="1" applyAlignment="1">
      <alignment horizontal="right" vertical="center"/>
    </xf>
    <xf numFmtId="0" fontId="4" fillId="0" borderId="17" xfId="0" applyFont="1" applyBorder="1" applyAlignment="1">
      <alignment horizontal="right"/>
    </xf>
    <xf numFmtId="2" fontId="0" fillId="0" borderId="24" xfId="0" applyNumberFormat="1" applyBorder="1"/>
    <xf numFmtId="0" fontId="11" fillId="0" borderId="0" xfId="0" applyFont="1"/>
    <xf numFmtId="0" fontId="0" fillId="0" borderId="20" xfId="0" applyFill="1" applyBorder="1"/>
    <xf numFmtId="0" fontId="11" fillId="0" borderId="20" xfId="0" applyFont="1" applyBorder="1" applyAlignment="1">
      <alignment horizontal="left" vertical="center" wrapText="1"/>
    </xf>
    <xf numFmtId="0" fontId="0" fillId="0" borderId="20" xfId="0" applyBorder="1"/>
    <xf numFmtId="0" fontId="4" fillId="0" borderId="17" xfId="0" applyFont="1" applyFill="1" applyBorder="1" applyAlignment="1">
      <alignment horizontal="right"/>
    </xf>
    <xf numFmtId="2" fontId="0" fillId="0" borderId="24" xfId="0" applyNumberFormat="1" applyFill="1" applyBorder="1"/>
    <xf numFmtId="0" fontId="11" fillId="0" borderId="14" xfId="0" applyFont="1" applyBorder="1" applyAlignment="1">
      <alignment horizontal="center" vertical="center"/>
    </xf>
    <xf numFmtId="0" fontId="11" fillId="0" borderId="14" xfId="0" applyFont="1" applyBorder="1" applyAlignment="1">
      <alignment horizontal="center" vertical="center" wrapText="1"/>
    </xf>
    <xf numFmtId="0" fontId="0" fillId="10" borderId="24" xfId="0" applyFill="1" applyBorder="1"/>
    <xf numFmtId="0" fontId="0" fillId="0" borderId="25" xfId="0" applyFont="1" applyFill="1" applyBorder="1" applyAlignment="1">
      <alignment wrapText="1"/>
    </xf>
    <xf numFmtId="1" fontId="1" fillId="2" borderId="24" xfId="1" applyNumberFormat="1" applyBorder="1" applyAlignment="1">
      <alignment horizontal="center"/>
    </xf>
    <xf numFmtId="0" fontId="11" fillId="0" borderId="14" xfId="0" applyFont="1" applyBorder="1" applyAlignment="1">
      <alignment horizontal="left" vertical="center" wrapText="1"/>
    </xf>
    <xf numFmtId="2" fontId="2" fillId="3" borderId="1" xfId="2" applyNumberFormat="1" applyAlignment="1">
      <alignment horizontal="center" vertical="center"/>
    </xf>
    <xf numFmtId="0" fontId="0" fillId="0" borderId="0" xfId="0" applyAlignment="1">
      <alignment horizontal="center" vertical="center"/>
    </xf>
    <xf numFmtId="1" fontId="2" fillId="3" borderId="1" xfId="2" applyNumberFormat="1" applyAlignment="1">
      <alignment horizontal="center" vertical="center"/>
    </xf>
    <xf numFmtId="15" fontId="2" fillId="3" borderId="1" xfId="2" applyNumberFormat="1"/>
    <xf numFmtId="0" fontId="4" fillId="0" borderId="29" xfId="0" applyFont="1" applyBorder="1"/>
    <xf numFmtId="0" fontId="4" fillId="13" borderId="29" xfId="0" applyFont="1" applyFill="1" applyBorder="1"/>
    <xf numFmtId="0" fontId="0" fillId="13" borderId="10" xfId="0" applyFill="1" applyBorder="1"/>
    <xf numFmtId="0" fontId="4" fillId="13" borderId="30" xfId="0" applyFont="1" applyFill="1" applyBorder="1"/>
    <xf numFmtId="0" fontId="4" fillId="13" borderId="42" xfId="0" applyFont="1" applyFill="1" applyBorder="1" applyAlignment="1">
      <alignment horizontal="right"/>
    </xf>
    <xf numFmtId="0" fontId="4" fillId="13" borderId="43" xfId="0" applyFont="1" applyFill="1" applyBorder="1" applyAlignment="1">
      <alignment horizontal="right"/>
    </xf>
    <xf numFmtId="0" fontId="4" fillId="13" borderId="45" xfId="0" applyFont="1" applyFill="1" applyBorder="1" applyAlignment="1">
      <alignment horizontal="right"/>
    </xf>
    <xf numFmtId="0" fontId="4" fillId="13" borderId="46" xfId="0" applyFont="1" applyFill="1" applyBorder="1" applyAlignment="1">
      <alignment horizontal="right"/>
    </xf>
    <xf numFmtId="166" fontId="1" fillId="2" borderId="12" xfId="1" applyNumberFormat="1" applyBorder="1"/>
    <xf numFmtId="0" fontId="4" fillId="13" borderId="9" xfId="0" applyFont="1" applyFill="1" applyBorder="1" applyAlignment="1">
      <alignment horizontal="right"/>
    </xf>
    <xf numFmtId="0" fontId="4" fillId="13" borderId="12" xfId="0" applyFont="1" applyFill="1" applyBorder="1" applyAlignment="1">
      <alignment horizontal="right"/>
    </xf>
    <xf numFmtId="166" fontId="1" fillId="2" borderId="25" xfId="1" applyNumberFormat="1" applyBorder="1"/>
    <xf numFmtId="0" fontId="0" fillId="13" borderId="0" xfId="0" applyFill="1"/>
    <xf numFmtId="0" fontId="4" fillId="13" borderId="0" xfId="0" applyFont="1" applyFill="1"/>
    <xf numFmtId="0" fontId="0" fillId="13" borderId="0" xfId="0" applyFill="1" applyBorder="1"/>
    <xf numFmtId="0" fontId="0" fillId="13" borderId="0" xfId="0" applyFont="1" applyFill="1" applyAlignment="1">
      <alignment horizontal="right"/>
    </xf>
    <xf numFmtId="0" fontId="6" fillId="13" borderId="0" xfId="0" applyFont="1" applyFill="1" applyAlignment="1">
      <alignment horizontal="right"/>
    </xf>
    <xf numFmtId="0" fontId="6" fillId="13" borderId="0" xfId="0" applyFont="1" applyFill="1"/>
    <xf numFmtId="0" fontId="4" fillId="13" borderId="0" xfId="0" applyFont="1" applyFill="1" applyAlignment="1">
      <alignment horizontal="right"/>
    </xf>
    <xf numFmtId="0" fontId="4" fillId="13" borderId="30" xfId="0" applyFont="1" applyFill="1" applyBorder="1" applyAlignment="1">
      <alignment horizontal="right"/>
    </xf>
    <xf numFmtId="0" fontId="4" fillId="13" borderId="10" xfId="0" applyFont="1" applyFill="1" applyBorder="1"/>
    <xf numFmtId="10" fontId="2" fillId="3" borderId="25" xfId="2" applyNumberFormat="1" applyBorder="1"/>
    <xf numFmtId="167" fontId="1" fillId="2" borderId="25" xfId="1" applyNumberFormat="1" applyBorder="1"/>
    <xf numFmtId="166" fontId="2" fillId="3" borderId="9" xfId="2" applyNumberFormat="1" applyBorder="1"/>
    <xf numFmtId="0" fontId="4" fillId="13" borderId="9" xfId="0" applyFont="1" applyFill="1" applyBorder="1"/>
    <xf numFmtId="0" fontId="4" fillId="13" borderId="28" xfId="0" applyFont="1" applyFill="1" applyBorder="1" applyAlignment="1">
      <alignment horizontal="right"/>
    </xf>
    <xf numFmtId="10" fontId="1" fillId="2" borderId="25" xfId="1" applyNumberFormat="1" applyBorder="1"/>
    <xf numFmtId="0" fontId="4" fillId="13" borderId="29" xfId="0" applyFont="1" applyFill="1" applyBorder="1" applyAlignment="1">
      <alignment horizontal="left" vertical="center" wrapText="1"/>
    </xf>
    <xf numFmtId="0" fontId="0" fillId="13" borderId="30" xfId="0" applyFill="1" applyBorder="1" applyAlignment="1">
      <alignment horizontal="left" vertical="center" wrapText="1"/>
    </xf>
    <xf numFmtId="0" fontId="0" fillId="13" borderId="0" xfId="0" applyFill="1" applyAlignment="1">
      <alignment horizontal="left" vertical="center" wrapText="1"/>
    </xf>
    <xf numFmtId="0" fontId="0" fillId="13" borderId="39" xfId="0" applyFill="1" applyBorder="1" applyAlignment="1">
      <alignment horizontal="left" vertical="center" wrapText="1"/>
    </xf>
    <xf numFmtId="0" fontId="0" fillId="13" borderId="40" xfId="0" applyFill="1" applyBorder="1" applyAlignment="1">
      <alignment horizontal="left" vertical="center" wrapText="1"/>
    </xf>
    <xf numFmtId="0" fontId="0" fillId="0" borderId="52" xfId="0" applyBorder="1" applyAlignment="1">
      <alignment horizontal="left" vertical="center" wrapText="1"/>
    </xf>
    <xf numFmtId="166" fontId="15" fillId="13" borderId="0" xfId="1" applyNumberFormat="1" applyFont="1" applyFill="1" applyBorder="1"/>
    <xf numFmtId="0" fontId="2" fillId="13" borderId="0" xfId="2" applyFill="1" applyBorder="1"/>
    <xf numFmtId="166" fontId="1" fillId="2" borderId="27" xfId="1" applyNumberFormat="1" applyFont="1" applyBorder="1"/>
    <xf numFmtId="0" fontId="24" fillId="13" borderId="42" xfId="0" applyFont="1" applyFill="1" applyBorder="1" applyAlignment="1">
      <alignment horizontal="right"/>
    </xf>
    <xf numFmtId="0" fontId="24" fillId="13" borderId="43" xfId="0" applyFont="1" applyFill="1" applyBorder="1" applyAlignment="1">
      <alignment horizontal="right"/>
    </xf>
    <xf numFmtId="0" fontId="11" fillId="13" borderId="41" xfId="0" applyFont="1" applyFill="1" applyBorder="1"/>
    <xf numFmtId="0" fontId="11" fillId="13" borderId="42" xfId="0" applyFont="1" applyFill="1" applyBorder="1"/>
    <xf numFmtId="0" fontId="24" fillId="13" borderId="9" xfId="0" applyFont="1" applyFill="1" applyBorder="1"/>
    <xf numFmtId="0" fontId="24" fillId="13" borderId="9" xfId="0" applyFont="1" applyFill="1" applyBorder="1" applyAlignment="1">
      <alignment horizontal="right"/>
    </xf>
    <xf numFmtId="0" fontId="24" fillId="13" borderId="48" xfId="2" applyFont="1" applyFill="1" applyBorder="1" applyAlignment="1">
      <alignment horizontal="right"/>
    </xf>
    <xf numFmtId="0" fontId="24" fillId="13" borderId="49" xfId="2" applyFont="1" applyFill="1" applyBorder="1" applyAlignment="1">
      <alignment horizontal="right"/>
    </xf>
    <xf numFmtId="0" fontId="24" fillId="13" borderId="47" xfId="2" applyFont="1" applyFill="1" applyBorder="1" applyAlignment="1">
      <alignment horizontal="right"/>
    </xf>
    <xf numFmtId="0" fontId="24" fillId="13" borderId="31" xfId="0" applyFont="1" applyFill="1" applyBorder="1" applyAlignment="1">
      <alignment horizontal="right"/>
    </xf>
    <xf numFmtId="0" fontId="24" fillId="13" borderId="28" xfId="0" applyFont="1" applyFill="1" applyBorder="1" applyAlignment="1">
      <alignment horizontal="right"/>
    </xf>
    <xf numFmtId="166" fontId="1" fillId="2" borderId="26" xfId="1" applyNumberFormat="1" applyBorder="1"/>
    <xf numFmtId="166" fontId="2" fillId="3" borderId="9" xfId="2" applyNumberFormat="1" applyFont="1" applyBorder="1"/>
    <xf numFmtId="166" fontId="1" fillId="2" borderId="12" xfId="1" applyNumberFormat="1" applyFont="1" applyBorder="1"/>
    <xf numFmtId="0" fontId="0" fillId="13" borderId="0" xfId="0" applyFont="1" applyFill="1" applyBorder="1" applyAlignment="1">
      <alignment horizontal="left" vertical="center" wrapText="1"/>
    </xf>
    <xf numFmtId="0" fontId="16" fillId="13" borderId="0" xfId="5" applyFill="1" applyBorder="1" applyAlignment="1">
      <alignment horizontal="left" vertical="center" wrapText="1"/>
    </xf>
    <xf numFmtId="0" fontId="4" fillId="13" borderId="37" xfId="0" applyFont="1" applyFill="1" applyBorder="1" applyAlignment="1">
      <alignment wrapText="1"/>
    </xf>
    <xf numFmtId="166" fontId="2" fillId="13" borderId="0" xfId="2" applyNumberFormat="1" applyFill="1" applyBorder="1"/>
    <xf numFmtId="166" fontId="1" fillId="13" borderId="0" xfId="1" applyNumberFormat="1" applyFill="1" applyBorder="1"/>
    <xf numFmtId="0" fontId="23" fillId="13" borderId="0" xfId="0" applyFont="1" applyFill="1" applyBorder="1"/>
    <xf numFmtId="0" fontId="11" fillId="13" borderId="0" xfId="0" applyFont="1" applyFill="1"/>
    <xf numFmtId="0" fontId="24" fillId="13" borderId="0" xfId="0" applyFont="1" applyFill="1"/>
    <xf numFmtId="0" fontId="11" fillId="13" borderId="14" xfId="0" applyFont="1" applyFill="1" applyBorder="1" applyAlignment="1">
      <alignment horizontal="center" vertical="center" wrapText="1"/>
    </xf>
    <xf numFmtId="0" fontId="0" fillId="13" borderId="0" xfId="0" applyFill="1" applyAlignment="1">
      <alignment vertical="center" wrapText="1"/>
    </xf>
    <xf numFmtId="0" fontId="0" fillId="13" borderId="14" xfId="0" applyFill="1" applyBorder="1"/>
    <xf numFmtId="0" fontId="11" fillId="13" borderId="14" xfId="0" applyFont="1" applyFill="1" applyBorder="1" applyAlignment="1">
      <alignment horizontal="left" vertical="center" wrapText="1"/>
    </xf>
    <xf numFmtId="0" fontId="0" fillId="13" borderId="0" xfId="0" applyFill="1" applyBorder="1" applyAlignment="1"/>
    <xf numFmtId="0" fontId="16" fillId="13" borderId="0" xfId="5" applyFill="1" applyBorder="1" applyAlignment="1"/>
    <xf numFmtId="0" fontId="0" fillId="13" borderId="0" xfId="0" applyFill="1" applyAlignment="1">
      <alignment horizontal="center" vertical="center"/>
    </xf>
    <xf numFmtId="0" fontId="11" fillId="11" borderId="0" xfId="0" applyFont="1" applyFill="1" applyBorder="1" applyAlignment="1">
      <alignment horizontal="center" vertical="center" wrapText="1"/>
    </xf>
    <xf numFmtId="0" fontId="25" fillId="11" borderId="0" xfId="0" applyFont="1" applyFill="1" applyBorder="1"/>
    <xf numFmtId="0" fontId="0" fillId="13" borderId="18" xfId="0" applyFill="1" applyBorder="1" applyAlignment="1">
      <alignment vertical="center" wrapText="1"/>
    </xf>
    <xf numFmtId="0" fontId="11" fillId="13" borderId="18" xfId="0" applyFont="1" applyFill="1" applyBorder="1" applyAlignment="1">
      <alignment horizontal="left" vertical="center" wrapText="1"/>
    </xf>
    <xf numFmtId="0" fontId="11" fillId="13" borderId="32" xfId="0" applyFont="1" applyFill="1" applyBorder="1" applyAlignment="1">
      <alignment horizontal="center" vertical="center" wrapText="1"/>
    </xf>
    <xf numFmtId="0" fontId="25" fillId="11" borderId="24" xfId="0" applyFont="1" applyFill="1" applyBorder="1"/>
    <xf numFmtId="0" fontId="0" fillId="11" borderId="24" xfId="0" applyFill="1" applyBorder="1"/>
    <xf numFmtId="0" fontId="0" fillId="13" borderId="53" xfId="0" applyFill="1" applyBorder="1" applyAlignment="1">
      <alignment horizontal="center" vertical="center"/>
    </xf>
    <xf numFmtId="0" fontId="0" fillId="13" borderId="0" xfId="0" applyFill="1" applyBorder="1" applyAlignment="1">
      <alignment horizontal="center" vertical="center"/>
    </xf>
    <xf numFmtId="0" fontId="0" fillId="13" borderId="32" xfId="0" applyFill="1" applyBorder="1"/>
    <xf numFmtId="0" fontId="11" fillId="13" borderId="0" xfId="0" applyFont="1" applyFill="1" applyBorder="1" applyAlignment="1">
      <alignment horizontal="left" vertical="center" wrapText="1"/>
    </xf>
    <xf numFmtId="0" fontId="24" fillId="13" borderId="0" xfId="0" applyFont="1" applyFill="1" applyAlignment="1">
      <alignment vertical="top"/>
    </xf>
    <xf numFmtId="0" fontId="11" fillId="0" borderId="22" xfId="0" applyFont="1" applyBorder="1" applyAlignment="1">
      <alignment horizontal="center" vertical="center" wrapText="1"/>
    </xf>
    <xf numFmtId="0" fontId="24" fillId="11" borderId="24" xfId="0" applyFont="1" applyFill="1" applyBorder="1" applyAlignment="1">
      <alignment vertical="center" wrapText="1"/>
    </xf>
    <xf numFmtId="0" fontId="24" fillId="11" borderId="0" xfId="0" applyFont="1" applyFill="1" applyBorder="1" applyAlignment="1">
      <alignment vertical="center" wrapText="1"/>
    </xf>
    <xf numFmtId="0" fontId="11" fillId="11" borderId="17" xfId="0" applyFont="1" applyFill="1" applyBorder="1" applyAlignment="1">
      <alignment horizontal="center" vertical="center"/>
    </xf>
    <xf numFmtId="0" fontId="11" fillId="11" borderId="17" xfId="0" applyFont="1" applyFill="1" applyBorder="1" applyAlignment="1">
      <alignment horizontal="center" vertical="center" wrapText="1"/>
    </xf>
    <xf numFmtId="0" fontId="11" fillId="13" borderId="32" xfId="0" applyFont="1" applyFill="1" applyBorder="1" applyAlignment="1">
      <alignment horizontal="center" vertical="center"/>
    </xf>
    <xf numFmtId="0" fontId="11" fillId="13" borderId="17" xfId="0" applyFont="1" applyFill="1" applyBorder="1" applyAlignment="1">
      <alignment horizontal="left" vertical="center" wrapText="1"/>
    </xf>
    <xf numFmtId="0" fontId="0" fillId="13" borderId="17" xfId="0" applyFill="1" applyBorder="1"/>
    <xf numFmtId="0" fontId="11" fillId="13" borderId="32" xfId="0" applyFont="1" applyFill="1" applyBorder="1" applyAlignment="1">
      <alignment horizontal="left" vertical="center" wrapText="1"/>
    </xf>
    <xf numFmtId="0" fontId="0" fillId="0" borderId="14" xfId="0" applyBorder="1" applyAlignment="1">
      <alignment vertical="center" wrapText="1"/>
    </xf>
    <xf numFmtId="0" fontId="10" fillId="13" borderId="0" xfId="0" applyFont="1" applyFill="1" applyBorder="1" applyAlignment="1">
      <alignment horizontal="left" vertical="center" wrapText="1" indent="5" readingOrder="1"/>
    </xf>
    <xf numFmtId="0" fontId="10" fillId="13" borderId="0" xfId="0" applyFont="1" applyFill="1" applyBorder="1" applyAlignment="1">
      <alignment horizontal="center" vertical="center" wrapText="1" readingOrder="1"/>
    </xf>
    <xf numFmtId="0" fontId="0" fillId="13" borderId="24" xfId="0" applyFill="1" applyBorder="1"/>
    <xf numFmtId="0" fontId="29" fillId="13" borderId="0" xfId="0" applyFont="1" applyFill="1" applyBorder="1" applyAlignment="1">
      <alignment horizontal="left" vertical="center" wrapText="1"/>
    </xf>
    <xf numFmtId="0" fontId="11" fillId="0" borderId="20" xfId="0" applyFont="1" applyBorder="1" applyAlignment="1">
      <alignment horizontal="center" vertical="center" wrapText="1"/>
    </xf>
    <xf numFmtId="0" fontId="0" fillId="0" borderId="20" xfId="0" applyBorder="1" applyAlignment="1">
      <alignment vertical="center" wrapText="1"/>
    </xf>
    <xf numFmtId="1" fontId="2" fillId="13" borderId="54" xfId="2" applyNumberFormat="1" applyFill="1" applyBorder="1" applyAlignment="1">
      <alignment horizontal="center" vertical="center"/>
    </xf>
    <xf numFmtId="2" fontId="0" fillId="13" borderId="0" xfId="0" applyNumberFormat="1" applyFill="1" applyAlignment="1">
      <alignment horizontal="center" vertical="center"/>
    </xf>
    <xf numFmtId="1" fontId="2" fillId="13" borderId="0" xfId="2" applyNumberFormat="1" applyFill="1" applyBorder="1" applyAlignment="1">
      <alignment horizontal="center" vertical="center"/>
    </xf>
    <xf numFmtId="2" fontId="0" fillId="13" borderId="0" xfId="0" applyNumberFormat="1" applyFill="1" applyBorder="1" applyAlignment="1">
      <alignment horizontal="center" vertical="center"/>
    </xf>
    <xf numFmtId="0" fontId="0" fillId="13" borderId="0" xfId="0" applyFill="1" applyBorder="1" applyAlignment="1">
      <alignment vertical="center" wrapText="1"/>
    </xf>
    <xf numFmtId="2" fontId="2" fillId="13" borderId="0" xfId="2" applyNumberFormat="1" applyFill="1" applyBorder="1" applyAlignment="1">
      <alignment horizontal="center" vertical="center"/>
    </xf>
    <xf numFmtId="2" fontId="2" fillId="3" borderId="1" xfId="2" applyNumberFormat="1" applyBorder="1" applyAlignment="1">
      <alignment horizontal="center" vertical="center"/>
    </xf>
    <xf numFmtId="1" fontId="2" fillId="3" borderId="1" xfId="2" applyNumberFormat="1" applyBorder="1" applyAlignment="1">
      <alignment horizontal="center" vertical="center"/>
    </xf>
    <xf numFmtId="1" fontId="2" fillId="13" borderId="55" xfId="2" applyNumberFormat="1" applyFill="1" applyBorder="1" applyAlignment="1">
      <alignment horizontal="center" vertical="center"/>
    </xf>
    <xf numFmtId="0" fontId="0" fillId="13" borderId="14" xfId="0" applyFill="1" applyBorder="1" applyAlignment="1">
      <alignment vertical="center" wrapText="1"/>
    </xf>
    <xf numFmtId="0" fontId="17" fillId="11" borderId="16" xfId="0" applyFont="1" applyFill="1" applyBorder="1" applyAlignment="1">
      <alignment horizontal="left" vertical="center" wrapText="1"/>
    </xf>
    <xf numFmtId="0" fontId="20" fillId="13" borderId="0" xfId="0" applyFont="1" applyFill="1" applyBorder="1" applyAlignment="1">
      <alignment horizontal="right" vertical="top" wrapText="1"/>
    </xf>
    <xf numFmtId="1" fontId="21" fillId="13" borderId="0" xfId="0" applyNumberFormat="1" applyFont="1" applyFill="1" applyBorder="1" applyAlignment="1">
      <alignment horizontal="right"/>
    </xf>
    <xf numFmtId="2" fontId="21" fillId="13" borderId="0" xfId="0" applyNumberFormat="1" applyFont="1" applyFill="1" applyBorder="1" applyAlignment="1">
      <alignment horizontal="right"/>
    </xf>
    <xf numFmtId="2" fontId="21" fillId="13" borderId="0" xfId="0" applyNumberFormat="1" applyFont="1" applyFill="1" applyBorder="1"/>
    <xf numFmtId="2" fontId="21" fillId="13" borderId="0" xfId="0" applyNumberFormat="1" applyFont="1" applyFill="1" applyBorder="1" applyAlignment="1">
      <alignment horizontal="right" wrapText="1"/>
    </xf>
    <xf numFmtId="0" fontId="20" fillId="13" borderId="0" xfId="0" applyFont="1" applyFill="1" applyBorder="1" applyAlignment="1">
      <alignment horizontal="right"/>
    </xf>
    <xf numFmtId="2" fontId="20" fillId="13" borderId="0" xfId="0" applyNumberFormat="1" applyFont="1" applyFill="1" applyBorder="1" applyAlignment="1">
      <alignment horizontal="right"/>
    </xf>
    <xf numFmtId="0" fontId="19" fillId="13" borderId="0" xfId="0" applyFont="1" applyFill="1"/>
    <xf numFmtId="0" fontId="20" fillId="11" borderId="21" xfId="0" applyFont="1" applyFill="1" applyBorder="1" applyAlignment="1">
      <alignment horizontal="center" vertical="center" wrapText="1"/>
    </xf>
    <xf numFmtId="0" fontId="21" fillId="11" borderId="53" xfId="0" applyFont="1" applyFill="1" applyBorder="1" applyAlignment="1">
      <alignment horizontal="center" vertical="center" wrapText="1"/>
    </xf>
    <xf numFmtId="0" fontId="19" fillId="11" borderId="57" xfId="0" applyFont="1" applyFill="1" applyBorder="1"/>
    <xf numFmtId="0" fontId="20" fillId="11" borderId="0" xfId="0" applyFont="1" applyFill="1" applyBorder="1" applyAlignment="1">
      <alignment horizontal="right"/>
    </xf>
    <xf numFmtId="0" fontId="20" fillId="11" borderId="53" xfId="0" applyFont="1" applyFill="1" applyBorder="1" applyAlignment="1">
      <alignment horizontal="right"/>
    </xf>
    <xf numFmtId="0" fontId="19" fillId="11" borderId="58" xfId="0" applyFont="1" applyFill="1" applyBorder="1"/>
    <xf numFmtId="0" fontId="19" fillId="11" borderId="24" xfId="0" applyFont="1" applyFill="1" applyBorder="1" applyAlignment="1">
      <alignment horizontal="right"/>
    </xf>
    <xf numFmtId="0" fontId="20" fillId="11" borderId="59" xfId="0" applyFont="1" applyFill="1" applyBorder="1" applyAlignment="1">
      <alignment horizontal="right"/>
    </xf>
    <xf numFmtId="2" fontId="1" fillId="2" borderId="23" xfId="1" applyNumberFormat="1" applyBorder="1" applyAlignment="1">
      <alignment horizontal="right"/>
    </xf>
    <xf numFmtId="0" fontId="1" fillId="2" borderId="23" xfId="1" applyBorder="1" applyAlignment="1">
      <alignment horizontal="right"/>
    </xf>
    <xf numFmtId="0" fontId="1" fillId="2" borderId="35" xfId="1" applyBorder="1" applyAlignment="1">
      <alignment horizontal="right"/>
    </xf>
    <xf numFmtId="0" fontId="20" fillId="11" borderId="22" xfId="0" applyFont="1" applyFill="1" applyBorder="1" applyAlignment="1">
      <alignment horizontal="right" vertical="top" wrapText="1"/>
    </xf>
    <xf numFmtId="0" fontId="19" fillId="13" borderId="0" xfId="0" applyFont="1" applyFill="1" applyAlignment="1">
      <alignment horizontal="left"/>
    </xf>
    <xf numFmtId="0" fontId="20" fillId="11" borderId="32" xfId="0" applyFont="1" applyFill="1" applyBorder="1" applyAlignment="1">
      <alignment horizontal="center" vertical="center" wrapText="1"/>
    </xf>
    <xf numFmtId="0" fontId="20" fillId="11" borderId="32" xfId="0" applyFont="1" applyFill="1" applyBorder="1" applyAlignment="1">
      <alignment horizontal="center" vertical="top" wrapText="1"/>
    </xf>
    <xf numFmtId="0" fontId="20" fillId="11" borderId="21" xfId="0" applyFont="1" applyFill="1" applyBorder="1" applyAlignment="1">
      <alignment horizontal="center" vertical="top" wrapText="1"/>
    </xf>
    <xf numFmtId="0" fontId="21" fillId="11" borderId="0" xfId="0" applyFont="1" applyFill="1" applyBorder="1" applyAlignment="1">
      <alignment horizontal="center" vertical="center" wrapText="1"/>
    </xf>
    <xf numFmtId="2" fontId="1" fillId="2" borderId="0" xfId="1" applyNumberFormat="1" applyBorder="1" applyAlignment="1">
      <alignment horizontal="right"/>
    </xf>
    <xf numFmtId="2" fontId="1" fillId="2" borderId="0" xfId="1" applyNumberFormat="1" applyBorder="1"/>
    <xf numFmtId="2" fontId="1" fillId="2" borderId="0" xfId="1" applyNumberFormat="1" applyBorder="1" applyAlignment="1">
      <alignment horizontal="right" wrapText="1"/>
    </xf>
    <xf numFmtId="2" fontId="1" fillId="2" borderId="53" xfId="1" applyNumberFormat="1" applyBorder="1" applyAlignment="1">
      <alignment horizontal="right"/>
    </xf>
    <xf numFmtId="0" fontId="1" fillId="2" borderId="0" xfId="1" applyBorder="1" applyAlignment="1">
      <alignment horizontal="right"/>
    </xf>
    <xf numFmtId="0" fontId="20" fillId="11" borderId="24" xfId="0" applyFont="1" applyFill="1" applyBorder="1" applyAlignment="1">
      <alignment horizontal="right"/>
    </xf>
    <xf numFmtId="0" fontId="1" fillId="2" borderId="24" xfId="1" applyBorder="1" applyAlignment="1">
      <alignment horizontal="right"/>
    </xf>
    <xf numFmtId="2" fontId="1" fillId="2" borderId="24" xfId="1" applyNumberFormat="1" applyBorder="1" applyAlignment="1">
      <alignment horizontal="right"/>
    </xf>
    <xf numFmtId="2" fontId="1" fillId="2" borderId="59" xfId="1" applyNumberFormat="1" applyBorder="1" applyAlignment="1">
      <alignment horizontal="right"/>
    </xf>
    <xf numFmtId="0" fontId="0" fillId="13" borderId="0" xfId="0" applyFill="1" applyAlignment="1">
      <alignment horizontal="left"/>
    </xf>
    <xf numFmtId="0" fontId="26" fillId="11" borderId="0" xfId="0" applyFont="1" applyFill="1" applyBorder="1"/>
    <xf numFmtId="0" fontId="0" fillId="11" borderId="0" xfId="0" applyFill="1" applyAlignment="1">
      <alignment horizontal="center" vertical="center"/>
    </xf>
    <xf numFmtId="0" fontId="0" fillId="13" borderId="0" xfId="0" applyFont="1" applyFill="1"/>
    <xf numFmtId="0" fontId="6" fillId="13" borderId="0" xfId="0" applyFont="1" applyFill="1" applyBorder="1" applyAlignment="1">
      <alignment horizontal="right"/>
    </xf>
    <xf numFmtId="0" fontId="0" fillId="13" borderId="0" xfId="0" applyFill="1" applyBorder="1" applyAlignment="1">
      <alignment horizontal="right"/>
    </xf>
    <xf numFmtId="0" fontId="0" fillId="13" borderId="0" xfId="0" applyFill="1" applyAlignment="1">
      <alignment horizontal="right"/>
    </xf>
    <xf numFmtId="0" fontId="0" fillId="13" borderId="17" xfId="0" applyFill="1" applyBorder="1" applyAlignment="1">
      <alignment horizontal="center"/>
    </xf>
    <xf numFmtId="0" fontId="0" fillId="13" borderId="0" xfId="0" applyFill="1" applyAlignment="1">
      <alignment horizontal="center"/>
    </xf>
    <xf numFmtId="0" fontId="0" fillId="13" borderId="24" xfId="0" applyFill="1" applyBorder="1" applyAlignment="1">
      <alignment horizontal="center"/>
    </xf>
    <xf numFmtId="0" fontId="4" fillId="13" borderId="17" xfId="0" applyFont="1" applyFill="1" applyBorder="1" applyAlignment="1">
      <alignment horizontal="center"/>
    </xf>
    <xf numFmtId="1" fontId="0" fillId="13" borderId="0" xfId="0" applyNumberFormat="1" applyFill="1" applyAlignment="1">
      <alignment horizontal="center"/>
    </xf>
    <xf numFmtId="1" fontId="0" fillId="13" borderId="24" xfId="0" applyNumberFormat="1" applyFill="1" applyBorder="1" applyAlignment="1">
      <alignment horizontal="center"/>
    </xf>
    <xf numFmtId="1" fontId="1" fillId="13" borderId="0" xfId="1" applyNumberFormat="1" applyFill="1" applyBorder="1"/>
    <xf numFmtId="0" fontId="22" fillId="13" borderId="0" xfId="1" applyFont="1" applyFill="1" applyBorder="1"/>
    <xf numFmtId="0" fontId="4" fillId="13" borderId="0" xfId="0" applyFont="1" applyFill="1" applyAlignment="1">
      <alignment horizontal="center"/>
    </xf>
    <xf numFmtId="0" fontId="4" fillId="13" borderId="0" xfId="0" applyFont="1" applyFill="1" applyBorder="1"/>
    <xf numFmtId="0" fontId="0" fillId="0" borderId="0" xfId="0" applyFill="1" applyBorder="1"/>
    <xf numFmtId="0" fontId="24" fillId="13" borderId="50" xfId="0" applyFont="1" applyFill="1" applyBorder="1" applyAlignment="1">
      <alignment horizontal="right"/>
    </xf>
    <xf numFmtId="0" fontId="24" fillId="13" borderId="51" xfId="2" applyFont="1" applyFill="1" applyBorder="1" applyAlignment="1">
      <alignment horizontal="right"/>
    </xf>
    <xf numFmtId="0" fontId="24" fillId="13" borderId="11" xfId="2" applyFont="1" applyFill="1" applyBorder="1" applyAlignment="1">
      <alignment horizontal="right"/>
    </xf>
    <xf numFmtId="0" fontId="24" fillId="13" borderId="8" xfId="0" applyFont="1" applyFill="1" applyBorder="1" applyAlignment="1">
      <alignment horizontal="right"/>
    </xf>
    <xf numFmtId="0" fontId="2" fillId="3" borderId="23" xfId="2" applyBorder="1" applyAlignment="1"/>
    <xf numFmtId="0" fontId="2" fillId="3" borderId="35" xfId="2" applyBorder="1" applyAlignment="1"/>
    <xf numFmtId="0" fontId="11" fillId="0" borderId="23" xfId="1" applyFont="1" applyFill="1" applyBorder="1" applyAlignment="1"/>
    <xf numFmtId="0" fontId="0" fillId="11" borderId="0" xfId="0" applyFill="1"/>
    <xf numFmtId="2" fontId="0" fillId="11" borderId="0" xfId="0" applyNumberFormat="1" applyFill="1"/>
    <xf numFmtId="0" fontId="30" fillId="11" borderId="0" xfId="0" applyFont="1" applyFill="1" applyAlignment="1">
      <alignment wrapText="1"/>
    </xf>
    <xf numFmtId="0" fontId="30" fillId="11" borderId="0" xfId="0" applyFont="1" applyFill="1" applyAlignment="1">
      <alignment vertical="center"/>
    </xf>
    <xf numFmtId="0" fontId="0" fillId="13" borderId="57" xfId="0" applyFill="1" applyBorder="1" applyAlignment="1">
      <alignment vertical="top" wrapText="1"/>
    </xf>
    <xf numFmtId="0" fontId="2" fillId="3" borderId="22" xfId="2" applyBorder="1" applyAlignment="1"/>
    <xf numFmtId="2" fontId="2" fillId="13" borderId="0" xfId="2" applyNumberFormat="1" applyFill="1" applyBorder="1"/>
    <xf numFmtId="0" fontId="0" fillId="13" borderId="0" xfId="0" applyFill="1" applyAlignment="1"/>
    <xf numFmtId="0" fontId="0" fillId="13" borderId="0" xfId="0" applyFill="1" applyAlignment="1">
      <alignment vertical="center"/>
    </xf>
    <xf numFmtId="0" fontId="4" fillId="13" borderId="57" xfId="0" applyFont="1" applyFill="1" applyBorder="1" applyAlignment="1">
      <alignment vertical="center"/>
    </xf>
    <xf numFmtId="0" fontId="0" fillId="0" borderId="16" xfId="0" applyBorder="1" applyAlignment="1">
      <alignment vertical="center"/>
    </xf>
    <xf numFmtId="0" fontId="0" fillId="13" borderId="56" xfId="0" applyFill="1" applyBorder="1" applyAlignment="1">
      <alignment vertical="center"/>
    </xf>
    <xf numFmtId="0" fontId="1" fillId="13" borderId="32" xfId="1" applyFont="1" applyFill="1" applyBorder="1"/>
    <xf numFmtId="0" fontId="1" fillId="13" borderId="0" xfId="1" applyFont="1" applyFill="1" applyBorder="1"/>
    <xf numFmtId="0" fontId="0" fillId="13" borderId="0" xfId="0" applyFill="1" applyBorder="1" applyAlignment="1">
      <alignment vertical="center"/>
    </xf>
    <xf numFmtId="0" fontId="1" fillId="2" borderId="18" xfId="1" applyFont="1" applyBorder="1" applyAlignment="1">
      <alignment horizontal="center"/>
    </xf>
    <xf numFmtId="0" fontId="11" fillId="13" borderId="0" xfId="4" applyFont="1" applyFill="1" applyAlignment="1">
      <alignment vertical="center"/>
    </xf>
    <xf numFmtId="1" fontId="1" fillId="13" borderId="0" xfId="1" applyNumberFormat="1" applyFill="1" applyBorder="1" applyAlignment="1">
      <alignment horizontal="right"/>
    </xf>
    <xf numFmtId="0" fontId="24" fillId="13" borderId="0" xfId="4" applyFont="1" applyFill="1" applyAlignment="1">
      <alignment vertical="center"/>
    </xf>
    <xf numFmtId="1" fontId="0" fillId="13" borderId="0" xfId="0" applyNumberFormat="1" applyFill="1"/>
    <xf numFmtId="1" fontId="0" fillId="13" borderId="0" xfId="0" applyNumberFormat="1" applyFill="1" applyBorder="1"/>
    <xf numFmtId="1" fontId="1" fillId="13" borderId="69" xfId="1" applyNumberFormat="1" applyFill="1" applyBorder="1"/>
    <xf numFmtId="2" fontId="3" fillId="13" borderId="2" xfId="3" applyNumberFormat="1" applyFill="1" applyAlignment="1">
      <alignment horizontal="center"/>
    </xf>
    <xf numFmtId="0" fontId="7" fillId="13" borderId="0" xfId="0" applyFont="1" applyFill="1" applyAlignment="1">
      <alignment horizontal="center"/>
    </xf>
    <xf numFmtId="0" fontId="0" fillId="13" borderId="3" xfId="0" applyFill="1" applyBorder="1" applyAlignment="1">
      <alignment horizontal="center"/>
    </xf>
    <xf numFmtId="0" fontId="0" fillId="13" borderId="4" xfId="0" applyFill="1" applyBorder="1" applyAlignment="1">
      <alignment horizontal="center"/>
    </xf>
    <xf numFmtId="0" fontId="6" fillId="13" borderId="0" xfId="0" applyFont="1" applyFill="1" applyAlignment="1">
      <alignment horizontal="left"/>
    </xf>
    <xf numFmtId="165" fontId="0" fillId="13" borderId="0" xfId="0" applyNumberFormat="1" applyFill="1"/>
    <xf numFmtId="2" fontId="0" fillId="13" borderId="0" xfId="0" applyNumberFormat="1" applyFill="1" applyAlignment="1">
      <alignment horizontal="left"/>
    </xf>
    <xf numFmtId="0" fontId="0" fillId="13" borderId="0" xfId="0" applyFont="1" applyFill="1" applyAlignment="1">
      <alignment horizontal="left"/>
    </xf>
    <xf numFmtId="2" fontId="0" fillId="13" borderId="0" xfId="0" applyNumberFormat="1" applyFill="1"/>
    <xf numFmtId="0" fontId="0" fillId="13" borderId="81" xfId="0" applyFill="1" applyBorder="1" applyAlignment="1">
      <alignment horizontal="left" vertical="center" wrapText="1"/>
    </xf>
    <xf numFmtId="0" fontId="0" fillId="13" borderId="82" xfId="0" applyFill="1" applyBorder="1" applyAlignment="1">
      <alignment horizontal="left" vertical="center" wrapText="1"/>
    </xf>
    <xf numFmtId="0" fontId="0" fillId="0" borderId="81" xfId="0" applyFont="1" applyBorder="1" applyAlignment="1">
      <alignment horizontal="left" vertical="center" wrapText="1"/>
    </xf>
    <xf numFmtId="0" fontId="0" fillId="13" borderId="0" xfId="0" applyFill="1" applyBorder="1" applyAlignment="1">
      <alignment horizontal="center"/>
    </xf>
    <xf numFmtId="0" fontId="0" fillId="13" borderId="83" xfId="0" applyFill="1" applyBorder="1" applyAlignment="1">
      <alignment horizontal="center"/>
    </xf>
    <xf numFmtId="0" fontId="0" fillId="13" borderId="36" xfId="0" applyFill="1" applyBorder="1"/>
    <xf numFmtId="0" fontId="4" fillId="13" borderId="0" xfId="0" applyFont="1" applyFill="1" applyAlignment="1">
      <alignment horizontal="left"/>
    </xf>
    <xf numFmtId="0" fontId="8" fillId="13" borderId="0" xfId="4" applyFill="1"/>
    <xf numFmtId="0" fontId="12" fillId="13" borderId="0" xfId="4" applyFont="1" applyFill="1"/>
    <xf numFmtId="0" fontId="13" fillId="13" borderId="0" xfId="4" applyFont="1" applyFill="1"/>
    <xf numFmtId="0" fontId="26" fillId="13" borderId="0" xfId="0" applyFont="1" applyFill="1"/>
    <xf numFmtId="0" fontId="32" fillId="0" borderId="0" xfId="0" applyFont="1"/>
    <xf numFmtId="0" fontId="11" fillId="13" borderId="0" xfId="4" applyFont="1" applyFill="1"/>
    <xf numFmtId="0" fontId="33" fillId="13" borderId="0" xfId="0" applyFont="1" applyFill="1"/>
    <xf numFmtId="0" fontId="2" fillId="3" borderId="84" xfId="2" applyBorder="1"/>
    <xf numFmtId="0" fontId="2" fillId="3" borderId="85" xfId="2" applyBorder="1"/>
    <xf numFmtId="0" fontId="2" fillId="3" borderId="86" xfId="2" applyBorder="1"/>
    <xf numFmtId="0" fontId="2" fillId="3" borderId="69" xfId="2" applyBorder="1"/>
    <xf numFmtId="0" fontId="2" fillId="3" borderId="13" xfId="2" applyBorder="1"/>
    <xf numFmtId="0" fontId="2" fillId="3" borderId="87" xfId="2" applyBorder="1"/>
    <xf numFmtId="0" fontId="4" fillId="11" borderId="0" xfId="0" applyFont="1" applyFill="1"/>
    <xf numFmtId="0" fontId="0" fillId="13" borderId="88" xfId="0" applyFill="1" applyBorder="1" applyAlignment="1">
      <alignment horizontal="right"/>
    </xf>
    <xf numFmtId="0" fontId="0" fillId="13" borderId="89" xfId="0" applyFill="1" applyBorder="1" applyAlignment="1">
      <alignment horizontal="right"/>
    </xf>
    <xf numFmtId="0" fontId="0" fillId="13" borderId="15" xfId="0" applyFill="1" applyBorder="1" applyAlignment="1">
      <alignment horizontal="right"/>
    </xf>
    <xf numFmtId="0" fontId="2" fillId="13" borderId="0" xfId="2" applyFont="1" applyFill="1" applyBorder="1" applyAlignment="1">
      <alignment horizontal="right"/>
    </xf>
    <xf numFmtId="0" fontId="2" fillId="3" borderId="1" xfId="2" applyAlignment="1">
      <alignment horizontal="right"/>
    </xf>
    <xf numFmtId="0" fontId="4" fillId="13" borderId="0" xfId="0" applyFont="1" applyFill="1" applyAlignment="1">
      <alignment horizontal="left" wrapText="1"/>
    </xf>
    <xf numFmtId="0" fontId="6" fillId="13" borderId="0" xfId="0" applyFont="1" applyFill="1" applyBorder="1"/>
    <xf numFmtId="0" fontId="4" fillId="13" borderId="0" xfId="0" applyFont="1" applyFill="1" applyBorder="1" applyAlignment="1">
      <alignment horizontal="left"/>
    </xf>
    <xf numFmtId="0" fontId="2" fillId="3" borderId="25" xfId="2" applyBorder="1" applyAlignment="1">
      <alignment horizontal="left"/>
    </xf>
    <xf numFmtId="0" fontId="2" fillId="3" borderId="25" xfId="2" applyBorder="1" applyAlignment="1"/>
    <xf numFmtId="0" fontId="2" fillId="3" borderId="26" xfId="2" applyBorder="1" applyAlignment="1" applyProtection="1">
      <alignment horizontal="left" vertical="center" wrapText="1"/>
      <protection locked="0"/>
    </xf>
    <xf numFmtId="0" fontId="2" fillId="3" borderId="90" xfId="2" applyBorder="1" applyAlignment="1" applyProtection="1">
      <alignment horizontal="left" vertical="center" wrapText="1"/>
      <protection locked="0"/>
    </xf>
    <xf numFmtId="0" fontId="2" fillId="3" borderId="26" xfId="2" applyBorder="1" applyAlignment="1">
      <alignment horizontal="left" vertical="center"/>
    </xf>
    <xf numFmtId="0" fontId="2" fillId="3" borderId="94" xfId="2" applyBorder="1" applyAlignment="1">
      <alignment horizontal="left" vertical="center"/>
    </xf>
    <xf numFmtId="0" fontId="2" fillId="3" borderId="90" xfId="2" applyBorder="1" applyAlignment="1">
      <alignment horizontal="left" vertical="center"/>
    </xf>
    <xf numFmtId="0" fontId="2" fillId="3" borderId="26" xfId="2" applyBorder="1" applyAlignment="1">
      <alignment horizontal="left" vertical="center" wrapText="1"/>
    </xf>
    <xf numFmtId="0" fontId="2" fillId="3" borderId="90" xfId="2" applyBorder="1" applyAlignment="1">
      <alignment horizontal="left" vertical="center" wrapText="1"/>
    </xf>
    <xf numFmtId="2" fontId="22" fillId="2" borderId="25" xfId="1" applyNumberFormat="1" applyFont="1" applyBorder="1"/>
    <xf numFmtId="0" fontId="2" fillId="3" borderId="25" xfId="2" applyBorder="1"/>
    <xf numFmtId="0" fontId="4" fillId="13" borderId="18" xfId="0" applyFont="1" applyFill="1" applyBorder="1" applyAlignment="1">
      <alignment horizontal="center"/>
    </xf>
    <xf numFmtId="0" fontId="0" fillId="0" borderId="18" xfId="0" applyBorder="1" applyAlignment="1">
      <alignment horizontal="center"/>
    </xf>
    <xf numFmtId="0" fontId="0" fillId="0" borderId="16" xfId="0" applyBorder="1" applyAlignment="1">
      <alignment horizontal="center"/>
    </xf>
    <xf numFmtId="0" fontId="0" fillId="13" borderId="53" xfId="0" applyFill="1" applyBorder="1" applyAlignment="1">
      <alignment horizontal="center"/>
    </xf>
    <xf numFmtId="0" fontId="0" fillId="13" borderId="38" xfId="0" applyFill="1" applyBorder="1" applyAlignment="1">
      <alignment wrapText="1"/>
    </xf>
    <xf numFmtId="0" fontId="28" fillId="13" borderId="0" xfId="0" applyFont="1" applyFill="1"/>
    <xf numFmtId="0" fontId="0" fillId="13" borderId="0" xfId="0" applyNumberFormat="1" applyFill="1"/>
    <xf numFmtId="0" fontId="0" fillId="13" borderId="0" xfId="0" applyFill="1" applyBorder="1" applyAlignment="1">
      <alignment wrapText="1"/>
    </xf>
    <xf numFmtId="0" fontId="0" fillId="13" borderId="96" xfId="0" applyFill="1" applyBorder="1"/>
    <xf numFmtId="0" fontId="4" fillId="11" borderId="0" xfId="0" applyFont="1" applyFill="1" applyAlignment="1">
      <alignment horizontal="left"/>
    </xf>
    <xf numFmtId="0" fontId="0" fillId="14" borderId="0" xfId="0" applyFill="1" applyAlignment="1">
      <alignment horizontal="right"/>
    </xf>
    <xf numFmtId="0" fontId="0" fillId="12" borderId="0" xfId="0" applyFill="1" applyAlignment="1">
      <alignment horizontal="right"/>
    </xf>
    <xf numFmtId="0" fontId="0" fillId="17" borderId="0" xfId="0" applyFill="1" applyAlignment="1">
      <alignment horizontal="right"/>
    </xf>
    <xf numFmtId="0" fontId="0" fillId="18" borderId="0" xfId="0" applyFill="1" applyAlignment="1">
      <alignment horizontal="right"/>
    </xf>
    <xf numFmtId="0" fontId="0" fillId="17" borderId="0" xfId="0" applyFill="1"/>
    <xf numFmtId="0" fontId="0" fillId="16" borderId="0" xfId="0" applyFill="1"/>
    <xf numFmtId="0" fontId="0" fillId="19" borderId="0" xfId="0" applyFill="1"/>
    <xf numFmtId="0" fontId="0" fillId="21" borderId="0" xfId="0" applyFill="1" applyAlignment="1">
      <alignment horizontal="right"/>
    </xf>
    <xf numFmtId="0" fontId="31" fillId="20" borderId="0" xfId="0" applyFont="1" applyFill="1" applyAlignment="1">
      <alignment horizontal="right"/>
    </xf>
    <xf numFmtId="0" fontId="0" fillId="15" borderId="0" xfId="0" applyFont="1" applyFill="1" applyBorder="1"/>
    <xf numFmtId="0" fontId="8" fillId="13" borderId="0" xfId="4" applyFill="1" applyBorder="1"/>
    <xf numFmtId="0" fontId="26" fillId="13" borderId="0" xfId="0" applyFont="1" applyFill="1" applyBorder="1" applyAlignment="1">
      <alignment horizontal="left"/>
    </xf>
    <xf numFmtId="0" fontId="31" fillId="13" borderId="0" xfId="0" applyFont="1" applyFill="1" applyBorder="1"/>
    <xf numFmtId="0" fontId="31" fillId="13" borderId="0" xfId="0" applyFont="1" applyFill="1"/>
    <xf numFmtId="0" fontId="0" fillId="13" borderId="16" xfId="0" applyFill="1" applyBorder="1"/>
    <xf numFmtId="0" fontId="0" fillId="13" borderId="57" xfId="0" applyFill="1" applyBorder="1" applyAlignment="1">
      <alignment horizontal="right"/>
    </xf>
    <xf numFmtId="0" fontId="0" fillId="13" borderId="58" xfId="0" applyFill="1" applyBorder="1" applyAlignment="1">
      <alignment horizontal="right"/>
    </xf>
    <xf numFmtId="0" fontId="6" fillId="13" borderId="56" xfId="0" applyFont="1" applyFill="1" applyBorder="1" applyAlignment="1">
      <alignment horizontal="right"/>
    </xf>
    <xf numFmtId="0" fontId="6" fillId="13" borderId="16" xfId="0" applyFont="1" applyFill="1" applyBorder="1" applyAlignment="1">
      <alignment horizontal="right"/>
    </xf>
    <xf numFmtId="0" fontId="0" fillId="13" borderId="32" xfId="0" applyFill="1" applyBorder="1" applyAlignment="1">
      <alignment horizontal="center"/>
    </xf>
    <xf numFmtId="0" fontId="4" fillId="13" borderId="0" xfId="0" applyFont="1" applyFill="1" applyBorder="1" applyAlignment="1">
      <alignment horizontal="center"/>
    </xf>
    <xf numFmtId="0" fontId="34" fillId="13" borderId="0" xfId="0" applyFont="1" applyFill="1" applyBorder="1"/>
    <xf numFmtId="1" fontId="1" fillId="13" borderId="0" xfId="1" applyNumberFormat="1" applyFill="1" applyBorder="1" applyAlignment="1">
      <alignment horizontal="center"/>
    </xf>
    <xf numFmtId="0" fontId="6" fillId="13" borderId="57" xfId="0" applyFont="1" applyFill="1" applyBorder="1" applyAlignment="1">
      <alignment horizontal="right"/>
    </xf>
    <xf numFmtId="1" fontId="1" fillId="2" borderId="32" xfId="1" applyNumberFormat="1" applyBorder="1" applyAlignment="1">
      <alignment horizontal="center"/>
    </xf>
    <xf numFmtId="0" fontId="22" fillId="2" borderId="18" xfId="1" applyFont="1" applyBorder="1" applyAlignment="1">
      <alignment horizontal="center"/>
    </xf>
    <xf numFmtId="0" fontId="2" fillId="3" borderId="21" xfId="2" applyBorder="1" applyAlignment="1">
      <alignment horizontal="center"/>
    </xf>
    <xf numFmtId="0" fontId="2" fillId="3" borderId="59" xfId="2" applyBorder="1" applyAlignment="1">
      <alignment horizontal="center"/>
    </xf>
    <xf numFmtId="1" fontId="0" fillId="13" borderId="0" xfId="0" applyNumberFormat="1" applyFill="1" applyBorder="1" applyAlignment="1">
      <alignment horizontal="center"/>
    </xf>
    <xf numFmtId="0" fontId="2" fillId="13" borderId="0" xfId="2" applyFill="1" applyBorder="1" applyAlignment="1">
      <alignment horizontal="center"/>
    </xf>
    <xf numFmtId="2" fontId="1" fillId="13" borderId="0" xfId="1" applyNumberFormat="1" applyFill="1" applyBorder="1" applyAlignment="1">
      <alignment horizontal="center"/>
    </xf>
    <xf numFmtId="0" fontId="2" fillId="3" borderId="88" xfId="2" applyBorder="1" applyAlignment="1">
      <alignment horizontal="center"/>
    </xf>
    <xf numFmtId="0" fontId="2" fillId="3" borderId="84" xfId="2" applyBorder="1" applyAlignment="1">
      <alignment horizontal="center"/>
    </xf>
    <xf numFmtId="2" fontId="1" fillId="2" borderId="22" xfId="1" applyNumberFormat="1" applyBorder="1" applyAlignment="1">
      <alignment horizontal="center"/>
    </xf>
    <xf numFmtId="0" fontId="2" fillId="13" borderId="32" xfId="2" applyFill="1" applyBorder="1" applyAlignment="1">
      <alignment horizontal="center"/>
    </xf>
    <xf numFmtId="2" fontId="1" fillId="13" borderId="32" xfId="1" applyNumberFormat="1" applyFill="1" applyBorder="1" applyAlignment="1">
      <alignment horizontal="center"/>
    </xf>
    <xf numFmtId="0" fontId="22" fillId="13" borderId="0" xfId="1" applyFont="1" applyFill="1" applyBorder="1" applyAlignment="1">
      <alignment horizontal="center"/>
    </xf>
    <xf numFmtId="0" fontId="24" fillId="10" borderId="0" xfId="0" applyFont="1" applyFill="1"/>
    <xf numFmtId="0" fontId="1" fillId="0" borderId="0" xfId="1" applyFill="1" applyBorder="1"/>
    <xf numFmtId="0" fontId="11" fillId="10" borderId="0" xfId="1" applyFont="1" applyFill="1" applyBorder="1"/>
    <xf numFmtId="0" fontId="2" fillId="3" borderId="39" xfId="2" applyBorder="1" applyAlignment="1">
      <alignment wrapText="1"/>
    </xf>
    <xf numFmtId="0" fontId="2" fillId="3" borderId="98" xfId="2" applyBorder="1"/>
    <xf numFmtId="0" fontId="2" fillId="3" borderId="99" xfId="2" applyBorder="1"/>
    <xf numFmtId="166" fontId="2" fillId="3" borderId="100" xfId="2" applyNumberFormat="1" applyBorder="1"/>
    <xf numFmtId="0" fontId="2" fillId="3" borderId="101" xfId="2" applyBorder="1"/>
    <xf numFmtId="166" fontId="1" fillId="2" borderId="39" xfId="1" applyNumberFormat="1" applyBorder="1"/>
    <xf numFmtId="0" fontId="2" fillId="3" borderId="39" xfId="2" applyBorder="1"/>
    <xf numFmtId="0" fontId="2" fillId="3" borderId="40" xfId="2" applyBorder="1" applyAlignment="1">
      <alignment wrapText="1"/>
    </xf>
    <xf numFmtId="0" fontId="2" fillId="3" borderId="102" xfId="2" applyBorder="1"/>
    <xf numFmtId="0" fontId="2" fillId="3" borderId="103" xfId="2" applyBorder="1"/>
    <xf numFmtId="166" fontId="2" fillId="3" borderId="104" xfId="2" applyNumberFormat="1" applyBorder="1"/>
    <xf numFmtId="0" fontId="2" fillId="3" borderId="105" xfId="2" applyBorder="1"/>
    <xf numFmtId="166" fontId="1" fillId="2" borderId="40" xfId="1" applyNumberFormat="1" applyBorder="1"/>
    <xf numFmtId="0" fontId="2" fillId="3" borderId="40" xfId="2" applyBorder="1"/>
    <xf numFmtId="0" fontId="2" fillId="3" borderId="106" xfId="2" applyBorder="1" applyAlignment="1">
      <alignment wrapText="1"/>
    </xf>
    <xf numFmtId="0" fontId="2" fillId="3" borderId="107" xfId="2" applyBorder="1"/>
    <xf numFmtId="0" fontId="2" fillId="3" borderId="108" xfId="2" applyBorder="1"/>
    <xf numFmtId="166" fontId="2" fillId="3" borderId="109" xfId="2" applyNumberFormat="1" applyBorder="1"/>
    <xf numFmtId="0" fontId="2" fillId="3" borderId="110" xfId="2" applyBorder="1"/>
    <xf numFmtId="166" fontId="1" fillId="2" borderId="106" xfId="1" applyNumberFormat="1" applyBorder="1"/>
    <xf numFmtId="0" fontId="2" fillId="3" borderId="106" xfId="2" applyBorder="1"/>
    <xf numFmtId="0" fontId="1" fillId="2" borderId="111" xfId="1" applyBorder="1"/>
    <xf numFmtId="166" fontId="1" fillId="2" borderId="112" xfId="1" applyNumberFormat="1" applyBorder="1"/>
    <xf numFmtId="0" fontId="1" fillId="2" borderId="113" xfId="1" applyBorder="1"/>
    <xf numFmtId="166" fontId="1" fillId="2" borderId="114" xfId="1" applyNumberFormat="1" applyBorder="1"/>
    <xf numFmtId="0" fontId="1" fillId="2" borderId="115" xfId="1" applyBorder="1"/>
    <xf numFmtId="166" fontId="1" fillId="2" borderId="116" xfId="1" applyNumberFormat="1" applyBorder="1"/>
    <xf numFmtId="0" fontId="11" fillId="0" borderId="0" xfId="1" applyFont="1" applyFill="1" applyBorder="1"/>
    <xf numFmtId="0" fontId="2" fillId="3" borderId="112" xfId="2" applyBorder="1"/>
    <xf numFmtId="0" fontId="2" fillId="3" borderId="114" xfId="2" applyBorder="1"/>
    <xf numFmtId="0" fontId="2" fillId="3" borderId="116" xfId="2" applyBorder="1"/>
    <xf numFmtId="0" fontId="1" fillId="2" borderId="39" xfId="1" applyBorder="1" applyAlignment="1">
      <alignment wrapText="1"/>
    </xf>
    <xf numFmtId="0" fontId="1" fillId="2" borderId="101" xfId="1" applyBorder="1"/>
    <xf numFmtId="0" fontId="1" fillId="2" borderId="99" xfId="1" applyBorder="1"/>
    <xf numFmtId="0" fontId="1" fillId="2" borderId="100" xfId="1" applyBorder="1"/>
    <xf numFmtId="0" fontId="1" fillId="2" borderId="39" xfId="1" applyBorder="1"/>
    <xf numFmtId="0" fontId="1" fillId="2" borderId="40" xfId="1" applyBorder="1" applyAlignment="1">
      <alignment wrapText="1"/>
    </xf>
    <xf numFmtId="0" fontId="1" fillId="2" borderId="105" xfId="1" applyBorder="1"/>
    <xf numFmtId="0" fontId="1" fillId="2" borderId="103" xfId="1" applyBorder="1"/>
    <xf numFmtId="0" fontId="1" fillId="2" borderId="104" xfId="1" applyBorder="1"/>
    <xf numFmtId="0" fontId="1" fillId="2" borderId="40" xfId="1" applyBorder="1"/>
    <xf numFmtId="0" fontId="1" fillId="2" borderId="106" xfId="1" applyBorder="1" applyAlignment="1">
      <alignment wrapText="1"/>
    </xf>
    <xf numFmtId="0" fontId="1" fillId="2" borderId="110" xfId="1" applyBorder="1"/>
    <xf numFmtId="0" fontId="1" fillId="2" borderId="108" xfId="1" applyBorder="1"/>
    <xf numFmtId="0" fontId="1" fillId="2" borderId="109" xfId="1" applyBorder="1"/>
    <xf numFmtId="0" fontId="1" fillId="2" borderId="106" xfId="1" applyBorder="1"/>
    <xf numFmtId="166" fontId="1" fillId="2" borderId="117" xfId="6" applyNumberFormat="1" applyFont="1" applyFill="1" applyBorder="1"/>
    <xf numFmtId="166" fontId="1" fillId="2" borderId="114" xfId="6" applyNumberFormat="1" applyFont="1" applyFill="1" applyBorder="1"/>
    <xf numFmtId="166" fontId="1" fillId="2" borderId="116" xfId="6" applyNumberFormat="1" applyFont="1" applyFill="1" applyBorder="1"/>
    <xf numFmtId="166" fontId="1" fillId="2" borderId="112" xfId="6" applyNumberFormat="1" applyFont="1" applyFill="1" applyBorder="1"/>
    <xf numFmtId="0" fontId="0" fillId="0" borderId="0" xfId="0" applyFill="1" applyAlignment="1">
      <alignment horizontal="right"/>
    </xf>
    <xf numFmtId="0" fontId="8" fillId="0" borderId="0" xfId="4"/>
    <xf numFmtId="0" fontId="4" fillId="0" borderId="0" xfId="0" applyFont="1" applyFill="1"/>
    <xf numFmtId="0" fontId="0" fillId="13" borderId="0" xfId="0" applyFill="1" applyAlignment="1">
      <alignment horizontal="right"/>
    </xf>
    <xf numFmtId="0" fontId="2" fillId="3" borderId="1" xfId="2" applyAlignment="1">
      <alignment wrapText="1"/>
    </xf>
    <xf numFmtId="0" fontId="2" fillId="3" borderId="0" xfId="2" applyBorder="1" applyAlignment="1"/>
    <xf numFmtId="0" fontId="0" fillId="0" borderId="69" xfId="0" applyBorder="1" applyAlignment="1"/>
    <xf numFmtId="0" fontId="1" fillId="2" borderId="0" xfId="1" applyBorder="1" applyAlignment="1"/>
    <xf numFmtId="0" fontId="0" fillId="0" borderId="0" xfId="0" applyAlignment="1"/>
    <xf numFmtId="0" fontId="4" fillId="13" borderId="41" xfId="0" applyFont="1" applyFill="1" applyBorder="1" applyAlignment="1">
      <alignment horizontal="right"/>
    </xf>
    <xf numFmtId="0" fontId="0" fillId="13" borderId="44" xfId="0" applyFill="1" applyBorder="1" applyAlignment="1"/>
    <xf numFmtId="0" fontId="4" fillId="13" borderId="42" xfId="0" applyFont="1" applyFill="1" applyBorder="1" applyAlignment="1">
      <alignment horizontal="right"/>
    </xf>
    <xf numFmtId="0" fontId="0" fillId="13" borderId="45" xfId="0" applyFill="1" applyBorder="1" applyAlignment="1"/>
    <xf numFmtId="0" fontId="24" fillId="13" borderId="41" xfId="2" applyFont="1" applyFill="1" applyBorder="1" applyAlignment="1">
      <alignment horizontal="right"/>
    </xf>
    <xf numFmtId="0" fontId="11" fillId="0" borderId="47" xfId="0" applyFont="1" applyBorder="1" applyAlignment="1"/>
    <xf numFmtId="0" fontId="24" fillId="13" borderId="42" xfId="2" applyFont="1" applyFill="1" applyBorder="1" applyAlignment="1">
      <alignment horizontal="right"/>
    </xf>
    <xf numFmtId="0" fontId="11" fillId="0" borderId="48" xfId="0" applyFont="1" applyBorder="1" applyAlignment="1"/>
    <xf numFmtId="0" fontId="24" fillId="0" borderId="47" xfId="0" applyFont="1" applyBorder="1" applyAlignment="1"/>
    <xf numFmtId="0" fontId="24" fillId="0" borderId="48" xfId="0" applyFont="1" applyBorder="1" applyAlignment="1"/>
    <xf numFmtId="0" fontId="2" fillId="3" borderId="91" xfId="2" applyBorder="1" applyAlignment="1" applyProtection="1">
      <alignment horizontal="left" vertical="center" wrapText="1"/>
      <protection locked="0"/>
    </xf>
    <xf numFmtId="0" fontId="2" fillId="3" borderId="92" xfId="2" applyBorder="1" applyAlignment="1" applyProtection="1">
      <alignment horizontal="left" vertical="center" wrapText="1"/>
      <protection locked="0"/>
    </xf>
    <xf numFmtId="0" fontId="2" fillId="3" borderId="93" xfId="2" applyBorder="1" applyAlignment="1" applyProtection="1">
      <alignment horizontal="left" vertical="center" wrapText="1"/>
      <protection locked="0"/>
    </xf>
    <xf numFmtId="0" fontId="0" fillId="0" borderId="29" xfId="0" applyFont="1" applyFill="1" applyBorder="1" applyAlignment="1">
      <alignment wrapText="1"/>
    </xf>
    <xf numFmtId="0" fontId="0" fillId="0" borderId="30" xfId="0" applyBorder="1" applyAlignment="1"/>
    <xf numFmtId="0" fontId="1" fillId="2" borderId="113" xfId="1" applyBorder="1" applyAlignment="1"/>
    <xf numFmtId="0" fontId="1" fillId="2" borderId="114" xfId="1" applyBorder="1" applyAlignment="1"/>
    <xf numFmtId="0" fontId="1" fillId="2" borderId="115" xfId="1" applyBorder="1" applyAlignment="1"/>
    <xf numFmtId="0" fontId="1" fillId="2" borderId="116" xfId="1" applyBorder="1" applyAlignment="1"/>
    <xf numFmtId="0" fontId="4" fillId="0" borderId="29" xfId="0" applyFont="1" applyBorder="1" applyAlignment="1"/>
    <xf numFmtId="0" fontId="1" fillId="2" borderId="111" xfId="1" applyBorder="1" applyAlignment="1"/>
    <xf numFmtId="0" fontId="1" fillId="2" borderId="112" xfId="1" applyBorder="1" applyAlignment="1"/>
    <xf numFmtId="0" fontId="20" fillId="11" borderId="56"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8" fillId="0" borderId="19" xfId="0" applyFont="1" applyFill="1" applyBorder="1" applyAlignment="1">
      <alignment vertical="center" wrapText="1"/>
    </xf>
    <xf numFmtId="0" fontId="18" fillId="0" borderId="17" xfId="0" applyFont="1" applyFill="1" applyBorder="1" applyAlignment="1">
      <alignment vertical="center" wrapText="1"/>
    </xf>
    <xf numFmtId="0" fontId="18" fillId="0" borderId="18" xfId="0" applyFont="1" applyFill="1" applyBorder="1" applyAlignment="1">
      <alignment vertical="center" wrapText="1"/>
    </xf>
    <xf numFmtId="0" fontId="20" fillId="11" borderId="57" xfId="0" applyFont="1" applyFill="1" applyBorder="1" applyAlignment="1">
      <alignment horizontal="center" vertical="center"/>
    </xf>
    <xf numFmtId="0" fontId="21" fillId="9" borderId="0" xfId="0" applyFont="1" applyFill="1" applyBorder="1" applyAlignment="1">
      <alignment horizontal="left" vertical="center" wrapText="1"/>
    </xf>
    <xf numFmtId="0" fontId="18" fillId="13" borderId="19" xfId="0" applyFont="1" applyFill="1" applyBorder="1" applyAlignment="1">
      <alignment vertical="center" wrapText="1"/>
    </xf>
    <xf numFmtId="0" fontId="18" fillId="13" borderId="17" xfId="0" applyFont="1" applyFill="1" applyBorder="1" applyAlignment="1">
      <alignment vertical="center" wrapText="1"/>
    </xf>
    <xf numFmtId="0" fontId="18" fillId="13" borderId="18" xfId="0" applyFont="1" applyFill="1" applyBorder="1" applyAlignment="1">
      <alignment vertical="center" wrapText="1"/>
    </xf>
    <xf numFmtId="1" fontId="3" fillId="13" borderId="79" xfId="3" applyNumberFormat="1" applyFill="1" applyBorder="1" applyAlignment="1">
      <alignment horizontal="center" vertical="center"/>
    </xf>
    <xf numFmtId="1" fontId="3" fillId="13" borderId="80" xfId="3" applyNumberFormat="1" applyFill="1" applyBorder="1" applyAlignment="1">
      <alignment horizontal="center" vertical="center"/>
    </xf>
    <xf numFmtId="0" fontId="0" fillId="0" borderId="60" xfId="0" applyBorder="1" applyAlignment="1">
      <alignment horizontal="left" vertical="center" wrapText="1"/>
    </xf>
    <xf numFmtId="0" fontId="0" fillId="0" borderId="63" xfId="0" applyBorder="1" applyAlignment="1">
      <alignment horizontal="left" vertical="center" wrapText="1"/>
    </xf>
    <xf numFmtId="1" fontId="1" fillId="2" borderId="61" xfId="1" applyNumberFormat="1" applyBorder="1" applyAlignment="1">
      <alignment horizontal="center" vertical="center" wrapText="1"/>
    </xf>
    <xf numFmtId="1" fontId="1" fillId="2" borderId="64" xfId="1" applyNumberFormat="1" applyBorder="1" applyAlignment="1">
      <alignment horizontal="center" vertical="center" wrapText="1"/>
    </xf>
    <xf numFmtId="1" fontId="1" fillId="2" borderId="62" xfId="1" applyNumberFormat="1" applyBorder="1" applyAlignment="1">
      <alignment horizontal="center" vertical="center" wrapText="1"/>
    </xf>
    <xf numFmtId="1" fontId="1" fillId="2" borderId="65" xfId="1" applyNumberFormat="1" applyBorder="1" applyAlignment="1">
      <alignment horizontal="center" vertical="center" wrapText="1"/>
    </xf>
    <xf numFmtId="0" fontId="0" fillId="0" borderId="66" xfId="0" applyBorder="1" applyAlignment="1">
      <alignment horizontal="left" vertical="center" wrapText="1"/>
    </xf>
    <xf numFmtId="1" fontId="1" fillId="2" borderId="67" xfId="1" applyNumberFormat="1" applyBorder="1" applyAlignment="1">
      <alignment horizontal="center" vertical="center" wrapText="1"/>
    </xf>
    <xf numFmtId="1" fontId="1" fillId="2" borderId="65" xfId="1" applyNumberFormat="1" applyBorder="1" applyAlignment="1">
      <alignment horizontal="center" vertical="center"/>
    </xf>
    <xf numFmtId="1" fontId="1" fillId="2" borderId="68" xfId="1" applyNumberFormat="1" applyBorder="1" applyAlignment="1">
      <alignment horizontal="center" vertical="center"/>
    </xf>
    <xf numFmtId="0" fontId="0" fillId="0" borderId="70" xfId="0" applyBorder="1" applyAlignment="1">
      <alignment horizontal="left" vertical="center" wrapText="1"/>
    </xf>
    <xf numFmtId="0" fontId="0" fillId="0" borderId="73" xfId="0" applyBorder="1" applyAlignment="1">
      <alignment horizontal="left" vertical="center" wrapText="1"/>
    </xf>
    <xf numFmtId="0" fontId="0" fillId="0" borderId="76" xfId="0" applyBorder="1" applyAlignment="1">
      <alignment horizontal="left" vertical="center" wrapText="1"/>
    </xf>
    <xf numFmtId="1" fontId="1" fillId="2" borderId="71" xfId="1" applyNumberFormat="1" applyBorder="1" applyAlignment="1">
      <alignment horizontal="center" vertical="center"/>
    </xf>
    <xf numFmtId="1" fontId="1" fillId="2" borderId="74" xfId="1" applyNumberFormat="1" applyBorder="1" applyAlignment="1">
      <alignment horizontal="center" vertical="center"/>
    </xf>
    <xf numFmtId="1" fontId="1" fillId="2" borderId="72" xfId="1" applyNumberFormat="1" applyBorder="1" applyAlignment="1">
      <alignment horizontal="center" vertical="center"/>
    </xf>
    <xf numFmtId="1" fontId="1" fillId="2" borderId="75" xfId="1" applyNumberFormat="1" applyBorder="1" applyAlignment="1">
      <alignment horizontal="center" vertical="center"/>
    </xf>
    <xf numFmtId="1" fontId="1" fillId="2" borderId="77" xfId="1" applyNumberFormat="1" applyBorder="1" applyAlignment="1">
      <alignment horizontal="center" vertical="center"/>
    </xf>
    <xf numFmtId="1" fontId="1" fillId="2" borderId="78" xfId="1" applyNumberFormat="1" applyBorder="1" applyAlignment="1">
      <alignment horizontal="center" vertical="center"/>
    </xf>
    <xf numFmtId="0" fontId="0" fillId="0" borderId="60" xfId="0" applyBorder="1" applyAlignment="1">
      <alignment vertical="center" wrapText="1"/>
    </xf>
    <xf numFmtId="0" fontId="0" fillId="0" borderId="63" xfId="0" applyBorder="1" applyAlignment="1">
      <alignment vertical="center" wrapText="1"/>
    </xf>
    <xf numFmtId="1" fontId="1" fillId="2" borderId="61" xfId="1" applyNumberFormat="1" applyBorder="1" applyAlignment="1">
      <alignment horizontal="center" vertical="center"/>
    </xf>
    <xf numFmtId="0" fontId="0" fillId="0" borderId="64" xfId="0" applyBorder="1" applyAlignment="1">
      <alignment horizontal="center" vertical="center"/>
    </xf>
    <xf numFmtId="1" fontId="1" fillId="2" borderId="62" xfId="1" applyNumberForma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vertical="center" wrapText="1"/>
    </xf>
    <xf numFmtId="1" fontId="1" fillId="2" borderId="64" xfId="1" applyNumberForma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1" fontId="1" fillId="2" borderId="21" xfId="1" applyNumberFormat="1" applyBorder="1" applyAlignment="1">
      <alignment horizontal="center" vertical="center" wrapText="1"/>
    </xf>
    <xf numFmtId="0" fontId="0" fillId="0" borderId="53" xfId="0" applyBorder="1" applyAlignment="1">
      <alignment horizontal="center" vertical="center" wrapText="1"/>
    </xf>
    <xf numFmtId="0" fontId="0" fillId="0" borderId="59" xfId="0" applyBorder="1" applyAlignment="1">
      <alignment horizontal="center" vertical="center" wrapText="1"/>
    </xf>
    <xf numFmtId="0" fontId="0" fillId="0" borderId="57" xfId="0" applyFill="1" applyBorder="1" applyAlignment="1">
      <alignment vertical="center" wrapText="1"/>
    </xf>
    <xf numFmtId="0" fontId="0" fillId="0" borderId="57" xfId="0" applyBorder="1" applyAlignment="1">
      <alignment vertical="center" wrapText="1"/>
    </xf>
    <xf numFmtId="2" fontId="1" fillId="2" borderId="53" xfId="1" applyNumberFormat="1" applyBorder="1" applyAlignment="1">
      <alignment horizontal="center" vertical="center"/>
    </xf>
    <xf numFmtId="0" fontId="0" fillId="0" borderId="53"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center" vertical="center"/>
    </xf>
    <xf numFmtId="0" fontId="11" fillId="0" borderId="56" xfId="4" applyFont="1" applyFill="1" applyBorder="1" applyAlignment="1">
      <alignment vertical="center" wrapText="1"/>
    </xf>
    <xf numFmtId="1" fontId="1" fillId="2" borderId="32" xfId="1" applyNumberFormat="1"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1" fontId="1" fillId="2" borderId="32" xfId="1" applyNumberFormat="1"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11" fillId="0" borderId="56" xfId="1" applyFont="1" applyFill="1" applyBorder="1" applyAlignment="1">
      <alignment vertical="top" wrapText="1"/>
    </xf>
    <xf numFmtId="0" fontId="0" fillId="0" borderId="58" xfId="0" applyBorder="1" applyAlignment="1">
      <alignment vertical="top" wrapText="1"/>
    </xf>
    <xf numFmtId="2" fontId="1" fillId="2" borderId="21" xfId="1" applyNumberFormat="1" applyBorder="1" applyAlignment="1">
      <alignment horizontal="center" vertical="center"/>
    </xf>
    <xf numFmtId="0" fontId="0" fillId="0" borderId="56" xfId="0" applyFill="1" applyBorder="1" applyAlignment="1">
      <alignment vertical="center" wrapText="1"/>
    </xf>
    <xf numFmtId="0" fontId="2" fillId="3" borderId="33" xfId="2" applyBorder="1" applyAlignment="1">
      <alignment horizontal="center" vertical="center"/>
    </xf>
    <xf numFmtId="0" fontId="0" fillId="0" borderId="15" xfId="0" applyBorder="1" applyAlignment="1">
      <alignment horizontal="center" vertical="center"/>
    </xf>
    <xf numFmtId="0" fontId="2" fillId="3" borderId="34" xfId="2" applyBorder="1" applyAlignment="1">
      <alignment horizontal="center" vertical="center"/>
    </xf>
    <xf numFmtId="0" fontId="0" fillId="0" borderId="13" xfId="0" applyBorder="1" applyAlignment="1">
      <alignment horizontal="center" vertical="center"/>
    </xf>
    <xf numFmtId="2" fontId="1" fillId="2" borderId="22" xfId="1" applyNumberFormat="1" applyBorder="1" applyAlignment="1">
      <alignment horizontal="center" vertical="center"/>
    </xf>
    <xf numFmtId="0" fontId="1" fillId="2" borderId="35" xfId="1" applyBorder="1" applyAlignment="1">
      <alignment horizontal="center" vertical="center"/>
    </xf>
    <xf numFmtId="0" fontId="2" fillId="3" borderId="15" xfId="2" applyBorder="1" applyAlignment="1">
      <alignment horizontal="center" vertical="center"/>
    </xf>
    <xf numFmtId="0" fontId="2" fillId="3" borderId="97" xfId="2" applyBorder="1" applyAlignment="1">
      <alignment horizontal="center" vertical="center"/>
    </xf>
    <xf numFmtId="0" fontId="2" fillId="3" borderId="95" xfId="2" applyBorder="1" applyAlignment="1">
      <alignment horizontal="center" vertical="center"/>
    </xf>
    <xf numFmtId="2" fontId="1" fillId="2" borderId="35" xfId="1" applyNumberFormat="1" applyBorder="1" applyAlignment="1">
      <alignment horizontal="center" vertical="center"/>
    </xf>
  </cellXfs>
  <cellStyles count="7">
    <cellStyle name="Currency" xfId="6" builtinId="4"/>
    <cellStyle name="Good" xfId="1" builtinId="26"/>
    <cellStyle name="Hyperlink" xfId="4" builtinId="8"/>
    <cellStyle name="Input" xfId="2" builtinId="20"/>
    <cellStyle name="Neutral" xfId="5" builtinId="28"/>
    <cellStyle name="Normal" xfId="0" builtinId="0"/>
    <cellStyle name="Output" xfId="3" builtinId="2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CCFF"/>
      <color rgb="FFFFC7CE"/>
      <color rgb="FFFA907E"/>
      <color rgb="FFCCFFCC"/>
      <color rgb="FFFFF2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3.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Events'!$G$37:$G$43</c:f>
                <c:numCache>
                  <c:formatCode>General</c:formatCode>
                  <c:ptCount val="7"/>
                </c:numCache>
              </c:numRef>
            </c:plus>
            <c:minus>
              <c:numRef>
                <c:f>'4.4 Group results Events'!$F$37:$F$43</c:f>
                <c:numCache>
                  <c:formatCode>General</c:formatCode>
                  <c:ptCount val="7"/>
                </c:numCache>
              </c:numRef>
            </c:minus>
          </c:errBars>
          <c:cat>
            <c:strRef>
              <c:f>'4.4 Group results Events'!$C$37:$C$43</c:f>
              <c:strCache>
                <c:ptCount val="7"/>
                <c:pt idx="0">
                  <c:v>A</c:v>
                </c:pt>
                <c:pt idx="1">
                  <c:v>B</c:v>
                </c:pt>
                <c:pt idx="2">
                  <c:v>C</c:v>
                </c:pt>
                <c:pt idx="3">
                  <c:v>D</c:v>
                </c:pt>
                <c:pt idx="4">
                  <c:v>E</c:v>
                </c:pt>
                <c:pt idx="5">
                  <c:v>F</c:v>
                </c:pt>
                <c:pt idx="6">
                  <c:v>GROUP</c:v>
                </c:pt>
              </c:strCache>
            </c:strRef>
          </c:cat>
          <c:val>
            <c:numRef>
              <c:f>'4.4 Group results Events'!$D$37:$D$43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8B24-4CB5-9D13-E63B1BE76EB8}"/>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8B24-4CB5-9D13-E63B1BE76EB8}"/>
              </c:ext>
            </c:extLst>
          </c:dPt>
          <c:dPt>
            <c:idx val="15"/>
            <c:marker>
              <c:spPr>
                <a:solidFill>
                  <a:srgbClr val="FF0000"/>
                </a:solidFill>
                <a:ln>
                  <a:noFill/>
                </a:ln>
              </c:spPr>
            </c:marker>
            <c:bubble3D val="0"/>
            <c:extLst>
              <c:ext xmlns:c16="http://schemas.microsoft.com/office/drawing/2014/chart" uri="{C3380CC4-5D6E-409C-BE32-E72D297353CC}">
                <c16:uniqueId val="{00000002-8B24-4CB5-9D13-E63B1BE76EB8}"/>
              </c:ext>
            </c:extLst>
          </c:dPt>
          <c:errBars>
            <c:errDir val="y"/>
            <c:errBarType val="both"/>
            <c:errValType val="cust"/>
            <c:noEndCap val="0"/>
            <c:plus>
              <c:numRef>
                <c:f>'4.4 Group results Events'!$G$37:$G$43</c:f>
                <c:numCache>
                  <c:formatCode>General</c:formatCode>
                  <c:ptCount val="7"/>
                </c:numCache>
              </c:numRef>
            </c:plus>
            <c:minus>
              <c:numRef>
                <c:f>'4.4 Group results Events'!$F$37:$F$43</c:f>
                <c:numCache>
                  <c:formatCode>General</c:formatCode>
                  <c:ptCount val="7"/>
                </c:numCache>
              </c:numRef>
            </c:minus>
          </c:errBars>
          <c:cat>
            <c:strRef>
              <c:f>'4.4 Group results Events'!$C$37:$C$43</c:f>
              <c:strCache>
                <c:ptCount val="7"/>
                <c:pt idx="0">
                  <c:v>A</c:v>
                </c:pt>
                <c:pt idx="1">
                  <c:v>B</c:v>
                </c:pt>
                <c:pt idx="2">
                  <c:v>C</c:v>
                </c:pt>
                <c:pt idx="3">
                  <c:v>D</c:v>
                </c:pt>
                <c:pt idx="4">
                  <c:v>E</c:v>
                </c:pt>
                <c:pt idx="5">
                  <c:v>F</c:v>
                </c:pt>
                <c:pt idx="6">
                  <c:v>GROUP</c:v>
                </c:pt>
              </c:strCache>
            </c:strRef>
          </c:cat>
          <c:val>
            <c:numRef>
              <c:f>'4.4 Group results Events'!$D$37:$D$43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8B24-4CB5-9D13-E63B1BE76EB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Payoffs'!$I$225:$I$231</c:f>
                <c:numCache>
                  <c:formatCode>General</c:formatCode>
                  <c:ptCount val="7"/>
                  <c:pt idx="0">
                    <c:v>0</c:v>
                  </c:pt>
                  <c:pt idx="1">
                    <c:v>0</c:v>
                  </c:pt>
                  <c:pt idx="2">
                    <c:v>0</c:v>
                  </c:pt>
                  <c:pt idx="3">
                    <c:v>0</c:v>
                  </c:pt>
                  <c:pt idx="4">
                    <c:v>0</c:v>
                  </c:pt>
                  <c:pt idx="5">
                    <c:v>0</c:v>
                  </c:pt>
                  <c:pt idx="6">
                    <c:v>0</c:v>
                  </c:pt>
                </c:numCache>
              </c:numRef>
            </c:plus>
            <c:minus>
              <c:numRef>
                <c:f>'4.5 Group results Payoffs'!$H$225:$H$231</c:f>
                <c:numCache>
                  <c:formatCode>General</c:formatCode>
                  <c:ptCount val="7"/>
                  <c:pt idx="0">
                    <c:v>0</c:v>
                  </c:pt>
                  <c:pt idx="1">
                    <c:v>0</c:v>
                  </c:pt>
                  <c:pt idx="2">
                    <c:v>0</c:v>
                  </c:pt>
                  <c:pt idx="3">
                    <c:v>0</c:v>
                  </c:pt>
                  <c:pt idx="4">
                    <c:v>0</c:v>
                  </c:pt>
                  <c:pt idx="5">
                    <c:v>0</c:v>
                  </c:pt>
                  <c:pt idx="6">
                    <c:v>0</c:v>
                  </c:pt>
                </c:numCache>
              </c:numRef>
            </c:minus>
          </c:errBars>
          <c:cat>
            <c:strRef>
              <c:f>'4.5 Group results Payoffs'!$C$225:$C$231</c:f>
              <c:strCache>
                <c:ptCount val="7"/>
                <c:pt idx="0">
                  <c:v>A</c:v>
                </c:pt>
                <c:pt idx="1">
                  <c:v>B</c:v>
                </c:pt>
                <c:pt idx="2">
                  <c:v>C</c:v>
                </c:pt>
                <c:pt idx="3">
                  <c:v>D</c:v>
                </c:pt>
                <c:pt idx="4">
                  <c:v>E</c:v>
                </c:pt>
                <c:pt idx="5">
                  <c:v>F</c:v>
                </c:pt>
                <c:pt idx="6">
                  <c:v>GROUP</c:v>
                </c:pt>
              </c:strCache>
            </c:strRef>
          </c:cat>
          <c:val>
            <c:numRef>
              <c:f>'4.5 Group results Payoffs'!$F$225:$F$231</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508-4773-A410-60AB4817A651}"/>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6508-4773-A410-60AB4817A651}"/>
              </c:ext>
            </c:extLst>
          </c:dPt>
          <c:dPt>
            <c:idx val="15"/>
            <c:marker>
              <c:spPr>
                <a:solidFill>
                  <a:srgbClr val="FF0000"/>
                </a:solidFill>
                <a:ln>
                  <a:noFill/>
                </a:ln>
              </c:spPr>
            </c:marker>
            <c:bubble3D val="0"/>
            <c:extLst>
              <c:ext xmlns:c16="http://schemas.microsoft.com/office/drawing/2014/chart" uri="{C3380CC4-5D6E-409C-BE32-E72D297353CC}">
                <c16:uniqueId val="{00000002-6508-4773-A410-60AB4817A651}"/>
              </c:ext>
            </c:extLst>
          </c:dPt>
          <c:errBars>
            <c:errDir val="y"/>
            <c:errBarType val="both"/>
            <c:errValType val="cust"/>
            <c:noEndCap val="0"/>
            <c:plus>
              <c:numRef>
                <c:f>'4.5 Group results Payoffs'!$I$225:$I$231</c:f>
                <c:numCache>
                  <c:formatCode>General</c:formatCode>
                  <c:ptCount val="7"/>
                  <c:pt idx="0">
                    <c:v>0</c:v>
                  </c:pt>
                  <c:pt idx="1">
                    <c:v>0</c:v>
                  </c:pt>
                  <c:pt idx="2">
                    <c:v>0</c:v>
                  </c:pt>
                  <c:pt idx="3">
                    <c:v>0</c:v>
                  </c:pt>
                  <c:pt idx="4">
                    <c:v>0</c:v>
                  </c:pt>
                  <c:pt idx="5">
                    <c:v>0</c:v>
                  </c:pt>
                  <c:pt idx="6">
                    <c:v>0</c:v>
                  </c:pt>
                </c:numCache>
              </c:numRef>
            </c:plus>
            <c:minus>
              <c:numRef>
                <c:f>'4.5 Group results Payoffs'!$H$225:$H$231</c:f>
                <c:numCache>
                  <c:formatCode>General</c:formatCode>
                  <c:ptCount val="7"/>
                  <c:pt idx="0">
                    <c:v>0</c:v>
                  </c:pt>
                  <c:pt idx="1">
                    <c:v>0</c:v>
                  </c:pt>
                  <c:pt idx="2">
                    <c:v>0</c:v>
                  </c:pt>
                  <c:pt idx="3">
                    <c:v>0</c:v>
                  </c:pt>
                  <c:pt idx="4">
                    <c:v>0</c:v>
                  </c:pt>
                  <c:pt idx="5">
                    <c:v>0</c:v>
                  </c:pt>
                  <c:pt idx="6">
                    <c:v>0</c:v>
                  </c:pt>
                </c:numCache>
              </c:numRef>
            </c:minus>
          </c:errBars>
          <c:cat>
            <c:strRef>
              <c:f>'4.5 Group results Payoffs'!$C$225:$C$231</c:f>
              <c:strCache>
                <c:ptCount val="7"/>
                <c:pt idx="0">
                  <c:v>A</c:v>
                </c:pt>
                <c:pt idx="1">
                  <c:v>B</c:v>
                </c:pt>
                <c:pt idx="2">
                  <c:v>C</c:v>
                </c:pt>
                <c:pt idx="3">
                  <c:v>D</c:v>
                </c:pt>
                <c:pt idx="4">
                  <c:v>E</c:v>
                </c:pt>
                <c:pt idx="5">
                  <c:v>F</c:v>
                </c:pt>
                <c:pt idx="6">
                  <c:v>GROUP</c:v>
                </c:pt>
              </c:strCache>
            </c:strRef>
          </c:cat>
          <c:val>
            <c:numRef>
              <c:f>'4.5 Group results Payoffs'!$F$225:$F$231</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6508-4773-A410-60AB4817A651}"/>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Payoffs'!$I$272:$I$278</c:f>
                <c:numCache>
                  <c:formatCode>General</c:formatCode>
                  <c:ptCount val="7"/>
                  <c:pt idx="0">
                    <c:v>0</c:v>
                  </c:pt>
                  <c:pt idx="1">
                    <c:v>0</c:v>
                  </c:pt>
                  <c:pt idx="2">
                    <c:v>0</c:v>
                  </c:pt>
                  <c:pt idx="3">
                    <c:v>0</c:v>
                  </c:pt>
                  <c:pt idx="4">
                    <c:v>0</c:v>
                  </c:pt>
                  <c:pt idx="5">
                    <c:v>0</c:v>
                  </c:pt>
                  <c:pt idx="6">
                    <c:v>0</c:v>
                  </c:pt>
                </c:numCache>
              </c:numRef>
            </c:plus>
            <c:minus>
              <c:numRef>
                <c:f>'4.5 Group results Payoffs'!$H$272:$H$278</c:f>
                <c:numCache>
                  <c:formatCode>General</c:formatCode>
                  <c:ptCount val="7"/>
                  <c:pt idx="0">
                    <c:v>0</c:v>
                  </c:pt>
                  <c:pt idx="1">
                    <c:v>0</c:v>
                  </c:pt>
                  <c:pt idx="2">
                    <c:v>0</c:v>
                  </c:pt>
                  <c:pt idx="3">
                    <c:v>0</c:v>
                  </c:pt>
                  <c:pt idx="4">
                    <c:v>0</c:v>
                  </c:pt>
                  <c:pt idx="5">
                    <c:v>0</c:v>
                  </c:pt>
                  <c:pt idx="6">
                    <c:v>0</c:v>
                  </c:pt>
                </c:numCache>
              </c:numRef>
            </c:minus>
          </c:errBars>
          <c:cat>
            <c:strRef>
              <c:f>'4.5 Group results Payoffs'!$C$272:$C$278</c:f>
              <c:strCache>
                <c:ptCount val="7"/>
                <c:pt idx="0">
                  <c:v>A</c:v>
                </c:pt>
                <c:pt idx="1">
                  <c:v>B</c:v>
                </c:pt>
                <c:pt idx="2">
                  <c:v>C</c:v>
                </c:pt>
                <c:pt idx="3">
                  <c:v>D</c:v>
                </c:pt>
                <c:pt idx="4">
                  <c:v>E</c:v>
                </c:pt>
                <c:pt idx="5">
                  <c:v>F</c:v>
                </c:pt>
                <c:pt idx="6">
                  <c:v>GROUP</c:v>
                </c:pt>
              </c:strCache>
            </c:strRef>
          </c:cat>
          <c:val>
            <c:numRef>
              <c:f>'4.5 Group results Payoffs'!$F$272:$F$278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DD0F-4368-BFAB-BEEB601D299F}"/>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DD0F-4368-BFAB-BEEB601D299F}"/>
              </c:ext>
            </c:extLst>
          </c:dPt>
          <c:dPt>
            <c:idx val="15"/>
            <c:marker>
              <c:spPr>
                <a:solidFill>
                  <a:srgbClr val="FF0000"/>
                </a:solidFill>
                <a:ln>
                  <a:noFill/>
                </a:ln>
              </c:spPr>
            </c:marker>
            <c:bubble3D val="0"/>
            <c:extLst>
              <c:ext xmlns:c16="http://schemas.microsoft.com/office/drawing/2014/chart" uri="{C3380CC4-5D6E-409C-BE32-E72D297353CC}">
                <c16:uniqueId val="{00000002-DD0F-4368-BFAB-BEEB601D299F}"/>
              </c:ext>
            </c:extLst>
          </c:dPt>
          <c:errBars>
            <c:errDir val="y"/>
            <c:errBarType val="both"/>
            <c:errValType val="cust"/>
            <c:noEndCap val="0"/>
            <c:plus>
              <c:numRef>
                <c:f>'4.5 Group results Payoffs'!$I$272:$I$278</c:f>
                <c:numCache>
                  <c:formatCode>General</c:formatCode>
                  <c:ptCount val="7"/>
                  <c:pt idx="0">
                    <c:v>0</c:v>
                  </c:pt>
                  <c:pt idx="1">
                    <c:v>0</c:v>
                  </c:pt>
                  <c:pt idx="2">
                    <c:v>0</c:v>
                  </c:pt>
                  <c:pt idx="3">
                    <c:v>0</c:v>
                  </c:pt>
                  <c:pt idx="4">
                    <c:v>0</c:v>
                  </c:pt>
                  <c:pt idx="5">
                    <c:v>0</c:v>
                  </c:pt>
                  <c:pt idx="6">
                    <c:v>0</c:v>
                  </c:pt>
                </c:numCache>
              </c:numRef>
            </c:plus>
            <c:minus>
              <c:numRef>
                <c:f>'4.5 Group results Payoffs'!$H$272:$H$278</c:f>
                <c:numCache>
                  <c:formatCode>General</c:formatCode>
                  <c:ptCount val="7"/>
                  <c:pt idx="0">
                    <c:v>0</c:v>
                  </c:pt>
                  <c:pt idx="1">
                    <c:v>0</c:v>
                  </c:pt>
                  <c:pt idx="2">
                    <c:v>0</c:v>
                  </c:pt>
                  <c:pt idx="3">
                    <c:v>0</c:v>
                  </c:pt>
                  <c:pt idx="4">
                    <c:v>0</c:v>
                  </c:pt>
                  <c:pt idx="5">
                    <c:v>0</c:v>
                  </c:pt>
                  <c:pt idx="6">
                    <c:v>0</c:v>
                  </c:pt>
                </c:numCache>
              </c:numRef>
            </c:minus>
          </c:errBars>
          <c:cat>
            <c:strRef>
              <c:f>'4.5 Group results Payoffs'!$C$272:$C$278</c:f>
              <c:strCache>
                <c:ptCount val="7"/>
                <c:pt idx="0">
                  <c:v>A</c:v>
                </c:pt>
                <c:pt idx="1">
                  <c:v>B</c:v>
                </c:pt>
                <c:pt idx="2">
                  <c:v>C</c:v>
                </c:pt>
                <c:pt idx="3">
                  <c:v>D</c:v>
                </c:pt>
                <c:pt idx="4">
                  <c:v>E</c:v>
                </c:pt>
                <c:pt idx="5">
                  <c:v>F</c:v>
                </c:pt>
                <c:pt idx="6">
                  <c:v>GROUP</c:v>
                </c:pt>
              </c:strCache>
            </c:strRef>
          </c:cat>
          <c:val>
            <c:numRef>
              <c:f>'4.5 Group results Payoffs'!$F$272:$F$278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DD0F-4368-BFAB-BEEB601D299F}"/>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Payoffs'!$I$319:$I$325</c:f>
                <c:numCache>
                  <c:formatCode>General</c:formatCode>
                  <c:ptCount val="7"/>
                  <c:pt idx="0">
                    <c:v>0</c:v>
                  </c:pt>
                  <c:pt idx="1">
                    <c:v>0</c:v>
                  </c:pt>
                  <c:pt idx="2">
                    <c:v>0</c:v>
                  </c:pt>
                  <c:pt idx="3">
                    <c:v>0</c:v>
                  </c:pt>
                  <c:pt idx="4">
                    <c:v>0</c:v>
                  </c:pt>
                  <c:pt idx="5">
                    <c:v>0</c:v>
                  </c:pt>
                  <c:pt idx="6">
                    <c:v>0</c:v>
                  </c:pt>
                </c:numCache>
              </c:numRef>
            </c:plus>
            <c:minus>
              <c:numRef>
                <c:f>'4.5 Group results Payoffs'!$H$319:$H$325</c:f>
                <c:numCache>
                  <c:formatCode>General</c:formatCode>
                  <c:ptCount val="7"/>
                  <c:pt idx="0">
                    <c:v>0</c:v>
                  </c:pt>
                  <c:pt idx="1">
                    <c:v>0</c:v>
                  </c:pt>
                  <c:pt idx="2">
                    <c:v>0</c:v>
                  </c:pt>
                  <c:pt idx="3">
                    <c:v>0</c:v>
                  </c:pt>
                  <c:pt idx="4">
                    <c:v>0</c:v>
                  </c:pt>
                  <c:pt idx="5">
                    <c:v>0</c:v>
                  </c:pt>
                  <c:pt idx="6">
                    <c:v>0</c:v>
                  </c:pt>
                </c:numCache>
              </c:numRef>
            </c:minus>
          </c:errBars>
          <c:cat>
            <c:strRef>
              <c:f>'4.5 Group results Payoffs'!$C$319:$C$325</c:f>
              <c:strCache>
                <c:ptCount val="7"/>
                <c:pt idx="0">
                  <c:v>A</c:v>
                </c:pt>
                <c:pt idx="1">
                  <c:v>B</c:v>
                </c:pt>
                <c:pt idx="2">
                  <c:v>C</c:v>
                </c:pt>
                <c:pt idx="3">
                  <c:v>D</c:v>
                </c:pt>
                <c:pt idx="4">
                  <c:v>E</c:v>
                </c:pt>
                <c:pt idx="5">
                  <c:v>F</c:v>
                </c:pt>
                <c:pt idx="6">
                  <c:v>GROUP</c:v>
                </c:pt>
              </c:strCache>
            </c:strRef>
          </c:cat>
          <c:val>
            <c:numRef>
              <c:f>'4.5 Group results Payoffs'!$F$319:$F$325</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C1A2-4287-AE14-CBA52D1D6698}"/>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C1A2-4287-AE14-CBA52D1D6698}"/>
              </c:ext>
            </c:extLst>
          </c:dPt>
          <c:errBars>
            <c:errDir val="y"/>
            <c:errBarType val="both"/>
            <c:errValType val="cust"/>
            <c:noEndCap val="0"/>
            <c:plus>
              <c:numRef>
                <c:f>'4.5 Group results Payoffs'!$I$319:$I$325</c:f>
                <c:numCache>
                  <c:formatCode>General</c:formatCode>
                  <c:ptCount val="7"/>
                  <c:pt idx="0">
                    <c:v>0</c:v>
                  </c:pt>
                  <c:pt idx="1">
                    <c:v>0</c:v>
                  </c:pt>
                  <c:pt idx="2">
                    <c:v>0</c:v>
                  </c:pt>
                  <c:pt idx="3">
                    <c:v>0</c:v>
                  </c:pt>
                  <c:pt idx="4">
                    <c:v>0</c:v>
                  </c:pt>
                  <c:pt idx="5">
                    <c:v>0</c:v>
                  </c:pt>
                  <c:pt idx="6">
                    <c:v>0</c:v>
                  </c:pt>
                </c:numCache>
              </c:numRef>
            </c:plus>
            <c:minus>
              <c:numRef>
                <c:f>'4.5 Group results Payoffs'!$H$319:$H$325</c:f>
                <c:numCache>
                  <c:formatCode>General</c:formatCode>
                  <c:ptCount val="7"/>
                  <c:pt idx="0">
                    <c:v>0</c:v>
                  </c:pt>
                  <c:pt idx="1">
                    <c:v>0</c:v>
                  </c:pt>
                  <c:pt idx="2">
                    <c:v>0</c:v>
                  </c:pt>
                  <c:pt idx="3">
                    <c:v>0</c:v>
                  </c:pt>
                  <c:pt idx="4">
                    <c:v>0</c:v>
                  </c:pt>
                  <c:pt idx="5">
                    <c:v>0</c:v>
                  </c:pt>
                  <c:pt idx="6">
                    <c:v>0</c:v>
                  </c:pt>
                </c:numCache>
              </c:numRef>
            </c:minus>
          </c:errBars>
          <c:cat>
            <c:strRef>
              <c:f>'4.5 Group results Payoffs'!$C$319:$C$325</c:f>
              <c:strCache>
                <c:ptCount val="7"/>
                <c:pt idx="0">
                  <c:v>A</c:v>
                </c:pt>
                <c:pt idx="1">
                  <c:v>B</c:v>
                </c:pt>
                <c:pt idx="2">
                  <c:v>C</c:v>
                </c:pt>
                <c:pt idx="3">
                  <c:v>D</c:v>
                </c:pt>
                <c:pt idx="4">
                  <c:v>E</c:v>
                </c:pt>
                <c:pt idx="5">
                  <c:v>F</c:v>
                </c:pt>
                <c:pt idx="6">
                  <c:v>GROUP</c:v>
                </c:pt>
              </c:strCache>
            </c:strRef>
          </c:cat>
          <c:val>
            <c:numRef>
              <c:f>'4.5 Group results Payoffs'!$F$319:$F$325</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C1A2-4287-AE14-CBA52D1D669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Payoffs'!$I$366:$I$372</c:f>
                <c:numCache>
                  <c:formatCode>General</c:formatCode>
                  <c:ptCount val="7"/>
                  <c:pt idx="0">
                    <c:v>0</c:v>
                  </c:pt>
                  <c:pt idx="1">
                    <c:v>0</c:v>
                  </c:pt>
                  <c:pt idx="2">
                    <c:v>0</c:v>
                  </c:pt>
                  <c:pt idx="3">
                    <c:v>0</c:v>
                  </c:pt>
                  <c:pt idx="4">
                    <c:v>0</c:v>
                  </c:pt>
                  <c:pt idx="5">
                    <c:v>0</c:v>
                  </c:pt>
                  <c:pt idx="6">
                    <c:v>0</c:v>
                  </c:pt>
                </c:numCache>
              </c:numRef>
            </c:plus>
            <c:minus>
              <c:numRef>
                <c:f>'4.5 Group results Payoffs'!$H$366:$H$372</c:f>
                <c:numCache>
                  <c:formatCode>General</c:formatCode>
                  <c:ptCount val="7"/>
                  <c:pt idx="0">
                    <c:v>0</c:v>
                  </c:pt>
                  <c:pt idx="1">
                    <c:v>0</c:v>
                  </c:pt>
                  <c:pt idx="2">
                    <c:v>0</c:v>
                  </c:pt>
                  <c:pt idx="3">
                    <c:v>0</c:v>
                  </c:pt>
                  <c:pt idx="4">
                    <c:v>0</c:v>
                  </c:pt>
                  <c:pt idx="5">
                    <c:v>0</c:v>
                  </c:pt>
                  <c:pt idx="6">
                    <c:v>0</c:v>
                  </c:pt>
                </c:numCache>
              </c:numRef>
            </c:minus>
          </c:errBars>
          <c:cat>
            <c:strRef>
              <c:f>'4.5 Group results Payoffs'!$C$366:$C$372</c:f>
              <c:strCache>
                <c:ptCount val="7"/>
                <c:pt idx="0">
                  <c:v>A</c:v>
                </c:pt>
                <c:pt idx="1">
                  <c:v>B</c:v>
                </c:pt>
                <c:pt idx="2">
                  <c:v>C</c:v>
                </c:pt>
                <c:pt idx="3">
                  <c:v>D</c:v>
                </c:pt>
                <c:pt idx="4">
                  <c:v>E</c:v>
                </c:pt>
                <c:pt idx="5">
                  <c:v>F</c:v>
                </c:pt>
                <c:pt idx="6">
                  <c:v>GROUP</c:v>
                </c:pt>
              </c:strCache>
            </c:strRef>
          </c:cat>
          <c:val>
            <c:numRef>
              <c:f>'4.5 Group results Payoffs'!$F$366:$F$372</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3D1B-40AB-BD63-AD808BD664FC}"/>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3D1B-40AB-BD63-AD808BD664FC}"/>
              </c:ext>
            </c:extLst>
          </c:dPt>
          <c:errBars>
            <c:errDir val="y"/>
            <c:errBarType val="both"/>
            <c:errValType val="cust"/>
            <c:noEndCap val="0"/>
            <c:plus>
              <c:numRef>
                <c:f>'4.5 Group results Payoffs'!$I$366:$I$372</c:f>
                <c:numCache>
                  <c:formatCode>General</c:formatCode>
                  <c:ptCount val="7"/>
                  <c:pt idx="0">
                    <c:v>0</c:v>
                  </c:pt>
                  <c:pt idx="1">
                    <c:v>0</c:v>
                  </c:pt>
                  <c:pt idx="2">
                    <c:v>0</c:v>
                  </c:pt>
                  <c:pt idx="3">
                    <c:v>0</c:v>
                  </c:pt>
                  <c:pt idx="4">
                    <c:v>0</c:v>
                  </c:pt>
                  <c:pt idx="5">
                    <c:v>0</c:v>
                  </c:pt>
                  <c:pt idx="6">
                    <c:v>0</c:v>
                  </c:pt>
                </c:numCache>
              </c:numRef>
            </c:plus>
            <c:minus>
              <c:numRef>
                <c:f>'4.5 Group results Payoffs'!$H$366:$H$372</c:f>
                <c:numCache>
                  <c:formatCode>General</c:formatCode>
                  <c:ptCount val="7"/>
                  <c:pt idx="0">
                    <c:v>0</c:v>
                  </c:pt>
                  <c:pt idx="1">
                    <c:v>0</c:v>
                  </c:pt>
                  <c:pt idx="2">
                    <c:v>0</c:v>
                  </c:pt>
                  <c:pt idx="3">
                    <c:v>0</c:v>
                  </c:pt>
                  <c:pt idx="4">
                    <c:v>0</c:v>
                  </c:pt>
                  <c:pt idx="5">
                    <c:v>0</c:v>
                  </c:pt>
                  <c:pt idx="6">
                    <c:v>0</c:v>
                  </c:pt>
                </c:numCache>
              </c:numRef>
            </c:minus>
          </c:errBars>
          <c:cat>
            <c:strRef>
              <c:f>'4.5 Group results Payoffs'!$C$366:$C$372</c:f>
              <c:strCache>
                <c:ptCount val="7"/>
                <c:pt idx="0">
                  <c:v>A</c:v>
                </c:pt>
                <c:pt idx="1">
                  <c:v>B</c:v>
                </c:pt>
                <c:pt idx="2">
                  <c:v>C</c:v>
                </c:pt>
                <c:pt idx="3">
                  <c:v>D</c:v>
                </c:pt>
                <c:pt idx="4">
                  <c:v>E</c:v>
                </c:pt>
                <c:pt idx="5">
                  <c:v>F</c:v>
                </c:pt>
                <c:pt idx="6">
                  <c:v>GROUP</c:v>
                </c:pt>
              </c:strCache>
            </c:strRef>
          </c:cat>
          <c:val>
            <c:numRef>
              <c:f>'4.5 Group results Payoffs'!$F$366:$F$372</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3D1B-40AB-BD63-AD808BD664FC}"/>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Payoffs'!$I$413:$I$419</c:f>
                <c:numCache>
                  <c:formatCode>General</c:formatCode>
                  <c:ptCount val="7"/>
                  <c:pt idx="0">
                    <c:v>0</c:v>
                  </c:pt>
                  <c:pt idx="1">
                    <c:v>0</c:v>
                  </c:pt>
                  <c:pt idx="2">
                    <c:v>0</c:v>
                  </c:pt>
                  <c:pt idx="3">
                    <c:v>0</c:v>
                  </c:pt>
                  <c:pt idx="4">
                    <c:v>0</c:v>
                  </c:pt>
                  <c:pt idx="5">
                    <c:v>0</c:v>
                  </c:pt>
                  <c:pt idx="6">
                    <c:v>0</c:v>
                  </c:pt>
                </c:numCache>
              </c:numRef>
            </c:plus>
            <c:minus>
              <c:numRef>
                <c:f>'4.5 Group results Payoffs'!$H$413:$H$419</c:f>
                <c:numCache>
                  <c:formatCode>General</c:formatCode>
                  <c:ptCount val="7"/>
                  <c:pt idx="0">
                    <c:v>0</c:v>
                  </c:pt>
                  <c:pt idx="1">
                    <c:v>0</c:v>
                  </c:pt>
                  <c:pt idx="2">
                    <c:v>0</c:v>
                  </c:pt>
                  <c:pt idx="3">
                    <c:v>0</c:v>
                  </c:pt>
                  <c:pt idx="4">
                    <c:v>0</c:v>
                  </c:pt>
                  <c:pt idx="5">
                    <c:v>0</c:v>
                  </c:pt>
                  <c:pt idx="6">
                    <c:v>0</c:v>
                  </c:pt>
                </c:numCache>
              </c:numRef>
            </c:minus>
          </c:errBars>
          <c:cat>
            <c:strRef>
              <c:f>'4.5 Group results Payoffs'!$C$413:$C$419</c:f>
              <c:strCache>
                <c:ptCount val="7"/>
                <c:pt idx="0">
                  <c:v>A</c:v>
                </c:pt>
                <c:pt idx="1">
                  <c:v>B</c:v>
                </c:pt>
                <c:pt idx="2">
                  <c:v>C</c:v>
                </c:pt>
                <c:pt idx="3">
                  <c:v>D</c:v>
                </c:pt>
                <c:pt idx="4">
                  <c:v>E</c:v>
                </c:pt>
                <c:pt idx="5">
                  <c:v>F</c:v>
                </c:pt>
                <c:pt idx="6">
                  <c:v>GROUP</c:v>
                </c:pt>
              </c:strCache>
            </c:strRef>
          </c:cat>
          <c:val>
            <c:numRef>
              <c:f>'4.5 Group results Payoffs'!$F$413:$F$419</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ABE6-44C2-90B4-308C4A5770E5}"/>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ABE6-44C2-90B4-308C4A5770E5}"/>
              </c:ext>
            </c:extLst>
          </c:dPt>
          <c:errBars>
            <c:errDir val="y"/>
            <c:errBarType val="both"/>
            <c:errValType val="cust"/>
            <c:noEndCap val="0"/>
            <c:plus>
              <c:numRef>
                <c:f>'4.5 Group results Payoffs'!$I$413:$I$419</c:f>
                <c:numCache>
                  <c:formatCode>General</c:formatCode>
                  <c:ptCount val="7"/>
                  <c:pt idx="0">
                    <c:v>0</c:v>
                  </c:pt>
                  <c:pt idx="1">
                    <c:v>0</c:v>
                  </c:pt>
                  <c:pt idx="2">
                    <c:v>0</c:v>
                  </c:pt>
                  <c:pt idx="3">
                    <c:v>0</c:v>
                  </c:pt>
                  <c:pt idx="4">
                    <c:v>0</c:v>
                  </c:pt>
                  <c:pt idx="5">
                    <c:v>0</c:v>
                  </c:pt>
                  <c:pt idx="6">
                    <c:v>0</c:v>
                  </c:pt>
                </c:numCache>
              </c:numRef>
            </c:plus>
            <c:minus>
              <c:numRef>
                <c:f>'4.5 Group results Payoffs'!$H$413:$H$419</c:f>
                <c:numCache>
                  <c:formatCode>General</c:formatCode>
                  <c:ptCount val="7"/>
                  <c:pt idx="0">
                    <c:v>0</c:v>
                  </c:pt>
                  <c:pt idx="1">
                    <c:v>0</c:v>
                  </c:pt>
                  <c:pt idx="2">
                    <c:v>0</c:v>
                  </c:pt>
                  <c:pt idx="3">
                    <c:v>0</c:v>
                  </c:pt>
                  <c:pt idx="4">
                    <c:v>0</c:v>
                  </c:pt>
                  <c:pt idx="5">
                    <c:v>0</c:v>
                  </c:pt>
                  <c:pt idx="6">
                    <c:v>0</c:v>
                  </c:pt>
                </c:numCache>
              </c:numRef>
            </c:minus>
          </c:errBars>
          <c:cat>
            <c:strRef>
              <c:f>'4.5 Group results Payoffs'!$C$413:$C$419</c:f>
              <c:strCache>
                <c:ptCount val="7"/>
                <c:pt idx="0">
                  <c:v>A</c:v>
                </c:pt>
                <c:pt idx="1">
                  <c:v>B</c:v>
                </c:pt>
                <c:pt idx="2">
                  <c:v>C</c:v>
                </c:pt>
                <c:pt idx="3">
                  <c:v>D</c:v>
                </c:pt>
                <c:pt idx="4">
                  <c:v>E</c:v>
                </c:pt>
                <c:pt idx="5">
                  <c:v>F</c:v>
                </c:pt>
                <c:pt idx="6">
                  <c:v>GROUP</c:v>
                </c:pt>
              </c:strCache>
            </c:strRef>
          </c:cat>
          <c:val>
            <c:numRef>
              <c:f>'4.5 Group results Payoffs'!$F$413:$F$419</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ABE6-44C2-90B4-308C4A5770E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Payoffs'!$I$460:$I$466</c:f>
                <c:numCache>
                  <c:formatCode>General</c:formatCode>
                  <c:ptCount val="7"/>
                  <c:pt idx="0">
                    <c:v>0</c:v>
                  </c:pt>
                  <c:pt idx="1">
                    <c:v>0</c:v>
                  </c:pt>
                  <c:pt idx="2">
                    <c:v>0</c:v>
                  </c:pt>
                  <c:pt idx="3">
                    <c:v>0</c:v>
                  </c:pt>
                  <c:pt idx="4">
                    <c:v>0</c:v>
                  </c:pt>
                  <c:pt idx="5">
                    <c:v>0</c:v>
                  </c:pt>
                  <c:pt idx="6">
                    <c:v>0</c:v>
                  </c:pt>
                </c:numCache>
              </c:numRef>
            </c:plus>
            <c:minus>
              <c:numRef>
                <c:f>'4.5 Group results Payoffs'!$H$460:$H$466</c:f>
                <c:numCache>
                  <c:formatCode>General</c:formatCode>
                  <c:ptCount val="7"/>
                  <c:pt idx="0">
                    <c:v>0</c:v>
                  </c:pt>
                  <c:pt idx="1">
                    <c:v>0</c:v>
                  </c:pt>
                  <c:pt idx="2">
                    <c:v>0</c:v>
                  </c:pt>
                  <c:pt idx="3">
                    <c:v>0</c:v>
                  </c:pt>
                  <c:pt idx="4">
                    <c:v>0</c:v>
                  </c:pt>
                  <c:pt idx="5">
                    <c:v>0</c:v>
                  </c:pt>
                  <c:pt idx="6">
                    <c:v>0</c:v>
                  </c:pt>
                </c:numCache>
              </c:numRef>
            </c:minus>
          </c:errBars>
          <c:cat>
            <c:strRef>
              <c:f>'4.5 Group results Payoffs'!$C$460:$C$466</c:f>
              <c:strCache>
                <c:ptCount val="7"/>
                <c:pt idx="0">
                  <c:v>A</c:v>
                </c:pt>
                <c:pt idx="1">
                  <c:v>B</c:v>
                </c:pt>
                <c:pt idx="2">
                  <c:v>C</c:v>
                </c:pt>
                <c:pt idx="3">
                  <c:v>D</c:v>
                </c:pt>
                <c:pt idx="4">
                  <c:v>E</c:v>
                </c:pt>
                <c:pt idx="5">
                  <c:v>F</c:v>
                </c:pt>
                <c:pt idx="6">
                  <c:v>GROUP</c:v>
                </c:pt>
              </c:strCache>
            </c:strRef>
          </c:cat>
          <c:val>
            <c:numRef>
              <c:f>'4.5 Group results Payoffs'!$F$460:$F$466</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1AAA-4A7E-A5C5-3194659ABF38}"/>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1AAA-4A7E-A5C5-3194659ABF38}"/>
              </c:ext>
            </c:extLst>
          </c:dPt>
          <c:dPt>
            <c:idx val="15"/>
            <c:marker>
              <c:spPr>
                <a:solidFill>
                  <a:srgbClr val="FF0000"/>
                </a:solidFill>
                <a:ln>
                  <a:noFill/>
                </a:ln>
              </c:spPr>
            </c:marker>
            <c:bubble3D val="0"/>
            <c:extLst>
              <c:ext xmlns:c16="http://schemas.microsoft.com/office/drawing/2014/chart" uri="{C3380CC4-5D6E-409C-BE32-E72D297353CC}">
                <c16:uniqueId val="{00000002-1AAA-4A7E-A5C5-3194659ABF38}"/>
              </c:ext>
            </c:extLst>
          </c:dPt>
          <c:errBars>
            <c:errDir val="y"/>
            <c:errBarType val="both"/>
            <c:errValType val="cust"/>
            <c:noEndCap val="0"/>
            <c:plus>
              <c:numRef>
                <c:f>'4.5 Group results Payoffs'!$I$460:$I$466</c:f>
                <c:numCache>
                  <c:formatCode>General</c:formatCode>
                  <c:ptCount val="7"/>
                  <c:pt idx="0">
                    <c:v>0</c:v>
                  </c:pt>
                  <c:pt idx="1">
                    <c:v>0</c:v>
                  </c:pt>
                  <c:pt idx="2">
                    <c:v>0</c:v>
                  </c:pt>
                  <c:pt idx="3">
                    <c:v>0</c:v>
                  </c:pt>
                  <c:pt idx="4">
                    <c:v>0</c:v>
                  </c:pt>
                  <c:pt idx="5">
                    <c:v>0</c:v>
                  </c:pt>
                  <c:pt idx="6">
                    <c:v>0</c:v>
                  </c:pt>
                </c:numCache>
              </c:numRef>
            </c:plus>
            <c:minus>
              <c:numRef>
                <c:f>'4.5 Group results Payoffs'!$H$460:$H$466</c:f>
                <c:numCache>
                  <c:formatCode>General</c:formatCode>
                  <c:ptCount val="7"/>
                  <c:pt idx="0">
                    <c:v>0</c:v>
                  </c:pt>
                  <c:pt idx="1">
                    <c:v>0</c:v>
                  </c:pt>
                  <c:pt idx="2">
                    <c:v>0</c:v>
                  </c:pt>
                  <c:pt idx="3">
                    <c:v>0</c:v>
                  </c:pt>
                  <c:pt idx="4">
                    <c:v>0</c:v>
                  </c:pt>
                  <c:pt idx="5">
                    <c:v>0</c:v>
                  </c:pt>
                  <c:pt idx="6">
                    <c:v>0</c:v>
                  </c:pt>
                </c:numCache>
              </c:numRef>
            </c:minus>
          </c:errBars>
          <c:cat>
            <c:strRef>
              <c:f>'4.5 Group results Payoffs'!$C$460:$C$466</c:f>
              <c:strCache>
                <c:ptCount val="7"/>
                <c:pt idx="0">
                  <c:v>A</c:v>
                </c:pt>
                <c:pt idx="1">
                  <c:v>B</c:v>
                </c:pt>
                <c:pt idx="2">
                  <c:v>C</c:v>
                </c:pt>
                <c:pt idx="3">
                  <c:v>D</c:v>
                </c:pt>
                <c:pt idx="4">
                  <c:v>E</c:v>
                </c:pt>
                <c:pt idx="5">
                  <c:v>F</c:v>
                </c:pt>
                <c:pt idx="6">
                  <c:v>GROUP</c:v>
                </c:pt>
              </c:strCache>
            </c:strRef>
          </c:cat>
          <c:val>
            <c:numRef>
              <c:f>'4.5 Group results Payoffs'!$F$460:$F$466</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1AAA-4A7E-A5C5-3194659ABF38}"/>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Payoffs'!$I$507:$I$513</c:f>
                <c:numCache>
                  <c:formatCode>General</c:formatCode>
                  <c:ptCount val="7"/>
                  <c:pt idx="0">
                    <c:v>0</c:v>
                  </c:pt>
                  <c:pt idx="1">
                    <c:v>0</c:v>
                  </c:pt>
                  <c:pt idx="2">
                    <c:v>0</c:v>
                  </c:pt>
                  <c:pt idx="3">
                    <c:v>0</c:v>
                  </c:pt>
                  <c:pt idx="4">
                    <c:v>0</c:v>
                  </c:pt>
                  <c:pt idx="5">
                    <c:v>0</c:v>
                  </c:pt>
                  <c:pt idx="6">
                    <c:v>0</c:v>
                  </c:pt>
                </c:numCache>
              </c:numRef>
            </c:plus>
            <c:minus>
              <c:numRef>
                <c:f>'4.5 Group results Payoffs'!$H$507:$H$513</c:f>
                <c:numCache>
                  <c:formatCode>General</c:formatCode>
                  <c:ptCount val="7"/>
                  <c:pt idx="0">
                    <c:v>0</c:v>
                  </c:pt>
                  <c:pt idx="1">
                    <c:v>0</c:v>
                  </c:pt>
                  <c:pt idx="2">
                    <c:v>0</c:v>
                  </c:pt>
                  <c:pt idx="3">
                    <c:v>0</c:v>
                  </c:pt>
                  <c:pt idx="4">
                    <c:v>0</c:v>
                  </c:pt>
                  <c:pt idx="5">
                    <c:v>0</c:v>
                  </c:pt>
                  <c:pt idx="6">
                    <c:v>0</c:v>
                  </c:pt>
                </c:numCache>
              </c:numRef>
            </c:minus>
          </c:errBars>
          <c:cat>
            <c:strRef>
              <c:f>'4.5 Group results Payoffs'!$C$507:$C$513</c:f>
              <c:strCache>
                <c:ptCount val="7"/>
                <c:pt idx="0">
                  <c:v>A</c:v>
                </c:pt>
                <c:pt idx="1">
                  <c:v>B</c:v>
                </c:pt>
                <c:pt idx="2">
                  <c:v>C</c:v>
                </c:pt>
                <c:pt idx="3">
                  <c:v>D</c:v>
                </c:pt>
                <c:pt idx="4">
                  <c:v>E</c:v>
                </c:pt>
                <c:pt idx="5">
                  <c:v>F</c:v>
                </c:pt>
                <c:pt idx="6">
                  <c:v>GROUP</c:v>
                </c:pt>
              </c:strCache>
            </c:strRef>
          </c:cat>
          <c:val>
            <c:numRef>
              <c:f>'4.5 Group results Payoffs'!$F$507:$F$513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B1F7-4395-9A06-7405A6184390}"/>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B1F7-4395-9A06-7405A6184390}"/>
              </c:ext>
            </c:extLst>
          </c:dPt>
          <c:dPt>
            <c:idx val="15"/>
            <c:marker>
              <c:spPr>
                <a:solidFill>
                  <a:srgbClr val="FF0000"/>
                </a:solidFill>
                <a:ln>
                  <a:noFill/>
                </a:ln>
              </c:spPr>
            </c:marker>
            <c:bubble3D val="0"/>
            <c:extLst>
              <c:ext xmlns:c16="http://schemas.microsoft.com/office/drawing/2014/chart" uri="{C3380CC4-5D6E-409C-BE32-E72D297353CC}">
                <c16:uniqueId val="{00000002-B1F7-4395-9A06-7405A6184390}"/>
              </c:ext>
            </c:extLst>
          </c:dPt>
          <c:errBars>
            <c:errDir val="y"/>
            <c:errBarType val="both"/>
            <c:errValType val="cust"/>
            <c:noEndCap val="0"/>
            <c:plus>
              <c:numRef>
                <c:f>'4.5 Group results Payoffs'!$I$507:$I$513</c:f>
                <c:numCache>
                  <c:formatCode>General</c:formatCode>
                  <c:ptCount val="7"/>
                  <c:pt idx="0">
                    <c:v>0</c:v>
                  </c:pt>
                  <c:pt idx="1">
                    <c:v>0</c:v>
                  </c:pt>
                  <c:pt idx="2">
                    <c:v>0</c:v>
                  </c:pt>
                  <c:pt idx="3">
                    <c:v>0</c:v>
                  </c:pt>
                  <c:pt idx="4">
                    <c:v>0</c:v>
                  </c:pt>
                  <c:pt idx="5">
                    <c:v>0</c:v>
                  </c:pt>
                  <c:pt idx="6">
                    <c:v>0</c:v>
                  </c:pt>
                </c:numCache>
              </c:numRef>
            </c:plus>
            <c:minus>
              <c:numRef>
                <c:f>'4.5 Group results Payoffs'!$H$507:$H$513</c:f>
                <c:numCache>
                  <c:formatCode>General</c:formatCode>
                  <c:ptCount val="7"/>
                  <c:pt idx="0">
                    <c:v>0</c:v>
                  </c:pt>
                  <c:pt idx="1">
                    <c:v>0</c:v>
                  </c:pt>
                  <c:pt idx="2">
                    <c:v>0</c:v>
                  </c:pt>
                  <c:pt idx="3">
                    <c:v>0</c:v>
                  </c:pt>
                  <c:pt idx="4">
                    <c:v>0</c:v>
                  </c:pt>
                  <c:pt idx="5">
                    <c:v>0</c:v>
                  </c:pt>
                  <c:pt idx="6">
                    <c:v>0</c:v>
                  </c:pt>
                </c:numCache>
              </c:numRef>
            </c:minus>
          </c:errBars>
          <c:cat>
            <c:strRef>
              <c:f>'4.5 Group results Payoffs'!$C$507:$C$513</c:f>
              <c:strCache>
                <c:ptCount val="7"/>
                <c:pt idx="0">
                  <c:v>A</c:v>
                </c:pt>
                <c:pt idx="1">
                  <c:v>B</c:v>
                </c:pt>
                <c:pt idx="2">
                  <c:v>C</c:v>
                </c:pt>
                <c:pt idx="3">
                  <c:v>D</c:v>
                </c:pt>
                <c:pt idx="4">
                  <c:v>E</c:v>
                </c:pt>
                <c:pt idx="5">
                  <c:v>F</c:v>
                </c:pt>
                <c:pt idx="6">
                  <c:v>GROUP</c:v>
                </c:pt>
              </c:strCache>
            </c:strRef>
          </c:cat>
          <c:val>
            <c:numRef>
              <c:f>'4.5 Group results Payoffs'!$F$507:$F$513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B1F7-4395-9A06-7405A6184390}"/>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Payoffs'!$I$554:$I$560</c:f>
                <c:numCache>
                  <c:formatCode>General</c:formatCode>
                  <c:ptCount val="7"/>
                  <c:pt idx="0">
                    <c:v>0</c:v>
                  </c:pt>
                  <c:pt idx="1">
                    <c:v>0</c:v>
                  </c:pt>
                  <c:pt idx="2">
                    <c:v>0</c:v>
                  </c:pt>
                  <c:pt idx="3">
                    <c:v>0</c:v>
                  </c:pt>
                  <c:pt idx="4">
                    <c:v>0</c:v>
                  </c:pt>
                  <c:pt idx="5">
                    <c:v>0</c:v>
                  </c:pt>
                  <c:pt idx="6">
                    <c:v>0</c:v>
                  </c:pt>
                </c:numCache>
              </c:numRef>
            </c:plus>
            <c:minus>
              <c:numRef>
                <c:f>'4.5 Group results Payoffs'!$H$554:$H$560</c:f>
                <c:numCache>
                  <c:formatCode>General</c:formatCode>
                  <c:ptCount val="7"/>
                  <c:pt idx="0">
                    <c:v>0</c:v>
                  </c:pt>
                  <c:pt idx="1">
                    <c:v>0</c:v>
                  </c:pt>
                  <c:pt idx="2">
                    <c:v>0</c:v>
                  </c:pt>
                  <c:pt idx="3">
                    <c:v>0</c:v>
                  </c:pt>
                  <c:pt idx="4">
                    <c:v>0</c:v>
                  </c:pt>
                  <c:pt idx="5">
                    <c:v>0</c:v>
                  </c:pt>
                  <c:pt idx="6">
                    <c:v>0</c:v>
                  </c:pt>
                </c:numCache>
              </c:numRef>
            </c:minus>
          </c:errBars>
          <c:cat>
            <c:strRef>
              <c:f>'4.5 Group results Payoffs'!$C$554:$C$560</c:f>
              <c:strCache>
                <c:ptCount val="7"/>
                <c:pt idx="0">
                  <c:v>A</c:v>
                </c:pt>
                <c:pt idx="1">
                  <c:v>B</c:v>
                </c:pt>
                <c:pt idx="2">
                  <c:v>C</c:v>
                </c:pt>
                <c:pt idx="3">
                  <c:v>D</c:v>
                </c:pt>
                <c:pt idx="4">
                  <c:v>E</c:v>
                </c:pt>
                <c:pt idx="5">
                  <c:v>F</c:v>
                </c:pt>
                <c:pt idx="6">
                  <c:v>GROUP</c:v>
                </c:pt>
              </c:strCache>
            </c:strRef>
          </c:cat>
          <c:val>
            <c:numRef>
              <c:f>'4.5 Group results Payoffs'!$F$554:$F$560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CA74-4BEB-BFD7-46338DEB79EB}"/>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CA74-4BEB-BFD7-46338DEB79EB}"/>
              </c:ext>
            </c:extLst>
          </c:dPt>
          <c:errBars>
            <c:errDir val="y"/>
            <c:errBarType val="both"/>
            <c:errValType val="cust"/>
            <c:noEndCap val="0"/>
            <c:plus>
              <c:numRef>
                <c:f>'4.5 Group results Payoffs'!$I$554:$I$560</c:f>
                <c:numCache>
                  <c:formatCode>General</c:formatCode>
                  <c:ptCount val="7"/>
                  <c:pt idx="0">
                    <c:v>0</c:v>
                  </c:pt>
                  <c:pt idx="1">
                    <c:v>0</c:v>
                  </c:pt>
                  <c:pt idx="2">
                    <c:v>0</c:v>
                  </c:pt>
                  <c:pt idx="3">
                    <c:v>0</c:v>
                  </c:pt>
                  <c:pt idx="4">
                    <c:v>0</c:v>
                  </c:pt>
                  <c:pt idx="5">
                    <c:v>0</c:v>
                  </c:pt>
                  <c:pt idx="6">
                    <c:v>0</c:v>
                  </c:pt>
                </c:numCache>
              </c:numRef>
            </c:plus>
            <c:minus>
              <c:numRef>
                <c:f>'4.5 Group results Payoffs'!$H$554:$H$560</c:f>
                <c:numCache>
                  <c:formatCode>General</c:formatCode>
                  <c:ptCount val="7"/>
                  <c:pt idx="0">
                    <c:v>0</c:v>
                  </c:pt>
                  <c:pt idx="1">
                    <c:v>0</c:v>
                  </c:pt>
                  <c:pt idx="2">
                    <c:v>0</c:v>
                  </c:pt>
                  <c:pt idx="3">
                    <c:v>0</c:v>
                  </c:pt>
                  <c:pt idx="4">
                    <c:v>0</c:v>
                  </c:pt>
                  <c:pt idx="5">
                    <c:v>0</c:v>
                  </c:pt>
                  <c:pt idx="6">
                    <c:v>0</c:v>
                  </c:pt>
                </c:numCache>
              </c:numRef>
            </c:minus>
          </c:errBars>
          <c:cat>
            <c:strRef>
              <c:f>'4.5 Group results Payoffs'!$C$554:$C$560</c:f>
              <c:strCache>
                <c:ptCount val="7"/>
                <c:pt idx="0">
                  <c:v>A</c:v>
                </c:pt>
                <c:pt idx="1">
                  <c:v>B</c:v>
                </c:pt>
                <c:pt idx="2">
                  <c:v>C</c:v>
                </c:pt>
                <c:pt idx="3">
                  <c:v>D</c:v>
                </c:pt>
                <c:pt idx="4">
                  <c:v>E</c:v>
                </c:pt>
                <c:pt idx="5">
                  <c:v>F</c:v>
                </c:pt>
                <c:pt idx="6">
                  <c:v>GROUP</c:v>
                </c:pt>
              </c:strCache>
            </c:strRef>
          </c:cat>
          <c:val>
            <c:numRef>
              <c:f>'4.5 Group results Payoffs'!$F$554:$F$560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CA74-4BEB-BFD7-46338DEB79EB}"/>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Payoffs'!$I$601:$I$607</c:f>
                <c:numCache>
                  <c:formatCode>General</c:formatCode>
                  <c:ptCount val="7"/>
                  <c:pt idx="0">
                    <c:v>0</c:v>
                  </c:pt>
                  <c:pt idx="1">
                    <c:v>0</c:v>
                  </c:pt>
                  <c:pt idx="2">
                    <c:v>0</c:v>
                  </c:pt>
                  <c:pt idx="3">
                    <c:v>0</c:v>
                  </c:pt>
                  <c:pt idx="4">
                    <c:v>0</c:v>
                  </c:pt>
                  <c:pt idx="5">
                    <c:v>0</c:v>
                  </c:pt>
                  <c:pt idx="6">
                    <c:v>0</c:v>
                  </c:pt>
                </c:numCache>
              </c:numRef>
            </c:plus>
            <c:minus>
              <c:numRef>
                <c:f>'4.5 Group results Payoffs'!$H$601:$H$607</c:f>
                <c:numCache>
                  <c:formatCode>General</c:formatCode>
                  <c:ptCount val="7"/>
                  <c:pt idx="0">
                    <c:v>0</c:v>
                  </c:pt>
                  <c:pt idx="1">
                    <c:v>0</c:v>
                  </c:pt>
                  <c:pt idx="2">
                    <c:v>0</c:v>
                  </c:pt>
                  <c:pt idx="3">
                    <c:v>0</c:v>
                  </c:pt>
                  <c:pt idx="4">
                    <c:v>0</c:v>
                  </c:pt>
                  <c:pt idx="5">
                    <c:v>0</c:v>
                  </c:pt>
                  <c:pt idx="6">
                    <c:v>0</c:v>
                  </c:pt>
                </c:numCache>
              </c:numRef>
            </c:minus>
          </c:errBars>
          <c:cat>
            <c:strRef>
              <c:f>'4.5 Group results Payoffs'!$C$601:$C$607</c:f>
              <c:strCache>
                <c:ptCount val="7"/>
                <c:pt idx="0">
                  <c:v>A</c:v>
                </c:pt>
                <c:pt idx="1">
                  <c:v>B</c:v>
                </c:pt>
                <c:pt idx="2">
                  <c:v>C</c:v>
                </c:pt>
                <c:pt idx="3">
                  <c:v>D</c:v>
                </c:pt>
                <c:pt idx="4">
                  <c:v>E</c:v>
                </c:pt>
                <c:pt idx="5">
                  <c:v>F</c:v>
                </c:pt>
                <c:pt idx="6">
                  <c:v>GROUP</c:v>
                </c:pt>
              </c:strCache>
            </c:strRef>
          </c:cat>
          <c:val>
            <c:numRef>
              <c:f>'4.5 Group results Payoffs'!$F$601:$F$607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20BC-44E9-9963-3B603740DD80}"/>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20BC-44E9-9963-3B603740DD80}"/>
              </c:ext>
            </c:extLst>
          </c:dPt>
          <c:dPt>
            <c:idx val="15"/>
            <c:marker>
              <c:spPr>
                <a:solidFill>
                  <a:srgbClr val="FF0000"/>
                </a:solidFill>
                <a:ln>
                  <a:noFill/>
                </a:ln>
              </c:spPr>
            </c:marker>
            <c:bubble3D val="0"/>
            <c:extLst>
              <c:ext xmlns:c16="http://schemas.microsoft.com/office/drawing/2014/chart" uri="{C3380CC4-5D6E-409C-BE32-E72D297353CC}">
                <c16:uniqueId val="{00000002-20BC-44E9-9963-3B603740DD80}"/>
              </c:ext>
            </c:extLst>
          </c:dPt>
          <c:errBars>
            <c:errDir val="y"/>
            <c:errBarType val="both"/>
            <c:errValType val="cust"/>
            <c:noEndCap val="0"/>
            <c:plus>
              <c:numRef>
                <c:f>'4.5 Group results Payoffs'!$I$601:$I$607</c:f>
                <c:numCache>
                  <c:formatCode>General</c:formatCode>
                  <c:ptCount val="7"/>
                  <c:pt idx="0">
                    <c:v>0</c:v>
                  </c:pt>
                  <c:pt idx="1">
                    <c:v>0</c:v>
                  </c:pt>
                  <c:pt idx="2">
                    <c:v>0</c:v>
                  </c:pt>
                  <c:pt idx="3">
                    <c:v>0</c:v>
                  </c:pt>
                  <c:pt idx="4">
                    <c:v>0</c:v>
                  </c:pt>
                  <c:pt idx="5">
                    <c:v>0</c:v>
                  </c:pt>
                  <c:pt idx="6">
                    <c:v>0</c:v>
                  </c:pt>
                </c:numCache>
              </c:numRef>
            </c:plus>
            <c:minus>
              <c:numRef>
                <c:f>'4.5 Group results Payoffs'!$H$601:$H$607</c:f>
                <c:numCache>
                  <c:formatCode>General</c:formatCode>
                  <c:ptCount val="7"/>
                  <c:pt idx="0">
                    <c:v>0</c:v>
                  </c:pt>
                  <c:pt idx="1">
                    <c:v>0</c:v>
                  </c:pt>
                  <c:pt idx="2">
                    <c:v>0</c:v>
                  </c:pt>
                  <c:pt idx="3">
                    <c:v>0</c:v>
                  </c:pt>
                  <c:pt idx="4">
                    <c:v>0</c:v>
                  </c:pt>
                  <c:pt idx="5">
                    <c:v>0</c:v>
                  </c:pt>
                  <c:pt idx="6">
                    <c:v>0</c:v>
                  </c:pt>
                </c:numCache>
              </c:numRef>
            </c:minus>
          </c:errBars>
          <c:cat>
            <c:strRef>
              <c:f>'4.5 Group results Payoffs'!$C$601:$C$607</c:f>
              <c:strCache>
                <c:ptCount val="7"/>
                <c:pt idx="0">
                  <c:v>A</c:v>
                </c:pt>
                <c:pt idx="1">
                  <c:v>B</c:v>
                </c:pt>
                <c:pt idx="2">
                  <c:v>C</c:v>
                </c:pt>
                <c:pt idx="3">
                  <c:v>D</c:v>
                </c:pt>
                <c:pt idx="4">
                  <c:v>E</c:v>
                </c:pt>
                <c:pt idx="5">
                  <c:v>F</c:v>
                </c:pt>
                <c:pt idx="6">
                  <c:v>GROUP</c:v>
                </c:pt>
              </c:strCache>
            </c:strRef>
          </c:cat>
          <c:val>
            <c:numRef>
              <c:f>'4.5 Group results Payoffs'!$F$601:$F$607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20BC-44E9-9963-3B603740DD80}"/>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 Decision tree Outputs'!$AW$15</c:f>
              <c:strCache>
                <c:ptCount val="1"/>
                <c:pt idx="0">
                  <c:v>best estimate</c:v>
                </c:pt>
              </c:strCache>
            </c:strRef>
          </c:tx>
          <c:spPr>
            <a:solidFill>
              <a:schemeClr val="bg1">
                <a:lumMod val="85000"/>
              </a:schemeClr>
            </a:solidFill>
            <a:ln w="25400">
              <a:solidFill>
                <a:schemeClr val="tx1"/>
              </a:solidFill>
            </a:ln>
            <a:effectLst/>
          </c:spPr>
          <c:invertIfNegative val="0"/>
          <c:errBars>
            <c:errBarType val="both"/>
            <c:errValType val="cust"/>
            <c:noEndCap val="1"/>
            <c:plus>
              <c:numRef>
                <c:f>'5. Decision tree Outputs'!$AY$21:$AY$24</c:f>
                <c:numCache>
                  <c:formatCode>General</c:formatCode>
                  <c:ptCount val="4"/>
                  <c:pt idx="0">
                    <c:v>0</c:v>
                  </c:pt>
                  <c:pt idx="1">
                    <c:v>0</c:v>
                  </c:pt>
                  <c:pt idx="2">
                    <c:v>0</c:v>
                  </c:pt>
                  <c:pt idx="3">
                    <c:v>0</c:v>
                  </c:pt>
                </c:numCache>
              </c:numRef>
            </c:plus>
            <c:minus>
              <c:numRef>
                <c:f>'5. Decision tree Outputs'!$AX$21:$AX$24</c:f>
                <c:numCache>
                  <c:formatCode>General</c:formatCode>
                  <c:ptCount val="4"/>
                  <c:pt idx="0">
                    <c:v>0</c:v>
                  </c:pt>
                  <c:pt idx="1">
                    <c:v>0</c:v>
                  </c:pt>
                  <c:pt idx="2">
                    <c:v>0</c:v>
                  </c:pt>
                  <c:pt idx="3">
                    <c:v>0</c:v>
                  </c:pt>
                </c:numCache>
              </c:numRef>
            </c:minus>
            <c:spPr>
              <a:noFill/>
              <a:ln w="25400" cap="flat" cmpd="sng" algn="ctr">
                <a:solidFill>
                  <a:schemeClr val="tx1">
                    <a:lumMod val="65000"/>
                    <a:lumOff val="35000"/>
                  </a:schemeClr>
                </a:solidFill>
                <a:round/>
              </a:ln>
              <a:effectLst/>
            </c:spPr>
          </c:errBars>
          <c:cat>
            <c:strRef>
              <c:f>'5. Decision tree Outputs'!$AV$16:$AV$19</c:f>
              <c:strCache>
                <c:ptCount val="4"/>
                <c:pt idx="0">
                  <c:v>do nothing</c:v>
                </c:pt>
                <c:pt idx="1">
                  <c:v>in-situ status quo</c:v>
                </c:pt>
                <c:pt idx="2">
                  <c:v>in-situ plus</c:v>
                </c:pt>
                <c:pt idx="3">
                  <c:v>ex-situ</c:v>
                </c:pt>
              </c:strCache>
            </c:strRef>
          </c:cat>
          <c:val>
            <c:numRef>
              <c:f>'5. Decision tree Outputs'!$AW$16:$AW$19</c:f>
              <c:numCache>
                <c:formatCode>0.0</c:formatCode>
                <c:ptCount val="4"/>
                <c:pt idx="0">
                  <c:v>0</c:v>
                </c:pt>
                <c:pt idx="1">
                  <c:v>0</c:v>
                </c:pt>
                <c:pt idx="2">
                  <c:v>0</c:v>
                </c:pt>
                <c:pt idx="3">
                  <c:v>0</c:v>
                </c:pt>
              </c:numCache>
            </c:numRef>
          </c:val>
          <c:extLst>
            <c:ext xmlns:c16="http://schemas.microsoft.com/office/drawing/2014/chart" uri="{C3380CC4-5D6E-409C-BE32-E72D297353CC}">
              <c16:uniqueId val="{00000000-E50D-4D3C-BF4C-32D3F37DC390}"/>
            </c:ext>
          </c:extLst>
        </c:ser>
        <c:dLbls>
          <c:showLegendKey val="0"/>
          <c:showVal val="0"/>
          <c:showCatName val="0"/>
          <c:showSerName val="0"/>
          <c:showPercent val="0"/>
          <c:showBubbleSize val="0"/>
        </c:dLbls>
        <c:gapWidth val="219"/>
        <c:overlap val="-27"/>
        <c:axId val="674769448"/>
        <c:axId val="674772072"/>
      </c:barChart>
      <c:catAx>
        <c:axId val="674769448"/>
        <c:scaling>
          <c:orientation val="minMax"/>
        </c:scaling>
        <c:delete val="0"/>
        <c:axPos val="b"/>
        <c:numFmt formatCode="General" sourceLinked="1"/>
        <c:majorTickMark val="none"/>
        <c:minorTickMark val="none"/>
        <c:tickLblPos val="high"/>
        <c:spPr>
          <a:noFill/>
          <a:ln w="25400" cap="flat" cmpd="sng" algn="ctr">
            <a:solidFill>
              <a:schemeClr val="tx1"/>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74772072"/>
        <c:crosses val="autoZero"/>
        <c:auto val="1"/>
        <c:lblAlgn val="ctr"/>
        <c:lblOffset val="100"/>
        <c:noMultiLvlLbl val="0"/>
      </c:catAx>
      <c:valAx>
        <c:axId val="674772072"/>
        <c:scaling>
          <c:orientation val="minMax"/>
          <c:min val="-100"/>
        </c:scaling>
        <c:delete val="0"/>
        <c:axPos val="l"/>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Relative population size (% change)</a:t>
                </a:r>
              </a:p>
            </c:rich>
          </c:tx>
          <c:layout/>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74769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600"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Events'!$G$82:$G$88</c:f>
                <c:numCache>
                  <c:formatCode>General</c:formatCode>
                  <c:ptCount val="7"/>
                </c:numCache>
              </c:numRef>
            </c:plus>
            <c:minus>
              <c:numRef>
                <c:f>'4.4 Group results Events'!$F$82:$F$88</c:f>
                <c:numCache>
                  <c:formatCode>General</c:formatCode>
                  <c:ptCount val="7"/>
                </c:numCache>
              </c:numRef>
            </c:minus>
          </c:errBars>
          <c:cat>
            <c:strRef>
              <c:f>'4.4 Group results Events'!$C$82:$C$88</c:f>
              <c:strCache>
                <c:ptCount val="7"/>
                <c:pt idx="0">
                  <c:v>A</c:v>
                </c:pt>
                <c:pt idx="1">
                  <c:v>B</c:v>
                </c:pt>
                <c:pt idx="2">
                  <c:v>C</c:v>
                </c:pt>
                <c:pt idx="3">
                  <c:v>D</c:v>
                </c:pt>
                <c:pt idx="4">
                  <c:v>E</c:v>
                </c:pt>
                <c:pt idx="5">
                  <c:v>F</c:v>
                </c:pt>
                <c:pt idx="6">
                  <c:v>GROUP</c:v>
                </c:pt>
              </c:strCache>
            </c:strRef>
          </c:cat>
          <c:val>
            <c:numRef>
              <c:f>'4.4 Group results Events'!$D$82:$D$88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5388-4E72-A4EC-70C560239063}"/>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5388-4E72-A4EC-70C560239063}"/>
              </c:ext>
            </c:extLst>
          </c:dPt>
          <c:dPt>
            <c:idx val="15"/>
            <c:marker>
              <c:spPr>
                <a:solidFill>
                  <a:srgbClr val="FF0000"/>
                </a:solidFill>
                <a:ln>
                  <a:noFill/>
                </a:ln>
              </c:spPr>
            </c:marker>
            <c:bubble3D val="0"/>
            <c:extLst>
              <c:ext xmlns:c16="http://schemas.microsoft.com/office/drawing/2014/chart" uri="{C3380CC4-5D6E-409C-BE32-E72D297353CC}">
                <c16:uniqueId val="{00000002-5388-4E72-A4EC-70C560239063}"/>
              </c:ext>
            </c:extLst>
          </c:dPt>
          <c:errBars>
            <c:errDir val="y"/>
            <c:errBarType val="both"/>
            <c:errValType val="cust"/>
            <c:noEndCap val="0"/>
            <c:plus>
              <c:numRef>
                <c:f>'4.4 Group results Events'!$G$82:$G$88</c:f>
                <c:numCache>
                  <c:formatCode>General</c:formatCode>
                  <c:ptCount val="7"/>
                </c:numCache>
              </c:numRef>
            </c:plus>
            <c:minus>
              <c:numRef>
                <c:f>'4.4 Group results Events'!$F$82:$F$88</c:f>
                <c:numCache>
                  <c:formatCode>General</c:formatCode>
                  <c:ptCount val="7"/>
                </c:numCache>
              </c:numRef>
            </c:minus>
          </c:errBars>
          <c:cat>
            <c:strRef>
              <c:f>'4.4 Group results Events'!$C$82:$C$88</c:f>
              <c:strCache>
                <c:ptCount val="7"/>
                <c:pt idx="0">
                  <c:v>A</c:v>
                </c:pt>
                <c:pt idx="1">
                  <c:v>B</c:v>
                </c:pt>
                <c:pt idx="2">
                  <c:v>C</c:v>
                </c:pt>
                <c:pt idx="3">
                  <c:v>D</c:v>
                </c:pt>
                <c:pt idx="4">
                  <c:v>E</c:v>
                </c:pt>
                <c:pt idx="5">
                  <c:v>F</c:v>
                </c:pt>
                <c:pt idx="6">
                  <c:v>GROUP</c:v>
                </c:pt>
              </c:strCache>
            </c:strRef>
          </c:cat>
          <c:val>
            <c:numRef>
              <c:f>'4.4 Group results Events'!$D$82:$D$88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5388-4E72-A4EC-70C560239063}"/>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judgements'!$AD$28</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judgements'!$AD$29</c:f>
              <c:strCache>
                <c:ptCount val="1"/>
                <c:pt idx="0">
                  <c:v>status of species (wild AND captive)</c:v>
                </c:pt>
              </c:strCache>
            </c:strRef>
          </c:tx>
          <c:spPr>
            <a:solidFill>
              <a:srgbClr val="92D050"/>
            </a:solidFill>
            <a:ln>
              <a:noFill/>
            </a:ln>
            <a:effectLst/>
          </c:spPr>
          <c:invertIfNegative val="0"/>
          <c:cat>
            <c:strRef>
              <c:f>'6.1 Value judgements'!$AE$28:$AH$28</c:f>
              <c:strCache>
                <c:ptCount val="4"/>
                <c:pt idx="0">
                  <c:v>do nothing</c:v>
                </c:pt>
                <c:pt idx="1">
                  <c:v>SQ in situ</c:v>
                </c:pt>
                <c:pt idx="2">
                  <c:v>in-situ plus</c:v>
                </c:pt>
                <c:pt idx="3">
                  <c:v>ex-situ</c:v>
                </c:pt>
              </c:strCache>
            </c:strRef>
          </c:cat>
          <c:val>
            <c:numRef>
              <c:f>'6.1 Value judgements'!$AE$29:$AH$29</c:f>
              <c:numCache>
                <c:formatCode>0.00</c:formatCode>
                <c:ptCount val="4"/>
                <c:pt idx="0">
                  <c:v>0</c:v>
                </c:pt>
                <c:pt idx="1">
                  <c:v>0</c:v>
                </c:pt>
                <c:pt idx="2">
                  <c:v>0</c:v>
                </c:pt>
                <c:pt idx="3">
                  <c:v>0</c:v>
                </c:pt>
              </c:numCache>
            </c:numRef>
          </c:val>
          <c:extLst>
            <c:ext xmlns:c16="http://schemas.microsoft.com/office/drawing/2014/chart" uri="{C3380CC4-5D6E-409C-BE32-E72D297353CC}">
              <c16:uniqueId val="{00000000-92D8-4ADB-B179-DA2AFB65F24D}"/>
            </c:ext>
          </c:extLst>
        </c:ser>
        <c:ser>
          <c:idx val="1"/>
          <c:order val="1"/>
          <c:tx>
            <c:strRef>
              <c:f>'6.1 Value judgements'!$AD$30</c:f>
              <c:strCache>
                <c:ptCount val="1"/>
                <c:pt idx="0">
                  <c:v>cost</c:v>
                </c:pt>
              </c:strCache>
            </c:strRef>
          </c:tx>
          <c:spPr>
            <a:solidFill>
              <a:schemeClr val="accent1">
                <a:lumMod val="60000"/>
                <a:lumOff val="40000"/>
              </a:schemeClr>
            </a:solidFill>
            <a:ln>
              <a:noFill/>
            </a:ln>
            <a:effectLst/>
          </c:spPr>
          <c:invertIfNegative val="0"/>
          <c:cat>
            <c:strRef>
              <c:f>'6.1 Value judgements'!$AE$28:$AH$28</c:f>
              <c:strCache>
                <c:ptCount val="4"/>
                <c:pt idx="0">
                  <c:v>do nothing</c:v>
                </c:pt>
                <c:pt idx="1">
                  <c:v>SQ in situ</c:v>
                </c:pt>
                <c:pt idx="2">
                  <c:v>in-situ plus</c:v>
                </c:pt>
                <c:pt idx="3">
                  <c:v>ex-situ</c:v>
                </c:pt>
              </c:strCache>
            </c:strRef>
          </c:cat>
          <c:val>
            <c:numRef>
              <c:f>'6.1 Value judgements'!$AE$30:$AH$30</c:f>
              <c:numCache>
                <c:formatCode>0.00</c:formatCode>
                <c:ptCount val="4"/>
                <c:pt idx="0">
                  <c:v>0</c:v>
                </c:pt>
                <c:pt idx="1">
                  <c:v>0</c:v>
                </c:pt>
                <c:pt idx="2">
                  <c:v>0</c:v>
                </c:pt>
                <c:pt idx="3">
                  <c:v>0</c:v>
                </c:pt>
              </c:numCache>
            </c:numRef>
          </c:val>
          <c:extLst>
            <c:ext xmlns:c16="http://schemas.microsoft.com/office/drawing/2014/chart" uri="{C3380CC4-5D6E-409C-BE32-E72D297353CC}">
              <c16:uniqueId val="{00000001-92D8-4ADB-B179-DA2AFB65F24D}"/>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judgements'!$AD$34</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judgements'!$AD$35</c:f>
              <c:strCache>
                <c:ptCount val="1"/>
                <c:pt idx="0">
                  <c:v>status of species (wild AND captive)</c:v>
                </c:pt>
              </c:strCache>
            </c:strRef>
          </c:tx>
          <c:spPr>
            <a:solidFill>
              <a:srgbClr val="92D050"/>
            </a:solidFill>
            <a:ln>
              <a:noFill/>
            </a:ln>
            <a:effectLst/>
          </c:spPr>
          <c:invertIfNegative val="0"/>
          <c:cat>
            <c:strRef>
              <c:f>'6.1 Value judgements'!$AE$34:$AH$34</c:f>
              <c:strCache>
                <c:ptCount val="4"/>
                <c:pt idx="0">
                  <c:v>do nothing</c:v>
                </c:pt>
                <c:pt idx="1">
                  <c:v>SQ in situ</c:v>
                </c:pt>
                <c:pt idx="2">
                  <c:v>in-situ plus</c:v>
                </c:pt>
                <c:pt idx="3">
                  <c:v>ex-situ</c:v>
                </c:pt>
              </c:strCache>
            </c:strRef>
          </c:cat>
          <c:val>
            <c:numRef>
              <c:f>'6.1 Value judgements'!$AE$35:$AH$35</c:f>
              <c:numCache>
                <c:formatCode>0.00</c:formatCode>
                <c:ptCount val="4"/>
                <c:pt idx="0">
                  <c:v>0</c:v>
                </c:pt>
                <c:pt idx="1">
                  <c:v>0</c:v>
                </c:pt>
                <c:pt idx="2">
                  <c:v>0</c:v>
                </c:pt>
                <c:pt idx="3">
                  <c:v>0</c:v>
                </c:pt>
              </c:numCache>
            </c:numRef>
          </c:val>
          <c:extLst>
            <c:ext xmlns:c16="http://schemas.microsoft.com/office/drawing/2014/chart" uri="{C3380CC4-5D6E-409C-BE32-E72D297353CC}">
              <c16:uniqueId val="{00000000-7A54-4387-9752-561B88A9792B}"/>
            </c:ext>
          </c:extLst>
        </c:ser>
        <c:ser>
          <c:idx val="1"/>
          <c:order val="1"/>
          <c:tx>
            <c:strRef>
              <c:f>'6.1 Value judgements'!$AD$36</c:f>
              <c:strCache>
                <c:ptCount val="1"/>
                <c:pt idx="0">
                  <c:v>cost</c:v>
                </c:pt>
              </c:strCache>
            </c:strRef>
          </c:tx>
          <c:spPr>
            <a:solidFill>
              <a:schemeClr val="accent1">
                <a:lumMod val="60000"/>
                <a:lumOff val="40000"/>
              </a:schemeClr>
            </a:solidFill>
            <a:ln>
              <a:noFill/>
            </a:ln>
            <a:effectLst/>
          </c:spPr>
          <c:invertIfNegative val="0"/>
          <c:cat>
            <c:strRef>
              <c:f>'6.1 Value judgements'!$AE$34:$AH$34</c:f>
              <c:strCache>
                <c:ptCount val="4"/>
                <c:pt idx="0">
                  <c:v>do nothing</c:v>
                </c:pt>
                <c:pt idx="1">
                  <c:v>SQ in situ</c:v>
                </c:pt>
                <c:pt idx="2">
                  <c:v>in-situ plus</c:v>
                </c:pt>
                <c:pt idx="3">
                  <c:v>ex-situ</c:v>
                </c:pt>
              </c:strCache>
            </c:strRef>
          </c:cat>
          <c:val>
            <c:numRef>
              <c:f>'6.1 Value judgements'!$AE$36:$AH$36</c:f>
              <c:numCache>
                <c:formatCode>0.00</c:formatCode>
                <c:ptCount val="4"/>
                <c:pt idx="0">
                  <c:v>0</c:v>
                </c:pt>
                <c:pt idx="1">
                  <c:v>0</c:v>
                </c:pt>
                <c:pt idx="2">
                  <c:v>0</c:v>
                </c:pt>
                <c:pt idx="3">
                  <c:v>0</c:v>
                </c:pt>
              </c:numCache>
            </c:numRef>
          </c:val>
          <c:extLst>
            <c:ext xmlns:c16="http://schemas.microsoft.com/office/drawing/2014/chart" uri="{C3380CC4-5D6E-409C-BE32-E72D297353CC}">
              <c16:uniqueId val="{00000001-7A54-4387-9752-561B88A9792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judgements'!$AD$41</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judgements'!$AD$42</c:f>
              <c:strCache>
                <c:ptCount val="1"/>
                <c:pt idx="0">
                  <c:v>status of species (wild AND captive)</c:v>
                </c:pt>
              </c:strCache>
            </c:strRef>
          </c:tx>
          <c:spPr>
            <a:solidFill>
              <a:srgbClr val="92D050"/>
            </a:solidFill>
            <a:ln>
              <a:noFill/>
            </a:ln>
            <a:effectLst/>
          </c:spPr>
          <c:invertIfNegative val="0"/>
          <c:cat>
            <c:strRef>
              <c:f>'6.1 Value judgements'!$AE$41:$AH$41</c:f>
              <c:strCache>
                <c:ptCount val="4"/>
                <c:pt idx="0">
                  <c:v>do nothing</c:v>
                </c:pt>
                <c:pt idx="1">
                  <c:v>SQ in situ</c:v>
                </c:pt>
                <c:pt idx="2">
                  <c:v>in-situ plus</c:v>
                </c:pt>
                <c:pt idx="3">
                  <c:v>ex-situ</c:v>
                </c:pt>
              </c:strCache>
            </c:strRef>
          </c:cat>
          <c:val>
            <c:numRef>
              <c:f>'6.1 Value judgements'!$AE$42:$AH$42</c:f>
              <c:numCache>
                <c:formatCode>0.00</c:formatCode>
                <c:ptCount val="4"/>
                <c:pt idx="0">
                  <c:v>0</c:v>
                </c:pt>
                <c:pt idx="1">
                  <c:v>0</c:v>
                </c:pt>
                <c:pt idx="2">
                  <c:v>0</c:v>
                </c:pt>
                <c:pt idx="3">
                  <c:v>0</c:v>
                </c:pt>
              </c:numCache>
            </c:numRef>
          </c:val>
          <c:extLst>
            <c:ext xmlns:c16="http://schemas.microsoft.com/office/drawing/2014/chart" uri="{C3380CC4-5D6E-409C-BE32-E72D297353CC}">
              <c16:uniqueId val="{00000000-A880-4D4C-8122-4447E06D4556}"/>
            </c:ext>
          </c:extLst>
        </c:ser>
        <c:ser>
          <c:idx val="1"/>
          <c:order val="1"/>
          <c:tx>
            <c:strRef>
              <c:f>'6.1 Value judgements'!$AD$43</c:f>
              <c:strCache>
                <c:ptCount val="1"/>
                <c:pt idx="0">
                  <c:v>cost</c:v>
                </c:pt>
              </c:strCache>
            </c:strRef>
          </c:tx>
          <c:spPr>
            <a:solidFill>
              <a:schemeClr val="accent1">
                <a:lumMod val="60000"/>
                <a:lumOff val="40000"/>
              </a:schemeClr>
            </a:solidFill>
            <a:ln>
              <a:noFill/>
            </a:ln>
            <a:effectLst/>
          </c:spPr>
          <c:invertIfNegative val="0"/>
          <c:cat>
            <c:strRef>
              <c:f>'6.1 Value judgements'!$AE$41:$AH$41</c:f>
              <c:strCache>
                <c:ptCount val="4"/>
                <c:pt idx="0">
                  <c:v>do nothing</c:v>
                </c:pt>
                <c:pt idx="1">
                  <c:v>SQ in situ</c:v>
                </c:pt>
                <c:pt idx="2">
                  <c:v>in-situ plus</c:v>
                </c:pt>
                <c:pt idx="3">
                  <c:v>ex-situ</c:v>
                </c:pt>
              </c:strCache>
            </c:strRef>
          </c:cat>
          <c:val>
            <c:numRef>
              <c:f>'6.1 Value judgements'!$AE$43:$AH$43</c:f>
              <c:numCache>
                <c:formatCode>0.00</c:formatCode>
                <c:ptCount val="4"/>
                <c:pt idx="0">
                  <c:v>0</c:v>
                </c:pt>
                <c:pt idx="1">
                  <c:v>0</c:v>
                </c:pt>
                <c:pt idx="2">
                  <c:v>0</c:v>
                </c:pt>
                <c:pt idx="3">
                  <c:v>0</c:v>
                </c:pt>
              </c:numCache>
            </c:numRef>
          </c:val>
          <c:extLst>
            <c:ext xmlns:c16="http://schemas.microsoft.com/office/drawing/2014/chart" uri="{C3380CC4-5D6E-409C-BE32-E72D297353CC}">
              <c16:uniqueId val="{00000001-A880-4D4C-8122-4447E06D4556}"/>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judgements'!$AD$83</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judgements'!$AD$84</c:f>
              <c:strCache>
                <c:ptCount val="1"/>
                <c:pt idx="0">
                  <c:v>status of species (wild AND captive)</c:v>
                </c:pt>
              </c:strCache>
            </c:strRef>
          </c:tx>
          <c:spPr>
            <a:solidFill>
              <a:srgbClr val="92D050"/>
            </a:solidFill>
            <a:ln>
              <a:noFill/>
            </a:ln>
            <a:effectLst/>
          </c:spPr>
          <c:invertIfNegative val="0"/>
          <c:cat>
            <c:strRef>
              <c:f>'6.1 Value judgements'!$AE$83:$AH$83</c:f>
              <c:strCache>
                <c:ptCount val="4"/>
                <c:pt idx="0">
                  <c:v>do nothing</c:v>
                </c:pt>
                <c:pt idx="1">
                  <c:v>SQ in situ</c:v>
                </c:pt>
                <c:pt idx="2">
                  <c:v>in-situ plus</c:v>
                </c:pt>
                <c:pt idx="3">
                  <c:v>ex-situ</c:v>
                </c:pt>
              </c:strCache>
            </c:strRef>
          </c:cat>
          <c:val>
            <c:numRef>
              <c:f>'6.1 Value judgements'!$AE$84:$AH$84</c:f>
              <c:numCache>
                <c:formatCode>0.00</c:formatCode>
                <c:ptCount val="4"/>
                <c:pt idx="0">
                  <c:v>0</c:v>
                </c:pt>
                <c:pt idx="1">
                  <c:v>0</c:v>
                </c:pt>
                <c:pt idx="2">
                  <c:v>0</c:v>
                </c:pt>
                <c:pt idx="3">
                  <c:v>0</c:v>
                </c:pt>
              </c:numCache>
            </c:numRef>
          </c:val>
          <c:extLst>
            <c:ext xmlns:c16="http://schemas.microsoft.com/office/drawing/2014/chart" uri="{C3380CC4-5D6E-409C-BE32-E72D297353CC}">
              <c16:uniqueId val="{00000000-A28D-471B-97D1-CDD70D8DD2BC}"/>
            </c:ext>
          </c:extLst>
        </c:ser>
        <c:ser>
          <c:idx val="1"/>
          <c:order val="1"/>
          <c:tx>
            <c:strRef>
              <c:f>'6.1 Value judgements'!$AD$85</c:f>
              <c:strCache>
                <c:ptCount val="1"/>
                <c:pt idx="0">
                  <c:v>cost</c:v>
                </c:pt>
              </c:strCache>
            </c:strRef>
          </c:tx>
          <c:spPr>
            <a:solidFill>
              <a:schemeClr val="accent1">
                <a:lumMod val="60000"/>
                <a:lumOff val="40000"/>
              </a:schemeClr>
            </a:solidFill>
            <a:ln>
              <a:noFill/>
            </a:ln>
            <a:effectLst/>
          </c:spPr>
          <c:invertIfNegative val="0"/>
          <c:cat>
            <c:strRef>
              <c:f>'6.1 Value judgements'!$AE$83:$AH$83</c:f>
              <c:strCache>
                <c:ptCount val="4"/>
                <c:pt idx="0">
                  <c:v>do nothing</c:v>
                </c:pt>
                <c:pt idx="1">
                  <c:v>SQ in situ</c:v>
                </c:pt>
                <c:pt idx="2">
                  <c:v>in-situ plus</c:v>
                </c:pt>
                <c:pt idx="3">
                  <c:v>ex-situ</c:v>
                </c:pt>
              </c:strCache>
            </c:strRef>
          </c:cat>
          <c:val>
            <c:numRef>
              <c:f>'6.1 Value judgements'!$AE$85:$AH$85</c:f>
              <c:numCache>
                <c:formatCode>0.00</c:formatCode>
                <c:ptCount val="4"/>
                <c:pt idx="0">
                  <c:v>0</c:v>
                </c:pt>
                <c:pt idx="1">
                  <c:v>0</c:v>
                </c:pt>
                <c:pt idx="2">
                  <c:v>0</c:v>
                </c:pt>
                <c:pt idx="3">
                  <c:v>0</c:v>
                </c:pt>
              </c:numCache>
            </c:numRef>
          </c:val>
          <c:extLst>
            <c:ext xmlns:c16="http://schemas.microsoft.com/office/drawing/2014/chart" uri="{C3380CC4-5D6E-409C-BE32-E72D297353CC}">
              <c16:uniqueId val="{00000001-A28D-471B-97D1-CDD70D8DD2B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judgements'!$AD$89</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judgements'!$AD$90</c:f>
              <c:strCache>
                <c:ptCount val="1"/>
                <c:pt idx="0">
                  <c:v>status of species (wild AND captive)</c:v>
                </c:pt>
              </c:strCache>
            </c:strRef>
          </c:tx>
          <c:spPr>
            <a:solidFill>
              <a:srgbClr val="92D050"/>
            </a:solidFill>
            <a:ln>
              <a:noFill/>
            </a:ln>
            <a:effectLst/>
          </c:spPr>
          <c:invertIfNegative val="0"/>
          <c:cat>
            <c:strRef>
              <c:f>'6.1 Value judgements'!$AE$89:$AH$89</c:f>
              <c:strCache>
                <c:ptCount val="4"/>
                <c:pt idx="0">
                  <c:v>do nothing</c:v>
                </c:pt>
                <c:pt idx="1">
                  <c:v>SQ in situ</c:v>
                </c:pt>
                <c:pt idx="2">
                  <c:v>in-situ plus</c:v>
                </c:pt>
                <c:pt idx="3">
                  <c:v>ex-situ</c:v>
                </c:pt>
              </c:strCache>
            </c:strRef>
          </c:cat>
          <c:val>
            <c:numRef>
              <c:f>'6.1 Value judgements'!$AE$90:$AH$90</c:f>
              <c:numCache>
                <c:formatCode>0.00</c:formatCode>
                <c:ptCount val="4"/>
                <c:pt idx="0">
                  <c:v>0</c:v>
                </c:pt>
                <c:pt idx="1">
                  <c:v>0</c:v>
                </c:pt>
                <c:pt idx="2">
                  <c:v>0</c:v>
                </c:pt>
                <c:pt idx="3">
                  <c:v>0</c:v>
                </c:pt>
              </c:numCache>
            </c:numRef>
          </c:val>
          <c:extLst>
            <c:ext xmlns:c16="http://schemas.microsoft.com/office/drawing/2014/chart" uri="{C3380CC4-5D6E-409C-BE32-E72D297353CC}">
              <c16:uniqueId val="{00000000-9985-4526-A33E-0A71CE26E9EE}"/>
            </c:ext>
          </c:extLst>
        </c:ser>
        <c:ser>
          <c:idx val="1"/>
          <c:order val="1"/>
          <c:tx>
            <c:strRef>
              <c:f>'6.1 Value judgements'!$AD$91</c:f>
              <c:strCache>
                <c:ptCount val="1"/>
                <c:pt idx="0">
                  <c:v>cost</c:v>
                </c:pt>
              </c:strCache>
            </c:strRef>
          </c:tx>
          <c:spPr>
            <a:solidFill>
              <a:schemeClr val="accent1">
                <a:lumMod val="60000"/>
                <a:lumOff val="40000"/>
              </a:schemeClr>
            </a:solidFill>
            <a:ln>
              <a:noFill/>
            </a:ln>
            <a:effectLst/>
          </c:spPr>
          <c:invertIfNegative val="0"/>
          <c:cat>
            <c:strRef>
              <c:f>'6.1 Value judgements'!$AE$89:$AH$89</c:f>
              <c:strCache>
                <c:ptCount val="4"/>
                <c:pt idx="0">
                  <c:v>do nothing</c:v>
                </c:pt>
                <c:pt idx="1">
                  <c:v>SQ in situ</c:v>
                </c:pt>
                <c:pt idx="2">
                  <c:v>in-situ plus</c:v>
                </c:pt>
                <c:pt idx="3">
                  <c:v>ex-situ</c:v>
                </c:pt>
              </c:strCache>
            </c:strRef>
          </c:cat>
          <c:val>
            <c:numRef>
              <c:f>'6.1 Value judgements'!$AE$91:$AH$91</c:f>
              <c:numCache>
                <c:formatCode>0.00</c:formatCode>
                <c:ptCount val="4"/>
                <c:pt idx="0">
                  <c:v>0</c:v>
                </c:pt>
                <c:pt idx="1">
                  <c:v>0</c:v>
                </c:pt>
                <c:pt idx="2">
                  <c:v>0</c:v>
                </c:pt>
                <c:pt idx="3">
                  <c:v>0</c:v>
                </c:pt>
              </c:numCache>
            </c:numRef>
          </c:val>
          <c:extLst>
            <c:ext xmlns:c16="http://schemas.microsoft.com/office/drawing/2014/chart" uri="{C3380CC4-5D6E-409C-BE32-E72D297353CC}">
              <c16:uniqueId val="{00000001-9985-4526-A33E-0A71CE26E9EE}"/>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judgements'!$AD$96</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judgements'!$AD$97</c:f>
              <c:strCache>
                <c:ptCount val="1"/>
                <c:pt idx="0">
                  <c:v>status of species (wild AND captive)</c:v>
                </c:pt>
              </c:strCache>
            </c:strRef>
          </c:tx>
          <c:spPr>
            <a:solidFill>
              <a:srgbClr val="92D050"/>
            </a:solidFill>
            <a:ln>
              <a:noFill/>
            </a:ln>
            <a:effectLst/>
          </c:spPr>
          <c:invertIfNegative val="0"/>
          <c:cat>
            <c:strRef>
              <c:f>'6.1 Value judgements'!$AE$96:$AH$96</c:f>
              <c:strCache>
                <c:ptCount val="4"/>
                <c:pt idx="0">
                  <c:v>do nothing</c:v>
                </c:pt>
                <c:pt idx="1">
                  <c:v>SQ in situ</c:v>
                </c:pt>
                <c:pt idx="2">
                  <c:v>in-situ plus</c:v>
                </c:pt>
                <c:pt idx="3">
                  <c:v>ex-situ</c:v>
                </c:pt>
              </c:strCache>
            </c:strRef>
          </c:cat>
          <c:val>
            <c:numRef>
              <c:f>'6.1 Value judgements'!$AE$97:$AH$97</c:f>
              <c:numCache>
                <c:formatCode>0.00</c:formatCode>
                <c:ptCount val="4"/>
                <c:pt idx="0">
                  <c:v>0</c:v>
                </c:pt>
                <c:pt idx="1">
                  <c:v>0</c:v>
                </c:pt>
                <c:pt idx="2">
                  <c:v>0</c:v>
                </c:pt>
                <c:pt idx="3">
                  <c:v>0</c:v>
                </c:pt>
              </c:numCache>
            </c:numRef>
          </c:val>
          <c:extLst>
            <c:ext xmlns:c16="http://schemas.microsoft.com/office/drawing/2014/chart" uri="{C3380CC4-5D6E-409C-BE32-E72D297353CC}">
              <c16:uniqueId val="{00000000-2663-4C75-A1E3-2C2F37E8C584}"/>
            </c:ext>
          </c:extLst>
        </c:ser>
        <c:ser>
          <c:idx val="1"/>
          <c:order val="1"/>
          <c:tx>
            <c:strRef>
              <c:f>'6.1 Value judgements'!$AD$98</c:f>
              <c:strCache>
                <c:ptCount val="1"/>
                <c:pt idx="0">
                  <c:v>cost</c:v>
                </c:pt>
              </c:strCache>
            </c:strRef>
          </c:tx>
          <c:spPr>
            <a:solidFill>
              <a:schemeClr val="accent1">
                <a:lumMod val="60000"/>
                <a:lumOff val="40000"/>
              </a:schemeClr>
            </a:solidFill>
            <a:ln>
              <a:noFill/>
            </a:ln>
            <a:effectLst/>
          </c:spPr>
          <c:invertIfNegative val="0"/>
          <c:cat>
            <c:strRef>
              <c:f>'6.1 Value judgements'!$AE$96:$AH$96</c:f>
              <c:strCache>
                <c:ptCount val="4"/>
                <c:pt idx="0">
                  <c:v>do nothing</c:v>
                </c:pt>
                <c:pt idx="1">
                  <c:v>SQ in situ</c:v>
                </c:pt>
                <c:pt idx="2">
                  <c:v>in-situ plus</c:v>
                </c:pt>
                <c:pt idx="3">
                  <c:v>ex-situ</c:v>
                </c:pt>
              </c:strCache>
            </c:strRef>
          </c:cat>
          <c:val>
            <c:numRef>
              <c:f>'6.1 Value judgements'!$AE$98:$AH$98</c:f>
              <c:numCache>
                <c:formatCode>0.00</c:formatCode>
                <c:ptCount val="4"/>
                <c:pt idx="0">
                  <c:v>0</c:v>
                </c:pt>
                <c:pt idx="1">
                  <c:v>0</c:v>
                </c:pt>
                <c:pt idx="2">
                  <c:v>0</c:v>
                </c:pt>
                <c:pt idx="3">
                  <c:v>0</c:v>
                </c:pt>
              </c:numCache>
            </c:numRef>
          </c:val>
          <c:extLst>
            <c:ext xmlns:c16="http://schemas.microsoft.com/office/drawing/2014/chart" uri="{C3380CC4-5D6E-409C-BE32-E72D297353CC}">
              <c16:uniqueId val="{00000001-2663-4C75-A1E3-2C2F37E8C584}"/>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judgements'!$AD$140</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judgements'!$AD$141</c:f>
              <c:strCache>
                <c:ptCount val="1"/>
                <c:pt idx="0">
                  <c:v>status of species (wild AND captive)</c:v>
                </c:pt>
              </c:strCache>
            </c:strRef>
          </c:tx>
          <c:spPr>
            <a:solidFill>
              <a:srgbClr val="92D050"/>
            </a:solidFill>
            <a:ln>
              <a:noFill/>
            </a:ln>
            <a:effectLst/>
          </c:spPr>
          <c:invertIfNegative val="0"/>
          <c:cat>
            <c:strRef>
              <c:f>'6.1 Value judgements'!$AE$140:$AH$140</c:f>
              <c:strCache>
                <c:ptCount val="4"/>
                <c:pt idx="0">
                  <c:v>do nothing</c:v>
                </c:pt>
                <c:pt idx="1">
                  <c:v>SQ in situ</c:v>
                </c:pt>
                <c:pt idx="2">
                  <c:v>in-situ plus</c:v>
                </c:pt>
                <c:pt idx="3">
                  <c:v>ex-situ</c:v>
                </c:pt>
              </c:strCache>
            </c:strRef>
          </c:cat>
          <c:val>
            <c:numRef>
              <c:f>'6.1 Value judgements'!$AE$141:$AH$141</c:f>
              <c:numCache>
                <c:formatCode>0.00</c:formatCode>
                <c:ptCount val="4"/>
                <c:pt idx="0">
                  <c:v>0</c:v>
                </c:pt>
                <c:pt idx="1">
                  <c:v>0</c:v>
                </c:pt>
                <c:pt idx="2">
                  <c:v>0</c:v>
                </c:pt>
                <c:pt idx="3">
                  <c:v>0</c:v>
                </c:pt>
              </c:numCache>
            </c:numRef>
          </c:val>
          <c:extLst>
            <c:ext xmlns:c16="http://schemas.microsoft.com/office/drawing/2014/chart" uri="{C3380CC4-5D6E-409C-BE32-E72D297353CC}">
              <c16:uniqueId val="{00000000-B507-4D97-A852-9F163F017B90}"/>
            </c:ext>
          </c:extLst>
        </c:ser>
        <c:ser>
          <c:idx val="1"/>
          <c:order val="1"/>
          <c:tx>
            <c:strRef>
              <c:f>'6.1 Value judgements'!$AD$142</c:f>
              <c:strCache>
                <c:ptCount val="1"/>
                <c:pt idx="0">
                  <c:v>cost</c:v>
                </c:pt>
              </c:strCache>
            </c:strRef>
          </c:tx>
          <c:spPr>
            <a:solidFill>
              <a:schemeClr val="accent1">
                <a:lumMod val="60000"/>
                <a:lumOff val="40000"/>
              </a:schemeClr>
            </a:solidFill>
            <a:ln>
              <a:noFill/>
            </a:ln>
            <a:effectLst/>
          </c:spPr>
          <c:invertIfNegative val="0"/>
          <c:cat>
            <c:strRef>
              <c:f>'6.1 Value judgements'!$AE$140:$AH$140</c:f>
              <c:strCache>
                <c:ptCount val="4"/>
                <c:pt idx="0">
                  <c:v>do nothing</c:v>
                </c:pt>
                <c:pt idx="1">
                  <c:v>SQ in situ</c:v>
                </c:pt>
                <c:pt idx="2">
                  <c:v>in-situ plus</c:v>
                </c:pt>
                <c:pt idx="3">
                  <c:v>ex-situ</c:v>
                </c:pt>
              </c:strCache>
            </c:strRef>
          </c:cat>
          <c:val>
            <c:numRef>
              <c:f>'6.1 Value judgements'!$AE$142:$AH$142</c:f>
              <c:numCache>
                <c:formatCode>0.00</c:formatCode>
                <c:ptCount val="4"/>
                <c:pt idx="0">
                  <c:v>0</c:v>
                </c:pt>
                <c:pt idx="1">
                  <c:v>0</c:v>
                </c:pt>
                <c:pt idx="2">
                  <c:v>0</c:v>
                </c:pt>
                <c:pt idx="3">
                  <c:v>0</c:v>
                </c:pt>
              </c:numCache>
            </c:numRef>
          </c:val>
          <c:extLst>
            <c:ext xmlns:c16="http://schemas.microsoft.com/office/drawing/2014/chart" uri="{C3380CC4-5D6E-409C-BE32-E72D297353CC}">
              <c16:uniqueId val="{00000001-B507-4D97-A852-9F163F017B90}"/>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judgements'!$AD$146</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judgements'!$AD$147</c:f>
              <c:strCache>
                <c:ptCount val="1"/>
                <c:pt idx="0">
                  <c:v>status of species (wild AND captive)</c:v>
                </c:pt>
              </c:strCache>
            </c:strRef>
          </c:tx>
          <c:spPr>
            <a:solidFill>
              <a:srgbClr val="92D050"/>
            </a:solidFill>
            <a:ln>
              <a:noFill/>
            </a:ln>
            <a:effectLst/>
          </c:spPr>
          <c:invertIfNegative val="0"/>
          <c:cat>
            <c:strRef>
              <c:f>'6.1 Value judgements'!$AE$146:$AH$146</c:f>
              <c:strCache>
                <c:ptCount val="4"/>
                <c:pt idx="0">
                  <c:v>do nothing</c:v>
                </c:pt>
                <c:pt idx="1">
                  <c:v>SQ in situ</c:v>
                </c:pt>
                <c:pt idx="2">
                  <c:v>in-situ plus</c:v>
                </c:pt>
                <c:pt idx="3">
                  <c:v>ex-situ</c:v>
                </c:pt>
              </c:strCache>
            </c:strRef>
          </c:cat>
          <c:val>
            <c:numRef>
              <c:f>'6.1 Value judgements'!$AE$147:$AH$147</c:f>
              <c:numCache>
                <c:formatCode>0.00</c:formatCode>
                <c:ptCount val="4"/>
                <c:pt idx="0">
                  <c:v>0</c:v>
                </c:pt>
                <c:pt idx="1">
                  <c:v>0</c:v>
                </c:pt>
                <c:pt idx="2">
                  <c:v>0</c:v>
                </c:pt>
                <c:pt idx="3">
                  <c:v>0</c:v>
                </c:pt>
              </c:numCache>
            </c:numRef>
          </c:val>
          <c:extLst>
            <c:ext xmlns:c16="http://schemas.microsoft.com/office/drawing/2014/chart" uri="{C3380CC4-5D6E-409C-BE32-E72D297353CC}">
              <c16:uniqueId val="{00000000-E038-47F1-B125-08D69362678B}"/>
            </c:ext>
          </c:extLst>
        </c:ser>
        <c:ser>
          <c:idx val="1"/>
          <c:order val="1"/>
          <c:tx>
            <c:strRef>
              <c:f>'6.1 Value judgements'!$AD$148</c:f>
              <c:strCache>
                <c:ptCount val="1"/>
                <c:pt idx="0">
                  <c:v>cost</c:v>
                </c:pt>
              </c:strCache>
            </c:strRef>
          </c:tx>
          <c:spPr>
            <a:solidFill>
              <a:schemeClr val="accent1">
                <a:lumMod val="60000"/>
                <a:lumOff val="40000"/>
              </a:schemeClr>
            </a:solidFill>
            <a:ln>
              <a:noFill/>
            </a:ln>
            <a:effectLst/>
          </c:spPr>
          <c:invertIfNegative val="0"/>
          <c:cat>
            <c:strRef>
              <c:f>'6.1 Value judgements'!$AE$146:$AH$146</c:f>
              <c:strCache>
                <c:ptCount val="4"/>
                <c:pt idx="0">
                  <c:v>do nothing</c:v>
                </c:pt>
                <c:pt idx="1">
                  <c:v>SQ in situ</c:v>
                </c:pt>
                <c:pt idx="2">
                  <c:v>in-situ plus</c:v>
                </c:pt>
                <c:pt idx="3">
                  <c:v>ex-situ</c:v>
                </c:pt>
              </c:strCache>
            </c:strRef>
          </c:cat>
          <c:val>
            <c:numRef>
              <c:f>'6.1 Value judgements'!$AE$148:$AH$148</c:f>
              <c:numCache>
                <c:formatCode>0.00</c:formatCode>
                <c:ptCount val="4"/>
                <c:pt idx="0">
                  <c:v>0</c:v>
                </c:pt>
                <c:pt idx="1">
                  <c:v>0</c:v>
                </c:pt>
                <c:pt idx="2">
                  <c:v>0</c:v>
                </c:pt>
                <c:pt idx="3">
                  <c:v>0</c:v>
                </c:pt>
              </c:numCache>
            </c:numRef>
          </c:val>
          <c:extLst>
            <c:ext xmlns:c16="http://schemas.microsoft.com/office/drawing/2014/chart" uri="{C3380CC4-5D6E-409C-BE32-E72D297353CC}">
              <c16:uniqueId val="{00000001-E038-47F1-B125-08D69362678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judgements'!$AD$153</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judgements'!$AD$154</c:f>
              <c:strCache>
                <c:ptCount val="1"/>
                <c:pt idx="0">
                  <c:v>status of species (wild AND captive)</c:v>
                </c:pt>
              </c:strCache>
            </c:strRef>
          </c:tx>
          <c:spPr>
            <a:solidFill>
              <a:srgbClr val="92D050"/>
            </a:solidFill>
            <a:ln>
              <a:noFill/>
            </a:ln>
            <a:effectLst/>
          </c:spPr>
          <c:invertIfNegative val="0"/>
          <c:cat>
            <c:strRef>
              <c:f>'6.1 Value judgements'!$AE$153:$AH$153</c:f>
              <c:strCache>
                <c:ptCount val="4"/>
                <c:pt idx="0">
                  <c:v>do nothing</c:v>
                </c:pt>
                <c:pt idx="1">
                  <c:v>SQ in situ</c:v>
                </c:pt>
                <c:pt idx="2">
                  <c:v>in-situ plus</c:v>
                </c:pt>
                <c:pt idx="3">
                  <c:v>ex-situ</c:v>
                </c:pt>
              </c:strCache>
            </c:strRef>
          </c:cat>
          <c:val>
            <c:numRef>
              <c:f>'6.1 Value judgements'!$AE$154:$AH$154</c:f>
              <c:numCache>
                <c:formatCode>0.00</c:formatCode>
                <c:ptCount val="4"/>
                <c:pt idx="0">
                  <c:v>0</c:v>
                </c:pt>
                <c:pt idx="1">
                  <c:v>0</c:v>
                </c:pt>
                <c:pt idx="2">
                  <c:v>0</c:v>
                </c:pt>
                <c:pt idx="3">
                  <c:v>0</c:v>
                </c:pt>
              </c:numCache>
            </c:numRef>
          </c:val>
          <c:extLst>
            <c:ext xmlns:c16="http://schemas.microsoft.com/office/drawing/2014/chart" uri="{C3380CC4-5D6E-409C-BE32-E72D297353CC}">
              <c16:uniqueId val="{00000000-3371-4F13-AB0C-B32B10556DCC}"/>
            </c:ext>
          </c:extLst>
        </c:ser>
        <c:ser>
          <c:idx val="1"/>
          <c:order val="1"/>
          <c:tx>
            <c:strRef>
              <c:f>'6.1 Value judgements'!$AD$155</c:f>
              <c:strCache>
                <c:ptCount val="1"/>
                <c:pt idx="0">
                  <c:v>cost</c:v>
                </c:pt>
              </c:strCache>
            </c:strRef>
          </c:tx>
          <c:spPr>
            <a:solidFill>
              <a:schemeClr val="accent1">
                <a:lumMod val="60000"/>
                <a:lumOff val="40000"/>
              </a:schemeClr>
            </a:solidFill>
            <a:ln>
              <a:noFill/>
            </a:ln>
            <a:effectLst/>
          </c:spPr>
          <c:invertIfNegative val="0"/>
          <c:cat>
            <c:strRef>
              <c:f>'6.1 Value judgements'!$AE$153:$AH$153</c:f>
              <c:strCache>
                <c:ptCount val="4"/>
                <c:pt idx="0">
                  <c:v>do nothing</c:v>
                </c:pt>
                <c:pt idx="1">
                  <c:v>SQ in situ</c:v>
                </c:pt>
                <c:pt idx="2">
                  <c:v>in-situ plus</c:v>
                </c:pt>
                <c:pt idx="3">
                  <c:v>ex-situ</c:v>
                </c:pt>
              </c:strCache>
            </c:strRef>
          </c:cat>
          <c:val>
            <c:numRef>
              <c:f>'6.1 Value judgements'!$AE$155:$AH$155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1-3371-4F13-AB0C-B32B10556DC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judgements'!$AD$197</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judgements'!$AD$198</c:f>
              <c:strCache>
                <c:ptCount val="1"/>
                <c:pt idx="0">
                  <c:v>status of species (wild AND captive)</c:v>
                </c:pt>
              </c:strCache>
            </c:strRef>
          </c:tx>
          <c:spPr>
            <a:solidFill>
              <a:srgbClr val="92D050"/>
            </a:solidFill>
            <a:ln>
              <a:noFill/>
            </a:ln>
            <a:effectLst/>
          </c:spPr>
          <c:invertIfNegative val="0"/>
          <c:cat>
            <c:strRef>
              <c:f>'6.1 Value judgements'!$AE$197:$AH$197</c:f>
              <c:strCache>
                <c:ptCount val="4"/>
                <c:pt idx="0">
                  <c:v>do nothing</c:v>
                </c:pt>
                <c:pt idx="1">
                  <c:v>SQ in situ</c:v>
                </c:pt>
                <c:pt idx="2">
                  <c:v>in-situ plus</c:v>
                </c:pt>
                <c:pt idx="3">
                  <c:v>ex-situ</c:v>
                </c:pt>
              </c:strCache>
            </c:strRef>
          </c:cat>
          <c:val>
            <c:numRef>
              <c:f>'6.1 Value judgements'!$AE$198:$AH$198</c:f>
              <c:numCache>
                <c:formatCode>0.00</c:formatCode>
                <c:ptCount val="4"/>
                <c:pt idx="0">
                  <c:v>0</c:v>
                </c:pt>
                <c:pt idx="1">
                  <c:v>0</c:v>
                </c:pt>
                <c:pt idx="2">
                  <c:v>0</c:v>
                </c:pt>
                <c:pt idx="3">
                  <c:v>0</c:v>
                </c:pt>
              </c:numCache>
            </c:numRef>
          </c:val>
          <c:extLst>
            <c:ext xmlns:c16="http://schemas.microsoft.com/office/drawing/2014/chart" uri="{C3380CC4-5D6E-409C-BE32-E72D297353CC}">
              <c16:uniqueId val="{00000000-7480-45E9-8FA6-AAB1F4C28D21}"/>
            </c:ext>
          </c:extLst>
        </c:ser>
        <c:ser>
          <c:idx val="1"/>
          <c:order val="1"/>
          <c:tx>
            <c:strRef>
              <c:f>'6.1 Value judgements'!$AD$199</c:f>
              <c:strCache>
                <c:ptCount val="1"/>
                <c:pt idx="0">
                  <c:v>cost</c:v>
                </c:pt>
              </c:strCache>
            </c:strRef>
          </c:tx>
          <c:spPr>
            <a:solidFill>
              <a:schemeClr val="accent1">
                <a:lumMod val="60000"/>
                <a:lumOff val="40000"/>
              </a:schemeClr>
            </a:solidFill>
            <a:ln>
              <a:noFill/>
            </a:ln>
            <a:effectLst/>
          </c:spPr>
          <c:invertIfNegative val="0"/>
          <c:cat>
            <c:strRef>
              <c:f>'6.1 Value judgements'!$AE$197:$AH$197</c:f>
              <c:strCache>
                <c:ptCount val="4"/>
                <c:pt idx="0">
                  <c:v>do nothing</c:v>
                </c:pt>
                <c:pt idx="1">
                  <c:v>SQ in situ</c:v>
                </c:pt>
                <c:pt idx="2">
                  <c:v>in-situ plus</c:v>
                </c:pt>
                <c:pt idx="3">
                  <c:v>ex-situ</c:v>
                </c:pt>
              </c:strCache>
            </c:strRef>
          </c:cat>
          <c:val>
            <c:numRef>
              <c:f>'6.1 Value judgements'!$AE$199:$AH$199</c:f>
              <c:numCache>
                <c:formatCode>0.00</c:formatCode>
                <c:ptCount val="4"/>
                <c:pt idx="0">
                  <c:v>0</c:v>
                </c:pt>
                <c:pt idx="1">
                  <c:v>0</c:v>
                </c:pt>
                <c:pt idx="2">
                  <c:v>0</c:v>
                </c:pt>
                <c:pt idx="3">
                  <c:v>0</c:v>
                </c:pt>
              </c:numCache>
            </c:numRef>
          </c:val>
          <c:extLst>
            <c:ext xmlns:c16="http://schemas.microsoft.com/office/drawing/2014/chart" uri="{C3380CC4-5D6E-409C-BE32-E72D297353CC}">
              <c16:uniqueId val="{00000001-7480-45E9-8FA6-AAB1F4C28D21}"/>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Events'!$G$127:$G$133</c:f>
                <c:numCache>
                  <c:formatCode>General</c:formatCode>
                  <c:ptCount val="7"/>
                </c:numCache>
              </c:numRef>
            </c:plus>
            <c:minus>
              <c:numRef>
                <c:f>'4.4 Group results Events'!$F$127:$F$133</c:f>
                <c:numCache>
                  <c:formatCode>General</c:formatCode>
                  <c:ptCount val="7"/>
                </c:numCache>
              </c:numRef>
            </c:minus>
          </c:errBars>
          <c:cat>
            <c:strRef>
              <c:f>'4.4 Group results Events'!$C$127:$C$133</c:f>
              <c:strCache>
                <c:ptCount val="7"/>
                <c:pt idx="0">
                  <c:v>A</c:v>
                </c:pt>
                <c:pt idx="1">
                  <c:v>B</c:v>
                </c:pt>
                <c:pt idx="2">
                  <c:v>C</c:v>
                </c:pt>
                <c:pt idx="3">
                  <c:v>D</c:v>
                </c:pt>
                <c:pt idx="4">
                  <c:v>E</c:v>
                </c:pt>
                <c:pt idx="5">
                  <c:v>F</c:v>
                </c:pt>
                <c:pt idx="6">
                  <c:v>GROUP</c:v>
                </c:pt>
              </c:strCache>
            </c:strRef>
          </c:cat>
          <c:val>
            <c:numRef>
              <c:f>'4.4 Group results Events'!$D$127:$D$133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8628-4293-AC32-CBF321E3DE6E}"/>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8628-4293-AC32-CBF321E3DE6E}"/>
              </c:ext>
            </c:extLst>
          </c:dPt>
          <c:dPt>
            <c:idx val="15"/>
            <c:marker>
              <c:spPr>
                <a:solidFill>
                  <a:srgbClr val="FF0000"/>
                </a:solidFill>
                <a:ln>
                  <a:noFill/>
                </a:ln>
              </c:spPr>
            </c:marker>
            <c:bubble3D val="0"/>
            <c:extLst>
              <c:ext xmlns:c16="http://schemas.microsoft.com/office/drawing/2014/chart" uri="{C3380CC4-5D6E-409C-BE32-E72D297353CC}">
                <c16:uniqueId val="{00000002-8628-4293-AC32-CBF321E3DE6E}"/>
              </c:ext>
            </c:extLst>
          </c:dPt>
          <c:errBars>
            <c:errDir val="y"/>
            <c:errBarType val="both"/>
            <c:errValType val="cust"/>
            <c:noEndCap val="0"/>
            <c:plus>
              <c:numRef>
                <c:f>'4.4 Group results Events'!$G$127:$G$133</c:f>
                <c:numCache>
                  <c:formatCode>General</c:formatCode>
                  <c:ptCount val="7"/>
                </c:numCache>
              </c:numRef>
            </c:plus>
            <c:minus>
              <c:numRef>
                <c:f>'4.4 Group results Events'!$F$127:$F$133</c:f>
                <c:numCache>
                  <c:formatCode>General</c:formatCode>
                  <c:ptCount val="7"/>
                </c:numCache>
              </c:numRef>
            </c:minus>
          </c:errBars>
          <c:cat>
            <c:strRef>
              <c:f>'4.4 Group results Events'!$C$127:$C$133</c:f>
              <c:strCache>
                <c:ptCount val="7"/>
                <c:pt idx="0">
                  <c:v>A</c:v>
                </c:pt>
                <c:pt idx="1">
                  <c:v>B</c:v>
                </c:pt>
                <c:pt idx="2">
                  <c:v>C</c:v>
                </c:pt>
                <c:pt idx="3">
                  <c:v>D</c:v>
                </c:pt>
                <c:pt idx="4">
                  <c:v>E</c:v>
                </c:pt>
                <c:pt idx="5">
                  <c:v>F</c:v>
                </c:pt>
                <c:pt idx="6">
                  <c:v>GROUP</c:v>
                </c:pt>
              </c:strCache>
            </c:strRef>
          </c:cat>
          <c:val>
            <c:numRef>
              <c:f>'4.4 Group results Events'!$D$127:$D$133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8628-4293-AC32-CBF321E3DE6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judgements'!$AD$203</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judgements'!$AD$204</c:f>
              <c:strCache>
                <c:ptCount val="1"/>
                <c:pt idx="0">
                  <c:v>status of species (wild AND captive)</c:v>
                </c:pt>
              </c:strCache>
            </c:strRef>
          </c:tx>
          <c:spPr>
            <a:solidFill>
              <a:srgbClr val="92D050"/>
            </a:solidFill>
            <a:ln>
              <a:noFill/>
            </a:ln>
            <a:effectLst/>
          </c:spPr>
          <c:invertIfNegative val="0"/>
          <c:cat>
            <c:strRef>
              <c:f>'6.1 Value judgements'!$AE$203:$AH$203</c:f>
              <c:strCache>
                <c:ptCount val="4"/>
                <c:pt idx="0">
                  <c:v>do nothing</c:v>
                </c:pt>
                <c:pt idx="1">
                  <c:v>SQ in situ</c:v>
                </c:pt>
                <c:pt idx="2">
                  <c:v>in-situ plus</c:v>
                </c:pt>
                <c:pt idx="3">
                  <c:v>ex-situ</c:v>
                </c:pt>
              </c:strCache>
            </c:strRef>
          </c:cat>
          <c:val>
            <c:numRef>
              <c:f>'6.1 Value judgements'!$AE$204:$AH$204</c:f>
              <c:numCache>
                <c:formatCode>0.00</c:formatCode>
                <c:ptCount val="4"/>
                <c:pt idx="0">
                  <c:v>0</c:v>
                </c:pt>
                <c:pt idx="1">
                  <c:v>0</c:v>
                </c:pt>
                <c:pt idx="2">
                  <c:v>0</c:v>
                </c:pt>
                <c:pt idx="3">
                  <c:v>0</c:v>
                </c:pt>
              </c:numCache>
            </c:numRef>
          </c:val>
          <c:extLst>
            <c:ext xmlns:c16="http://schemas.microsoft.com/office/drawing/2014/chart" uri="{C3380CC4-5D6E-409C-BE32-E72D297353CC}">
              <c16:uniqueId val="{00000000-5D18-4D22-A321-BDF23FC2C375}"/>
            </c:ext>
          </c:extLst>
        </c:ser>
        <c:ser>
          <c:idx val="1"/>
          <c:order val="1"/>
          <c:tx>
            <c:strRef>
              <c:f>'6.1 Value judgements'!$AD$205</c:f>
              <c:strCache>
                <c:ptCount val="1"/>
                <c:pt idx="0">
                  <c:v>cost</c:v>
                </c:pt>
              </c:strCache>
            </c:strRef>
          </c:tx>
          <c:spPr>
            <a:solidFill>
              <a:schemeClr val="accent1">
                <a:lumMod val="60000"/>
                <a:lumOff val="40000"/>
              </a:schemeClr>
            </a:solidFill>
            <a:ln>
              <a:noFill/>
            </a:ln>
            <a:effectLst/>
          </c:spPr>
          <c:invertIfNegative val="0"/>
          <c:cat>
            <c:strRef>
              <c:f>'6.1 Value judgements'!$AE$203:$AH$203</c:f>
              <c:strCache>
                <c:ptCount val="4"/>
                <c:pt idx="0">
                  <c:v>do nothing</c:v>
                </c:pt>
                <c:pt idx="1">
                  <c:v>SQ in situ</c:v>
                </c:pt>
                <c:pt idx="2">
                  <c:v>in-situ plus</c:v>
                </c:pt>
                <c:pt idx="3">
                  <c:v>ex-situ</c:v>
                </c:pt>
              </c:strCache>
            </c:strRef>
          </c:cat>
          <c:val>
            <c:numRef>
              <c:f>'6.1 Value judgements'!$AE$205:$AH$205</c:f>
              <c:numCache>
                <c:formatCode>0.00</c:formatCode>
                <c:ptCount val="4"/>
                <c:pt idx="0">
                  <c:v>0</c:v>
                </c:pt>
                <c:pt idx="1">
                  <c:v>0</c:v>
                </c:pt>
                <c:pt idx="2">
                  <c:v>0</c:v>
                </c:pt>
                <c:pt idx="3">
                  <c:v>0</c:v>
                </c:pt>
              </c:numCache>
            </c:numRef>
          </c:val>
          <c:extLst>
            <c:ext xmlns:c16="http://schemas.microsoft.com/office/drawing/2014/chart" uri="{C3380CC4-5D6E-409C-BE32-E72D297353CC}">
              <c16:uniqueId val="{00000001-5D18-4D22-A321-BDF23FC2C375}"/>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judgements'!$AD$210</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judgements'!$AD$211</c:f>
              <c:strCache>
                <c:ptCount val="1"/>
                <c:pt idx="0">
                  <c:v>status of species (wild AND captive)</c:v>
                </c:pt>
              </c:strCache>
            </c:strRef>
          </c:tx>
          <c:spPr>
            <a:solidFill>
              <a:srgbClr val="92D050"/>
            </a:solidFill>
            <a:ln>
              <a:noFill/>
            </a:ln>
            <a:effectLst/>
          </c:spPr>
          <c:invertIfNegative val="0"/>
          <c:cat>
            <c:strRef>
              <c:f>'6.1 Value judgements'!$AE$210:$AH$210</c:f>
              <c:strCache>
                <c:ptCount val="4"/>
                <c:pt idx="0">
                  <c:v>do nothing</c:v>
                </c:pt>
                <c:pt idx="1">
                  <c:v>SQ in situ</c:v>
                </c:pt>
                <c:pt idx="2">
                  <c:v>in-situ plus</c:v>
                </c:pt>
                <c:pt idx="3">
                  <c:v>ex-situ</c:v>
                </c:pt>
              </c:strCache>
            </c:strRef>
          </c:cat>
          <c:val>
            <c:numRef>
              <c:f>'6.1 Value judgements'!$AE$211:$AH$211</c:f>
              <c:numCache>
                <c:formatCode>0.00</c:formatCode>
                <c:ptCount val="4"/>
                <c:pt idx="0">
                  <c:v>0</c:v>
                </c:pt>
                <c:pt idx="1">
                  <c:v>0</c:v>
                </c:pt>
                <c:pt idx="2">
                  <c:v>0</c:v>
                </c:pt>
                <c:pt idx="3">
                  <c:v>0</c:v>
                </c:pt>
              </c:numCache>
            </c:numRef>
          </c:val>
          <c:extLst>
            <c:ext xmlns:c16="http://schemas.microsoft.com/office/drawing/2014/chart" uri="{C3380CC4-5D6E-409C-BE32-E72D297353CC}">
              <c16:uniqueId val="{00000000-59DE-4831-ACA3-8AC6CA1F7AE9}"/>
            </c:ext>
          </c:extLst>
        </c:ser>
        <c:ser>
          <c:idx val="1"/>
          <c:order val="1"/>
          <c:tx>
            <c:strRef>
              <c:f>'6.1 Value judgements'!$AD$212</c:f>
              <c:strCache>
                <c:ptCount val="1"/>
                <c:pt idx="0">
                  <c:v>cost</c:v>
                </c:pt>
              </c:strCache>
            </c:strRef>
          </c:tx>
          <c:spPr>
            <a:solidFill>
              <a:schemeClr val="accent1">
                <a:lumMod val="60000"/>
                <a:lumOff val="40000"/>
              </a:schemeClr>
            </a:solidFill>
            <a:ln>
              <a:noFill/>
            </a:ln>
            <a:effectLst/>
          </c:spPr>
          <c:invertIfNegative val="0"/>
          <c:cat>
            <c:strRef>
              <c:f>'6.1 Value judgements'!$AE$210:$AH$210</c:f>
              <c:strCache>
                <c:ptCount val="4"/>
                <c:pt idx="0">
                  <c:v>do nothing</c:v>
                </c:pt>
                <c:pt idx="1">
                  <c:v>SQ in situ</c:v>
                </c:pt>
                <c:pt idx="2">
                  <c:v>in-situ plus</c:v>
                </c:pt>
                <c:pt idx="3">
                  <c:v>ex-situ</c:v>
                </c:pt>
              </c:strCache>
            </c:strRef>
          </c:cat>
          <c:val>
            <c:numRef>
              <c:f>'6.1 Value judgements'!$AE$212:$AH$212</c:f>
              <c:numCache>
                <c:formatCode>0.00</c:formatCode>
                <c:ptCount val="4"/>
                <c:pt idx="0">
                  <c:v>0</c:v>
                </c:pt>
                <c:pt idx="1">
                  <c:v>0</c:v>
                </c:pt>
                <c:pt idx="2">
                  <c:v>0</c:v>
                </c:pt>
                <c:pt idx="3">
                  <c:v>0</c:v>
                </c:pt>
              </c:numCache>
            </c:numRef>
          </c:val>
          <c:extLst>
            <c:ext xmlns:c16="http://schemas.microsoft.com/office/drawing/2014/chart" uri="{C3380CC4-5D6E-409C-BE32-E72D297353CC}">
              <c16:uniqueId val="{00000001-59DE-4831-ACA3-8AC6CA1F7AE9}"/>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judgements'!$AD$254</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judgements'!$AD$255</c:f>
              <c:strCache>
                <c:ptCount val="1"/>
                <c:pt idx="0">
                  <c:v>status of species (wild AND captive)</c:v>
                </c:pt>
              </c:strCache>
            </c:strRef>
          </c:tx>
          <c:spPr>
            <a:solidFill>
              <a:srgbClr val="92D050"/>
            </a:solidFill>
            <a:ln>
              <a:noFill/>
            </a:ln>
            <a:effectLst/>
          </c:spPr>
          <c:invertIfNegative val="0"/>
          <c:cat>
            <c:strRef>
              <c:f>'6.1 Value judgements'!$AE$254:$AH$254</c:f>
              <c:strCache>
                <c:ptCount val="4"/>
                <c:pt idx="0">
                  <c:v>do nothing</c:v>
                </c:pt>
                <c:pt idx="1">
                  <c:v>SQ in situ</c:v>
                </c:pt>
                <c:pt idx="2">
                  <c:v>in-situ plus</c:v>
                </c:pt>
                <c:pt idx="3">
                  <c:v>ex-situ</c:v>
                </c:pt>
              </c:strCache>
            </c:strRef>
          </c:cat>
          <c:val>
            <c:numRef>
              <c:f>'6.1 Value judgements'!$AE$255:$AH$255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3606-468C-B9C9-49A8AA325ABC}"/>
            </c:ext>
          </c:extLst>
        </c:ser>
        <c:ser>
          <c:idx val="1"/>
          <c:order val="1"/>
          <c:tx>
            <c:strRef>
              <c:f>'6.1 Value judgements'!$AD$256</c:f>
              <c:strCache>
                <c:ptCount val="1"/>
                <c:pt idx="0">
                  <c:v>cost</c:v>
                </c:pt>
              </c:strCache>
            </c:strRef>
          </c:tx>
          <c:spPr>
            <a:solidFill>
              <a:schemeClr val="accent1">
                <a:lumMod val="60000"/>
                <a:lumOff val="40000"/>
              </a:schemeClr>
            </a:solidFill>
            <a:ln>
              <a:noFill/>
            </a:ln>
            <a:effectLst/>
          </c:spPr>
          <c:invertIfNegative val="0"/>
          <c:cat>
            <c:strRef>
              <c:f>'6.1 Value judgements'!$AE$254:$AH$254</c:f>
              <c:strCache>
                <c:ptCount val="4"/>
                <c:pt idx="0">
                  <c:v>do nothing</c:v>
                </c:pt>
                <c:pt idx="1">
                  <c:v>SQ in situ</c:v>
                </c:pt>
                <c:pt idx="2">
                  <c:v>in-situ plus</c:v>
                </c:pt>
                <c:pt idx="3">
                  <c:v>ex-situ</c:v>
                </c:pt>
              </c:strCache>
            </c:strRef>
          </c:cat>
          <c:val>
            <c:numRef>
              <c:f>'6.1 Value judgements'!$AE$256:$AH$256</c:f>
              <c:numCache>
                <c:formatCode>0.00</c:formatCode>
                <c:ptCount val="4"/>
                <c:pt idx="0">
                  <c:v>0</c:v>
                </c:pt>
                <c:pt idx="1">
                  <c:v>0</c:v>
                </c:pt>
                <c:pt idx="2">
                  <c:v>0</c:v>
                </c:pt>
                <c:pt idx="3">
                  <c:v>0</c:v>
                </c:pt>
              </c:numCache>
            </c:numRef>
          </c:val>
          <c:extLst>
            <c:ext xmlns:c16="http://schemas.microsoft.com/office/drawing/2014/chart" uri="{C3380CC4-5D6E-409C-BE32-E72D297353CC}">
              <c16:uniqueId val="{00000001-3606-468C-B9C9-49A8AA325ABC}"/>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judgements'!$AD$260</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judgements'!$AD$261</c:f>
              <c:strCache>
                <c:ptCount val="1"/>
                <c:pt idx="0">
                  <c:v>status of species (wild AND captive)</c:v>
                </c:pt>
              </c:strCache>
            </c:strRef>
          </c:tx>
          <c:spPr>
            <a:solidFill>
              <a:srgbClr val="92D050"/>
            </a:solidFill>
            <a:ln>
              <a:noFill/>
            </a:ln>
            <a:effectLst/>
          </c:spPr>
          <c:invertIfNegative val="0"/>
          <c:cat>
            <c:strRef>
              <c:f>'6.1 Value judgements'!$AE$260:$AH$260</c:f>
              <c:strCache>
                <c:ptCount val="4"/>
                <c:pt idx="0">
                  <c:v>do nothing</c:v>
                </c:pt>
                <c:pt idx="1">
                  <c:v>SQ in situ</c:v>
                </c:pt>
                <c:pt idx="2">
                  <c:v>in-situ plus</c:v>
                </c:pt>
                <c:pt idx="3">
                  <c:v>ex-situ</c:v>
                </c:pt>
              </c:strCache>
            </c:strRef>
          </c:cat>
          <c:val>
            <c:numRef>
              <c:f>'6.1 Value judgements'!$AE$261:$AH$261</c:f>
              <c:numCache>
                <c:formatCode>0.00</c:formatCode>
                <c:ptCount val="4"/>
                <c:pt idx="0">
                  <c:v>0</c:v>
                </c:pt>
                <c:pt idx="1">
                  <c:v>0</c:v>
                </c:pt>
                <c:pt idx="2">
                  <c:v>0</c:v>
                </c:pt>
                <c:pt idx="3">
                  <c:v>0</c:v>
                </c:pt>
              </c:numCache>
            </c:numRef>
          </c:val>
          <c:extLst>
            <c:ext xmlns:c16="http://schemas.microsoft.com/office/drawing/2014/chart" uri="{C3380CC4-5D6E-409C-BE32-E72D297353CC}">
              <c16:uniqueId val="{00000000-380F-4029-8080-ABFD4D67CFEB}"/>
            </c:ext>
          </c:extLst>
        </c:ser>
        <c:ser>
          <c:idx val="1"/>
          <c:order val="1"/>
          <c:tx>
            <c:strRef>
              <c:f>'6.1 Value judgements'!$AD$262</c:f>
              <c:strCache>
                <c:ptCount val="1"/>
                <c:pt idx="0">
                  <c:v>cost</c:v>
                </c:pt>
              </c:strCache>
            </c:strRef>
          </c:tx>
          <c:spPr>
            <a:solidFill>
              <a:schemeClr val="accent1">
                <a:lumMod val="60000"/>
                <a:lumOff val="40000"/>
              </a:schemeClr>
            </a:solidFill>
            <a:ln>
              <a:noFill/>
            </a:ln>
            <a:effectLst/>
          </c:spPr>
          <c:invertIfNegative val="0"/>
          <c:cat>
            <c:strRef>
              <c:f>'6.1 Value judgements'!$AE$260:$AH$260</c:f>
              <c:strCache>
                <c:ptCount val="4"/>
                <c:pt idx="0">
                  <c:v>do nothing</c:v>
                </c:pt>
                <c:pt idx="1">
                  <c:v>SQ in situ</c:v>
                </c:pt>
                <c:pt idx="2">
                  <c:v>in-situ plus</c:v>
                </c:pt>
                <c:pt idx="3">
                  <c:v>ex-situ</c:v>
                </c:pt>
              </c:strCache>
            </c:strRef>
          </c:cat>
          <c:val>
            <c:numRef>
              <c:f>'6.1 Value judgements'!$AE$262:$AH$262</c:f>
              <c:numCache>
                <c:formatCode>0.00</c:formatCode>
                <c:ptCount val="4"/>
                <c:pt idx="0">
                  <c:v>0</c:v>
                </c:pt>
                <c:pt idx="1">
                  <c:v>0</c:v>
                </c:pt>
                <c:pt idx="2">
                  <c:v>0</c:v>
                </c:pt>
                <c:pt idx="3">
                  <c:v>0</c:v>
                </c:pt>
              </c:numCache>
            </c:numRef>
          </c:val>
          <c:extLst>
            <c:ext xmlns:c16="http://schemas.microsoft.com/office/drawing/2014/chart" uri="{C3380CC4-5D6E-409C-BE32-E72D297353CC}">
              <c16:uniqueId val="{00000001-380F-4029-8080-ABFD4D67CFE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judgements'!$AD$267</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judgements'!$AD$268</c:f>
              <c:strCache>
                <c:ptCount val="1"/>
                <c:pt idx="0">
                  <c:v>status of species (wild AND captive)</c:v>
                </c:pt>
              </c:strCache>
            </c:strRef>
          </c:tx>
          <c:spPr>
            <a:solidFill>
              <a:srgbClr val="92D050"/>
            </a:solidFill>
            <a:ln>
              <a:noFill/>
            </a:ln>
            <a:effectLst/>
          </c:spPr>
          <c:invertIfNegative val="0"/>
          <c:cat>
            <c:strRef>
              <c:f>'6.1 Value judgements'!$AE$267:$AH$267</c:f>
              <c:strCache>
                <c:ptCount val="4"/>
                <c:pt idx="0">
                  <c:v>do nothing</c:v>
                </c:pt>
                <c:pt idx="1">
                  <c:v>SQ in situ</c:v>
                </c:pt>
                <c:pt idx="2">
                  <c:v>in-situ plus</c:v>
                </c:pt>
                <c:pt idx="3">
                  <c:v>ex-situ</c:v>
                </c:pt>
              </c:strCache>
            </c:strRef>
          </c:cat>
          <c:val>
            <c:numRef>
              <c:f>'6.1 Value judgements'!$AE$268:$AH$268</c:f>
              <c:numCache>
                <c:formatCode>0.00</c:formatCode>
                <c:ptCount val="4"/>
                <c:pt idx="0">
                  <c:v>0</c:v>
                </c:pt>
                <c:pt idx="1">
                  <c:v>0</c:v>
                </c:pt>
                <c:pt idx="2">
                  <c:v>0</c:v>
                </c:pt>
                <c:pt idx="3">
                  <c:v>0</c:v>
                </c:pt>
              </c:numCache>
            </c:numRef>
          </c:val>
          <c:extLst>
            <c:ext xmlns:c16="http://schemas.microsoft.com/office/drawing/2014/chart" uri="{C3380CC4-5D6E-409C-BE32-E72D297353CC}">
              <c16:uniqueId val="{00000000-CEF8-49C3-9D59-277984BEACC1}"/>
            </c:ext>
          </c:extLst>
        </c:ser>
        <c:ser>
          <c:idx val="1"/>
          <c:order val="1"/>
          <c:tx>
            <c:strRef>
              <c:f>'6.1 Value judgements'!$AD$269</c:f>
              <c:strCache>
                <c:ptCount val="1"/>
                <c:pt idx="0">
                  <c:v>cost</c:v>
                </c:pt>
              </c:strCache>
            </c:strRef>
          </c:tx>
          <c:spPr>
            <a:solidFill>
              <a:schemeClr val="accent1">
                <a:lumMod val="60000"/>
                <a:lumOff val="40000"/>
              </a:schemeClr>
            </a:solidFill>
            <a:ln>
              <a:noFill/>
            </a:ln>
            <a:effectLst/>
          </c:spPr>
          <c:invertIfNegative val="0"/>
          <c:cat>
            <c:strRef>
              <c:f>'6.1 Value judgements'!$AE$267:$AH$267</c:f>
              <c:strCache>
                <c:ptCount val="4"/>
                <c:pt idx="0">
                  <c:v>do nothing</c:v>
                </c:pt>
                <c:pt idx="1">
                  <c:v>SQ in situ</c:v>
                </c:pt>
                <c:pt idx="2">
                  <c:v>in-situ plus</c:v>
                </c:pt>
                <c:pt idx="3">
                  <c:v>ex-situ</c:v>
                </c:pt>
              </c:strCache>
            </c:strRef>
          </c:cat>
          <c:val>
            <c:numRef>
              <c:f>'6.1 Value judgements'!$AE$269:$AH$269</c:f>
              <c:numCache>
                <c:formatCode>0.00</c:formatCode>
                <c:ptCount val="4"/>
                <c:pt idx="0">
                  <c:v>0</c:v>
                </c:pt>
                <c:pt idx="1">
                  <c:v>0</c:v>
                </c:pt>
                <c:pt idx="2">
                  <c:v>0</c:v>
                </c:pt>
                <c:pt idx="3">
                  <c:v>0</c:v>
                </c:pt>
              </c:numCache>
            </c:numRef>
          </c:val>
          <c:extLst>
            <c:ext xmlns:c16="http://schemas.microsoft.com/office/drawing/2014/chart" uri="{C3380CC4-5D6E-409C-BE32-E72D297353CC}">
              <c16:uniqueId val="{00000001-CEF8-49C3-9D59-277984BEACC1}"/>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judgements'!$AD$303</c:f>
          <c:strCache>
            <c:ptCount val="1"/>
            <c:pt idx="0">
              <c:v>point estimates</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judgements'!$AD$304</c:f>
              <c:strCache>
                <c:ptCount val="1"/>
                <c:pt idx="0">
                  <c:v>status of species (wild AND captive)</c:v>
                </c:pt>
              </c:strCache>
            </c:strRef>
          </c:tx>
          <c:spPr>
            <a:solidFill>
              <a:srgbClr val="92D050"/>
            </a:solidFill>
            <a:ln>
              <a:noFill/>
            </a:ln>
            <a:effectLst/>
          </c:spPr>
          <c:invertIfNegative val="0"/>
          <c:cat>
            <c:strRef>
              <c:f>'6.1 Value judgements'!$AE$303:$AH$303</c:f>
              <c:strCache>
                <c:ptCount val="4"/>
                <c:pt idx="0">
                  <c:v>do nothing</c:v>
                </c:pt>
                <c:pt idx="1">
                  <c:v>SQ in situ</c:v>
                </c:pt>
                <c:pt idx="2">
                  <c:v>in-situ plus</c:v>
                </c:pt>
                <c:pt idx="3">
                  <c:v>ex-situ</c:v>
                </c:pt>
              </c:strCache>
            </c:strRef>
          </c:cat>
          <c:val>
            <c:numRef>
              <c:f>'6.1 Value judgements'!$AE$304:$AH$304</c:f>
              <c:numCache>
                <c:formatCode>0.00</c:formatCode>
                <c:ptCount val="4"/>
                <c:pt idx="0">
                  <c:v>0</c:v>
                </c:pt>
                <c:pt idx="1">
                  <c:v>0</c:v>
                </c:pt>
                <c:pt idx="2">
                  <c:v>0</c:v>
                </c:pt>
                <c:pt idx="3">
                  <c:v>0</c:v>
                </c:pt>
              </c:numCache>
            </c:numRef>
          </c:val>
          <c:extLst>
            <c:ext xmlns:c16="http://schemas.microsoft.com/office/drawing/2014/chart" uri="{C3380CC4-5D6E-409C-BE32-E72D297353CC}">
              <c16:uniqueId val="{00000000-35ED-4D8A-9FCA-20F11BBFAC5B}"/>
            </c:ext>
          </c:extLst>
        </c:ser>
        <c:ser>
          <c:idx val="1"/>
          <c:order val="1"/>
          <c:tx>
            <c:strRef>
              <c:f>'6.1 Value judgements'!$AD$305</c:f>
              <c:strCache>
                <c:ptCount val="1"/>
                <c:pt idx="0">
                  <c:v>cost</c:v>
                </c:pt>
              </c:strCache>
            </c:strRef>
          </c:tx>
          <c:spPr>
            <a:solidFill>
              <a:schemeClr val="accent1">
                <a:lumMod val="60000"/>
                <a:lumOff val="40000"/>
              </a:schemeClr>
            </a:solidFill>
            <a:ln>
              <a:noFill/>
            </a:ln>
            <a:effectLst/>
          </c:spPr>
          <c:invertIfNegative val="0"/>
          <c:cat>
            <c:strRef>
              <c:f>'6.1 Value judgements'!$AE$303:$AH$303</c:f>
              <c:strCache>
                <c:ptCount val="4"/>
                <c:pt idx="0">
                  <c:v>do nothing</c:v>
                </c:pt>
                <c:pt idx="1">
                  <c:v>SQ in situ</c:v>
                </c:pt>
                <c:pt idx="2">
                  <c:v>in-situ plus</c:v>
                </c:pt>
                <c:pt idx="3">
                  <c:v>ex-situ</c:v>
                </c:pt>
              </c:strCache>
            </c:strRef>
          </c:cat>
          <c:val>
            <c:numRef>
              <c:f>'6.1 Value judgements'!$AE$305:$AH$305</c:f>
              <c:numCache>
                <c:formatCode>0.00</c:formatCode>
                <c:ptCount val="4"/>
                <c:pt idx="0">
                  <c:v>0</c:v>
                </c:pt>
                <c:pt idx="1">
                  <c:v>0</c:v>
                </c:pt>
                <c:pt idx="2">
                  <c:v>0</c:v>
                </c:pt>
                <c:pt idx="3">
                  <c:v>0</c:v>
                </c:pt>
              </c:numCache>
            </c:numRef>
          </c:val>
          <c:extLst>
            <c:ext xmlns:c16="http://schemas.microsoft.com/office/drawing/2014/chart" uri="{C3380CC4-5D6E-409C-BE32-E72D297353CC}">
              <c16:uniqueId val="{00000001-35ED-4D8A-9FCA-20F11BBFAC5B}"/>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judgements'!$AD$309</c:f>
          <c:strCache>
            <c:ptCount val="1"/>
            <c:pt idx="0">
              <c:v>worst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judgements'!$AD$310</c:f>
              <c:strCache>
                <c:ptCount val="1"/>
                <c:pt idx="0">
                  <c:v>status of species (wild AND captive)</c:v>
                </c:pt>
              </c:strCache>
            </c:strRef>
          </c:tx>
          <c:spPr>
            <a:solidFill>
              <a:srgbClr val="92D050"/>
            </a:solidFill>
            <a:ln>
              <a:noFill/>
            </a:ln>
            <a:effectLst/>
          </c:spPr>
          <c:invertIfNegative val="0"/>
          <c:cat>
            <c:strRef>
              <c:f>'6.1 Value judgements'!$AE$309:$AH$309</c:f>
              <c:strCache>
                <c:ptCount val="4"/>
                <c:pt idx="0">
                  <c:v>do nothing</c:v>
                </c:pt>
                <c:pt idx="1">
                  <c:v>SQ in situ</c:v>
                </c:pt>
                <c:pt idx="2">
                  <c:v>in-situ plus</c:v>
                </c:pt>
                <c:pt idx="3">
                  <c:v>ex-situ</c:v>
                </c:pt>
              </c:strCache>
            </c:strRef>
          </c:cat>
          <c:val>
            <c:numRef>
              <c:f>'6.1 Value judgements'!$AE$310:$AH$310</c:f>
              <c:numCache>
                <c:formatCode>0.00</c:formatCode>
                <c:ptCount val="4"/>
                <c:pt idx="0">
                  <c:v>0</c:v>
                </c:pt>
                <c:pt idx="1">
                  <c:v>0</c:v>
                </c:pt>
                <c:pt idx="2">
                  <c:v>0</c:v>
                </c:pt>
                <c:pt idx="3">
                  <c:v>0</c:v>
                </c:pt>
              </c:numCache>
            </c:numRef>
          </c:val>
          <c:extLst>
            <c:ext xmlns:c16="http://schemas.microsoft.com/office/drawing/2014/chart" uri="{C3380CC4-5D6E-409C-BE32-E72D297353CC}">
              <c16:uniqueId val="{00000000-09ED-4E80-8FB1-DC8B12C3BCF7}"/>
            </c:ext>
          </c:extLst>
        </c:ser>
        <c:ser>
          <c:idx val="1"/>
          <c:order val="1"/>
          <c:tx>
            <c:strRef>
              <c:f>'6.1 Value judgements'!$AD$311</c:f>
              <c:strCache>
                <c:ptCount val="1"/>
                <c:pt idx="0">
                  <c:v>cost</c:v>
                </c:pt>
              </c:strCache>
            </c:strRef>
          </c:tx>
          <c:spPr>
            <a:solidFill>
              <a:schemeClr val="accent1">
                <a:lumMod val="60000"/>
                <a:lumOff val="40000"/>
              </a:schemeClr>
            </a:solidFill>
            <a:ln>
              <a:noFill/>
            </a:ln>
            <a:effectLst/>
          </c:spPr>
          <c:invertIfNegative val="0"/>
          <c:cat>
            <c:strRef>
              <c:f>'6.1 Value judgements'!$AE$309:$AH$309</c:f>
              <c:strCache>
                <c:ptCount val="4"/>
                <c:pt idx="0">
                  <c:v>do nothing</c:v>
                </c:pt>
                <c:pt idx="1">
                  <c:v>SQ in situ</c:v>
                </c:pt>
                <c:pt idx="2">
                  <c:v>in-situ plus</c:v>
                </c:pt>
                <c:pt idx="3">
                  <c:v>ex-situ</c:v>
                </c:pt>
              </c:strCache>
            </c:strRef>
          </c:cat>
          <c:val>
            <c:numRef>
              <c:f>'6.1 Value judgements'!$AE$311:$AH$311</c:f>
              <c:numCache>
                <c:formatCode>0.00</c:formatCode>
                <c:ptCount val="4"/>
                <c:pt idx="0">
                  <c:v>0</c:v>
                </c:pt>
                <c:pt idx="1">
                  <c:v>0</c:v>
                </c:pt>
                <c:pt idx="2">
                  <c:v>0</c:v>
                </c:pt>
                <c:pt idx="3">
                  <c:v>0</c:v>
                </c:pt>
              </c:numCache>
            </c:numRef>
          </c:val>
          <c:extLst>
            <c:ext xmlns:c16="http://schemas.microsoft.com/office/drawing/2014/chart" uri="{C3380CC4-5D6E-409C-BE32-E72D297353CC}">
              <c16:uniqueId val="{00000001-09ED-4E80-8FB1-DC8B12C3BCF7}"/>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'6.1 Value judgements'!$AD$316</c:f>
          <c:strCache>
            <c:ptCount val="1"/>
            <c:pt idx="0">
              <c:v>best case (given uncertainty in status of wild population)</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'6.1 Value judgements'!$AD$317</c:f>
              <c:strCache>
                <c:ptCount val="1"/>
                <c:pt idx="0">
                  <c:v>status of species (wild AND captive)</c:v>
                </c:pt>
              </c:strCache>
            </c:strRef>
          </c:tx>
          <c:spPr>
            <a:solidFill>
              <a:srgbClr val="92D050"/>
            </a:solidFill>
            <a:ln>
              <a:noFill/>
            </a:ln>
            <a:effectLst/>
          </c:spPr>
          <c:invertIfNegative val="0"/>
          <c:cat>
            <c:strRef>
              <c:f>'6.1 Value judgements'!$AE$316:$AH$316</c:f>
              <c:strCache>
                <c:ptCount val="4"/>
                <c:pt idx="0">
                  <c:v>do nothing</c:v>
                </c:pt>
                <c:pt idx="1">
                  <c:v>SQ in situ</c:v>
                </c:pt>
                <c:pt idx="2">
                  <c:v>in-situ plus</c:v>
                </c:pt>
                <c:pt idx="3">
                  <c:v>ex-situ</c:v>
                </c:pt>
              </c:strCache>
            </c:strRef>
          </c:cat>
          <c:val>
            <c:numRef>
              <c:f>'6.1 Value judgements'!$AE$317:$AH$317</c:f>
              <c:numCache>
                <c:formatCode>0.00</c:formatCode>
                <c:ptCount val="4"/>
                <c:pt idx="0">
                  <c:v>0</c:v>
                </c:pt>
                <c:pt idx="1">
                  <c:v>0</c:v>
                </c:pt>
                <c:pt idx="2">
                  <c:v>0</c:v>
                </c:pt>
                <c:pt idx="3">
                  <c:v>0</c:v>
                </c:pt>
              </c:numCache>
            </c:numRef>
          </c:val>
          <c:extLst>
            <c:ext xmlns:c16="http://schemas.microsoft.com/office/drawing/2014/chart" uri="{C3380CC4-5D6E-409C-BE32-E72D297353CC}">
              <c16:uniqueId val="{00000000-D2A3-46B5-B692-A3C12E2A1F98}"/>
            </c:ext>
          </c:extLst>
        </c:ser>
        <c:ser>
          <c:idx val="1"/>
          <c:order val="1"/>
          <c:tx>
            <c:strRef>
              <c:f>'6.1 Value judgements'!$AD$318</c:f>
              <c:strCache>
                <c:ptCount val="1"/>
                <c:pt idx="0">
                  <c:v>cost</c:v>
                </c:pt>
              </c:strCache>
            </c:strRef>
          </c:tx>
          <c:spPr>
            <a:solidFill>
              <a:schemeClr val="accent1">
                <a:lumMod val="60000"/>
                <a:lumOff val="40000"/>
              </a:schemeClr>
            </a:solidFill>
            <a:ln>
              <a:noFill/>
            </a:ln>
            <a:effectLst/>
          </c:spPr>
          <c:invertIfNegative val="0"/>
          <c:cat>
            <c:strRef>
              <c:f>'6.1 Value judgements'!$AE$316:$AH$316</c:f>
              <c:strCache>
                <c:ptCount val="4"/>
                <c:pt idx="0">
                  <c:v>do nothing</c:v>
                </c:pt>
                <c:pt idx="1">
                  <c:v>SQ in situ</c:v>
                </c:pt>
                <c:pt idx="2">
                  <c:v>in-situ plus</c:v>
                </c:pt>
                <c:pt idx="3">
                  <c:v>ex-situ</c:v>
                </c:pt>
              </c:strCache>
            </c:strRef>
          </c:cat>
          <c:val>
            <c:numRef>
              <c:f>'6.1 Value judgements'!$AE$318:$AH$318</c:f>
              <c:numCache>
                <c:formatCode>0.00</c:formatCode>
                <c:ptCount val="4"/>
                <c:pt idx="0">
                  <c:v>0</c:v>
                </c:pt>
                <c:pt idx="1">
                  <c:v>0</c:v>
                </c:pt>
                <c:pt idx="2">
                  <c:v>0</c:v>
                </c:pt>
                <c:pt idx="3">
                  <c:v>0</c:v>
                </c:pt>
              </c:numCache>
            </c:numRef>
          </c:val>
          <c:extLst>
            <c:ext xmlns:c16="http://schemas.microsoft.com/office/drawing/2014/chart" uri="{C3380CC4-5D6E-409C-BE32-E72D297353CC}">
              <c16:uniqueId val="{00000001-D2A3-46B5-B692-A3C12E2A1F98}"/>
            </c:ext>
          </c:extLst>
        </c:ser>
        <c:dLbls>
          <c:showLegendKey val="0"/>
          <c:showVal val="0"/>
          <c:showCatName val="0"/>
          <c:showSerName val="0"/>
          <c:showPercent val="0"/>
          <c:showBubbleSize val="0"/>
        </c:dLbls>
        <c:gapWidth val="150"/>
        <c:overlap val="100"/>
        <c:axId val="796219168"/>
        <c:axId val="796218840"/>
      </c:barChart>
      <c:catAx>
        <c:axId val="7962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96218840"/>
        <c:crosses val="autoZero"/>
        <c:auto val="1"/>
        <c:lblAlgn val="ctr"/>
        <c:lblOffset val="100"/>
        <c:noMultiLvlLbl val="0"/>
      </c:catAx>
      <c:valAx>
        <c:axId val="796218840"/>
        <c:scaling>
          <c:orientation val="minMax"/>
        </c:scaling>
        <c:delete val="1"/>
        <c:axPos val="l"/>
        <c:numFmt formatCode="0.00" sourceLinked="1"/>
        <c:majorTickMark val="none"/>
        <c:minorTickMark val="none"/>
        <c:tickLblPos val="nextTo"/>
        <c:crossAx val="79621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'6.2 Value judgements summary'!$B$20</c:f>
              <c:strCache>
                <c:ptCount val="1"/>
                <c:pt idx="0">
                  <c:v>supported</c:v>
                </c:pt>
              </c:strCache>
            </c:strRef>
          </c:tx>
          <c:spPr>
            <a:solidFill>
              <a:schemeClr val="accent6">
                <a:alpha val="50000"/>
              </a:schemeClr>
            </a:solidFill>
          </c:spPr>
          <c:invertIfNegative val="0"/>
          <c:cat>
            <c:strRef>
              <c:f>'6.2 Value judgements summary'!$C$19:$F$19</c:f>
              <c:strCache>
                <c:ptCount val="4"/>
                <c:pt idx="0">
                  <c:v>do nothing</c:v>
                </c:pt>
                <c:pt idx="1">
                  <c:v>status quo in situ</c:v>
                </c:pt>
                <c:pt idx="2">
                  <c:v>in situ plus</c:v>
                </c:pt>
                <c:pt idx="3">
                  <c:v>ex situ</c:v>
                </c:pt>
              </c:strCache>
            </c:strRef>
          </c:cat>
          <c:val>
            <c:numRef>
              <c:f>'6.2 Value judgements summary'!$C$20:$F$20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25D-4760-8A0F-4273616C9DDD}"/>
            </c:ext>
          </c:extLst>
        </c:ser>
        <c:ser>
          <c:idx val="1"/>
          <c:order val="1"/>
          <c:tx>
            <c:strRef>
              <c:f>'6.2 Value judgements summary'!$B$21</c:f>
              <c:strCache>
                <c:ptCount val="1"/>
                <c:pt idx="0">
                  <c:v>opposed</c:v>
                </c:pt>
              </c:strCache>
            </c:strRef>
          </c:tx>
          <c:spPr>
            <a:solidFill>
              <a:srgbClr val="FFC7CE"/>
            </a:solidFill>
          </c:spPr>
          <c:invertIfNegative val="0"/>
          <c:cat>
            <c:strRef>
              <c:f>'6.2 Value judgements summary'!$C$19:$F$19</c:f>
              <c:strCache>
                <c:ptCount val="4"/>
                <c:pt idx="0">
                  <c:v>do nothing</c:v>
                </c:pt>
                <c:pt idx="1">
                  <c:v>status quo in situ</c:v>
                </c:pt>
                <c:pt idx="2">
                  <c:v>in situ plus</c:v>
                </c:pt>
                <c:pt idx="3">
                  <c:v>ex situ</c:v>
                </c:pt>
              </c:strCache>
            </c:strRef>
          </c:cat>
          <c:val>
            <c:numRef>
              <c:f>'6.2 Value judgements summary'!$C$21:$F$21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25D-4760-8A0F-4273616C9DDD}"/>
            </c:ext>
          </c:extLst>
        </c:ser>
        <c:dLbls>
          <c:showLegendKey val="0"/>
          <c:showVal val="0"/>
          <c:showCatName val="0"/>
          <c:showSerName val="0"/>
          <c:showPercent val="0"/>
          <c:showBubbleSize val="0"/>
        </c:dLbls>
        <c:gapWidth val="150"/>
        <c:axId val="196551808"/>
        <c:axId val="196553344"/>
      </c:barChart>
      <c:catAx>
        <c:axId val="196551808"/>
        <c:scaling>
          <c:orientation val="minMax"/>
        </c:scaling>
        <c:delete val="0"/>
        <c:axPos val="b"/>
        <c:numFmt formatCode="General" sourceLinked="0"/>
        <c:majorTickMark val="out"/>
        <c:minorTickMark val="none"/>
        <c:tickLblPos val="nextTo"/>
        <c:crossAx val="196553344"/>
        <c:crosses val="autoZero"/>
        <c:auto val="1"/>
        <c:lblAlgn val="ctr"/>
        <c:lblOffset val="100"/>
        <c:noMultiLvlLbl val="0"/>
      </c:catAx>
      <c:valAx>
        <c:axId val="196553344"/>
        <c:scaling>
          <c:orientation val="minMax"/>
          <c:max val="6"/>
        </c:scaling>
        <c:delete val="0"/>
        <c:axPos val="l"/>
        <c:title>
          <c:tx>
            <c:rich>
              <a:bodyPr/>
              <a:lstStyle/>
              <a:p>
                <a:pPr>
                  <a:defRPr/>
                </a:pPr>
                <a:r>
                  <a:rPr lang="en-US"/>
                  <a:t>Number of participants</a:t>
                </a:r>
              </a:p>
            </c:rich>
          </c:tx>
          <c:overlay val="0"/>
        </c:title>
        <c:numFmt formatCode="General" sourceLinked="1"/>
        <c:majorTickMark val="out"/>
        <c:minorTickMark val="none"/>
        <c:tickLblPos val="nextTo"/>
        <c:crossAx val="196551808"/>
        <c:crosses val="autoZero"/>
        <c:crossBetween val="between"/>
      </c:valAx>
    </c:plotArea>
    <c:legend>
      <c:legendPos val="r"/>
      <c:overlay val="0"/>
    </c:legend>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Events'!$G$172:$G$178</c:f>
                <c:numCache>
                  <c:formatCode>General</c:formatCode>
                  <c:ptCount val="7"/>
                </c:numCache>
              </c:numRef>
            </c:plus>
            <c:minus>
              <c:numRef>
                <c:f>'4.4 Group results Events'!$F$172:$F$178</c:f>
                <c:numCache>
                  <c:formatCode>General</c:formatCode>
                  <c:ptCount val="7"/>
                </c:numCache>
              </c:numRef>
            </c:minus>
          </c:errBars>
          <c:cat>
            <c:strRef>
              <c:f>'4.4 Group results Events'!$C$172:$C$178</c:f>
              <c:strCache>
                <c:ptCount val="7"/>
                <c:pt idx="0">
                  <c:v>A</c:v>
                </c:pt>
                <c:pt idx="1">
                  <c:v>B</c:v>
                </c:pt>
                <c:pt idx="2">
                  <c:v>C</c:v>
                </c:pt>
                <c:pt idx="3">
                  <c:v>D</c:v>
                </c:pt>
                <c:pt idx="4">
                  <c:v>E</c:v>
                </c:pt>
                <c:pt idx="5">
                  <c:v>F</c:v>
                </c:pt>
                <c:pt idx="6">
                  <c:v>GROUP</c:v>
                </c:pt>
              </c:strCache>
            </c:strRef>
          </c:cat>
          <c:val>
            <c:numRef>
              <c:f>'4.4 Group results Events'!$D$172:$D$178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1D9-4AEF-B57C-EB9483B1CACE}"/>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61D9-4AEF-B57C-EB9483B1CACE}"/>
              </c:ext>
            </c:extLst>
          </c:dPt>
          <c:dPt>
            <c:idx val="15"/>
            <c:marker>
              <c:spPr>
                <a:solidFill>
                  <a:srgbClr val="FF0000"/>
                </a:solidFill>
                <a:ln>
                  <a:noFill/>
                </a:ln>
              </c:spPr>
            </c:marker>
            <c:bubble3D val="0"/>
            <c:extLst>
              <c:ext xmlns:c16="http://schemas.microsoft.com/office/drawing/2014/chart" uri="{C3380CC4-5D6E-409C-BE32-E72D297353CC}">
                <c16:uniqueId val="{00000002-61D9-4AEF-B57C-EB9483B1CACE}"/>
              </c:ext>
            </c:extLst>
          </c:dPt>
          <c:errBars>
            <c:errDir val="y"/>
            <c:errBarType val="both"/>
            <c:errValType val="cust"/>
            <c:noEndCap val="0"/>
            <c:plus>
              <c:numRef>
                <c:f>'4.4 Group results Events'!$G$172:$G$178</c:f>
                <c:numCache>
                  <c:formatCode>General</c:formatCode>
                  <c:ptCount val="7"/>
                </c:numCache>
              </c:numRef>
            </c:plus>
            <c:minus>
              <c:numRef>
                <c:f>'4.4 Group results Events'!$F$172:$F$178</c:f>
                <c:numCache>
                  <c:formatCode>General</c:formatCode>
                  <c:ptCount val="7"/>
                </c:numCache>
              </c:numRef>
            </c:minus>
          </c:errBars>
          <c:cat>
            <c:strRef>
              <c:f>'4.4 Group results Events'!$C$172:$C$178</c:f>
              <c:strCache>
                <c:ptCount val="7"/>
                <c:pt idx="0">
                  <c:v>A</c:v>
                </c:pt>
                <c:pt idx="1">
                  <c:v>B</c:v>
                </c:pt>
                <c:pt idx="2">
                  <c:v>C</c:v>
                </c:pt>
                <c:pt idx="3">
                  <c:v>D</c:v>
                </c:pt>
                <c:pt idx="4">
                  <c:v>E</c:v>
                </c:pt>
                <c:pt idx="5">
                  <c:v>F</c:v>
                </c:pt>
                <c:pt idx="6">
                  <c:v>GROUP</c:v>
                </c:pt>
              </c:strCache>
            </c:strRef>
          </c:cat>
          <c:val>
            <c:numRef>
              <c:f>'4.4 Group results Events'!$D$172:$D$178</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61D9-4AEF-B57C-EB9483B1CAC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'4.4 Group results Events'!$G$217:$G$223</c:f>
                <c:numCache>
                  <c:formatCode>General</c:formatCode>
                  <c:ptCount val="7"/>
                </c:numCache>
              </c:numRef>
            </c:plus>
            <c:minus>
              <c:numRef>
                <c:f>'4.4 Group results Events'!$F$217:$F$223</c:f>
                <c:numCache>
                  <c:formatCode>General</c:formatCode>
                  <c:ptCount val="7"/>
                </c:numCache>
              </c:numRef>
            </c:minus>
          </c:errBars>
          <c:cat>
            <c:strRef>
              <c:f>'4.4 Group results Events'!$C$217:$C$223</c:f>
              <c:strCache>
                <c:ptCount val="7"/>
                <c:pt idx="0">
                  <c:v>A</c:v>
                </c:pt>
                <c:pt idx="1">
                  <c:v>B</c:v>
                </c:pt>
                <c:pt idx="2">
                  <c:v>C</c:v>
                </c:pt>
                <c:pt idx="3">
                  <c:v>D</c:v>
                </c:pt>
                <c:pt idx="4">
                  <c:v>E</c:v>
                </c:pt>
                <c:pt idx="5">
                  <c:v>F</c:v>
                </c:pt>
                <c:pt idx="6">
                  <c:v>GROUP</c:v>
                </c:pt>
              </c:strCache>
            </c:strRef>
          </c:cat>
          <c:val>
            <c:numRef>
              <c:f>'4.4 Group results Events'!$D$217:$D$223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E9D3-4954-B874-BE0D2586FB75}"/>
            </c:ext>
          </c:extLst>
        </c:ser>
        <c:ser>
          <c:idx val="0"/>
          <c:order val="1"/>
          <c:spPr>
            <a:ln w="19050">
              <a:noFill/>
            </a:ln>
          </c:spPr>
          <c:marker>
            <c:symbol val="circle"/>
            <c:size val="12"/>
            <c:spPr>
              <a:solidFill>
                <a:schemeClr val="accent5"/>
              </a:solidFill>
              <a:ln>
                <a:noFill/>
              </a:ln>
            </c:spPr>
          </c:marker>
          <c:dPt>
            <c:idx val="6"/>
            <c:marker>
              <c:spPr>
                <a:solidFill>
                  <a:srgbClr val="FF0000"/>
                </a:solidFill>
                <a:ln>
                  <a:solidFill>
                    <a:srgbClr val="FF0000"/>
                  </a:solidFill>
                </a:ln>
              </c:spPr>
            </c:marker>
            <c:bubble3D val="0"/>
            <c:extLst>
              <c:ext xmlns:c16="http://schemas.microsoft.com/office/drawing/2014/chart" uri="{C3380CC4-5D6E-409C-BE32-E72D297353CC}">
                <c16:uniqueId val="{00000001-E9D3-4954-B874-BE0D2586FB75}"/>
              </c:ext>
            </c:extLst>
          </c:dPt>
          <c:dPt>
            <c:idx val="15"/>
            <c:marker>
              <c:spPr>
                <a:solidFill>
                  <a:srgbClr val="FF0000"/>
                </a:solidFill>
                <a:ln>
                  <a:noFill/>
                </a:ln>
              </c:spPr>
            </c:marker>
            <c:bubble3D val="0"/>
            <c:extLst>
              <c:ext xmlns:c16="http://schemas.microsoft.com/office/drawing/2014/chart" uri="{C3380CC4-5D6E-409C-BE32-E72D297353CC}">
                <c16:uniqueId val="{00000002-E9D3-4954-B874-BE0D2586FB75}"/>
              </c:ext>
            </c:extLst>
          </c:dPt>
          <c:errBars>
            <c:errDir val="y"/>
            <c:errBarType val="both"/>
            <c:errValType val="cust"/>
            <c:noEndCap val="0"/>
            <c:plus>
              <c:numRef>
                <c:f>'4.4 Group results Events'!$G$217:$G$223</c:f>
                <c:numCache>
                  <c:formatCode>General</c:formatCode>
                  <c:ptCount val="7"/>
                </c:numCache>
              </c:numRef>
            </c:plus>
            <c:minus>
              <c:numRef>
                <c:f>'4.4 Group results Events'!$F$217:$F$223</c:f>
                <c:numCache>
                  <c:formatCode>General</c:formatCode>
                  <c:ptCount val="7"/>
                </c:numCache>
              </c:numRef>
            </c:minus>
          </c:errBars>
          <c:cat>
            <c:strRef>
              <c:f>'4.4 Group results Events'!$C$217:$C$223</c:f>
              <c:strCache>
                <c:ptCount val="7"/>
                <c:pt idx="0">
                  <c:v>A</c:v>
                </c:pt>
                <c:pt idx="1">
                  <c:v>B</c:v>
                </c:pt>
                <c:pt idx="2">
                  <c:v>C</c:v>
                </c:pt>
                <c:pt idx="3">
                  <c:v>D</c:v>
                </c:pt>
                <c:pt idx="4">
                  <c:v>E</c:v>
                </c:pt>
                <c:pt idx="5">
                  <c:v>F</c:v>
                </c:pt>
                <c:pt idx="6">
                  <c:v>GROUP</c:v>
                </c:pt>
              </c:strCache>
            </c:strRef>
          </c:cat>
          <c:val>
            <c:numRef>
              <c:f>'4.4 Group results Events'!$D$217:$D$223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E9D3-4954-B874-BE0D2586FB7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max val="1"/>
          <c:min val="0"/>
        </c:scaling>
        <c:delete val="0"/>
        <c:axPos val="l"/>
        <c:title>
          <c:tx>
            <c:rich>
              <a:bodyPr rot="-5400000" vert="horz"/>
              <a:lstStyle/>
              <a:p>
                <a:pPr>
                  <a:defRPr/>
                </a:pPr>
                <a:r>
                  <a:rPr lang="en-AU"/>
                  <a:t>Best guess</a:t>
                </a:r>
              </a:p>
            </c:rich>
          </c:tx>
          <c:overlay val="0"/>
        </c:title>
        <c:numFmt formatCode="0.0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Payoffs'!$I$37:$I$43</c:f>
                <c:numCache>
                  <c:formatCode>General</c:formatCode>
                  <c:ptCount val="7"/>
                  <c:pt idx="0">
                    <c:v>0</c:v>
                  </c:pt>
                  <c:pt idx="1">
                    <c:v>0</c:v>
                  </c:pt>
                  <c:pt idx="2">
                    <c:v>0</c:v>
                  </c:pt>
                  <c:pt idx="3">
                    <c:v>0</c:v>
                  </c:pt>
                  <c:pt idx="4">
                    <c:v>0</c:v>
                  </c:pt>
                  <c:pt idx="5">
                    <c:v>0</c:v>
                  </c:pt>
                  <c:pt idx="6">
                    <c:v>0</c:v>
                  </c:pt>
                </c:numCache>
              </c:numRef>
            </c:plus>
            <c:minus>
              <c:numRef>
                <c:f>'4.5 Group results Payoffs'!$H$37:$H$43</c:f>
                <c:numCache>
                  <c:formatCode>General</c:formatCode>
                  <c:ptCount val="7"/>
                  <c:pt idx="0">
                    <c:v>0</c:v>
                  </c:pt>
                  <c:pt idx="1">
                    <c:v>0</c:v>
                  </c:pt>
                  <c:pt idx="2">
                    <c:v>0</c:v>
                  </c:pt>
                  <c:pt idx="3">
                    <c:v>0</c:v>
                  </c:pt>
                  <c:pt idx="4">
                    <c:v>0</c:v>
                  </c:pt>
                  <c:pt idx="5">
                    <c:v>0</c:v>
                  </c:pt>
                  <c:pt idx="6">
                    <c:v>0</c:v>
                  </c:pt>
                </c:numCache>
              </c:numRef>
            </c:minus>
          </c:errBars>
          <c:cat>
            <c:strRef>
              <c:f>'4.5 Group results Payoffs'!$C$37:$C$43</c:f>
              <c:strCache>
                <c:ptCount val="7"/>
                <c:pt idx="0">
                  <c:v>A</c:v>
                </c:pt>
                <c:pt idx="1">
                  <c:v>B</c:v>
                </c:pt>
                <c:pt idx="2">
                  <c:v>C</c:v>
                </c:pt>
                <c:pt idx="3">
                  <c:v>D</c:v>
                </c:pt>
                <c:pt idx="4">
                  <c:v>E</c:v>
                </c:pt>
                <c:pt idx="5">
                  <c:v>F</c:v>
                </c:pt>
                <c:pt idx="6">
                  <c:v>GROUP</c:v>
                </c:pt>
              </c:strCache>
            </c:strRef>
          </c:cat>
          <c:val>
            <c:numRef>
              <c:f>'4.5 Group results Payoffs'!$F$37:$F$43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70FF-45D0-91BF-D92D31DE7DAE}"/>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0-CDEB-4C96-9234-883C3F5647E1}"/>
              </c:ext>
            </c:extLst>
          </c:dPt>
          <c:dPt>
            <c:idx val="15"/>
            <c:marker>
              <c:spPr>
                <a:solidFill>
                  <a:srgbClr val="FF0000"/>
                </a:solidFill>
                <a:ln>
                  <a:noFill/>
                </a:ln>
              </c:spPr>
            </c:marker>
            <c:bubble3D val="0"/>
            <c:extLst>
              <c:ext xmlns:c16="http://schemas.microsoft.com/office/drawing/2014/chart" uri="{C3380CC4-5D6E-409C-BE32-E72D297353CC}">
                <c16:uniqueId val="{00000001-70FF-45D0-91BF-D92D31DE7DAE}"/>
              </c:ext>
            </c:extLst>
          </c:dPt>
          <c:errBars>
            <c:errDir val="y"/>
            <c:errBarType val="both"/>
            <c:errValType val="cust"/>
            <c:noEndCap val="0"/>
            <c:plus>
              <c:numRef>
                <c:f>'4.5 Group results Payoffs'!$I$37:$I$43</c:f>
                <c:numCache>
                  <c:formatCode>General</c:formatCode>
                  <c:ptCount val="7"/>
                  <c:pt idx="0">
                    <c:v>0</c:v>
                  </c:pt>
                  <c:pt idx="1">
                    <c:v>0</c:v>
                  </c:pt>
                  <c:pt idx="2">
                    <c:v>0</c:v>
                  </c:pt>
                  <c:pt idx="3">
                    <c:v>0</c:v>
                  </c:pt>
                  <c:pt idx="4">
                    <c:v>0</c:v>
                  </c:pt>
                  <c:pt idx="5">
                    <c:v>0</c:v>
                  </c:pt>
                  <c:pt idx="6">
                    <c:v>0</c:v>
                  </c:pt>
                </c:numCache>
              </c:numRef>
            </c:plus>
            <c:minus>
              <c:numRef>
                <c:f>'4.5 Group results Payoffs'!$H$37:$H$43</c:f>
                <c:numCache>
                  <c:formatCode>General</c:formatCode>
                  <c:ptCount val="7"/>
                  <c:pt idx="0">
                    <c:v>0</c:v>
                  </c:pt>
                  <c:pt idx="1">
                    <c:v>0</c:v>
                  </c:pt>
                  <c:pt idx="2">
                    <c:v>0</c:v>
                  </c:pt>
                  <c:pt idx="3">
                    <c:v>0</c:v>
                  </c:pt>
                  <c:pt idx="4">
                    <c:v>0</c:v>
                  </c:pt>
                  <c:pt idx="5">
                    <c:v>0</c:v>
                  </c:pt>
                  <c:pt idx="6">
                    <c:v>0</c:v>
                  </c:pt>
                </c:numCache>
              </c:numRef>
            </c:minus>
          </c:errBars>
          <c:cat>
            <c:strRef>
              <c:f>'4.5 Group results Payoffs'!$C$37:$C$43</c:f>
              <c:strCache>
                <c:ptCount val="7"/>
                <c:pt idx="0">
                  <c:v>A</c:v>
                </c:pt>
                <c:pt idx="1">
                  <c:v>B</c:v>
                </c:pt>
                <c:pt idx="2">
                  <c:v>C</c:v>
                </c:pt>
                <c:pt idx="3">
                  <c:v>D</c:v>
                </c:pt>
                <c:pt idx="4">
                  <c:v>E</c:v>
                </c:pt>
                <c:pt idx="5">
                  <c:v>F</c:v>
                </c:pt>
                <c:pt idx="6">
                  <c:v>GROUP</c:v>
                </c:pt>
              </c:strCache>
            </c:strRef>
          </c:cat>
          <c:val>
            <c:numRef>
              <c:f>'4.5 Group results Payoffs'!$F$37:$F$43</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70FF-45D0-91BF-D92D31DE7DAE}"/>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Payoffs'!$I$84:$I$90</c:f>
                <c:numCache>
                  <c:formatCode>General</c:formatCode>
                  <c:ptCount val="7"/>
                  <c:pt idx="0">
                    <c:v>0</c:v>
                  </c:pt>
                  <c:pt idx="1">
                    <c:v>0</c:v>
                  </c:pt>
                  <c:pt idx="2">
                    <c:v>0</c:v>
                  </c:pt>
                  <c:pt idx="3">
                    <c:v>0</c:v>
                  </c:pt>
                  <c:pt idx="4">
                    <c:v>0</c:v>
                  </c:pt>
                  <c:pt idx="5">
                    <c:v>0</c:v>
                  </c:pt>
                  <c:pt idx="6">
                    <c:v>0</c:v>
                  </c:pt>
                </c:numCache>
              </c:numRef>
            </c:plus>
            <c:minus>
              <c:numRef>
                <c:f>'4.5 Group results Payoffs'!$H$84:$H$90</c:f>
                <c:numCache>
                  <c:formatCode>General</c:formatCode>
                  <c:ptCount val="7"/>
                  <c:pt idx="0">
                    <c:v>0</c:v>
                  </c:pt>
                  <c:pt idx="1">
                    <c:v>0</c:v>
                  </c:pt>
                  <c:pt idx="2">
                    <c:v>0</c:v>
                  </c:pt>
                  <c:pt idx="3">
                    <c:v>0</c:v>
                  </c:pt>
                  <c:pt idx="4">
                    <c:v>0</c:v>
                  </c:pt>
                  <c:pt idx="5">
                    <c:v>0</c:v>
                  </c:pt>
                  <c:pt idx="6">
                    <c:v>0</c:v>
                  </c:pt>
                </c:numCache>
              </c:numRef>
            </c:minus>
          </c:errBars>
          <c:cat>
            <c:strRef>
              <c:f>'4.5 Group results Payoffs'!$C$84:$C$90</c:f>
              <c:strCache>
                <c:ptCount val="7"/>
                <c:pt idx="0">
                  <c:v>A</c:v>
                </c:pt>
                <c:pt idx="1">
                  <c:v>B</c:v>
                </c:pt>
                <c:pt idx="2">
                  <c:v>C</c:v>
                </c:pt>
                <c:pt idx="3">
                  <c:v>D</c:v>
                </c:pt>
                <c:pt idx="4">
                  <c:v>E</c:v>
                </c:pt>
                <c:pt idx="5">
                  <c:v>F</c:v>
                </c:pt>
                <c:pt idx="6">
                  <c:v>GROUP</c:v>
                </c:pt>
              </c:strCache>
            </c:strRef>
          </c:cat>
          <c:val>
            <c:numRef>
              <c:f>'4.5 Group results Payoffs'!$F$84:$F$90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9B9-470B-A3CE-CBD573F8F915}"/>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69B9-470B-A3CE-CBD573F8F915}"/>
              </c:ext>
            </c:extLst>
          </c:dPt>
          <c:errBars>
            <c:errDir val="y"/>
            <c:errBarType val="both"/>
            <c:errValType val="cust"/>
            <c:noEndCap val="0"/>
            <c:plus>
              <c:numRef>
                <c:f>'4.5 Group results Payoffs'!$I$84:$I$90</c:f>
                <c:numCache>
                  <c:formatCode>General</c:formatCode>
                  <c:ptCount val="7"/>
                  <c:pt idx="0">
                    <c:v>0</c:v>
                  </c:pt>
                  <c:pt idx="1">
                    <c:v>0</c:v>
                  </c:pt>
                  <c:pt idx="2">
                    <c:v>0</c:v>
                  </c:pt>
                  <c:pt idx="3">
                    <c:v>0</c:v>
                  </c:pt>
                  <c:pt idx="4">
                    <c:v>0</c:v>
                  </c:pt>
                  <c:pt idx="5">
                    <c:v>0</c:v>
                  </c:pt>
                  <c:pt idx="6">
                    <c:v>0</c:v>
                  </c:pt>
                </c:numCache>
              </c:numRef>
            </c:plus>
            <c:minus>
              <c:numRef>
                <c:f>'4.5 Group results Payoffs'!$H$84:$H$90</c:f>
                <c:numCache>
                  <c:formatCode>General</c:formatCode>
                  <c:ptCount val="7"/>
                  <c:pt idx="0">
                    <c:v>0</c:v>
                  </c:pt>
                  <c:pt idx="1">
                    <c:v>0</c:v>
                  </c:pt>
                  <c:pt idx="2">
                    <c:v>0</c:v>
                  </c:pt>
                  <c:pt idx="3">
                    <c:v>0</c:v>
                  </c:pt>
                  <c:pt idx="4">
                    <c:v>0</c:v>
                  </c:pt>
                  <c:pt idx="5">
                    <c:v>0</c:v>
                  </c:pt>
                  <c:pt idx="6">
                    <c:v>0</c:v>
                  </c:pt>
                </c:numCache>
              </c:numRef>
            </c:minus>
          </c:errBars>
          <c:cat>
            <c:strRef>
              <c:f>'4.5 Group results Payoffs'!$C$84:$C$90</c:f>
              <c:strCache>
                <c:ptCount val="7"/>
                <c:pt idx="0">
                  <c:v>A</c:v>
                </c:pt>
                <c:pt idx="1">
                  <c:v>B</c:v>
                </c:pt>
                <c:pt idx="2">
                  <c:v>C</c:v>
                </c:pt>
                <c:pt idx="3">
                  <c:v>D</c:v>
                </c:pt>
                <c:pt idx="4">
                  <c:v>E</c:v>
                </c:pt>
                <c:pt idx="5">
                  <c:v>F</c:v>
                </c:pt>
                <c:pt idx="6">
                  <c:v>GROUP</c:v>
                </c:pt>
              </c:strCache>
            </c:strRef>
          </c:cat>
          <c:val>
            <c:numRef>
              <c:f>'4.5 Group results Payoffs'!$F$84:$F$90</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69B9-470B-A3CE-CBD573F8F915}"/>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Payoffs'!$I$131:$I$137</c:f>
                <c:numCache>
                  <c:formatCode>General</c:formatCode>
                  <c:ptCount val="7"/>
                  <c:pt idx="0">
                    <c:v>0</c:v>
                  </c:pt>
                  <c:pt idx="1">
                    <c:v>0</c:v>
                  </c:pt>
                  <c:pt idx="2">
                    <c:v>0</c:v>
                  </c:pt>
                  <c:pt idx="3">
                    <c:v>0</c:v>
                  </c:pt>
                  <c:pt idx="4">
                    <c:v>0</c:v>
                  </c:pt>
                  <c:pt idx="5">
                    <c:v>0</c:v>
                  </c:pt>
                  <c:pt idx="6">
                    <c:v>0</c:v>
                  </c:pt>
                </c:numCache>
              </c:numRef>
            </c:plus>
            <c:minus>
              <c:numRef>
                <c:f>'4.5 Group results Payoffs'!$H$131:$H$137</c:f>
                <c:numCache>
                  <c:formatCode>General</c:formatCode>
                  <c:ptCount val="7"/>
                  <c:pt idx="0">
                    <c:v>0</c:v>
                  </c:pt>
                  <c:pt idx="1">
                    <c:v>0</c:v>
                  </c:pt>
                  <c:pt idx="2">
                    <c:v>0</c:v>
                  </c:pt>
                  <c:pt idx="3">
                    <c:v>0</c:v>
                  </c:pt>
                  <c:pt idx="4">
                    <c:v>0</c:v>
                  </c:pt>
                  <c:pt idx="5">
                    <c:v>0</c:v>
                  </c:pt>
                  <c:pt idx="6">
                    <c:v>0</c:v>
                  </c:pt>
                </c:numCache>
              </c:numRef>
            </c:minus>
          </c:errBars>
          <c:cat>
            <c:strRef>
              <c:f>'4.5 Group results Payoffs'!$C$131:$C$137</c:f>
              <c:strCache>
                <c:ptCount val="7"/>
                <c:pt idx="0">
                  <c:v>A</c:v>
                </c:pt>
                <c:pt idx="1">
                  <c:v>B</c:v>
                </c:pt>
                <c:pt idx="2">
                  <c:v>C</c:v>
                </c:pt>
                <c:pt idx="3">
                  <c:v>D</c:v>
                </c:pt>
                <c:pt idx="4">
                  <c:v>E</c:v>
                </c:pt>
                <c:pt idx="5">
                  <c:v>F</c:v>
                </c:pt>
                <c:pt idx="6">
                  <c:v>GROUP</c:v>
                </c:pt>
              </c:strCache>
            </c:strRef>
          </c:cat>
          <c:val>
            <c:numRef>
              <c:f>'4.5 Group results Payoffs'!$F$131:$F$137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6EBA-4863-9CC9-C0C9CD9F962D}"/>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6EBA-4863-9CC9-C0C9CD9F962D}"/>
              </c:ext>
            </c:extLst>
          </c:dPt>
          <c:dPt>
            <c:idx val="15"/>
            <c:marker>
              <c:spPr>
                <a:solidFill>
                  <a:srgbClr val="FF0000"/>
                </a:solidFill>
                <a:ln>
                  <a:noFill/>
                </a:ln>
              </c:spPr>
            </c:marker>
            <c:bubble3D val="0"/>
            <c:extLst>
              <c:ext xmlns:c16="http://schemas.microsoft.com/office/drawing/2014/chart" uri="{C3380CC4-5D6E-409C-BE32-E72D297353CC}">
                <c16:uniqueId val="{00000002-6EBA-4863-9CC9-C0C9CD9F962D}"/>
              </c:ext>
            </c:extLst>
          </c:dPt>
          <c:errBars>
            <c:errDir val="y"/>
            <c:errBarType val="both"/>
            <c:errValType val="cust"/>
            <c:noEndCap val="0"/>
            <c:plus>
              <c:numRef>
                <c:f>'4.5 Group results Payoffs'!$I$131:$I$137</c:f>
                <c:numCache>
                  <c:formatCode>General</c:formatCode>
                  <c:ptCount val="7"/>
                  <c:pt idx="0">
                    <c:v>0</c:v>
                  </c:pt>
                  <c:pt idx="1">
                    <c:v>0</c:v>
                  </c:pt>
                  <c:pt idx="2">
                    <c:v>0</c:v>
                  </c:pt>
                  <c:pt idx="3">
                    <c:v>0</c:v>
                  </c:pt>
                  <c:pt idx="4">
                    <c:v>0</c:v>
                  </c:pt>
                  <c:pt idx="5">
                    <c:v>0</c:v>
                  </c:pt>
                  <c:pt idx="6">
                    <c:v>0</c:v>
                  </c:pt>
                </c:numCache>
              </c:numRef>
            </c:plus>
            <c:minus>
              <c:numRef>
                <c:f>'4.5 Group results Payoffs'!$H$131:$H$137</c:f>
                <c:numCache>
                  <c:formatCode>General</c:formatCode>
                  <c:ptCount val="7"/>
                  <c:pt idx="0">
                    <c:v>0</c:v>
                  </c:pt>
                  <c:pt idx="1">
                    <c:v>0</c:v>
                  </c:pt>
                  <c:pt idx="2">
                    <c:v>0</c:v>
                  </c:pt>
                  <c:pt idx="3">
                    <c:v>0</c:v>
                  </c:pt>
                  <c:pt idx="4">
                    <c:v>0</c:v>
                  </c:pt>
                  <c:pt idx="5">
                    <c:v>0</c:v>
                  </c:pt>
                  <c:pt idx="6">
                    <c:v>0</c:v>
                  </c:pt>
                </c:numCache>
              </c:numRef>
            </c:minus>
          </c:errBars>
          <c:cat>
            <c:strRef>
              <c:f>'4.5 Group results Payoffs'!$C$131:$C$137</c:f>
              <c:strCache>
                <c:ptCount val="7"/>
                <c:pt idx="0">
                  <c:v>A</c:v>
                </c:pt>
                <c:pt idx="1">
                  <c:v>B</c:v>
                </c:pt>
                <c:pt idx="2">
                  <c:v>C</c:v>
                </c:pt>
                <c:pt idx="3">
                  <c:v>D</c:v>
                </c:pt>
                <c:pt idx="4">
                  <c:v>E</c:v>
                </c:pt>
                <c:pt idx="5">
                  <c:v>F</c:v>
                </c:pt>
                <c:pt idx="6">
                  <c:v>GROUP</c:v>
                </c:pt>
              </c:strCache>
            </c:strRef>
          </c:cat>
          <c:val>
            <c:numRef>
              <c:f>'4.5 Group results Payoffs'!$F$131:$F$137</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3-6EBA-4863-9CC9-C0C9CD9F962D}"/>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noFill/>
            </a:ln>
          </c:spPr>
          <c:errBars>
            <c:errDir val="y"/>
            <c:errBarType val="both"/>
            <c:errValType val="cust"/>
            <c:noEndCap val="0"/>
            <c:plus>
              <c:numRef>
                <c:f>'4.5 Group results Payoffs'!$I$178:$I$184</c:f>
                <c:numCache>
                  <c:formatCode>General</c:formatCode>
                  <c:ptCount val="7"/>
                  <c:pt idx="0">
                    <c:v>0</c:v>
                  </c:pt>
                  <c:pt idx="1">
                    <c:v>0</c:v>
                  </c:pt>
                  <c:pt idx="2">
                    <c:v>0</c:v>
                  </c:pt>
                  <c:pt idx="3">
                    <c:v>0</c:v>
                  </c:pt>
                  <c:pt idx="4">
                    <c:v>0</c:v>
                  </c:pt>
                  <c:pt idx="5">
                    <c:v>0</c:v>
                  </c:pt>
                  <c:pt idx="6">
                    <c:v>0</c:v>
                  </c:pt>
                </c:numCache>
              </c:numRef>
            </c:plus>
            <c:minus>
              <c:numRef>
                <c:f>'4.5 Group results Payoffs'!$H$178:$H$184</c:f>
                <c:numCache>
                  <c:formatCode>General</c:formatCode>
                  <c:ptCount val="7"/>
                  <c:pt idx="0">
                    <c:v>0</c:v>
                  </c:pt>
                  <c:pt idx="1">
                    <c:v>0</c:v>
                  </c:pt>
                  <c:pt idx="2">
                    <c:v>0</c:v>
                  </c:pt>
                  <c:pt idx="3">
                    <c:v>0</c:v>
                  </c:pt>
                  <c:pt idx="4">
                    <c:v>0</c:v>
                  </c:pt>
                  <c:pt idx="5">
                    <c:v>0</c:v>
                  </c:pt>
                  <c:pt idx="6">
                    <c:v>0</c:v>
                  </c:pt>
                </c:numCache>
              </c:numRef>
            </c:minus>
          </c:errBars>
          <c:cat>
            <c:strRef>
              <c:f>'4.5 Group results Payoffs'!$C$178:$C$184</c:f>
              <c:strCache>
                <c:ptCount val="7"/>
                <c:pt idx="0">
                  <c:v>A</c:v>
                </c:pt>
                <c:pt idx="1">
                  <c:v>B</c:v>
                </c:pt>
                <c:pt idx="2">
                  <c:v>C</c:v>
                </c:pt>
                <c:pt idx="3">
                  <c:v>D</c:v>
                </c:pt>
                <c:pt idx="4">
                  <c:v>E</c:v>
                </c:pt>
                <c:pt idx="5">
                  <c:v>F</c:v>
                </c:pt>
                <c:pt idx="6">
                  <c:v>GROUP</c:v>
                </c:pt>
              </c:strCache>
            </c:strRef>
          </c:cat>
          <c:val>
            <c:numRef>
              <c:f>'4.5 Group results Payoffs'!$F$178:$F$184</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0-16E7-41F3-8FAC-7BC258683EB3}"/>
            </c:ext>
          </c:extLst>
        </c:ser>
        <c:ser>
          <c:idx val="0"/>
          <c:order val="1"/>
          <c:spPr>
            <a:ln w="19050">
              <a:noFill/>
            </a:ln>
          </c:spPr>
          <c:marker>
            <c:symbol val="circle"/>
            <c:size val="12"/>
            <c:spPr>
              <a:solidFill>
                <a:schemeClr val="accent5"/>
              </a:solidFill>
              <a:ln>
                <a:noFill/>
              </a:ln>
            </c:spPr>
          </c:marker>
          <c:dPt>
            <c:idx val="6"/>
            <c:marker>
              <c:spPr>
                <a:solidFill>
                  <a:srgbClr val="FF0000"/>
                </a:solidFill>
                <a:ln>
                  <a:noFill/>
                </a:ln>
              </c:spPr>
            </c:marker>
            <c:bubble3D val="0"/>
            <c:extLst>
              <c:ext xmlns:c16="http://schemas.microsoft.com/office/drawing/2014/chart" uri="{C3380CC4-5D6E-409C-BE32-E72D297353CC}">
                <c16:uniqueId val="{00000001-16E7-41F3-8FAC-7BC258683EB3}"/>
              </c:ext>
            </c:extLst>
          </c:dPt>
          <c:errBars>
            <c:errDir val="y"/>
            <c:errBarType val="both"/>
            <c:errValType val="cust"/>
            <c:noEndCap val="0"/>
            <c:plus>
              <c:numRef>
                <c:f>'4.5 Group results Payoffs'!$I$178:$I$184</c:f>
                <c:numCache>
                  <c:formatCode>General</c:formatCode>
                  <c:ptCount val="7"/>
                  <c:pt idx="0">
                    <c:v>0</c:v>
                  </c:pt>
                  <c:pt idx="1">
                    <c:v>0</c:v>
                  </c:pt>
                  <c:pt idx="2">
                    <c:v>0</c:v>
                  </c:pt>
                  <c:pt idx="3">
                    <c:v>0</c:v>
                  </c:pt>
                  <c:pt idx="4">
                    <c:v>0</c:v>
                  </c:pt>
                  <c:pt idx="5">
                    <c:v>0</c:v>
                  </c:pt>
                  <c:pt idx="6">
                    <c:v>0</c:v>
                  </c:pt>
                </c:numCache>
              </c:numRef>
            </c:plus>
            <c:minus>
              <c:numRef>
                <c:f>'4.5 Group results Payoffs'!$H$178:$H$184</c:f>
                <c:numCache>
                  <c:formatCode>General</c:formatCode>
                  <c:ptCount val="7"/>
                  <c:pt idx="0">
                    <c:v>0</c:v>
                  </c:pt>
                  <c:pt idx="1">
                    <c:v>0</c:v>
                  </c:pt>
                  <c:pt idx="2">
                    <c:v>0</c:v>
                  </c:pt>
                  <c:pt idx="3">
                    <c:v>0</c:v>
                  </c:pt>
                  <c:pt idx="4">
                    <c:v>0</c:v>
                  </c:pt>
                  <c:pt idx="5">
                    <c:v>0</c:v>
                  </c:pt>
                  <c:pt idx="6">
                    <c:v>0</c:v>
                  </c:pt>
                </c:numCache>
              </c:numRef>
            </c:minus>
          </c:errBars>
          <c:cat>
            <c:strRef>
              <c:f>'4.5 Group results Payoffs'!$C$178:$C$184</c:f>
              <c:strCache>
                <c:ptCount val="7"/>
                <c:pt idx="0">
                  <c:v>A</c:v>
                </c:pt>
                <c:pt idx="1">
                  <c:v>B</c:v>
                </c:pt>
                <c:pt idx="2">
                  <c:v>C</c:v>
                </c:pt>
                <c:pt idx="3">
                  <c:v>D</c:v>
                </c:pt>
                <c:pt idx="4">
                  <c:v>E</c:v>
                </c:pt>
                <c:pt idx="5">
                  <c:v>F</c:v>
                </c:pt>
                <c:pt idx="6">
                  <c:v>GROUP</c:v>
                </c:pt>
              </c:strCache>
            </c:strRef>
          </c:cat>
          <c:val>
            <c:numRef>
              <c:f>'4.5 Group results Payoffs'!$F$178:$F$184</c:f>
              <c:numCache>
                <c:formatCode>0.00</c:formatCode>
                <c:ptCount val="7"/>
                <c:pt idx="0">
                  <c:v>0</c:v>
                </c:pt>
                <c:pt idx="1">
                  <c:v>0</c:v>
                </c:pt>
                <c:pt idx="2">
                  <c:v>0</c:v>
                </c:pt>
                <c:pt idx="3">
                  <c:v>0</c:v>
                </c:pt>
                <c:pt idx="4">
                  <c:v>0</c:v>
                </c:pt>
                <c:pt idx="5">
                  <c:v>0</c:v>
                </c:pt>
                <c:pt idx="6" formatCode="General">
                  <c:v>0</c:v>
                </c:pt>
              </c:numCache>
            </c:numRef>
          </c:val>
          <c:smooth val="0"/>
          <c:extLst>
            <c:ext xmlns:c16="http://schemas.microsoft.com/office/drawing/2014/chart" uri="{C3380CC4-5D6E-409C-BE32-E72D297353CC}">
              <c16:uniqueId val="{00000002-16E7-41F3-8FAC-7BC258683EB3}"/>
            </c:ext>
          </c:extLst>
        </c:ser>
        <c:dLbls>
          <c:showLegendKey val="0"/>
          <c:showVal val="0"/>
          <c:showCatName val="0"/>
          <c:showSerName val="0"/>
          <c:showPercent val="0"/>
          <c:showBubbleSize val="0"/>
        </c:dLbls>
        <c:marker val="1"/>
        <c:smooth val="0"/>
        <c:axId val="310043008"/>
        <c:axId val="310044928"/>
      </c:lineChart>
      <c:catAx>
        <c:axId val="310043008"/>
        <c:scaling>
          <c:orientation val="minMax"/>
        </c:scaling>
        <c:delete val="0"/>
        <c:axPos val="b"/>
        <c:title>
          <c:tx>
            <c:rich>
              <a:bodyPr/>
              <a:lstStyle/>
              <a:p>
                <a:pPr>
                  <a:defRPr/>
                </a:pPr>
                <a:r>
                  <a:rPr lang="en-US"/>
                  <a:t>Expert</a:t>
                </a:r>
              </a:p>
            </c:rich>
          </c:tx>
          <c:overlay val="0"/>
        </c:title>
        <c:numFmt formatCode="General" sourceLinked="0"/>
        <c:majorTickMark val="out"/>
        <c:minorTickMark val="none"/>
        <c:tickLblPos val="nextTo"/>
        <c:crossAx val="310044928"/>
        <c:crosses val="autoZero"/>
        <c:auto val="1"/>
        <c:lblAlgn val="ctr"/>
        <c:lblOffset val="100"/>
        <c:noMultiLvlLbl val="0"/>
      </c:catAx>
      <c:valAx>
        <c:axId val="310044928"/>
        <c:scaling>
          <c:orientation val="minMax"/>
        </c:scaling>
        <c:delete val="0"/>
        <c:axPos val="l"/>
        <c:title>
          <c:tx>
            <c:rich>
              <a:bodyPr rot="-5400000" vert="horz"/>
              <a:lstStyle/>
              <a:p>
                <a:pPr>
                  <a:defRPr/>
                </a:pPr>
                <a:r>
                  <a:rPr lang="en-AU"/>
                  <a:t>Best guess</a:t>
                </a:r>
              </a:p>
            </c:rich>
          </c:tx>
          <c:overlay val="0"/>
        </c:title>
        <c:numFmt formatCode="0" sourceLinked="0"/>
        <c:majorTickMark val="out"/>
        <c:minorTickMark val="none"/>
        <c:tickLblPos val="nextTo"/>
        <c:crossAx val="310043008"/>
        <c:crosses val="autoZero"/>
        <c:crossBetween val="between"/>
      </c:valAx>
    </c:plotArea>
    <c:plotVisOnly val="1"/>
    <c:dispBlanksAs val="gap"/>
    <c:showDLblsOverMax val="0"/>
  </c:chart>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27.xml"/><Relationship Id="rId13" Type="http://schemas.openxmlformats.org/officeDocument/2006/relationships/chart" Target="../charts/chart32.xml"/><Relationship Id="rId18" Type="http://schemas.openxmlformats.org/officeDocument/2006/relationships/chart" Target="../charts/chart3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17" Type="http://schemas.openxmlformats.org/officeDocument/2006/relationships/chart" Target="../charts/chart36.xml"/><Relationship Id="rId2" Type="http://schemas.openxmlformats.org/officeDocument/2006/relationships/chart" Target="../charts/chart21.xml"/><Relationship Id="rId16" Type="http://schemas.openxmlformats.org/officeDocument/2006/relationships/chart" Target="../charts/chart35.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5" Type="http://schemas.openxmlformats.org/officeDocument/2006/relationships/chart" Target="../charts/chart3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 Id="rId14" Type="http://schemas.openxmlformats.org/officeDocument/2006/relationships/chart" Target="../charts/chart3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jp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377825</xdr:colOff>
      <xdr:row>21</xdr:row>
      <xdr:rowOff>133350</xdr:rowOff>
    </xdr:from>
    <xdr:to>
      <xdr:col>11</xdr:col>
      <xdr:colOff>332105</xdr:colOff>
      <xdr:row>53</xdr:row>
      <xdr:rowOff>63500</xdr:rowOff>
    </xdr:to>
    <xdr:pic>
      <xdr:nvPicPr>
        <xdr:cNvPr id="54" name="Picture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1597025" y="3683000"/>
          <a:ext cx="5440680" cy="5822950"/>
        </a:xfrm>
        <a:prstGeom prst="rect">
          <a:avLst/>
        </a:prstGeom>
      </xdr:spPr>
    </xdr:pic>
    <xdr:clientData/>
  </xdr:twoCellAnchor>
  <xdr:twoCellAnchor editAs="oneCell">
    <xdr:from>
      <xdr:col>1</xdr:col>
      <xdr:colOff>254000</xdr:colOff>
      <xdr:row>58</xdr:row>
      <xdr:rowOff>149225</xdr:rowOff>
    </xdr:from>
    <xdr:to>
      <xdr:col>10</xdr:col>
      <xdr:colOff>17780</xdr:colOff>
      <xdr:row>72</xdr:row>
      <xdr:rowOff>50165</xdr:rowOff>
    </xdr:to>
    <xdr:pic>
      <xdr:nvPicPr>
        <xdr:cNvPr id="57" name="Pictur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2"/>
        <a:stretch>
          <a:fillRect/>
        </a:stretch>
      </xdr:blipFill>
      <xdr:spPr>
        <a:xfrm>
          <a:off x="863600" y="10512425"/>
          <a:ext cx="5250180" cy="2479040"/>
        </a:xfrm>
        <a:prstGeom prst="rect">
          <a:avLst/>
        </a:prstGeom>
      </xdr:spPr>
    </xdr:pic>
    <xdr:clientData/>
  </xdr:twoCellAnchor>
  <xdr:twoCellAnchor editAs="oneCell">
    <xdr:from>
      <xdr:col>1</xdr:col>
      <xdr:colOff>355600</xdr:colOff>
      <xdr:row>81</xdr:row>
      <xdr:rowOff>76200</xdr:rowOff>
    </xdr:from>
    <xdr:to>
      <xdr:col>11</xdr:col>
      <xdr:colOff>330200</xdr:colOff>
      <xdr:row>112</xdr:row>
      <xdr:rowOff>25400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39646"/>
        <a:stretch/>
      </xdr:blipFill>
      <xdr:spPr>
        <a:xfrm>
          <a:off x="965200" y="14674850"/>
          <a:ext cx="6070600" cy="5657850"/>
        </a:xfrm>
        <a:prstGeom prst="rect">
          <a:avLst/>
        </a:prstGeom>
      </xdr:spPr>
    </xdr:pic>
    <xdr:clientData/>
  </xdr:twoCellAnchor>
  <xdr:twoCellAnchor>
    <xdr:from>
      <xdr:col>1</xdr:col>
      <xdr:colOff>25400</xdr:colOff>
      <xdr:row>1</xdr:row>
      <xdr:rowOff>107950</xdr:rowOff>
    </xdr:from>
    <xdr:to>
      <xdr:col>15</xdr:col>
      <xdr:colOff>25400</xdr:colOff>
      <xdr:row>19</xdr:row>
      <xdr:rowOff>165100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5000" y="342900"/>
          <a:ext cx="8534400" cy="300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n-lt"/>
              <a:ea typeface="+mn-ea"/>
              <a:cs typeface="+mn-cs"/>
            </a:rPr>
            <a:t>Welcome</a:t>
          </a:r>
          <a:r>
            <a:rPr lang="en-AU" sz="1200" baseline="0">
              <a:solidFill>
                <a:schemeClr val="dk1"/>
              </a:solidFill>
              <a:effectLst/>
              <a:latin typeface="+mn-lt"/>
              <a:ea typeface="+mn-ea"/>
              <a:cs typeface="+mn-cs"/>
            </a:rPr>
            <a:t> to the PACES tool - Planning and Assessment for Conservation through Ex-Situ management. </a:t>
          </a:r>
          <a:endParaRPr lang="en-AU" sz="1200">
            <a:effectLst/>
          </a:endParaRPr>
        </a:p>
        <a:p>
          <a:endParaRPr lang="en-AU" sz="1100"/>
        </a:p>
        <a:p>
          <a:r>
            <a:rPr lang="en-AU" sz="1100"/>
            <a:t>This workbook is designed for decision support where three alternatives for conservation management of a threatened species are under consideration:</a:t>
          </a:r>
        </a:p>
        <a:p>
          <a:endParaRPr lang="en-AU" sz="1100"/>
        </a:p>
        <a:p>
          <a:r>
            <a:rPr lang="en-AU" sz="1100"/>
            <a:t>1. IN-SITU STATUS QUO refers to current or planned management of populations in the wild.</a:t>
          </a:r>
        </a:p>
        <a:p>
          <a:endParaRPr lang="en-AU" sz="1100"/>
        </a:p>
        <a:p>
          <a:r>
            <a:rPr lang="en-AU" sz="1100"/>
            <a:t>2. EX-SITU refers to management of propagules, individuals or populations in captivity, with (by default) co-investment in in-situ management as described for IN-SITU STATUS QUO.</a:t>
          </a:r>
        </a:p>
        <a:p>
          <a:endParaRPr lang="en-AU" sz="1100"/>
        </a:p>
        <a:p>
          <a:r>
            <a:rPr lang="en-AU" sz="1100"/>
            <a:t>3. IN-SITU PLUS deploys resources that would otherwise be used in EX-SITU management to in-situ management.</a:t>
          </a:r>
        </a:p>
        <a:p>
          <a:endParaRPr lang="en-AU" sz="1100"/>
        </a:p>
        <a:p>
          <a:r>
            <a:rPr lang="en-AU" sz="1100"/>
            <a:t>The workbook</a:t>
          </a:r>
          <a:r>
            <a:rPr lang="en-AU" sz="1100" baseline="0"/>
            <a:t> also </a:t>
          </a:r>
          <a:r>
            <a:rPr lang="en-AU" sz="1100"/>
            <a:t>includes a 'do nothing' alternative as a basis for comparing</a:t>
          </a:r>
          <a:r>
            <a:rPr lang="en-AU" sz="1100" baseline="0"/>
            <a:t> conservation outcomes.</a:t>
          </a:r>
          <a:endParaRPr lang="en-AU" sz="1100"/>
        </a:p>
        <a:p>
          <a:endParaRPr lang="en-AU" sz="1100"/>
        </a:p>
        <a:p>
          <a:r>
            <a:rPr lang="en-AU" sz="1100"/>
            <a:t>Investment in conservation action often involves multiple organisations. This workbook accommodates up to six decision-makers from the same or different organisations,</a:t>
          </a:r>
          <a:r>
            <a:rPr lang="en-AU" sz="1100" baseline="0"/>
            <a:t> and can be used to keep track of organisational contributions to each management plan</a:t>
          </a:r>
          <a:r>
            <a:rPr lang="en-AU" sz="1100"/>
            <a:t>.</a:t>
          </a:r>
        </a:p>
        <a:p>
          <a:endParaRPr lang="en-AU" sz="1100"/>
        </a:p>
        <a:p>
          <a:r>
            <a:rPr lang="en-AU" sz="1100"/>
            <a:t>The choice of a preferred alternative (blue square in the decision tree shown below) depends on outcomes of key uncertain elements (depicted as yellow circles in the decision tree below) and the conservation pay-offs under each uncertain pathway (green triangles). </a:t>
          </a:r>
        </a:p>
      </xdr:txBody>
    </xdr:sp>
    <xdr:clientData/>
  </xdr:twoCellAnchor>
  <xdr:twoCellAnchor>
    <xdr:from>
      <xdr:col>1</xdr:col>
      <xdr:colOff>6350</xdr:colOff>
      <xdr:row>55</xdr:row>
      <xdr:rowOff>69850</xdr:rowOff>
    </xdr:from>
    <xdr:to>
      <xdr:col>15</xdr:col>
      <xdr:colOff>0</xdr:colOff>
      <xdr:row>58</xdr:row>
      <xdr:rowOff>6350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5950" y="9880600"/>
          <a:ext cx="852805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the two in-situ alternatives, the key uncertainty in this decision support protocol is whether or not there is timely and (more or less) complete implementation of planned actions.</a:t>
          </a:r>
        </a:p>
      </xdr:txBody>
    </xdr:sp>
    <xdr:clientData/>
  </xdr:twoCellAnchor>
  <xdr:twoCellAnchor>
    <xdr:from>
      <xdr:col>1</xdr:col>
      <xdr:colOff>41275</xdr:colOff>
      <xdr:row>76</xdr:row>
      <xdr:rowOff>180975</xdr:rowOff>
    </xdr:from>
    <xdr:to>
      <xdr:col>15</xdr:col>
      <xdr:colOff>28575</xdr:colOff>
      <xdr:row>80</xdr:row>
      <xdr:rowOff>158750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50875" y="13858875"/>
          <a:ext cx="85217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the ex-situ alternative, the key additional uncertainties are: </a:t>
          </a:r>
        </a:p>
        <a:p>
          <a:r>
            <a:rPr lang="en-AU" sz="1100"/>
            <a:t>		(a) the magnitude of impact on source population(s), </a:t>
          </a:r>
        </a:p>
        <a:p>
          <a:r>
            <a:rPr lang="en-AU" sz="1100"/>
            <a:t>		(b) the success of captive breeding and </a:t>
          </a:r>
          <a:r>
            <a:rPr lang="en-AU" sz="1100">
              <a:solidFill>
                <a:schemeClr val="dk1"/>
              </a:solidFill>
              <a:effectLst/>
              <a:latin typeface="+mn-lt"/>
              <a:ea typeface="+mn-ea"/>
              <a:cs typeface="+mn-cs"/>
            </a:rPr>
            <a:t>success of subsequent release into the wild</a:t>
          </a:r>
          <a:endParaRPr lang="en-AU" sz="1100"/>
        </a:p>
      </xdr:txBody>
    </xdr:sp>
    <xdr:clientData/>
  </xdr:twoCellAnchor>
  <xdr:twoCellAnchor>
    <xdr:from>
      <xdr:col>16</xdr:col>
      <xdr:colOff>19050</xdr:colOff>
      <xdr:row>1</xdr:row>
      <xdr:rowOff>95250</xdr:rowOff>
    </xdr:from>
    <xdr:to>
      <xdr:col>23</xdr:col>
      <xdr:colOff>63500</xdr:colOff>
      <xdr:row>20</xdr:row>
      <xdr:rowOff>6350</xdr:rowOff>
    </xdr:to>
    <xdr:sp macro="" textlink="">
      <xdr:nvSpPr>
        <xdr:cNvPr id="9" name="TextBox 8">
          <a:extLst>
            <a:ext uri="{FF2B5EF4-FFF2-40B4-BE49-F238E27FC236}">
              <a16:creationId xmlns:a16="http://schemas.microsoft.com/office/drawing/2014/main" id="{00000000-0008-0000-0000-000008000000}"/>
            </a:ext>
          </a:extLst>
        </xdr:cNvPr>
        <xdr:cNvSpPr txBox="1"/>
      </xdr:nvSpPr>
      <xdr:spPr>
        <a:xfrm>
          <a:off x="9772650" y="330200"/>
          <a:ext cx="4311650" cy="340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a:t>
          </a:r>
          <a:r>
            <a:rPr lang="en-AU" sz="1100" baseline="0"/>
            <a:t> PACES</a:t>
          </a:r>
          <a:r>
            <a:rPr lang="en-AU" sz="1100"/>
            <a:t> tool was developed</a:t>
          </a:r>
          <a:r>
            <a:rPr lang="en-AU" sz="1100" baseline="0"/>
            <a:t> by </a:t>
          </a:r>
          <a:r>
            <a:rPr lang="en-AU" sz="1100" baseline="0">
              <a:solidFill>
                <a:schemeClr val="dk1"/>
              </a:solidFill>
              <a:effectLst/>
              <a:latin typeface="+mn-lt"/>
              <a:ea typeface="+mn-ea"/>
              <a:cs typeface="+mn-cs"/>
            </a:rPr>
            <a:t>Dr Tracy Rout and </a:t>
          </a:r>
          <a:r>
            <a:rPr lang="en-AU" sz="1100" baseline="0"/>
            <a:t>Dr Terry Walshe, and funded by the Threatened Species Recovery Hub of the Australian Government's National Environmental Science Programme.</a:t>
          </a:r>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endParaRPr lang="en-AU" sz="1100" baseline="0"/>
        </a:p>
        <a:p>
          <a:r>
            <a:rPr lang="en-AU" sz="1100" baseline="0"/>
            <a:t>Please cite as: Rout, TM and Walshe TV (2020) </a:t>
          </a:r>
          <a:r>
            <a:rPr lang="en-AU" sz="1100" i="1" baseline="0"/>
            <a:t>The PACES Tool: Planning and Assessment for Conservation through Ex-Situ management </a:t>
          </a:r>
          <a:r>
            <a:rPr lang="en-AU" sz="1100" baseline="0"/>
            <a:t>[Excel workbook], </a:t>
          </a:r>
          <a:r>
            <a:rPr lang="en-AU" sz="1100">
              <a:solidFill>
                <a:schemeClr val="dk1"/>
              </a:solidFill>
              <a:effectLst/>
              <a:latin typeface="+mn-lt"/>
              <a:ea typeface="+mn-ea"/>
              <a:cs typeface="+mn-cs"/>
            </a:rPr>
            <a:t>Threatened Species Recovery Hub of the Australian Government’s National Environmental Science Programme.</a:t>
          </a:r>
          <a:endParaRPr lang="en-AU" sz="1100"/>
        </a:p>
      </xdr:txBody>
    </xdr:sp>
    <xdr:clientData/>
  </xdr:twoCellAnchor>
  <xdr:twoCellAnchor editAs="oneCell">
    <xdr:from>
      <xdr:col>17</xdr:col>
      <xdr:colOff>165100</xdr:colOff>
      <xdr:row>6</xdr:row>
      <xdr:rowOff>19050</xdr:rowOff>
    </xdr:from>
    <xdr:to>
      <xdr:col>21</xdr:col>
      <xdr:colOff>569237</xdr:colOff>
      <xdr:row>14</xdr:row>
      <xdr:rowOff>38100</xdr:rowOff>
    </xdr:to>
    <xdr:pic>
      <xdr:nvPicPr>
        <xdr:cNvPr id="10" name="Picture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10528300" y="1174750"/>
          <a:ext cx="2842537" cy="1492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3203</xdr:colOff>
      <xdr:row>4</xdr:row>
      <xdr:rowOff>5386</xdr:rowOff>
    </xdr:from>
    <xdr:to>
      <xdr:col>4</xdr:col>
      <xdr:colOff>628650</xdr:colOff>
      <xdr:row>33</xdr:row>
      <xdr:rowOff>47625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3203</xdr:colOff>
      <xdr:row>51</xdr:row>
      <xdr:rowOff>5386</xdr:rowOff>
    </xdr:from>
    <xdr:to>
      <xdr:col>4</xdr:col>
      <xdr:colOff>628650</xdr:colOff>
      <xdr:row>80</xdr:row>
      <xdr:rowOff>47625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3203</xdr:colOff>
      <xdr:row>98</xdr:row>
      <xdr:rowOff>5386</xdr:rowOff>
    </xdr:from>
    <xdr:to>
      <xdr:col>4</xdr:col>
      <xdr:colOff>628650</xdr:colOff>
      <xdr:row>127</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3203</xdr:colOff>
      <xdr:row>145</xdr:row>
      <xdr:rowOff>5386</xdr:rowOff>
    </xdr:from>
    <xdr:to>
      <xdr:col>4</xdr:col>
      <xdr:colOff>628650</xdr:colOff>
      <xdr:row>174</xdr:row>
      <xdr:rowOff>47625</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3203</xdr:colOff>
      <xdr:row>192</xdr:row>
      <xdr:rowOff>5386</xdr:rowOff>
    </xdr:from>
    <xdr:to>
      <xdr:col>4</xdr:col>
      <xdr:colOff>628650</xdr:colOff>
      <xdr:row>221</xdr:row>
      <xdr:rowOff>47625</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3203</xdr:colOff>
      <xdr:row>239</xdr:row>
      <xdr:rowOff>5386</xdr:rowOff>
    </xdr:from>
    <xdr:to>
      <xdr:col>4</xdr:col>
      <xdr:colOff>628650</xdr:colOff>
      <xdr:row>268</xdr:row>
      <xdr:rowOff>47625</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3203</xdr:colOff>
      <xdr:row>286</xdr:row>
      <xdr:rowOff>5386</xdr:rowOff>
    </xdr:from>
    <xdr:to>
      <xdr:col>4</xdr:col>
      <xdr:colOff>628650</xdr:colOff>
      <xdr:row>315</xdr:row>
      <xdr:rowOff>47625</xdr:rowOff>
    </xdr:to>
    <xdr:graphicFrame macro="">
      <xdr:nvGraphicFramePr>
        <xdr:cNvPr id="8" name="Chart 7">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3203</xdr:colOff>
      <xdr:row>333</xdr:row>
      <xdr:rowOff>5386</xdr:rowOff>
    </xdr:from>
    <xdr:to>
      <xdr:col>4</xdr:col>
      <xdr:colOff>628650</xdr:colOff>
      <xdr:row>362</xdr:row>
      <xdr:rowOff>47625</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3203</xdr:colOff>
      <xdr:row>380</xdr:row>
      <xdr:rowOff>5386</xdr:rowOff>
    </xdr:from>
    <xdr:to>
      <xdr:col>4</xdr:col>
      <xdr:colOff>628650</xdr:colOff>
      <xdr:row>409</xdr:row>
      <xdr:rowOff>47625</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3203</xdr:colOff>
      <xdr:row>427</xdr:row>
      <xdr:rowOff>5386</xdr:rowOff>
    </xdr:from>
    <xdr:to>
      <xdr:col>4</xdr:col>
      <xdr:colOff>628650</xdr:colOff>
      <xdr:row>456</xdr:row>
      <xdr:rowOff>47625</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3203</xdr:colOff>
      <xdr:row>474</xdr:row>
      <xdr:rowOff>5386</xdr:rowOff>
    </xdr:from>
    <xdr:to>
      <xdr:col>4</xdr:col>
      <xdr:colOff>628650</xdr:colOff>
      <xdr:row>503</xdr:row>
      <xdr:rowOff>47625</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3203</xdr:colOff>
      <xdr:row>521</xdr:row>
      <xdr:rowOff>5386</xdr:rowOff>
    </xdr:from>
    <xdr:to>
      <xdr:col>4</xdr:col>
      <xdr:colOff>628650</xdr:colOff>
      <xdr:row>550</xdr:row>
      <xdr:rowOff>47625</xdr:rowOff>
    </xdr:to>
    <xdr:graphicFrame macro="">
      <xdr:nvGraphicFramePr>
        <xdr:cNvPr id="13" name="Chart 1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3203</xdr:colOff>
      <xdr:row>568</xdr:row>
      <xdr:rowOff>5386</xdr:rowOff>
    </xdr:from>
    <xdr:to>
      <xdr:col>4</xdr:col>
      <xdr:colOff>628650</xdr:colOff>
      <xdr:row>597</xdr:row>
      <xdr:rowOff>47625</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xdr:colOff>
      <xdr:row>23</xdr:row>
      <xdr:rowOff>185738</xdr:rowOff>
    </xdr:from>
    <xdr:to>
      <xdr:col>10</xdr:col>
      <xdr:colOff>476251</xdr:colOff>
      <xdr:row>31</xdr:row>
      <xdr:rowOff>104775</xdr:rowOff>
    </xdr:to>
    <xdr:cxnSp macro="">
      <xdr:nvCxnSpPr>
        <xdr:cNvPr id="12" name="Connector: Elbow 11">
          <a:extLst>
            <a:ext uri="{FF2B5EF4-FFF2-40B4-BE49-F238E27FC236}">
              <a16:creationId xmlns:a16="http://schemas.microsoft.com/office/drawing/2014/main" id="{00000000-0008-0000-0C00-00000C000000}"/>
            </a:ext>
          </a:extLst>
        </xdr:cNvPr>
        <xdr:cNvCxnSpPr>
          <a:stCxn id="2" idx="0"/>
          <a:endCxn id="25" idx="2"/>
        </xdr:cNvCxnSpPr>
      </xdr:nvCxnSpPr>
      <xdr:spPr>
        <a:xfrm rot="5400000" flipH="1" flipV="1">
          <a:off x="1040607" y="1659732"/>
          <a:ext cx="1443037" cy="230505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16</xdr:row>
      <xdr:rowOff>65819</xdr:rowOff>
    </xdr:from>
    <xdr:to>
      <xdr:col>11</xdr:col>
      <xdr:colOff>123825</xdr:colOff>
      <xdr:row>17</xdr:row>
      <xdr:rowOff>138420</xdr:rowOff>
    </xdr:to>
    <xdr:sp macro="" textlink="">
      <xdr:nvSpPr>
        <xdr:cNvPr id="4" name="Oval 3">
          <a:extLst>
            <a:ext uri="{FF2B5EF4-FFF2-40B4-BE49-F238E27FC236}">
              <a16:creationId xmlns:a16="http://schemas.microsoft.com/office/drawing/2014/main" id="{00000000-0008-0000-0C00-000004000000}"/>
            </a:ext>
          </a:extLst>
        </xdr:cNvPr>
        <xdr:cNvSpPr/>
      </xdr:nvSpPr>
      <xdr:spPr>
        <a:xfrm>
          <a:off x="2914650" y="637319"/>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604838</xdr:colOff>
      <xdr:row>14</xdr:row>
      <xdr:rowOff>61912</xdr:rowOff>
    </xdr:from>
    <xdr:to>
      <xdr:col>19</xdr:col>
      <xdr:colOff>214313</xdr:colOff>
      <xdr:row>15</xdr:row>
      <xdr:rowOff>124768</xdr:rowOff>
    </xdr:to>
    <xdr:sp macro="" textlink="">
      <xdr:nvSpPr>
        <xdr:cNvPr id="10" name="Isosceles Triangle 9">
          <a:extLst>
            <a:ext uri="{FF2B5EF4-FFF2-40B4-BE49-F238E27FC236}">
              <a16:creationId xmlns:a16="http://schemas.microsoft.com/office/drawing/2014/main" id="{00000000-0008-0000-0C00-00000A000000}"/>
            </a:ext>
          </a:extLst>
        </xdr:cNvPr>
        <xdr:cNvSpPr/>
      </xdr:nvSpPr>
      <xdr:spPr>
        <a:xfrm rot="16200000">
          <a:off x="7902898" y="26955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604839</xdr:colOff>
      <xdr:row>18</xdr:row>
      <xdr:rowOff>73559</xdr:rowOff>
    </xdr:from>
    <xdr:to>
      <xdr:col>19</xdr:col>
      <xdr:colOff>214314</xdr:colOff>
      <xdr:row>19</xdr:row>
      <xdr:rowOff>136415</xdr:rowOff>
    </xdr:to>
    <xdr:sp macro="" textlink="">
      <xdr:nvSpPr>
        <xdr:cNvPr id="18" name="Isosceles Triangle 17">
          <a:extLst>
            <a:ext uri="{FF2B5EF4-FFF2-40B4-BE49-F238E27FC236}">
              <a16:creationId xmlns:a16="http://schemas.microsoft.com/office/drawing/2014/main" id="{00000000-0008-0000-0C00-000012000000}"/>
            </a:ext>
          </a:extLst>
        </xdr:cNvPr>
        <xdr:cNvSpPr/>
      </xdr:nvSpPr>
      <xdr:spPr>
        <a:xfrm rot="16200000">
          <a:off x="7902899" y="1043199"/>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620425</xdr:colOff>
      <xdr:row>15</xdr:row>
      <xdr:rowOff>977</xdr:rowOff>
    </xdr:from>
    <xdr:to>
      <xdr:col>18</xdr:col>
      <xdr:colOff>604839</xdr:colOff>
      <xdr:row>16</xdr:row>
      <xdr:rowOff>65819</xdr:rowOff>
    </xdr:to>
    <xdr:cxnSp macro="">
      <xdr:nvCxnSpPr>
        <xdr:cNvPr id="19" name="Connector: Elbow 18">
          <a:extLst>
            <a:ext uri="{FF2B5EF4-FFF2-40B4-BE49-F238E27FC236}">
              <a16:creationId xmlns:a16="http://schemas.microsoft.com/office/drawing/2014/main" id="{00000000-0008-0000-0C00-000013000000}"/>
            </a:ext>
          </a:extLst>
        </xdr:cNvPr>
        <xdr:cNvCxnSpPr>
          <a:stCxn id="4" idx="0"/>
          <a:endCxn id="10" idx="0"/>
        </xdr:cNvCxnSpPr>
      </xdr:nvCxnSpPr>
      <xdr:spPr>
        <a:xfrm rot="5400000" flipH="1" flipV="1">
          <a:off x="14094165" y="-2048536"/>
          <a:ext cx="249569" cy="5110596"/>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620423</xdr:colOff>
      <xdr:row>17</xdr:row>
      <xdr:rowOff>138420</xdr:rowOff>
    </xdr:from>
    <xdr:to>
      <xdr:col>18</xdr:col>
      <xdr:colOff>604838</xdr:colOff>
      <xdr:row>19</xdr:row>
      <xdr:rowOff>12624</xdr:rowOff>
    </xdr:to>
    <xdr:cxnSp macro="">
      <xdr:nvCxnSpPr>
        <xdr:cNvPr id="22" name="Connector: Elbow 21">
          <a:extLst>
            <a:ext uri="{FF2B5EF4-FFF2-40B4-BE49-F238E27FC236}">
              <a16:creationId xmlns:a16="http://schemas.microsoft.com/office/drawing/2014/main" id="{00000000-0008-0000-0C00-000016000000}"/>
            </a:ext>
          </a:extLst>
        </xdr:cNvPr>
        <xdr:cNvCxnSpPr>
          <a:stCxn id="4" idx="4"/>
          <a:endCxn id="18" idx="0"/>
        </xdr:cNvCxnSpPr>
      </xdr:nvCxnSpPr>
      <xdr:spPr>
        <a:xfrm rot="16200000" flipH="1">
          <a:off x="14097120" y="-1544595"/>
          <a:ext cx="243658" cy="5110597"/>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23</xdr:row>
      <xdr:rowOff>96545</xdr:rowOff>
    </xdr:from>
    <xdr:to>
      <xdr:col>11</xdr:col>
      <xdr:colOff>123825</xdr:colOff>
      <xdr:row>24</xdr:row>
      <xdr:rowOff>169146</xdr:rowOff>
    </xdr:to>
    <xdr:sp macro="" textlink="">
      <xdr:nvSpPr>
        <xdr:cNvPr id="25" name="Oval 24">
          <a:extLst>
            <a:ext uri="{FF2B5EF4-FFF2-40B4-BE49-F238E27FC236}">
              <a16:creationId xmlns:a16="http://schemas.microsoft.com/office/drawing/2014/main" id="{00000000-0008-0000-0C00-000019000000}"/>
            </a:ext>
          </a:extLst>
        </xdr:cNvPr>
        <xdr:cNvSpPr/>
      </xdr:nvSpPr>
      <xdr:spPr>
        <a:xfrm>
          <a:off x="2914650" y="2001545"/>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592140</xdr:colOff>
      <xdr:row>21</xdr:row>
      <xdr:rowOff>56078</xdr:rowOff>
    </xdr:from>
    <xdr:to>
      <xdr:col>19</xdr:col>
      <xdr:colOff>201615</xdr:colOff>
      <xdr:row>22</xdr:row>
      <xdr:rowOff>118934</xdr:rowOff>
    </xdr:to>
    <xdr:sp macro="" textlink="">
      <xdr:nvSpPr>
        <xdr:cNvPr id="26" name="Isosceles Triangle 25">
          <a:extLst>
            <a:ext uri="{FF2B5EF4-FFF2-40B4-BE49-F238E27FC236}">
              <a16:creationId xmlns:a16="http://schemas.microsoft.com/office/drawing/2014/main" id="{00000000-0008-0000-0C00-00001A000000}"/>
            </a:ext>
          </a:extLst>
        </xdr:cNvPr>
        <xdr:cNvSpPr/>
      </xdr:nvSpPr>
      <xdr:spPr>
        <a:xfrm rot="16200000">
          <a:off x="16762881" y="1544110"/>
          <a:ext cx="247583" cy="2502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596373</xdr:colOff>
      <xdr:row>25</xdr:row>
      <xdr:rowOff>63491</xdr:rowOff>
    </xdr:from>
    <xdr:to>
      <xdr:col>19</xdr:col>
      <xdr:colOff>205848</xdr:colOff>
      <xdr:row>26</xdr:row>
      <xdr:rowOff>126347</xdr:rowOff>
    </xdr:to>
    <xdr:sp macro="" textlink="">
      <xdr:nvSpPr>
        <xdr:cNvPr id="27" name="Isosceles Triangle 26">
          <a:extLst>
            <a:ext uri="{FF2B5EF4-FFF2-40B4-BE49-F238E27FC236}">
              <a16:creationId xmlns:a16="http://schemas.microsoft.com/office/drawing/2014/main" id="{00000000-0008-0000-0C00-00001B000000}"/>
            </a:ext>
          </a:extLst>
        </xdr:cNvPr>
        <xdr:cNvSpPr/>
      </xdr:nvSpPr>
      <xdr:spPr>
        <a:xfrm rot="16200000">
          <a:off x="16761342" y="2296204"/>
          <a:ext cx="259128" cy="2502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twoCellAnchor>
    <xdr:from>
      <xdr:col>10</xdr:col>
      <xdr:colOff>620425</xdr:colOff>
      <xdr:row>21</xdr:row>
      <xdr:rowOff>179870</xdr:rowOff>
    </xdr:from>
    <xdr:to>
      <xdr:col>18</xdr:col>
      <xdr:colOff>592141</xdr:colOff>
      <xdr:row>23</xdr:row>
      <xdr:rowOff>96545</xdr:rowOff>
    </xdr:to>
    <xdr:cxnSp macro="">
      <xdr:nvCxnSpPr>
        <xdr:cNvPr id="28" name="Connector: Elbow 27">
          <a:extLst>
            <a:ext uri="{FF2B5EF4-FFF2-40B4-BE49-F238E27FC236}">
              <a16:creationId xmlns:a16="http://schemas.microsoft.com/office/drawing/2014/main" id="{00000000-0008-0000-0C00-00001C000000}"/>
            </a:ext>
          </a:extLst>
        </xdr:cNvPr>
        <xdr:cNvCxnSpPr>
          <a:stCxn id="25" idx="0"/>
          <a:endCxn id="26" idx="0"/>
        </xdr:cNvCxnSpPr>
      </xdr:nvCxnSpPr>
      <xdr:spPr>
        <a:xfrm rot="5400000" flipH="1" flipV="1">
          <a:off x="14069536" y="-736650"/>
          <a:ext cx="286129" cy="509789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620424</xdr:colOff>
      <xdr:row>24</xdr:row>
      <xdr:rowOff>169145</xdr:rowOff>
    </xdr:from>
    <xdr:to>
      <xdr:col>18</xdr:col>
      <xdr:colOff>596373</xdr:colOff>
      <xdr:row>25</xdr:row>
      <xdr:rowOff>193054</xdr:rowOff>
    </xdr:to>
    <xdr:cxnSp macro="">
      <xdr:nvCxnSpPr>
        <xdr:cNvPr id="29" name="Connector: Elbow 28">
          <a:extLst>
            <a:ext uri="{FF2B5EF4-FFF2-40B4-BE49-F238E27FC236}">
              <a16:creationId xmlns:a16="http://schemas.microsoft.com/office/drawing/2014/main" id="{00000000-0008-0000-0C00-00001D000000}"/>
            </a:ext>
          </a:extLst>
        </xdr:cNvPr>
        <xdr:cNvCxnSpPr>
          <a:stCxn id="25" idx="4"/>
          <a:endCxn id="27" idx="0"/>
        </xdr:cNvCxnSpPr>
      </xdr:nvCxnSpPr>
      <xdr:spPr>
        <a:xfrm rot="16200000" flipH="1">
          <a:off x="14110398" y="-234057"/>
          <a:ext cx="208637" cy="51021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31</xdr:row>
      <xdr:rowOff>180382</xdr:rowOff>
    </xdr:from>
    <xdr:to>
      <xdr:col>7</xdr:col>
      <xdr:colOff>123825</xdr:colOff>
      <xdr:row>33</xdr:row>
      <xdr:rowOff>52738</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485775" y="3609382"/>
          <a:ext cx="247650" cy="253356"/>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17</xdr:row>
      <xdr:rowOff>6871</xdr:rowOff>
    </xdr:from>
    <xdr:to>
      <xdr:col>10</xdr:col>
      <xdr:colOff>476250</xdr:colOff>
      <xdr:row>31</xdr:row>
      <xdr:rowOff>180383</xdr:rowOff>
    </xdr:to>
    <xdr:cxnSp macro="">
      <xdr:nvCxnSpPr>
        <xdr:cNvPr id="13" name="Connector: Elbow 12">
          <a:extLst>
            <a:ext uri="{FF2B5EF4-FFF2-40B4-BE49-F238E27FC236}">
              <a16:creationId xmlns:a16="http://schemas.microsoft.com/office/drawing/2014/main" id="{00000000-0008-0000-0C00-00000D000000}"/>
            </a:ext>
          </a:extLst>
        </xdr:cNvPr>
        <xdr:cNvCxnSpPr>
          <a:stCxn id="2" idx="0"/>
          <a:endCxn id="4" idx="2"/>
        </xdr:cNvCxnSpPr>
      </xdr:nvCxnSpPr>
      <xdr:spPr>
        <a:xfrm rot="5400000" flipH="1" flipV="1">
          <a:off x="341869" y="1036602"/>
          <a:ext cx="2840512" cy="230505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6352</xdr:colOff>
      <xdr:row>29</xdr:row>
      <xdr:rowOff>63500</xdr:rowOff>
    </xdr:from>
    <xdr:to>
      <xdr:col>19</xdr:col>
      <xdr:colOff>225427</xdr:colOff>
      <xdr:row>30</xdr:row>
      <xdr:rowOff>126356</xdr:rowOff>
    </xdr:to>
    <xdr:sp macro="" textlink="">
      <xdr:nvSpPr>
        <xdr:cNvPr id="65" name="Isosceles Triangle 64">
          <a:extLst>
            <a:ext uri="{FF2B5EF4-FFF2-40B4-BE49-F238E27FC236}">
              <a16:creationId xmlns:a16="http://schemas.microsoft.com/office/drawing/2014/main" id="{00000000-0008-0000-0C00-000041000000}"/>
            </a:ext>
          </a:extLst>
        </xdr:cNvPr>
        <xdr:cNvSpPr/>
      </xdr:nvSpPr>
      <xdr:spPr>
        <a:xfrm rot="16200000">
          <a:off x="7914012" y="3128640"/>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487364</xdr:colOff>
      <xdr:row>47</xdr:row>
      <xdr:rowOff>64654</xdr:rowOff>
    </xdr:from>
    <xdr:to>
      <xdr:col>16</xdr:col>
      <xdr:colOff>134939</xdr:colOff>
      <xdr:row>48</xdr:row>
      <xdr:rowOff>137255</xdr:rowOff>
    </xdr:to>
    <xdr:sp macro="" textlink="">
      <xdr:nvSpPr>
        <xdr:cNvPr id="34" name="Oval 33">
          <a:extLst>
            <a:ext uri="{FF2B5EF4-FFF2-40B4-BE49-F238E27FC236}">
              <a16:creationId xmlns:a16="http://schemas.microsoft.com/office/drawing/2014/main" id="{00000000-0008-0000-0C00-000022000000}"/>
            </a:ext>
          </a:extLst>
        </xdr:cNvPr>
        <xdr:cNvSpPr/>
      </xdr:nvSpPr>
      <xdr:spPr>
        <a:xfrm>
          <a:off x="14734455" y="6380018"/>
          <a:ext cx="288348" cy="257328"/>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25402</xdr:colOff>
      <xdr:row>45</xdr:row>
      <xdr:rowOff>65841</xdr:rowOff>
    </xdr:from>
    <xdr:to>
      <xdr:col>19</xdr:col>
      <xdr:colOff>244477</xdr:colOff>
      <xdr:row>46</xdr:row>
      <xdr:rowOff>128697</xdr:rowOff>
    </xdr:to>
    <xdr:sp macro="" textlink="">
      <xdr:nvSpPr>
        <xdr:cNvPr id="35" name="Isosceles Triangle 34">
          <a:extLst>
            <a:ext uri="{FF2B5EF4-FFF2-40B4-BE49-F238E27FC236}">
              <a16:creationId xmlns:a16="http://schemas.microsoft.com/office/drawing/2014/main" id="{00000000-0008-0000-0C00-000023000000}"/>
            </a:ext>
          </a:extLst>
        </xdr:cNvPr>
        <xdr:cNvSpPr/>
      </xdr:nvSpPr>
      <xdr:spPr>
        <a:xfrm rot="16200000">
          <a:off x="7933062" y="6178981"/>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15878</xdr:colOff>
      <xdr:row>49</xdr:row>
      <xdr:rowOff>55043</xdr:rowOff>
    </xdr:from>
    <xdr:to>
      <xdr:col>19</xdr:col>
      <xdr:colOff>234953</xdr:colOff>
      <xdr:row>50</xdr:row>
      <xdr:rowOff>117899</xdr:rowOff>
    </xdr:to>
    <xdr:sp macro="" textlink="">
      <xdr:nvSpPr>
        <xdr:cNvPr id="36" name="Isosceles Triangle 35">
          <a:extLst>
            <a:ext uri="{FF2B5EF4-FFF2-40B4-BE49-F238E27FC236}">
              <a16:creationId xmlns:a16="http://schemas.microsoft.com/office/drawing/2014/main" id="{00000000-0008-0000-0C00-000024000000}"/>
            </a:ext>
          </a:extLst>
        </xdr:cNvPr>
        <xdr:cNvSpPr/>
      </xdr:nvSpPr>
      <xdr:spPr>
        <a:xfrm rot="16200000">
          <a:off x="7923538" y="6930183"/>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631538</xdr:colOff>
      <xdr:row>46</xdr:row>
      <xdr:rowOff>4906</xdr:rowOff>
    </xdr:from>
    <xdr:to>
      <xdr:col>19</xdr:col>
      <xdr:colOff>25402</xdr:colOff>
      <xdr:row>47</xdr:row>
      <xdr:rowOff>64655</xdr:rowOff>
    </xdr:to>
    <xdr:cxnSp macro="">
      <xdr:nvCxnSpPr>
        <xdr:cNvPr id="37" name="Connector: Elbow 36">
          <a:extLst>
            <a:ext uri="{FF2B5EF4-FFF2-40B4-BE49-F238E27FC236}">
              <a16:creationId xmlns:a16="http://schemas.microsoft.com/office/drawing/2014/main" id="{00000000-0008-0000-0C00-000025000000}"/>
            </a:ext>
          </a:extLst>
        </xdr:cNvPr>
        <xdr:cNvCxnSpPr>
          <a:stCxn id="34" idx="0"/>
          <a:endCxn id="35" idx="0"/>
        </xdr:cNvCxnSpPr>
      </xdr:nvCxnSpPr>
      <xdr:spPr>
        <a:xfrm rot="5400000" flipH="1" flipV="1">
          <a:off x="15734868" y="5279303"/>
          <a:ext cx="244477" cy="195695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631537</xdr:colOff>
      <xdr:row>48</xdr:row>
      <xdr:rowOff>137255</xdr:rowOff>
    </xdr:from>
    <xdr:to>
      <xdr:col>19</xdr:col>
      <xdr:colOff>15877</xdr:colOff>
      <xdr:row>49</xdr:row>
      <xdr:rowOff>178834</xdr:rowOff>
    </xdr:to>
    <xdr:cxnSp macro="">
      <xdr:nvCxnSpPr>
        <xdr:cNvPr id="38" name="Connector: Elbow 37">
          <a:extLst>
            <a:ext uri="{FF2B5EF4-FFF2-40B4-BE49-F238E27FC236}">
              <a16:creationId xmlns:a16="http://schemas.microsoft.com/office/drawing/2014/main" id="{00000000-0008-0000-0C00-000026000000}"/>
            </a:ext>
          </a:extLst>
        </xdr:cNvPr>
        <xdr:cNvCxnSpPr>
          <a:stCxn id="34" idx="4"/>
          <a:endCxn id="36" idx="0"/>
        </xdr:cNvCxnSpPr>
      </xdr:nvCxnSpPr>
      <xdr:spPr>
        <a:xfrm rot="16200000" flipH="1">
          <a:off x="15739191" y="5776783"/>
          <a:ext cx="226306" cy="19474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496889</xdr:colOff>
      <xdr:row>39</xdr:row>
      <xdr:rowOff>54539</xdr:rowOff>
    </xdr:from>
    <xdr:to>
      <xdr:col>16</xdr:col>
      <xdr:colOff>144464</xdr:colOff>
      <xdr:row>40</xdr:row>
      <xdr:rowOff>127140</xdr:rowOff>
    </xdr:to>
    <xdr:sp macro="" textlink="">
      <xdr:nvSpPr>
        <xdr:cNvPr id="46" name="Oval 45">
          <a:extLst>
            <a:ext uri="{FF2B5EF4-FFF2-40B4-BE49-F238E27FC236}">
              <a16:creationId xmlns:a16="http://schemas.microsoft.com/office/drawing/2014/main" id="{00000000-0008-0000-0C00-00002E000000}"/>
            </a:ext>
          </a:extLst>
        </xdr:cNvPr>
        <xdr:cNvSpPr/>
      </xdr:nvSpPr>
      <xdr:spPr>
        <a:xfrm>
          <a:off x="14743980" y="4892084"/>
          <a:ext cx="288348" cy="2573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15877</xdr:colOff>
      <xdr:row>37</xdr:row>
      <xdr:rowOff>56406</xdr:rowOff>
    </xdr:from>
    <xdr:to>
      <xdr:col>19</xdr:col>
      <xdr:colOff>234952</xdr:colOff>
      <xdr:row>38</xdr:row>
      <xdr:rowOff>119262</xdr:rowOff>
    </xdr:to>
    <xdr:sp macro="" textlink="">
      <xdr:nvSpPr>
        <xdr:cNvPr id="47" name="Isosceles Triangle 46">
          <a:extLst>
            <a:ext uri="{FF2B5EF4-FFF2-40B4-BE49-F238E27FC236}">
              <a16:creationId xmlns:a16="http://schemas.microsoft.com/office/drawing/2014/main" id="{00000000-0008-0000-0C00-00002F000000}"/>
            </a:ext>
          </a:extLst>
        </xdr:cNvPr>
        <xdr:cNvSpPr/>
      </xdr:nvSpPr>
      <xdr:spPr>
        <a:xfrm rot="16200000">
          <a:off x="16811805" y="4538751"/>
          <a:ext cx="247583"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25403</xdr:colOff>
      <xdr:row>41</xdr:row>
      <xdr:rowOff>72162</xdr:rowOff>
    </xdr:from>
    <xdr:to>
      <xdr:col>19</xdr:col>
      <xdr:colOff>244478</xdr:colOff>
      <xdr:row>42</xdr:row>
      <xdr:rowOff>135018</xdr:rowOff>
    </xdr:to>
    <xdr:sp macro="" textlink="">
      <xdr:nvSpPr>
        <xdr:cNvPr id="48" name="Isosceles Triangle 47">
          <a:extLst>
            <a:ext uri="{FF2B5EF4-FFF2-40B4-BE49-F238E27FC236}">
              <a16:creationId xmlns:a16="http://schemas.microsoft.com/office/drawing/2014/main" id="{00000000-0008-0000-0C00-000030000000}"/>
            </a:ext>
          </a:extLst>
        </xdr:cNvPr>
        <xdr:cNvSpPr/>
      </xdr:nvSpPr>
      <xdr:spPr>
        <a:xfrm rot="16200000">
          <a:off x="7933063" y="542330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289</xdr:colOff>
      <xdr:row>37</xdr:row>
      <xdr:rowOff>180198</xdr:rowOff>
    </xdr:from>
    <xdr:to>
      <xdr:col>19</xdr:col>
      <xdr:colOff>15876</xdr:colOff>
      <xdr:row>39</xdr:row>
      <xdr:rowOff>54540</xdr:rowOff>
    </xdr:to>
    <xdr:cxnSp macro="">
      <xdr:nvCxnSpPr>
        <xdr:cNvPr id="49" name="Connector: Elbow 48">
          <a:extLst>
            <a:ext uri="{FF2B5EF4-FFF2-40B4-BE49-F238E27FC236}">
              <a16:creationId xmlns:a16="http://schemas.microsoft.com/office/drawing/2014/main" id="{00000000-0008-0000-0C00-000031000000}"/>
            </a:ext>
          </a:extLst>
        </xdr:cNvPr>
        <xdr:cNvCxnSpPr>
          <a:stCxn id="46" idx="0"/>
          <a:endCxn id="47" idx="0"/>
        </xdr:cNvCxnSpPr>
      </xdr:nvCxnSpPr>
      <xdr:spPr>
        <a:xfrm rot="5400000" flipH="1" flipV="1">
          <a:off x="15735208" y="3801234"/>
          <a:ext cx="243796" cy="193790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289</xdr:colOff>
      <xdr:row>40</xdr:row>
      <xdr:rowOff>127140</xdr:rowOff>
    </xdr:from>
    <xdr:to>
      <xdr:col>19</xdr:col>
      <xdr:colOff>25402</xdr:colOff>
      <xdr:row>42</xdr:row>
      <xdr:rowOff>11226</xdr:rowOff>
    </xdr:to>
    <xdr:cxnSp macro="">
      <xdr:nvCxnSpPr>
        <xdr:cNvPr id="50" name="Connector: Elbow 49">
          <a:extLst>
            <a:ext uri="{FF2B5EF4-FFF2-40B4-BE49-F238E27FC236}">
              <a16:creationId xmlns:a16="http://schemas.microsoft.com/office/drawing/2014/main" id="{00000000-0008-0000-0C00-000032000000}"/>
            </a:ext>
          </a:extLst>
        </xdr:cNvPr>
        <xdr:cNvCxnSpPr>
          <a:stCxn id="46" idx="4"/>
          <a:endCxn id="48" idx="0"/>
        </xdr:cNvCxnSpPr>
      </xdr:nvCxnSpPr>
      <xdr:spPr>
        <a:xfrm rot="16200000" flipH="1">
          <a:off x="15735099" y="4302467"/>
          <a:ext cx="253540" cy="194743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487364</xdr:colOff>
      <xdr:row>55</xdr:row>
      <xdr:rowOff>66763</xdr:rowOff>
    </xdr:from>
    <xdr:to>
      <xdr:col>16</xdr:col>
      <xdr:colOff>134939</xdr:colOff>
      <xdr:row>56</xdr:row>
      <xdr:rowOff>139364</xdr:rowOff>
    </xdr:to>
    <xdr:sp macro="" textlink="">
      <xdr:nvSpPr>
        <xdr:cNvPr id="52" name="Oval 51">
          <a:extLst>
            <a:ext uri="{FF2B5EF4-FFF2-40B4-BE49-F238E27FC236}">
              <a16:creationId xmlns:a16="http://schemas.microsoft.com/office/drawing/2014/main" id="{00000000-0008-0000-0C00-000034000000}"/>
            </a:ext>
          </a:extLst>
        </xdr:cNvPr>
        <xdr:cNvSpPr/>
      </xdr:nvSpPr>
      <xdr:spPr>
        <a:xfrm>
          <a:off x="5973764" y="8067763"/>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11645</xdr:colOff>
      <xdr:row>53</xdr:row>
      <xdr:rowOff>54389</xdr:rowOff>
    </xdr:from>
    <xdr:to>
      <xdr:col>19</xdr:col>
      <xdr:colOff>230720</xdr:colOff>
      <xdr:row>54</xdr:row>
      <xdr:rowOff>117245</xdr:rowOff>
    </xdr:to>
    <xdr:sp macro="" textlink="">
      <xdr:nvSpPr>
        <xdr:cNvPr id="53" name="Isosceles Triangle 52">
          <a:extLst>
            <a:ext uri="{FF2B5EF4-FFF2-40B4-BE49-F238E27FC236}">
              <a16:creationId xmlns:a16="http://schemas.microsoft.com/office/drawing/2014/main" id="{00000000-0008-0000-0C00-000035000000}"/>
            </a:ext>
          </a:extLst>
        </xdr:cNvPr>
        <xdr:cNvSpPr/>
      </xdr:nvSpPr>
      <xdr:spPr>
        <a:xfrm rot="16200000">
          <a:off x="17442189" y="7558179"/>
          <a:ext cx="249122"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34928</xdr:colOff>
      <xdr:row>57</xdr:row>
      <xdr:rowOff>65912</xdr:rowOff>
    </xdr:from>
    <xdr:to>
      <xdr:col>19</xdr:col>
      <xdr:colOff>254003</xdr:colOff>
      <xdr:row>58</xdr:row>
      <xdr:rowOff>128768</xdr:rowOff>
    </xdr:to>
    <xdr:sp macro="" textlink="">
      <xdr:nvSpPr>
        <xdr:cNvPr id="54" name="Isosceles Triangle 53">
          <a:extLst>
            <a:ext uri="{FF2B5EF4-FFF2-40B4-BE49-F238E27FC236}">
              <a16:creationId xmlns:a16="http://schemas.microsoft.com/office/drawing/2014/main" id="{00000000-0008-0000-0C00-000036000000}"/>
            </a:ext>
          </a:extLst>
        </xdr:cNvPr>
        <xdr:cNvSpPr/>
      </xdr:nvSpPr>
      <xdr:spPr>
        <a:xfrm rot="16200000">
          <a:off x="16830856" y="8242802"/>
          <a:ext cx="247584"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631538</xdr:colOff>
      <xdr:row>53</xdr:row>
      <xdr:rowOff>178182</xdr:rowOff>
    </xdr:from>
    <xdr:to>
      <xdr:col>19</xdr:col>
      <xdr:colOff>11646</xdr:colOff>
      <xdr:row>55</xdr:row>
      <xdr:rowOff>66764</xdr:rowOff>
    </xdr:to>
    <xdr:cxnSp macro="">
      <xdr:nvCxnSpPr>
        <xdr:cNvPr id="55" name="Connector: Elbow 54">
          <a:extLst>
            <a:ext uri="{FF2B5EF4-FFF2-40B4-BE49-F238E27FC236}">
              <a16:creationId xmlns:a16="http://schemas.microsoft.com/office/drawing/2014/main" id="{00000000-0008-0000-0C00-000037000000}"/>
            </a:ext>
          </a:extLst>
        </xdr:cNvPr>
        <xdr:cNvCxnSpPr>
          <a:stCxn id="52" idx="0"/>
          <a:endCxn id="53" idx="0"/>
        </xdr:cNvCxnSpPr>
      </xdr:nvCxnSpPr>
      <xdr:spPr>
        <a:xfrm rot="5400000" flipH="1" flipV="1">
          <a:off x="15721210" y="6759328"/>
          <a:ext cx="258037" cy="194319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631539</xdr:colOff>
      <xdr:row>56</xdr:row>
      <xdr:rowOff>139363</xdr:rowOff>
    </xdr:from>
    <xdr:to>
      <xdr:col>19</xdr:col>
      <xdr:colOff>34930</xdr:colOff>
      <xdr:row>58</xdr:row>
      <xdr:rowOff>4975</xdr:rowOff>
    </xdr:to>
    <xdr:cxnSp macro="">
      <xdr:nvCxnSpPr>
        <xdr:cNvPr id="56" name="Connector: Elbow 55">
          <a:extLst>
            <a:ext uri="{FF2B5EF4-FFF2-40B4-BE49-F238E27FC236}">
              <a16:creationId xmlns:a16="http://schemas.microsoft.com/office/drawing/2014/main" id="{00000000-0008-0000-0C00-000038000000}"/>
            </a:ext>
          </a:extLst>
        </xdr:cNvPr>
        <xdr:cNvCxnSpPr>
          <a:stCxn id="52" idx="4"/>
          <a:endCxn id="54" idx="0"/>
        </xdr:cNvCxnSpPr>
      </xdr:nvCxnSpPr>
      <xdr:spPr>
        <a:xfrm rot="16200000" flipH="1">
          <a:off x="15744337" y="7251565"/>
          <a:ext cx="235067" cy="196648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506414</xdr:colOff>
      <xdr:row>31</xdr:row>
      <xdr:rowOff>60480</xdr:rowOff>
    </xdr:from>
    <xdr:to>
      <xdr:col>16</xdr:col>
      <xdr:colOff>153989</xdr:colOff>
      <xdr:row>32</xdr:row>
      <xdr:rowOff>133081</xdr:rowOff>
    </xdr:to>
    <xdr:sp macro="" textlink="">
      <xdr:nvSpPr>
        <xdr:cNvPr id="64" name="Oval 63">
          <a:extLst>
            <a:ext uri="{FF2B5EF4-FFF2-40B4-BE49-F238E27FC236}">
              <a16:creationId xmlns:a16="http://schemas.microsoft.com/office/drawing/2014/main" id="{00000000-0008-0000-0C00-000040000000}"/>
            </a:ext>
          </a:extLst>
        </xdr:cNvPr>
        <xdr:cNvSpPr/>
      </xdr:nvSpPr>
      <xdr:spPr>
        <a:xfrm>
          <a:off x="14753505" y="3420207"/>
          <a:ext cx="288348" cy="25732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15878</xdr:colOff>
      <xdr:row>33</xdr:row>
      <xdr:rowOff>65402</xdr:rowOff>
    </xdr:from>
    <xdr:to>
      <xdr:col>19</xdr:col>
      <xdr:colOff>234953</xdr:colOff>
      <xdr:row>34</xdr:row>
      <xdr:rowOff>128258</xdr:rowOff>
    </xdr:to>
    <xdr:sp macro="" textlink="">
      <xdr:nvSpPr>
        <xdr:cNvPr id="66" name="Isosceles Triangle 65">
          <a:extLst>
            <a:ext uri="{FF2B5EF4-FFF2-40B4-BE49-F238E27FC236}">
              <a16:creationId xmlns:a16="http://schemas.microsoft.com/office/drawing/2014/main" id="{00000000-0008-0000-0C00-000042000000}"/>
            </a:ext>
          </a:extLst>
        </xdr:cNvPr>
        <xdr:cNvSpPr/>
      </xdr:nvSpPr>
      <xdr:spPr>
        <a:xfrm rot="16200000">
          <a:off x="7923538" y="3892542"/>
          <a:ext cx="253356" cy="219075"/>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9814</xdr:colOff>
      <xdr:row>29</xdr:row>
      <xdr:rowOff>193065</xdr:rowOff>
    </xdr:from>
    <xdr:to>
      <xdr:col>19</xdr:col>
      <xdr:colOff>6351</xdr:colOff>
      <xdr:row>31</xdr:row>
      <xdr:rowOff>60481</xdr:rowOff>
    </xdr:to>
    <xdr:cxnSp macro="">
      <xdr:nvCxnSpPr>
        <xdr:cNvPr id="67" name="Connector: Elbow 66">
          <a:extLst>
            <a:ext uri="{FF2B5EF4-FFF2-40B4-BE49-F238E27FC236}">
              <a16:creationId xmlns:a16="http://schemas.microsoft.com/office/drawing/2014/main" id="{00000000-0008-0000-0C00-000043000000}"/>
            </a:ext>
          </a:extLst>
        </xdr:cNvPr>
        <xdr:cNvCxnSpPr>
          <a:stCxn id="64" idx="0"/>
          <a:endCxn id="65" idx="0"/>
        </xdr:cNvCxnSpPr>
      </xdr:nvCxnSpPr>
      <xdr:spPr>
        <a:xfrm rot="5400000" flipH="1" flipV="1">
          <a:off x="15732898" y="2336572"/>
          <a:ext cx="248416" cy="1918855"/>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9815</xdr:colOff>
      <xdr:row>32</xdr:row>
      <xdr:rowOff>133080</xdr:rowOff>
    </xdr:from>
    <xdr:to>
      <xdr:col>19</xdr:col>
      <xdr:colOff>15878</xdr:colOff>
      <xdr:row>34</xdr:row>
      <xdr:rowOff>4465</xdr:rowOff>
    </xdr:to>
    <xdr:cxnSp macro="">
      <xdr:nvCxnSpPr>
        <xdr:cNvPr id="68" name="Connector: Elbow 67">
          <a:extLst>
            <a:ext uri="{FF2B5EF4-FFF2-40B4-BE49-F238E27FC236}">
              <a16:creationId xmlns:a16="http://schemas.microsoft.com/office/drawing/2014/main" id="{00000000-0008-0000-0C00-000044000000}"/>
            </a:ext>
          </a:extLst>
        </xdr:cNvPr>
        <xdr:cNvCxnSpPr>
          <a:stCxn id="64" idx="4"/>
          <a:endCxn id="66" idx="0"/>
        </xdr:cNvCxnSpPr>
      </xdr:nvCxnSpPr>
      <xdr:spPr>
        <a:xfrm rot="16200000" flipH="1">
          <a:off x="15741450" y="2833764"/>
          <a:ext cx="240839" cy="1928381"/>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487364</xdr:colOff>
      <xdr:row>35</xdr:row>
      <xdr:rowOff>62520</xdr:rowOff>
    </xdr:from>
    <xdr:to>
      <xdr:col>13</xdr:col>
      <xdr:colOff>134939</xdr:colOff>
      <xdr:row>36</xdr:row>
      <xdr:rowOff>135121</xdr:rowOff>
    </xdr:to>
    <xdr:sp macro="" textlink="">
      <xdr:nvSpPr>
        <xdr:cNvPr id="70" name="Oval 69">
          <a:extLst>
            <a:ext uri="{FF2B5EF4-FFF2-40B4-BE49-F238E27FC236}">
              <a16:creationId xmlns:a16="http://schemas.microsoft.com/office/drawing/2014/main" id="{00000000-0008-0000-0C00-000046000000}"/>
            </a:ext>
          </a:extLst>
        </xdr:cNvPr>
        <xdr:cNvSpPr/>
      </xdr:nvSpPr>
      <xdr:spPr>
        <a:xfrm>
          <a:off x="4144964" y="4253520"/>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631538</xdr:colOff>
      <xdr:row>32</xdr:row>
      <xdr:rowOff>4417</xdr:rowOff>
    </xdr:from>
    <xdr:to>
      <xdr:col>15</xdr:col>
      <xdr:colOff>506414</xdr:colOff>
      <xdr:row>35</xdr:row>
      <xdr:rowOff>62520</xdr:rowOff>
    </xdr:to>
    <xdr:cxnSp macro="">
      <xdr:nvCxnSpPr>
        <xdr:cNvPr id="73" name="Connector: Elbow 72">
          <a:extLst>
            <a:ext uri="{FF2B5EF4-FFF2-40B4-BE49-F238E27FC236}">
              <a16:creationId xmlns:a16="http://schemas.microsoft.com/office/drawing/2014/main" id="{00000000-0008-0000-0C00-000049000000}"/>
            </a:ext>
          </a:extLst>
        </xdr:cNvPr>
        <xdr:cNvCxnSpPr>
          <a:stCxn id="70" idx="0"/>
          <a:endCxn id="64" idx="2"/>
        </xdr:cNvCxnSpPr>
      </xdr:nvCxnSpPr>
      <xdr:spPr>
        <a:xfrm rot="5400000" flipH="1" flipV="1">
          <a:off x="13548766" y="2956417"/>
          <a:ext cx="612284" cy="1797194"/>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631537</xdr:colOff>
      <xdr:row>36</xdr:row>
      <xdr:rowOff>135121</xdr:rowOff>
    </xdr:from>
    <xdr:to>
      <xdr:col>15</xdr:col>
      <xdr:colOff>496888</xdr:colOff>
      <xdr:row>39</xdr:row>
      <xdr:rowOff>183204</xdr:rowOff>
    </xdr:to>
    <xdr:cxnSp macro="">
      <xdr:nvCxnSpPr>
        <xdr:cNvPr id="74" name="Connector: Elbow 73">
          <a:extLst>
            <a:ext uri="{FF2B5EF4-FFF2-40B4-BE49-F238E27FC236}">
              <a16:creationId xmlns:a16="http://schemas.microsoft.com/office/drawing/2014/main" id="{00000000-0008-0000-0C00-00004A000000}"/>
            </a:ext>
          </a:extLst>
        </xdr:cNvPr>
        <xdr:cNvCxnSpPr>
          <a:stCxn id="70" idx="4"/>
          <a:endCxn id="46" idx="2"/>
        </xdr:cNvCxnSpPr>
      </xdr:nvCxnSpPr>
      <xdr:spPr>
        <a:xfrm rot="16200000" flipH="1">
          <a:off x="13549013" y="3825782"/>
          <a:ext cx="602264" cy="178766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496889</xdr:colOff>
      <xdr:row>51</xdr:row>
      <xdr:rowOff>81394</xdr:rowOff>
    </xdr:from>
    <xdr:to>
      <xdr:col>13</xdr:col>
      <xdr:colOff>144464</xdr:colOff>
      <xdr:row>52</xdr:row>
      <xdr:rowOff>153995</xdr:rowOff>
    </xdr:to>
    <xdr:sp macro="" textlink="">
      <xdr:nvSpPr>
        <xdr:cNvPr id="90" name="Oval 89">
          <a:extLst>
            <a:ext uri="{FF2B5EF4-FFF2-40B4-BE49-F238E27FC236}">
              <a16:creationId xmlns:a16="http://schemas.microsoft.com/office/drawing/2014/main" id="{00000000-0008-0000-0C00-00005A000000}"/>
            </a:ext>
          </a:extLst>
        </xdr:cNvPr>
        <xdr:cNvSpPr/>
      </xdr:nvSpPr>
      <xdr:spPr>
        <a:xfrm>
          <a:off x="4154489" y="7320394"/>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291</xdr:colOff>
      <xdr:row>48</xdr:row>
      <xdr:rowOff>8592</xdr:rowOff>
    </xdr:from>
    <xdr:to>
      <xdr:col>15</xdr:col>
      <xdr:colOff>487364</xdr:colOff>
      <xdr:row>51</xdr:row>
      <xdr:rowOff>81395</xdr:rowOff>
    </xdr:to>
    <xdr:cxnSp macro="">
      <xdr:nvCxnSpPr>
        <xdr:cNvPr id="91" name="Connector: Elbow 90">
          <a:extLst>
            <a:ext uri="{FF2B5EF4-FFF2-40B4-BE49-F238E27FC236}">
              <a16:creationId xmlns:a16="http://schemas.microsoft.com/office/drawing/2014/main" id="{00000000-0008-0000-0C00-00005B000000}"/>
            </a:ext>
          </a:extLst>
        </xdr:cNvPr>
        <xdr:cNvCxnSpPr>
          <a:stCxn id="90" idx="0"/>
          <a:endCxn id="34" idx="2"/>
        </xdr:cNvCxnSpPr>
      </xdr:nvCxnSpPr>
      <xdr:spPr>
        <a:xfrm rot="5400000" flipH="1" flipV="1">
          <a:off x="13536653" y="5937866"/>
          <a:ext cx="626985" cy="176861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290</xdr:colOff>
      <xdr:row>52</xdr:row>
      <xdr:rowOff>153995</xdr:rowOff>
    </xdr:from>
    <xdr:to>
      <xdr:col>15</xdr:col>
      <xdr:colOff>487363</xdr:colOff>
      <xdr:row>56</xdr:row>
      <xdr:rowOff>10700</xdr:rowOff>
    </xdr:to>
    <xdr:cxnSp macro="">
      <xdr:nvCxnSpPr>
        <xdr:cNvPr id="92" name="Connector: Elbow 91">
          <a:extLst>
            <a:ext uri="{FF2B5EF4-FFF2-40B4-BE49-F238E27FC236}">
              <a16:creationId xmlns:a16="http://schemas.microsoft.com/office/drawing/2014/main" id="{00000000-0008-0000-0C00-00005C000000}"/>
            </a:ext>
          </a:extLst>
        </xdr:cNvPr>
        <xdr:cNvCxnSpPr>
          <a:stCxn id="90" idx="4"/>
          <a:endCxn id="52" idx="2"/>
        </xdr:cNvCxnSpPr>
      </xdr:nvCxnSpPr>
      <xdr:spPr>
        <a:xfrm rot="16200000" flipH="1">
          <a:off x="13552338" y="6806492"/>
          <a:ext cx="595614" cy="1768619"/>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487364</xdr:colOff>
      <xdr:row>42</xdr:row>
      <xdr:rowOff>85095</xdr:rowOff>
    </xdr:from>
    <xdr:to>
      <xdr:col>10</xdr:col>
      <xdr:colOff>134939</xdr:colOff>
      <xdr:row>43</xdr:row>
      <xdr:rowOff>157696</xdr:rowOff>
    </xdr:to>
    <xdr:sp macro="" textlink="">
      <xdr:nvSpPr>
        <xdr:cNvPr id="95" name="Oval 94">
          <a:extLst>
            <a:ext uri="{FF2B5EF4-FFF2-40B4-BE49-F238E27FC236}">
              <a16:creationId xmlns:a16="http://schemas.microsoft.com/office/drawing/2014/main" id="{00000000-0008-0000-0C00-00005F000000}"/>
            </a:ext>
          </a:extLst>
        </xdr:cNvPr>
        <xdr:cNvSpPr/>
      </xdr:nvSpPr>
      <xdr:spPr>
        <a:xfrm>
          <a:off x="2316164" y="5609595"/>
          <a:ext cx="257175" cy="2631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6352</xdr:colOff>
      <xdr:row>36</xdr:row>
      <xdr:rowOff>3571</xdr:rowOff>
    </xdr:from>
    <xdr:to>
      <xdr:col>12</xdr:col>
      <xdr:colOff>487364</xdr:colOff>
      <xdr:row>42</xdr:row>
      <xdr:rowOff>85095</xdr:rowOff>
    </xdr:to>
    <xdr:cxnSp macro="">
      <xdr:nvCxnSpPr>
        <xdr:cNvPr id="96" name="Connector: Elbow 95">
          <a:extLst>
            <a:ext uri="{FF2B5EF4-FFF2-40B4-BE49-F238E27FC236}">
              <a16:creationId xmlns:a16="http://schemas.microsoft.com/office/drawing/2014/main" id="{00000000-0008-0000-0C00-000060000000}"/>
            </a:ext>
          </a:extLst>
        </xdr:cNvPr>
        <xdr:cNvCxnSpPr>
          <a:stCxn id="95" idx="0"/>
          <a:endCxn id="70" idx="2"/>
        </xdr:cNvCxnSpPr>
      </xdr:nvCxnSpPr>
      <xdr:spPr>
        <a:xfrm rot="5400000" flipH="1" flipV="1">
          <a:off x="2682596" y="4147227"/>
          <a:ext cx="1224524" cy="1700212"/>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631538</xdr:colOff>
      <xdr:row>43</xdr:row>
      <xdr:rowOff>157696</xdr:rowOff>
    </xdr:from>
    <xdr:to>
      <xdr:col>12</xdr:col>
      <xdr:colOff>496890</xdr:colOff>
      <xdr:row>51</xdr:row>
      <xdr:rowOff>183312</xdr:rowOff>
    </xdr:to>
    <xdr:cxnSp macro="">
      <xdr:nvCxnSpPr>
        <xdr:cNvPr id="97" name="Connector: Elbow 96">
          <a:extLst>
            <a:ext uri="{FF2B5EF4-FFF2-40B4-BE49-F238E27FC236}">
              <a16:creationId xmlns:a16="http://schemas.microsoft.com/office/drawing/2014/main" id="{00000000-0008-0000-0C00-000061000000}"/>
            </a:ext>
          </a:extLst>
        </xdr:cNvPr>
        <xdr:cNvCxnSpPr>
          <a:stCxn id="95" idx="4"/>
        </xdr:cNvCxnSpPr>
      </xdr:nvCxnSpPr>
      <xdr:spPr>
        <a:xfrm rot="16200000" flipH="1">
          <a:off x="11176111" y="5592033"/>
          <a:ext cx="1503434" cy="1787670"/>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33</xdr:row>
      <xdr:rowOff>52738</xdr:rowOff>
    </xdr:from>
    <xdr:to>
      <xdr:col>9</xdr:col>
      <xdr:colOff>487364</xdr:colOff>
      <xdr:row>43</xdr:row>
      <xdr:rowOff>26146</xdr:rowOff>
    </xdr:to>
    <xdr:cxnSp macro="">
      <xdr:nvCxnSpPr>
        <xdr:cNvPr id="104" name="Connector: Elbow 103">
          <a:extLst>
            <a:ext uri="{FF2B5EF4-FFF2-40B4-BE49-F238E27FC236}">
              <a16:creationId xmlns:a16="http://schemas.microsoft.com/office/drawing/2014/main" id="{00000000-0008-0000-0C00-000068000000}"/>
            </a:ext>
          </a:extLst>
        </xdr:cNvPr>
        <xdr:cNvCxnSpPr>
          <a:stCxn id="95" idx="2"/>
          <a:endCxn id="2" idx="2"/>
        </xdr:cNvCxnSpPr>
      </xdr:nvCxnSpPr>
      <xdr:spPr>
        <a:xfrm rot="10800000">
          <a:off x="609600" y="3862738"/>
          <a:ext cx="1706564" cy="187840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30843</xdr:colOff>
      <xdr:row>14</xdr:row>
      <xdr:rowOff>18143</xdr:rowOff>
    </xdr:from>
    <xdr:to>
      <xdr:col>34</xdr:col>
      <xdr:colOff>250031</xdr:colOff>
      <xdr:row>50</xdr:row>
      <xdr:rowOff>119743</xdr:rowOff>
    </xdr:to>
    <xdr:graphicFrame macro="">
      <xdr:nvGraphicFramePr>
        <xdr:cNvPr id="58" name="Chart 57">
          <a:extLst>
            <a:ext uri="{FF2B5EF4-FFF2-40B4-BE49-F238E27FC236}">
              <a16:creationId xmlns:a16="http://schemas.microsoft.com/office/drawing/2014/main" id="{00000000-0008-0000-0C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52738</xdr:rowOff>
    </xdr:from>
    <xdr:to>
      <xdr:col>9</xdr:col>
      <xdr:colOff>487364</xdr:colOff>
      <xdr:row>43</xdr:row>
      <xdr:rowOff>26146</xdr:rowOff>
    </xdr:to>
    <xdr:cxnSp macro="">
      <xdr:nvCxnSpPr>
        <xdr:cNvPr id="59" name="Connector: Elbow 58">
          <a:extLst>
            <a:ext uri="{FF2B5EF4-FFF2-40B4-BE49-F238E27FC236}">
              <a16:creationId xmlns:a16="http://schemas.microsoft.com/office/drawing/2014/main" id="{00000000-0008-0000-0C00-00003B000000}"/>
            </a:ext>
          </a:extLst>
        </xdr:cNvPr>
        <xdr:cNvCxnSpPr/>
      </xdr:nvCxnSpPr>
      <xdr:spPr>
        <a:xfrm rot="10800000">
          <a:off x="16706850" y="3862738"/>
          <a:ext cx="1706564" cy="1878408"/>
        </a:xfrm>
        <a:prstGeom prst="bentConnector2">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2</xdr:row>
      <xdr:rowOff>7938</xdr:rowOff>
    </xdr:from>
    <xdr:to>
      <xdr:col>4</xdr:col>
      <xdr:colOff>603250</xdr:colOff>
      <xdr:row>12</xdr:row>
      <xdr:rowOff>95250</xdr:rowOff>
    </xdr:to>
    <xdr:sp macro="" textlink="">
      <xdr:nvSpPr>
        <xdr:cNvPr id="77" name="TextBox 76">
          <a:extLst>
            <a:ext uri="{FF2B5EF4-FFF2-40B4-BE49-F238E27FC236}">
              <a16:creationId xmlns:a16="http://schemas.microsoft.com/office/drawing/2014/main" id="{00000000-0008-0000-0C00-00004D000000}"/>
            </a:ext>
          </a:extLst>
        </xdr:cNvPr>
        <xdr:cNvSpPr txBox="1"/>
      </xdr:nvSpPr>
      <xdr:spPr>
        <a:xfrm>
          <a:off x="254000" y="420688"/>
          <a:ext cx="7912100" cy="1897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tables below show aggregated</a:t>
          </a:r>
          <a:r>
            <a:rPr lang="en-AU" sz="1100" baseline="0"/>
            <a:t> estimates for all chance event probabilities and payoffs. Best estimates are averaged across all participants. Lower and upper bounds are adjusted to 90% credible intervals, then averaged across all participants. See tabs 4.4 and 4.5 for these calculations.</a:t>
          </a:r>
        </a:p>
        <a:p>
          <a:endParaRPr lang="en-AU" sz="1100" baseline="0"/>
        </a:p>
        <a:p>
          <a:r>
            <a:rPr lang="en-AU" sz="1100" baseline="0"/>
            <a:t>The decision tree shows the average best estimates for probabilities and payoffs, as they are located in the tree.</a:t>
          </a:r>
        </a:p>
        <a:p>
          <a:endParaRPr lang="en-AU" sz="1100" baseline="0"/>
        </a:p>
        <a:p>
          <a:r>
            <a:rPr lang="en-AU" sz="1100" baseline="0"/>
            <a:t>The graph on the right shows the expected payoff for each alternative, with columns showing best estimates and lines representing 90% credible intervals. The expected payoff for 'do nothing' is simply the averaged payoff estimates reported</a:t>
          </a:r>
        </a:p>
        <a:p>
          <a:r>
            <a:rPr lang="en-AU" sz="1100" baseline="0"/>
            <a:t>in the table below. The expected payoff for the other alternatives are calculated by multiplying down the branches of the decision tree to find the probability of each outcome, multiplying by the payoff under that outcome, and summing across all the possible outcomes (branches) under that alternative.</a:t>
          </a:r>
          <a:endParaRPr lang="en-AU"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107949</xdr:colOff>
      <xdr:row>61</xdr:row>
      <xdr:rowOff>6350</xdr:rowOff>
    </xdr:from>
    <xdr:to>
      <xdr:col>2</xdr:col>
      <xdr:colOff>1435100</xdr:colOff>
      <xdr:row>75</xdr:row>
      <xdr:rowOff>82550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1511300</xdr:colOff>
      <xdr:row>61</xdr:row>
      <xdr:rowOff>0</xdr:rowOff>
    </xdr:from>
    <xdr:to>
      <xdr:col>4</xdr:col>
      <xdr:colOff>596901</xdr:colOff>
      <xdr:row>75</xdr:row>
      <xdr:rowOff>69850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679450</xdr:colOff>
      <xdr:row>61</xdr:row>
      <xdr:rowOff>0</xdr:rowOff>
    </xdr:from>
    <xdr:to>
      <xdr:col>7</xdr:col>
      <xdr:colOff>1600201</xdr:colOff>
      <xdr:row>75</xdr:row>
      <xdr:rowOff>69850</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126999</xdr:colOff>
      <xdr:row>118</xdr:row>
      <xdr:rowOff>6350</xdr:rowOff>
    </xdr:from>
    <xdr:to>
      <xdr:col>2</xdr:col>
      <xdr:colOff>1454150</xdr:colOff>
      <xdr:row>132</xdr:row>
      <xdr:rowOff>82550</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1555750</xdr:colOff>
      <xdr:row>118</xdr:row>
      <xdr:rowOff>6350</xdr:rowOff>
    </xdr:from>
    <xdr:to>
      <xdr:col>4</xdr:col>
      <xdr:colOff>641351</xdr:colOff>
      <xdr:row>132</xdr:row>
      <xdr:rowOff>76200</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717550</xdr:colOff>
      <xdr:row>118</xdr:row>
      <xdr:rowOff>12700</xdr:rowOff>
    </xdr:from>
    <xdr:to>
      <xdr:col>7</xdr:col>
      <xdr:colOff>1638301</xdr:colOff>
      <xdr:row>132</xdr:row>
      <xdr:rowOff>82550</xdr:rowOff>
    </xdr:to>
    <xdr:graphicFrame macro="">
      <xdr:nvGraphicFramePr>
        <xdr:cNvPr id="7" name="Chart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133349</xdr:colOff>
      <xdr:row>175</xdr:row>
      <xdr:rowOff>6350</xdr:rowOff>
    </xdr:from>
    <xdr:to>
      <xdr:col>2</xdr:col>
      <xdr:colOff>1460500</xdr:colOff>
      <xdr:row>189</xdr:row>
      <xdr:rowOff>82550</xdr:rowOff>
    </xdr:to>
    <xdr:graphicFrame macro="">
      <xdr:nvGraphicFramePr>
        <xdr:cNvPr id="8" name="Chart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1568450</xdr:colOff>
      <xdr:row>175</xdr:row>
      <xdr:rowOff>12700</xdr:rowOff>
    </xdr:from>
    <xdr:to>
      <xdr:col>4</xdr:col>
      <xdr:colOff>654051</xdr:colOff>
      <xdr:row>189</xdr:row>
      <xdr:rowOff>82550</xdr:rowOff>
    </xdr:to>
    <xdr:graphicFrame macro="">
      <xdr:nvGraphicFramePr>
        <xdr:cNvPr id="9" name="Chart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762000</xdr:colOff>
      <xdr:row>175</xdr:row>
      <xdr:rowOff>6350</xdr:rowOff>
    </xdr:from>
    <xdr:to>
      <xdr:col>7</xdr:col>
      <xdr:colOff>1682751</xdr:colOff>
      <xdr:row>189</xdr:row>
      <xdr:rowOff>76200</xdr:rowOff>
    </xdr:to>
    <xdr:graphicFrame macro="">
      <xdr:nvGraphicFramePr>
        <xdr:cNvPr id="10" name="Chart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95249</xdr:colOff>
      <xdr:row>232</xdr:row>
      <xdr:rowOff>6350</xdr:rowOff>
    </xdr:from>
    <xdr:to>
      <xdr:col>2</xdr:col>
      <xdr:colOff>1422400</xdr:colOff>
      <xdr:row>246</xdr:row>
      <xdr:rowOff>82550</xdr:rowOff>
    </xdr:to>
    <xdr:graphicFrame macro="">
      <xdr:nvGraphicFramePr>
        <xdr:cNvPr id="11" name="Chart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1504950</xdr:colOff>
      <xdr:row>232</xdr:row>
      <xdr:rowOff>6350</xdr:rowOff>
    </xdr:from>
    <xdr:to>
      <xdr:col>4</xdr:col>
      <xdr:colOff>590551</xdr:colOff>
      <xdr:row>246</xdr:row>
      <xdr:rowOff>76200</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666750</xdr:colOff>
      <xdr:row>232</xdr:row>
      <xdr:rowOff>6350</xdr:rowOff>
    </xdr:from>
    <xdr:to>
      <xdr:col>7</xdr:col>
      <xdr:colOff>1587501</xdr:colOff>
      <xdr:row>246</xdr:row>
      <xdr:rowOff>76200</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114299</xdr:colOff>
      <xdr:row>289</xdr:row>
      <xdr:rowOff>0</xdr:rowOff>
    </xdr:from>
    <xdr:to>
      <xdr:col>2</xdr:col>
      <xdr:colOff>1441450</xdr:colOff>
      <xdr:row>303</xdr:row>
      <xdr:rowOff>76200</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1543050</xdr:colOff>
      <xdr:row>289</xdr:row>
      <xdr:rowOff>6350</xdr:rowOff>
    </xdr:from>
    <xdr:to>
      <xdr:col>4</xdr:col>
      <xdr:colOff>628651</xdr:colOff>
      <xdr:row>303</xdr:row>
      <xdr:rowOff>76200</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711200</xdr:colOff>
      <xdr:row>289</xdr:row>
      <xdr:rowOff>12700</xdr:rowOff>
    </xdr:from>
    <xdr:to>
      <xdr:col>7</xdr:col>
      <xdr:colOff>1631951</xdr:colOff>
      <xdr:row>303</xdr:row>
      <xdr:rowOff>82550</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152399</xdr:colOff>
      <xdr:row>346</xdr:row>
      <xdr:rowOff>6350</xdr:rowOff>
    </xdr:from>
    <xdr:to>
      <xdr:col>2</xdr:col>
      <xdr:colOff>1479550</xdr:colOff>
      <xdr:row>360</xdr:row>
      <xdr:rowOff>82550</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1568450</xdr:colOff>
      <xdr:row>346</xdr:row>
      <xdr:rowOff>6350</xdr:rowOff>
    </xdr:from>
    <xdr:to>
      <xdr:col>4</xdr:col>
      <xdr:colOff>654051</xdr:colOff>
      <xdr:row>360</xdr:row>
      <xdr:rowOff>76200</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736600</xdr:colOff>
      <xdr:row>346</xdr:row>
      <xdr:rowOff>6350</xdr:rowOff>
    </xdr:from>
    <xdr:to>
      <xdr:col>7</xdr:col>
      <xdr:colOff>1657351</xdr:colOff>
      <xdr:row>360</xdr:row>
      <xdr:rowOff>76200</xdr:rowOff>
    </xdr:to>
    <xdr:graphicFrame macro="">
      <xdr:nvGraphicFramePr>
        <xdr:cNvPr id="19" name="Chart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57150</xdr:colOff>
      <xdr:row>2</xdr:row>
      <xdr:rowOff>69850</xdr:rowOff>
    </xdr:from>
    <xdr:to>
      <xdr:col>7</xdr:col>
      <xdr:colOff>139700</xdr:colOff>
      <xdr:row>21</xdr:row>
      <xdr:rowOff>6350</xdr:rowOff>
    </xdr:to>
    <xdr:sp macro="" textlink="">
      <xdr:nvSpPr>
        <xdr:cNvPr id="20" name="TextBox 19">
          <a:extLst>
            <a:ext uri="{FF2B5EF4-FFF2-40B4-BE49-F238E27FC236}">
              <a16:creationId xmlns:a16="http://schemas.microsoft.com/office/drawing/2014/main" id="{00000000-0008-0000-0D00-000014000000}"/>
            </a:ext>
          </a:extLst>
        </xdr:cNvPr>
        <xdr:cNvSpPr txBox="1"/>
      </xdr:nvSpPr>
      <xdr:spPr>
        <a:xfrm>
          <a:off x="520700" y="488950"/>
          <a:ext cx="11569700" cy="343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The decision tree predicts the likely conservation outcomes of management decisions, enabling decision-makers to see which management alternative is likely to deliver the best outcome, and how similar or different the outcomes are under different alternatives. </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next question for a decision-maker is whether the conservation outcome of an alternative is worth the cost of management? This is a subjective value judgement - there is no right or wrong answer and the answer could be different for each participant, depending on their willingness to pay.</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This worksheet provides a structure for eliciting these value judgements from participants. Unlike the expert predictions of chance events and payoffs, value judgements are not combined or averaged, and are not kept anonymous. A template is provided for each participant listed on the 'Initial information' tab.</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structure used here is based on the 'swing weighting' method, and has two steps:</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Step 1. Assessing the relative value of conservation outcomes</a:t>
          </a:r>
        </a:p>
        <a:p>
          <a:r>
            <a:rPr lang="en-AU" sz="1100" baseline="0">
              <a:solidFill>
                <a:schemeClr val="dk1"/>
              </a:solidFill>
              <a:effectLst/>
              <a:latin typeface="+mn-lt"/>
              <a:ea typeface="+mn-ea"/>
              <a:cs typeface="+mn-cs"/>
            </a:rPr>
            <a:t>The conservation payoff in the decision tree focuses on species outcomes in the wild, namely the relative change (%) in population size in the wild. However, there is another relevant conservation outcome - whether a successfully breeding ex-situ population has been established. For simplicity we will call this an 'insurance population'.</a:t>
          </a:r>
          <a:endParaRPr lang="en-AU">
            <a:effectLst/>
          </a:endParaRPr>
        </a:p>
        <a:p>
          <a:r>
            <a:rPr lang="en-AU" sz="1100" baseline="0">
              <a:solidFill>
                <a:schemeClr val="dk1"/>
              </a:solidFill>
              <a:effectLst/>
              <a:latin typeface="+mn-lt"/>
              <a:ea typeface="+mn-ea"/>
              <a:cs typeface="+mn-cs"/>
            </a:rPr>
            <a:t>When participants assess the value of these conservation outcomes they may not be independent, that is, the value of the insurance population may depend on the status of the population in the wild. This first step elicits values for the different scenarios of these two conservation outcomes.</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Step 2. Weighting of conservation outcomes and cost</a:t>
          </a:r>
        </a:p>
        <a:p>
          <a:r>
            <a:rPr lang="en-AU" sz="1100" b="0" baseline="0">
              <a:solidFill>
                <a:schemeClr val="dk1"/>
              </a:solidFill>
              <a:effectLst/>
              <a:latin typeface="+mn-lt"/>
              <a:ea typeface="+mn-ea"/>
              <a:cs typeface="+mn-cs"/>
            </a:rPr>
            <a:t>This second step elicits values for the different scenarios of combined conservation outcomes and cost.</a:t>
          </a:r>
          <a:endParaRPr lang="en-AU" b="0">
            <a:effectLst/>
          </a:endParaRPr>
        </a:p>
      </xdr:txBody>
    </xdr:sp>
    <xdr:clientData/>
  </xdr:twoCellAnchor>
  <xdr:twoCellAnchor>
    <xdr:from>
      <xdr:col>1</xdr:col>
      <xdr:colOff>0</xdr:colOff>
      <xdr:row>26</xdr:row>
      <xdr:rowOff>38100</xdr:rowOff>
    </xdr:from>
    <xdr:to>
      <xdr:col>5</xdr:col>
      <xdr:colOff>0</xdr:colOff>
      <xdr:row>33</xdr:row>
      <xdr:rowOff>0</xdr:rowOff>
    </xdr:to>
    <xdr:sp macro="" textlink="">
      <xdr:nvSpPr>
        <xdr:cNvPr id="22" name="TextBox 21">
          <a:extLst>
            <a:ext uri="{FF2B5EF4-FFF2-40B4-BE49-F238E27FC236}">
              <a16:creationId xmlns:a16="http://schemas.microsoft.com/office/drawing/2014/main" id="{00000000-0008-0000-0D00-000016000000}"/>
            </a:ext>
          </a:extLst>
        </xdr:cNvPr>
        <xdr:cNvSpPr txBox="1"/>
      </xdr:nvSpPr>
      <xdr:spPr>
        <a:xfrm>
          <a:off x="463550" y="48768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oneCellAnchor>
    <xdr:from>
      <xdr:col>5</xdr:col>
      <xdr:colOff>774700</xdr:colOff>
      <xdr:row>33</xdr:row>
      <xdr:rowOff>101600</xdr:rowOff>
    </xdr:from>
    <xdr:ext cx="5746750" cy="781240"/>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10490200" y="6413500"/>
          <a:ext cx="574675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1100"/>
        </a:p>
        <a:p>
          <a:endParaRPr lang="en-AU" sz="1100"/>
        </a:p>
        <a:p>
          <a:endParaRPr lang="en-AU" sz="1100"/>
        </a:p>
        <a:p>
          <a:endParaRPr lang="en-AU" sz="1100"/>
        </a:p>
      </xdr:txBody>
    </xdr:sp>
    <xdr:clientData/>
  </xdr:oneCellAnchor>
  <xdr:oneCellAnchor>
    <xdr:from>
      <xdr:col>5</xdr:col>
      <xdr:colOff>825500</xdr:colOff>
      <xdr:row>31</xdr:row>
      <xdr:rowOff>133350</xdr:rowOff>
    </xdr:from>
    <xdr:ext cx="184731" cy="264560"/>
    <xdr:sp macro="" textlink="">
      <xdr:nvSpPr>
        <xdr:cNvPr id="24" name="TextBox 23">
          <a:extLst>
            <a:ext uri="{FF2B5EF4-FFF2-40B4-BE49-F238E27FC236}">
              <a16:creationId xmlns:a16="http://schemas.microsoft.com/office/drawing/2014/main" id="{00000000-0008-0000-0D00-000018000000}"/>
            </a:ext>
          </a:extLst>
        </xdr:cNvPr>
        <xdr:cNvSpPr txBox="1"/>
      </xdr:nvSpPr>
      <xdr:spPr>
        <a:xfrm>
          <a:off x="10541000"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6350</xdr:colOff>
      <xdr:row>39</xdr:row>
      <xdr:rowOff>146050</xdr:rowOff>
    </xdr:from>
    <xdr:to>
      <xdr:col>7</xdr:col>
      <xdr:colOff>6350</xdr:colOff>
      <xdr:row>52</xdr:row>
      <xdr:rowOff>6350</xdr:rowOff>
    </xdr:to>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469900" y="737870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83</xdr:row>
      <xdr:rowOff>38100</xdr:rowOff>
    </xdr:from>
    <xdr:to>
      <xdr:col>5</xdr:col>
      <xdr:colOff>0</xdr:colOff>
      <xdr:row>90</xdr:row>
      <xdr:rowOff>0</xdr:rowOff>
    </xdr:to>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463550" y="153733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6350</xdr:colOff>
      <xdr:row>96</xdr:row>
      <xdr:rowOff>139700</xdr:rowOff>
    </xdr:from>
    <xdr:to>
      <xdr:col>7</xdr:col>
      <xdr:colOff>6350</xdr:colOff>
      <xdr:row>109</xdr:row>
      <xdr:rowOff>0</xdr:rowOff>
    </xdr:to>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469900" y="1786890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140</xdr:row>
      <xdr:rowOff>38100</xdr:rowOff>
    </xdr:from>
    <xdr:to>
      <xdr:col>5</xdr:col>
      <xdr:colOff>0</xdr:colOff>
      <xdr:row>147</xdr:row>
      <xdr:rowOff>0</xdr:rowOff>
    </xdr:to>
    <xdr:sp macro="" textlink="">
      <xdr:nvSpPr>
        <xdr:cNvPr id="30" name="TextBox 29">
          <a:extLst>
            <a:ext uri="{FF2B5EF4-FFF2-40B4-BE49-F238E27FC236}">
              <a16:creationId xmlns:a16="http://schemas.microsoft.com/office/drawing/2014/main" id="{00000000-0008-0000-0D00-00001E000000}"/>
            </a:ext>
          </a:extLst>
        </xdr:cNvPr>
        <xdr:cNvSpPr txBox="1"/>
      </xdr:nvSpPr>
      <xdr:spPr>
        <a:xfrm>
          <a:off x="463550" y="258699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153</xdr:row>
      <xdr:rowOff>139700</xdr:rowOff>
    </xdr:from>
    <xdr:to>
      <xdr:col>7</xdr:col>
      <xdr:colOff>0</xdr:colOff>
      <xdr:row>166</xdr:row>
      <xdr:rowOff>0</xdr:rowOff>
    </xdr:to>
    <xdr:sp macro="" textlink="">
      <xdr:nvSpPr>
        <xdr:cNvPr id="31" name="TextBox 30">
          <a:extLst>
            <a:ext uri="{FF2B5EF4-FFF2-40B4-BE49-F238E27FC236}">
              <a16:creationId xmlns:a16="http://schemas.microsoft.com/office/drawing/2014/main" id="{00000000-0008-0000-0D00-00001F000000}"/>
            </a:ext>
          </a:extLst>
        </xdr:cNvPr>
        <xdr:cNvSpPr txBox="1"/>
      </xdr:nvSpPr>
      <xdr:spPr>
        <a:xfrm>
          <a:off x="463550" y="283654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197</xdr:row>
      <xdr:rowOff>38100</xdr:rowOff>
    </xdr:from>
    <xdr:to>
      <xdr:col>5</xdr:col>
      <xdr:colOff>0</xdr:colOff>
      <xdr:row>204</xdr:row>
      <xdr:rowOff>0</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463550" y="363664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210</xdr:row>
      <xdr:rowOff>146050</xdr:rowOff>
    </xdr:from>
    <xdr:to>
      <xdr:col>7</xdr:col>
      <xdr:colOff>0</xdr:colOff>
      <xdr:row>223</xdr:row>
      <xdr:rowOff>6350</xdr:rowOff>
    </xdr:to>
    <xdr:sp macro="" textlink="">
      <xdr:nvSpPr>
        <xdr:cNvPr id="33" name="TextBox 32">
          <a:extLst>
            <a:ext uri="{FF2B5EF4-FFF2-40B4-BE49-F238E27FC236}">
              <a16:creationId xmlns:a16="http://schemas.microsoft.com/office/drawing/2014/main" id="{00000000-0008-0000-0D00-000021000000}"/>
            </a:ext>
          </a:extLst>
        </xdr:cNvPr>
        <xdr:cNvSpPr txBox="1"/>
      </xdr:nvSpPr>
      <xdr:spPr>
        <a:xfrm>
          <a:off x="463550" y="388683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254</xdr:row>
      <xdr:rowOff>38100</xdr:rowOff>
    </xdr:from>
    <xdr:to>
      <xdr:col>5</xdr:col>
      <xdr:colOff>0</xdr:colOff>
      <xdr:row>261</xdr:row>
      <xdr:rowOff>0</xdr:rowOff>
    </xdr:to>
    <xdr:sp macro="" textlink="">
      <xdr:nvSpPr>
        <xdr:cNvPr id="34" name="TextBox 33">
          <a:extLst>
            <a:ext uri="{FF2B5EF4-FFF2-40B4-BE49-F238E27FC236}">
              <a16:creationId xmlns:a16="http://schemas.microsoft.com/office/drawing/2014/main" id="{00000000-0008-0000-0D00-000022000000}"/>
            </a:ext>
          </a:extLst>
        </xdr:cNvPr>
        <xdr:cNvSpPr txBox="1"/>
      </xdr:nvSpPr>
      <xdr:spPr>
        <a:xfrm>
          <a:off x="463550" y="4686300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267</xdr:row>
      <xdr:rowOff>139700</xdr:rowOff>
    </xdr:from>
    <xdr:to>
      <xdr:col>7</xdr:col>
      <xdr:colOff>0</xdr:colOff>
      <xdr:row>280</xdr:row>
      <xdr:rowOff>0</xdr:rowOff>
    </xdr:to>
    <xdr:sp macro="" textlink="">
      <xdr:nvSpPr>
        <xdr:cNvPr id="35" name="TextBox 34">
          <a:extLst>
            <a:ext uri="{FF2B5EF4-FFF2-40B4-BE49-F238E27FC236}">
              <a16:creationId xmlns:a16="http://schemas.microsoft.com/office/drawing/2014/main" id="{00000000-0008-0000-0D00-000023000000}"/>
            </a:ext>
          </a:extLst>
        </xdr:cNvPr>
        <xdr:cNvSpPr txBox="1"/>
      </xdr:nvSpPr>
      <xdr:spPr>
        <a:xfrm>
          <a:off x="463550" y="493585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twoCellAnchor>
    <xdr:from>
      <xdr:col>1</xdr:col>
      <xdr:colOff>0</xdr:colOff>
      <xdr:row>311</xdr:row>
      <xdr:rowOff>38100</xdr:rowOff>
    </xdr:from>
    <xdr:to>
      <xdr:col>5</xdr:col>
      <xdr:colOff>0</xdr:colOff>
      <xdr:row>318</xdr:row>
      <xdr:rowOff>0</xdr:rowOff>
    </xdr:to>
    <xdr:sp macro="" textlink="">
      <xdr:nvSpPr>
        <xdr:cNvPr id="36" name="TextBox 35">
          <a:extLst>
            <a:ext uri="{FF2B5EF4-FFF2-40B4-BE49-F238E27FC236}">
              <a16:creationId xmlns:a16="http://schemas.microsoft.com/office/drawing/2014/main" id="{00000000-0008-0000-0D00-000024000000}"/>
            </a:ext>
          </a:extLst>
        </xdr:cNvPr>
        <xdr:cNvSpPr txBox="1"/>
      </xdr:nvSpPr>
      <xdr:spPr>
        <a:xfrm>
          <a:off x="463550" y="57359550"/>
          <a:ext cx="9251950"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Step 1. Assessing the relative value of conservation outcomes</a:t>
          </a:r>
        </a:p>
        <a:p>
          <a:endParaRPr lang="en-AU" sz="1100"/>
        </a:p>
        <a:p>
          <a:r>
            <a:rPr lang="en-AU" sz="1100"/>
            <a:t>The worst and best plausible conservation outcomes for the species are listed in the table below. </a:t>
          </a:r>
        </a:p>
        <a:p>
          <a:r>
            <a:rPr lang="en-AU" sz="1100"/>
            <a:t>Let's say we give the worst outcome a value of 0, and the best outcome a value of 100.</a:t>
          </a:r>
        </a:p>
        <a:p>
          <a:endParaRPr lang="en-AU" sz="1100"/>
        </a:p>
        <a:p>
          <a:r>
            <a:rPr lang="en-AU" sz="1100"/>
            <a:t>Now keeping in mind a scale of 0 to 100 for these bookend outcomes, rate the other two intermediate scenarios below:</a:t>
          </a:r>
        </a:p>
      </xdr:txBody>
    </xdr:sp>
    <xdr:clientData/>
  </xdr:twoCellAnchor>
  <xdr:twoCellAnchor>
    <xdr:from>
      <xdr:col>1</xdr:col>
      <xdr:colOff>0</xdr:colOff>
      <xdr:row>324</xdr:row>
      <xdr:rowOff>146050</xdr:rowOff>
    </xdr:from>
    <xdr:to>
      <xdr:col>7</xdr:col>
      <xdr:colOff>0</xdr:colOff>
      <xdr:row>337</xdr:row>
      <xdr:rowOff>6350</xdr:rowOff>
    </xdr:to>
    <xdr:sp macro="" textlink="">
      <xdr:nvSpPr>
        <xdr:cNvPr id="37" name="TextBox 36">
          <a:extLst>
            <a:ext uri="{FF2B5EF4-FFF2-40B4-BE49-F238E27FC236}">
              <a16:creationId xmlns:a16="http://schemas.microsoft.com/office/drawing/2014/main" id="{00000000-0008-0000-0D00-000025000000}"/>
            </a:ext>
          </a:extLst>
        </xdr:cNvPr>
        <xdr:cNvSpPr txBox="1"/>
      </xdr:nvSpPr>
      <xdr:spPr>
        <a:xfrm>
          <a:off x="463550" y="59861450"/>
          <a:ext cx="1148715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Step 2. Weighting of conservation outcomes and cost</a:t>
          </a:r>
        </a:p>
        <a:p>
          <a:endParaRPr lang="en-AU">
            <a:effectLst/>
          </a:endParaRPr>
        </a:p>
        <a:p>
          <a:r>
            <a:rPr lang="en-AU" sz="1100">
              <a:solidFill>
                <a:schemeClr val="dk1"/>
              </a:solidFill>
              <a:effectLst/>
              <a:latin typeface="+mn-lt"/>
              <a:ea typeface="+mn-ea"/>
              <a:cs typeface="+mn-cs"/>
            </a:rPr>
            <a:t>The worst and best plausible outcomes for two objectives are listed below: species conservation (a combination of species status and insurance population) and cost.</a:t>
          </a:r>
        </a:p>
        <a:p>
          <a:endParaRPr lang="en-AU">
            <a:effectLst/>
          </a:endParaRPr>
        </a:p>
        <a:p>
          <a:r>
            <a:rPr lang="en-AU">
              <a:effectLst/>
            </a:rPr>
            <a:t>Imagine that the worst outcomes under both objectives has occurred (listed in WORST column). </a:t>
          </a:r>
          <a:r>
            <a:rPr lang="en-AU" b="1">
              <a:effectLst/>
            </a:rPr>
            <a:t>If you were given a chance to change EITHER the conservation outcomes (species status and insurance population) OR the cost outcome from the WORST to the BEST outcome, which would you prefer to change? </a:t>
          </a:r>
          <a:r>
            <a:rPr lang="en-AU">
              <a:effectLst/>
            </a:rPr>
            <a:t>This is your top-ranked objective. Place a 1 in the Rank column for this objective, and a 2 in the Rank column for the other non-preferred objective.</a:t>
          </a:r>
        </a:p>
        <a:p>
          <a:endParaRPr lang="en-AU">
            <a:effectLst/>
          </a:endParaRPr>
        </a:p>
        <a:p>
          <a:r>
            <a:rPr lang="en-AU">
              <a:effectLst/>
            </a:rPr>
            <a:t>Your top-ranked objective gets a value of 100. Place a 100 in the Value column for this objective.</a:t>
          </a:r>
        </a:p>
        <a:p>
          <a:endParaRPr lang="en-AU">
            <a:effectLst/>
          </a:endParaRPr>
        </a:p>
        <a:p>
          <a:r>
            <a:rPr lang="en-AU" b="1">
              <a:effectLst/>
            </a:rPr>
            <a:t>How much do you value the change from the worst to the best outcome in your non-preferred objective, relative to the change from the worst to the best outcome in your top-ranked objective?</a:t>
          </a:r>
        </a:p>
        <a:p>
          <a:r>
            <a:rPr lang="en-AU">
              <a:effectLst/>
            </a:rPr>
            <a:t>Place a number between 0 and 100 in the Value column for your non-preferred objective.</a:t>
          </a:r>
        </a:p>
        <a:p>
          <a:endParaRPr lang="en-AU">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466724</xdr:colOff>
      <xdr:row>22</xdr:row>
      <xdr:rowOff>4762</xdr:rowOff>
    </xdr:from>
    <xdr:to>
      <xdr:col>12</xdr:col>
      <xdr:colOff>469900</xdr:colOff>
      <xdr:row>43</xdr:row>
      <xdr:rowOff>57150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xdr:colOff>
      <xdr:row>1</xdr:row>
      <xdr:rowOff>123825</xdr:rowOff>
    </xdr:from>
    <xdr:to>
      <xdr:col>10</xdr:col>
      <xdr:colOff>3175</xdr:colOff>
      <xdr:row>10</xdr:row>
      <xdr:rowOff>123825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641350" y="361950"/>
          <a:ext cx="720090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table below shows</a:t>
          </a:r>
          <a:r>
            <a:rPr lang="en-AU" sz="1100" baseline="0"/>
            <a:t> how each participant ranked each alternative, based on the value judgements given in tab 6.1.</a:t>
          </a:r>
        </a:p>
        <a:p>
          <a:endParaRPr lang="en-AU" sz="1100" baseline="0"/>
        </a:p>
        <a:p>
          <a:r>
            <a:rPr lang="en-AU" sz="1100" baseline="0"/>
            <a:t>Participants are characterised as 'supporting' an alternative if it is within their top 2 ranked alternatives (out of 4, shaded green). They are characterised as 'opposing' an alternative if it is within their bottom 2 ranked alternatives (shaded red).</a:t>
          </a:r>
        </a:p>
        <a:p>
          <a:endParaRPr lang="en-AU" sz="1100" baseline="0"/>
        </a:p>
        <a:p>
          <a:r>
            <a:rPr lang="en-AU" sz="1100" baseline="0"/>
            <a:t>The total number of participants supporting and opposing each alternative is then summed and shown in the graph below. The graph gives the decision-maker/s an idea of the general level of support for each alternative, and level of agreement.  Note that this summary includes only outcomes for best estimates.  It ignores uncertainty described in best case and worst case outcomes.</a:t>
          </a:r>
          <a:endParaRPr lang="en-AU"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12700</xdr:colOff>
      <xdr:row>3</xdr:row>
      <xdr:rowOff>31750</xdr:rowOff>
    </xdr:from>
    <xdr:to>
      <xdr:col>6</xdr:col>
      <xdr:colOff>0</xdr:colOff>
      <xdr:row>36</xdr:row>
      <xdr:rowOff>12700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231900" y="635000"/>
          <a:ext cx="9575800" cy="60579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a:t>This section is based</a:t>
          </a:r>
          <a:r>
            <a:rPr lang="en-AU" sz="1100" b="0" baseline="0"/>
            <a:t> on the </a:t>
          </a:r>
          <a:r>
            <a:rPr lang="en-AU" sz="1100" i="1" baseline="0">
              <a:solidFill>
                <a:schemeClr val="dk1"/>
              </a:solidFill>
              <a:effectLst/>
              <a:latin typeface="+mn-lt"/>
              <a:ea typeface="+mn-ea"/>
              <a:cs typeface="+mn-cs"/>
            </a:rPr>
            <a:t>IUCN Species Survival Commission Guidelines on the Use of Ex Situ Management for Species Conservation</a:t>
          </a:r>
          <a:r>
            <a:rPr lang="en-AU" sz="1100" i="0" baseline="0">
              <a:solidFill>
                <a:schemeClr val="dk1"/>
              </a:solidFill>
              <a:effectLst/>
              <a:latin typeface="+mn-lt"/>
              <a:ea typeface="+mn-ea"/>
              <a:cs typeface="+mn-cs"/>
            </a:rPr>
            <a:t>, hereafter </a:t>
          </a:r>
          <a:r>
            <a:rPr lang="en-AU" sz="1100" i="1" baseline="0">
              <a:solidFill>
                <a:schemeClr val="dk1"/>
              </a:solidFill>
              <a:effectLst/>
              <a:latin typeface="+mn-lt"/>
              <a:ea typeface="+mn-ea"/>
              <a:cs typeface="+mn-cs"/>
            </a:rPr>
            <a:t>IUCN/SSC Guidelines</a:t>
          </a:r>
          <a:r>
            <a:rPr lang="en-AU" sz="1100" i="0" baseline="0">
              <a:solidFill>
                <a:schemeClr val="dk1"/>
              </a:solidFill>
              <a:effectLst/>
              <a:latin typeface="+mn-lt"/>
              <a:ea typeface="+mn-ea"/>
              <a:cs typeface="+mn-cs"/>
            </a:rPr>
            <a:t>.</a:t>
          </a:r>
          <a:r>
            <a:rPr lang="en-AU" sz="1100" baseline="0">
              <a:solidFill>
                <a:schemeClr val="dk1"/>
              </a:solidFill>
              <a:effectLst/>
              <a:latin typeface="+mn-lt"/>
              <a:ea typeface="+mn-ea"/>
              <a:cs typeface="+mn-cs"/>
            </a:rPr>
            <a:t> </a:t>
          </a:r>
        </a:p>
        <a:p>
          <a:endParaRPr lang="en-AU" sz="1100" b="0"/>
        </a:p>
        <a:p>
          <a:endParaRPr lang="en-AU" sz="1400" b="1"/>
        </a:p>
        <a:p>
          <a:r>
            <a:rPr lang="en-AU" sz="1400" b="1"/>
            <a:t>Role of ex-situ management</a:t>
          </a:r>
        </a:p>
        <a:p>
          <a:endParaRPr lang="en-AU" sz="1100" b="1"/>
        </a:p>
        <a:p>
          <a:r>
            <a:rPr lang="en-AU" sz="1100" b="0"/>
            <a:t>Ex-situ management</a:t>
          </a:r>
          <a:r>
            <a:rPr lang="en-AU" sz="1100" b="0" baseline="0"/>
            <a:t> can be used in different ways to conserve a species. What role or roles would ex-situ management </a:t>
          </a:r>
          <a:r>
            <a:rPr lang="en-AU" sz="1100" b="0"/>
            <a:t>play</a:t>
          </a:r>
          <a:r>
            <a:rPr lang="en-AU" sz="1100" b="0" baseline="0"/>
            <a:t> in the conservation of this species? </a:t>
          </a:r>
        </a:p>
        <a:p>
          <a:r>
            <a:rPr lang="en-AU" sz="1100" baseline="0"/>
            <a:t>According to Step 2 of the </a:t>
          </a:r>
          <a:r>
            <a:rPr lang="en-AU" sz="1100" i="1" baseline="0"/>
            <a:t>IUCN/SSC Guidelines, </a:t>
          </a:r>
          <a:r>
            <a:rPr lang="en-AU" sz="1100" baseline="0"/>
            <a:t>ex-situ management can fulfill the role of:</a:t>
          </a:r>
        </a:p>
        <a:p>
          <a:endParaRPr lang="en-AU" sz="1100" b="0" i="0" u="none" strike="noStrike" baseline="0">
            <a:solidFill>
              <a:schemeClr val="dk1"/>
            </a:solidFill>
            <a:latin typeface="+mn-lt"/>
            <a:ea typeface="+mn-ea"/>
            <a:cs typeface="+mn-cs"/>
          </a:endParaRPr>
        </a:p>
        <a:p>
          <a:r>
            <a:rPr lang="en-AU" sz="1100" b="0" i="0" baseline="0">
              <a:solidFill>
                <a:schemeClr val="dk1"/>
              </a:solidFill>
              <a:effectLst/>
              <a:latin typeface="+mn-lt"/>
              <a:ea typeface="+mn-ea"/>
              <a:cs typeface="+mn-cs"/>
            </a:rPr>
            <a:t>• </a:t>
          </a:r>
          <a:r>
            <a:rPr lang="en-AU" sz="1100" b="1" i="0" u="none" strike="noStrike" baseline="0">
              <a:solidFill>
                <a:schemeClr val="dk1"/>
              </a:solidFill>
              <a:latin typeface="+mn-lt"/>
              <a:ea typeface="+mn-ea"/>
              <a:cs typeface="+mn-cs"/>
            </a:rPr>
            <a:t>Insurance population </a:t>
          </a:r>
          <a:r>
            <a:rPr lang="en-AU" sz="1100" b="0" i="0" u="none" strike="noStrike" baseline="0">
              <a:solidFill>
                <a:schemeClr val="dk1"/>
              </a:solidFill>
              <a:latin typeface="+mn-lt"/>
              <a:ea typeface="+mn-ea"/>
              <a:cs typeface="+mn-cs"/>
            </a:rPr>
            <a:t>(maintaining a viable ex-situ</a:t>
          </a:r>
          <a:r>
            <a:rPr lang="en-AU" sz="1100" b="0" i="1" u="none" strike="noStrike" baseline="0">
              <a:solidFill>
                <a:schemeClr val="dk1"/>
              </a:solidFill>
              <a:latin typeface="+mn-lt"/>
              <a:ea typeface="+mn-ea"/>
              <a:cs typeface="+mn-cs"/>
            </a:rPr>
            <a:t> </a:t>
          </a:r>
          <a:r>
            <a:rPr lang="en-AU" sz="1100" b="0" i="0" u="none" strike="noStrike" baseline="0">
              <a:solidFill>
                <a:schemeClr val="dk1"/>
              </a:solidFill>
              <a:latin typeface="+mn-lt"/>
              <a:ea typeface="+mn-ea"/>
              <a:cs typeface="+mn-cs"/>
            </a:rPr>
            <a:t>population of the species to prevent predicted local, regional or global species extinction and preserve options for future conservation strategies);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Temporary rescue</a:t>
          </a:r>
          <a:r>
            <a:rPr lang="en-AU" sz="1100" b="0" i="0" u="none" strike="noStrike" baseline="0">
              <a:solidFill>
                <a:schemeClr val="dk1"/>
              </a:solidFill>
              <a:latin typeface="+mn-lt"/>
              <a:ea typeface="+mn-ea"/>
              <a:cs typeface="+mn-cs"/>
            </a:rPr>
            <a:t> (temporary removal from the wild to protect from catastrophes or predicted imminent threats, e.g. extreme weather, disease, oil spill, wildlife trade). This could be appropriate at either local or global scale;</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Maintenance of a long term ex-situ</a:t>
          </a:r>
          <a:r>
            <a:rPr lang="en-AU" sz="1100" b="1" i="1"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population </a:t>
          </a:r>
          <a:r>
            <a:rPr lang="en-AU" sz="1100" b="0" i="0" u="none" strike="noStrike" baseline="0">
              <a:solidFill>
                <a:schemeClr val="dk1"/>
              </a:solidFill>
              <a:latin typeface="+mn-lt"/>
              <a:ea typeface="+mn-ea"/>
              <a:cs typeface="+mn-cs"/>
            </a:rPr>
            <a:t>after extinction of all known wild populations and as a preparation for reintroduction or assisted colonisation if and when feasible; </a:t>
          </a:r>
        </a:p>
        <a:p>
          <a:r>
            <a:rPr lang="en-AU" sz="1100" b="0" i="0" u="none" strike="noStrike" baseline="0">
              <a:solidFill>
                <a:schemeClr val="dk1"/>
              </a:solidFill>
              <a:latin typeface="+mn-lt"/>
              <a:ea typeface="+mn-ea"/>
              <a:cs typeface="+mn-cs"/>
            </a:rPr>
            <a:t> </a:t>
          </a: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Demographic manipulation </a:t>
          </a:r>
          <a:r>
            <a:rPr lang="en-AU" sz="1100" b="0" i="0" u="none" strike="noStrike" baseline="0">
              <a:solidFill>
                <a:schemeClr val="dk1"/>
              </a:solidFill>
              <a:latin typeface="+mn-lt"/>
              <a:ea typeface="+mn-ea"/>
              <a:cs typeface="+mn-cs"/>
            </a:rPr>
            <a:t>(e.g. head-start programmes that remove individuals from the wild to reduce mortality during a specific life stage and then subsequently return them to the wild);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population restoration</a:t>
          </a:r>
          <a:r>
            <a:rPr lang="en-AU" sz="1100" b="0" i="0" u="none" strike="noStrike" baseline="0">
              <a:solidFill>
                <a:schemeClr val="dk1"/>
              </a:solidFill>
              <a:latin typeface="+mn-lt"/>
              <a:ea typeface="+mn-ea"/>
              <a:cs typeface="+mn-cs"/>
            </a:rPr>
            <a:t>, either to re-establish the species into part of its former range from which it has disappeared, or to reinforce an existing population (e.g. for demographic, behavioural or genetic purposes);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ecological replacement </a:t>
          </a:r>
          <a:r>
            <a:rPr lang="en-AU" sz="1100" b="0" i="0" u="none" strike="noStrike" baseline="0">
              <a:solidFill>
                <a:schemeClr val="dk1"/>
              </a:solidFill>
              <a:latin typeface="+mn-lt"/>
              <a:ea typeface="+mn-ea"/>
              <a:cs typeface="+mn-cs"/>
            </a:rPr>
            <a:t>to re-establish a lost ecological function and/or modify habitats. This may involve species that are not themselves threatened but that contribute to the conservation of other taxa through their ecological role;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Source for assisted colonisation </a:t>
          </a:r>
          <a:r>
            <a:rPr lang="en-AU" sz="1100" b="0" i="0" u="none" strike="noStrike" baseline="0">
              <a:solidFill>
                <a:schemeClr val="dk1"/>
              </a:solidFill>
              <a:latin typeface="+mn-lt"/>
              <a:ea typeface="+mn-ea"/>
              <a:cs typeface="+mn-cs"/>
            </a:rPr>
            <a:t>to introduce the species outside of its indigenous range to avoid extinction;</a:t>
          </a:r>
        </a:p>
        <a:p>
          <a:r>
            <a:rPr lang="en-AU" sz="1100" b="0" i="0" u="none" strike="noStrike" baseline="0">
              <a:solidFill>
                <a:schemeClr val="dk1"/>
              </a:solidFill>
              <a:latin typeface="+mn-lt"/>
              <a:ea typeface="+mn-ea"/>
              <a:cs typeface="+mn-cs"/>
            </a:rPr>
            <a:t> </a:t>
          </a: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Research and/or training </a:t>
          </a:r>
          <a:r>
            <a:rPr lang="en-AU" sz="1100" b="0" i="0" u="none" strike="noStrike" baseline="0">
              <a:solidFill>
                <a:schemeClr val="dk1"/>
              </a:solidFill>
              <a:latin typeface="+mn-lt"/>
              <a:ea typeface="+mn-ea"/>
              <a:cs typeface="+mn-cs"/>
            </a:rPr>
            <a:t>that will directly benefit conservation of the species, or a similar species, in the wild (e.g. monitoring methods, life history information, nutritional requirements, disease transmission/treatment);</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 </a:t>
          </a:r>
          <a:r>
            <a:rPr lang="en-AU" sz="1100" b="1" i="0" u="none" strike="noStrike" baseline="0">
              <a:solidFill>
                <a:schemeClr val="dk1"/>
              </a:solidFill>
              <a:latin typeface="+mn-lt"/>
              <a:ea typeface="+mn-ea"/>
              <a:cs typeface="+mn-cs"/>
            </a:rPr>
            <a:t>Basis for an education and awareness programme </a:t>
          </a:r>
          <a:r>
            <a:rPr lang="en-AU" sz="1100" b="0" i="0" u="none" strike="noStrike" baseline="0">
              <a:solidFill>
                <a:schemeClr val="dk1"/>
              </a:solidFill>
              <a:latin typeface="+mn-lt"/>
              <a:ea typeface="+mn-ea"/>
              <a:cs typeface="+mn-cs"/>
            </a:rPr>
            <a:t>that addresses specific threats or constraints to the conservation of the species or its habitat.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Below, fill in between 1 and 4 conservation roles for this ex-situ management programme, in order of priority (1 being highest).</a:t>
          </a:r>
          <a:endParaRPr lang="en-AU" sz="1100" baseline="0"/>
        </a:p>
        <a:p>
          <a:endParaRPr lang="en-AU" sz="1100" baseline="0"/>
        </a:p>
        <a:p>
          <a:endParaRPr lang="en-AU" sz="1100"/>
        </a:p>
      </xdr:txBody>
    </xdr:sp>
    <xdr:clientData/>
  </xdr:twoCellAnchor>
  <xdr:twoCellAnchor>
    <xdr:from>
      <xdr:col>1</xdr:col>
      <xdr:colOff>596900</xdr:colOff>
      <xdr:row>45</xdr:row>
      <xdr:rowOff>146050</xdr:rowOff>
    </xdr:from>
    <xdr:to>
      <xdr:col>6</xdr:col>
      <xdr:colOff>0</xdr:colOff>
      <xdr:row>50</xdr:row>
      <xdr:rowOff>203200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1206500" y="8629650"/>
          <a:ext cx="9601200" cy="9779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Characteristics of the ex-situ population</a:t>
          </a:r>
        </a:p>
        <a:p>
          <a:r>
            <a:rPr lang="en-AU" sz="1100" b="0"/>
            <a:t>What are the characteristics</a:t>
          </a:r>
          <a:r>
            <a:rPr lang="en-AU" sz="1100" b="0" baseline="0"/>
            <a:t> of the ex-situ population that would be needed to fulfill these role/s? </a:t>
          </a:r>
          <a:r>
            <a:rPr lang="en-AU" sz="1100" baseline="0">
              <a:solidFill>
                <a:schemeClr val="dk1"/>
              </a:solidFill>
              <a:effectLst/>
              <a:latin typeface="+mn-lt"/>
              <a:ea typeface="+mn-ea"/>
              <a:cs typeface="+mn-cs"/>
            </a:rPr>
            <a:t>These questions are from Step 3</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endParaRPr lang="en-AU" sz="1100" b="0" baseline="0"/>
        </a:p>
        <a:p>
          <a:endParaRPr lang="en-AU" sz="1100" b="0" baseline="0"/>
        </a:p>
        <a:p>
          <a:r>
            <a:rPr lang="en-AU" sz="1100" b="0" baseline="0"/>
            <a:t>Consider each question, and answer as best you can in the box provided. </a:t>
          </a:r>
          <a:endParaRPr lang="en-AU" sz="1100"/>
        </a:p>
      </xdr:txBody>
    </xdr:sp>
    <xdr:clientData/>
  </xdr:twoCellAnchor>
  <xdr:twoCellAnchor>
    <xdr:from>
      <xdr:col>2</xdr:col>
      <xdr:colOff>6350</xdr:colOff>
      <xdr:row>75</xdr:row>
      <xdr:rowOff>50800</xdr:rowOff>
    </xdr:from>
    <xdr:to>
      <xdr:col>6</xdr:col>
      <xdr:colOff>0</xdr:colOff>
      <xdr:row>80</xdr:row>
      <xdr:rowOff>215900</xdr:rowOff>
    </xdr:to>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1225550" y="20408900"/>
          <a:ext cx="9582150" cy="10858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Resources and expertise</a:t>
          </a:r>
        </a:p>
        <a:p>
          <a:r>
            <a:rPr lang="en-AU" sz="1100" b="0"/>
            <a:t>What</a:t>
          </a:r>
          <a:r>
            <a:rPr lang="en-AU" sz="1100" b="0" baseline="0"/>
            <a:t> resources and expertise are needed for the ex-situ management programme to fulfil its conservation role/s? </a:t>
          </a:r>
          <a:r>
            <a:rPr lang="en-AU" sz="1100" baseline="0">
              <a:solidFill>
                <a:schemeClr val="dk1"/>
              </a:solidFill>
              <a:effectLst/>
              <a:latin typeface="+mn-lt"/>
              <a:ea typeface="+mn-ea"/>
              <a:cs typeface="+mn-cs"/>
            </a:rPr>
            <a:t>These questions are from Step 4</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p>
        <a:p>
          <a:endParaRPr lang="en-AU"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Consider each question, and answer as best you can in the box provided. </a:t>
          </a:r>
          <a:endParaRPr lang="en-AU">
            <a:effectLst/>
          </a:endParaRPr>
        </a:p>
        <a:p>
          <a:endParaRPr lang="en-AU" sz="1100"/>
        </a:p>
      </xdr:txBody>
    </xdr:sp>
    <xdr:clientData/>
  </xdr:twoCellAnchor>
  <xdr:twoCellAnchor>
    <xdr:from>
      <xdr:col>2</xdr:col>
      <xdr:colOff>25400</xdr:colOff>
      <xdr:row>88</xdr:row>
      <xdr:rowOff>139700</xdr:rowOff>
    </xdr:from>
    <xdr:to>
      <xdr:col>6</xdr:col>
      <xdr:colOff>0</xdr:colOff>
      <xdr:row>94</xdr:row>
      <xdr:rowOff>146050</xdr:rowOff>
    </xdr:to>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1244600" y="24542750"/>
          <a:ext cx="9563100" cy="11112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Feasibility and risks</a:t>
          </a:r>
        </a:p>
        <a:p>
          <a:r>
            <a:rPr lang="en-AU" sz="1100" b="0"/>
            <a:t>What are the feasibilty</a:t>
          </a:r>
          <a:r>
            <a:rPr lang="en-AU" sz="1100" b="0" baseline="0"/>
            <a:t> and risks involved in the proposed programme, including the likelihood of success? </a:t>
          </a:r>
          <a:r>
            <a:rPr lang="en-AU" sz="1100" baseline="0">
              <a:solidFill>
                <a:schemeClr val="dk1"/>
              </a:solidFill>
              <a:effectLst/>
              <a:latin typeface="+mn-lt"/>
              <a:ea typeface="+mn-ea"/>
              <a:cs typeface="+mn-cs"/>
            </a:rPr>
            <a:t>These questions are from Step 4</a:t>
          </a:r>
          <a:r>
            <a:rPr lang="en-AU" sz="1100" b="0" i="0" baseline="0">
              <a:solidFill>
                <a:schemeClr val="dk1"/>
              </a:solidFill>
              <a:effectLst/>
              <a:latin typeface="+mn-lt"/>
              <a:ea typeface="+mn-ea"/>
              <a:cs typeface="+mn-cs"/>
            </a:rPr>
            <a:t> of the </a:t>
          </a:r>
          <a:r>
            <a:rPr lang="en-AU" sz="1100" i="1" baseline="0">
              <a:solidFill>
                <a:schemeClr val="dk1"/>
              </a:solidFill>
              <a:effectLst/>
              <a:latin typeface="+mn-lt"/>
              <a:ea typeface="+mn-ea"/>
              <a:cs typeface="+mn-cs"/>
            </a:rPr>
            <a:t>IUCN/SSC Guidelines.</a:t>
          </a:r>
        </a:p>
        <a:p>
          <a:endParaRPr lang="en-AU"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Consider each question, and answer as best you can in the box provided.</a:t>
          </a:r>
          <a:endParaRPr lang="en-AU">
            <a:effectLst/>
          </a:endParaRPr>
        </a:p>
        <a:p>
          <a:endParaRPr lang="en-AU">
            <a:effectLst/>
          </a:endParaRPr>
        </a:p>
        <a:p>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2</xdr:row>
      <xdr:rowOff>44450</xdr:rowOff>
    </xdr:from>
    <xdr:to>
      <xdr:col>3</xdr:col>
      <xdr:colOff>0</xdr:colOff>
      <xdr:row>4</xdr:row>
      <xdr:rowOff>19050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79450" y="463550"/>
          <a:ext cx="37782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Instructions</a:t>
          </a:r>
          <a:r>
            <a:rPr lang="en-AU" sz="1100" baseline="0"/>
            <a:t> and explanations are in text boxes like this.</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8</xdr:row>
      <xdr:rowOff>63500</xdr:rowOff>
    </xdr:from>
    <xdr:to>
      <xdr:col>4</xdr:col>
      <xdr:colOff>6350</xdr:colOff>
      <xdr:row>16</xdr:row>
      <xdr:rowOff>88900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85800" y="1587500"/>
          <a:ext cx="6165850" cy="149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Participants</a:t>
          </a:r>
        </a:p>
        <a:p>
          <a:r>
            <a:rPr lang="en-AU" sz="1100"/>
            <a:t>List</a:t>
          </a:r>
          <a:r>
            <a:rPr lang="en-AU" sz="1100" baseline="0"/>
            <a:t> the participants and their associated organisations below.</a:t>
          </a:r>
        </a:p>
        <a:p>
          <a:endParaRPr lang="en-AU" sz="1100" baseline="0"/>
        </a:p>
        <a:p>
          <a:r>
            <a:rPr lang="en-AU" sz="1100" baseline="0"/>
            <a:t>Participant numbers are used for the value judgments only, and are not related to the anonymous participant identifiers (A-E) used for the expert elicitation.</a:t>
          </a:r>
        </a:p>
        <a:p>
          <a:endParaRPr lang="en-AU" sz="1100" baseline="0"/>
        </a:p>
        <a:p>
          <a:r>
            <a:rPr lang="en-AU" sz="1100" baseline="0"/>
            <a:t>The workbook assumes all costs for all management alternatives will be met by the organisations listed in the below table.</a:t>
          </a:r>
        </a:p>
        <a:p>
          <a:endParaRPr lang="en-AU" sz="1100" baseline="0"/>
        </a:p>
        <a:p>
          <a:endParaRPr lang="en-AU" sz="1100"/>
        </a:p>
      </xdr:txBody>
    </xdr:sp>
    <xdr:clientData/>
  </xdr:twoCellAnchor>
  <xdr:twoCellAnchor>
    <xdr:from>
      <xdr:col>1</xdr:col>
      <xdr:colOff>12700</xdr:colOff>
      <xdr:row>26</xdr:row>
      <xdr:rowOff>19050</xdr:rowOff>
    </xdr:from>
    <xdr:to>
      <xdr:col>4</xdr:col>
      <xdr:colOff>25400</xdr:colOff>
      <xdr:row>38</xdr:row>
      <xdr:rowOff>76200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60400" y="4857750"/>
          <a:ext cx="6915150" cy="153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Payoffs</a:t>
          </a:r>
        </a:p>
        <a:p>
          <a:r>
            <a:rPr lang="en-AU" sz="1100"/>
            <a:t>This workbook measures the conservation payoff of management alternatives in terms of</a:t>
          </a:r>
          <a:r>
            <a:rPr lang="en-AU" sz="1100" baseline="0"/>
            <a:t> </a:t>
          </a:r>
          <a:r>
            <a:rPr lang="en-AU" sz="1100" b="1">
              <a:solidFill>
                <a:schemeClr val="dk1"/>
              </a:solidFill>
              <a:effectLst/>
              <a:latin typeface="+mn-lt"/>
              <a:ea typeface="+mn-ea"/>
              <a:cs typeface="+mn-cs"/>
            </a:rPr>
            <a:t>the size of the wild population at the end</a:t>
          </a:r>
          <a:r>
            <a:rPr lang="en-AU" sz="1100" b="1" baseline="0">
              <a:solidFill>
                <a:schemeClr val="dk1"/>
              </a:solidFill>
              <a:effectLst/>
              <a:latin typeface="+mn-lt"/>
              <a:ea typeface="+mn-ea"/>
              <a:cs typeface="+mn-cs"/>
            </a:rPr>
            <a:t> of the time horizon of assessment,</a:t>
          </a:r>
          <a:r>
            <a:rPr lang="en-AU" sz="1100" b="1">
              <a:solidFill>
                <a:schemeClr val="dk1"/>
              </a:solidFill>
              <a:effectLst/>
              <a:latin typeface="+mn-lt"/>
              <a:ea typeface="+mn-ea"/>
              <a:cs typeface="+mn-cs"/>
            </a:rPr>
            <a:t> relative to today.</a:t>
          </a: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Throughout</a:t>
          </a:r>
          <a:r>
            <a:rPr lang="en-AU" sz="1100" b="0" baseline="0">
              <a:solidFill>
                <a:schemeClr val="dk1"/>
              </a:solidFill>
              <a:effectLst/>
              <a:latin typeface="+mn-lt"/>
              <a:ea typeface="+mn-ea"/>
              <a:cs typeface="+mn-cs"/>
            </a:rPr>
            <a:t> the assessment, predictions will be made about the increase or decrease in wild population size at the end of the time horizon under different management alternatives, and given different outcomes of chance events.</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Specify below the time horizon over which you wish to assess the outcomes of management alternatives.</a:t>
          </a:r>
          <a:endParaRPr lang="en-AU" b="0">
            <a:effectLst/>
          </a:endParaRPr>
        </a:p>
        <a:p>
          <a:endParaRPr lang="en-AU" sz="1100"/>
        </a:p>
        <a:p>
          <a:r>
            <a:rPr lang="en-AU" sz="1100"/>
            <a:t>Note</a:t>
          </a:r>
          <a:r>
            <a:rPr lang="en-AU" sz="1100" baseline="0"/>
            <a:t> that there is another version of this workbook where payoffs are measured in terms of </a:t>
          </a:r>
          <a:r>
            <a:rPr lang="en-AU" sz="1100" b="1" baseline="0"/>
            <a:t>probability of persistence in the wild at the end of the time horizon of assessment.</a:t>
          </a:r>
          <a:r>
            <a:rPr lang="en-AU" sz="1100"/>
            <a:t/>
          </a:r>
          <a:br>
            <a:rPr lang="en-AU" sz="1100"/>
          </a:br>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1</xdr:row>
      <xdr:rowOff>133350</xdr:rowOff>
    </xdr:from>
    <xdr:to>
      <xdr:col>9</xdr:col>
      <xdr:colOff>1657350</xdr:colOff>
      <xdr:row>10</xdr:row>
      <xdr:rowOff>6350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00075" y="317500"/>
          <a:ext cx="12239625" cy="15303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The management plan summarised here provides the </a:t>
          </a:r>
          <a:r>
            <a:rPr lang="en-AU" sz="1100" b="1">
              <a:solidFill>
                <a:schemeClr val="dk1"/>
              </a:solidFill>
              <a:effectLst/>
              <a:latin typeface="+mn-lt"/>
              <a:ea typeface="+mn-ea"/>
              <a:cs typeface="+mn-cs"/>
            </a:rPr>
            <a:t>basis for comparison against which the ex-situ plan will be assessed</a:t>
          </a:r>
          <a:r>
            <a:rPr lang="en-AU" sz="1100">
              <a:solidFill>
                <a:schemeClr val="dk1"/>
              </a:solidFill>
              <a:effectLst/>
              <a:latin typeface="+mn-lt"/>
              <a:ea typeface="+mn-ea"/>
              <a:cs typeface="+mn-cs"/>
            </a:rPr>
            <a:t>. This could be the set of in-situ management actions currently being undertaken. Or</a:t>
          </a:r>
          <a:r>
            <a:rPr lang="en-AU" sz="1100" baseline="0">
              <a:solidFill>
                <a:schemeClr val="dk1"/>
              </a:solidFill>
              <a:effectLst/>
              <a:latin typeface="+mn-lt"/>
              <a:ea typeface="+mn-ea"/>
              <a:cs typeface="+mn-cs"/>
            </a:rPr>
            <a:t> i</a:t>
          </a:r>
          <a:r>
            <a:rPr lang="en-AU" sz="1100">
              <a:solidFill>
                <a:schemeClr val="dk1"/>
              </a:solidFill>
              <a:effectLst/>
              <a:latin typeface="+mn-lt"/>
              <a:ea typeface="+mn-ea"/>
              <a:cs typeface="+mn-cs"/>
            </a:rPr>
            <a:t>f a management plan is currently being developed, this could be the set of in-situ actions that are proposed to be undertaken from now into the future.</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Below,</a:t>
          </a:r>
          <a:r>
            <a:rPr lang="en-AU" sz="1100" baseline="0">
              <a:solidFill>
                <a:schemeClr val="dk1"/>
              </a:solidFill>
              <a:effectLst/>
              <a:latin typeface="+mn-lt"/>
              <a:ea typeface="+mn-ea"/>
              <a:cs typeface="+mn-cs"/>
            </a:rPr>
            <a:t> e</a:t>
          </a:r>
          <a:r>
            <a:rPr lang="en-AU" sz="1100">
              <a:solidFill>
                <a:schemeClr val="dk1"/>
              </a:solidFill>
              <a:effectLst/>
              <a:latin typeface="+mn-lt"/>
              <a:ea typeface="+mn-ea"/>
              <a:cs typeface="+mn-cs"/>
            </a:rPr>
            <a:t>nter</a:t>
          </a:r>
          <a:r>
            <a:rPr lang="en-AU" sz="1100" baseline="0">
              <a:solidFill>
                <a:schemeClr val="dk1"/>
              </a:solidFill>
              <a:effectLst/>
              <a:latin typeface="+mn-lt"/>
              <a:ea typeface="+mn-ea"/>
              <a:cs typeface="+mn-cs"/>
            </a:rPr>
            <a:t> between 1 and 10 actions that will be undertaken as part of the in-situ status quo plan. Be clear and specific in action descriptions as this will allow better prediction of the likely effect of these actions on conservation outcomes for the species.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a:effectLst/>
            </a:rPr>
            <a:t>After listing the actions, complete the cost estimates.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59</xdr:row>
      <xdr:rowOff>79375</xdr:rowOff>
    </xdr:from>
    <xdr:to>
      <xdr:col>6</xdr:col>
      <xdr:colOff>190500</xdr:colOff>
      <xdr:row>64</xdr:row>
      <xdr:rowOff>152400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09600" y="14297025"/>
          <a:ext cx="8477250" cy="993775"/>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In-situ component of the ex-situ management plan</a:t>
          </a:r>
        </a:p>
        <a:p>
          <a:endParaRPr lang="en-AU" sz="1100" baseline="0"/>
        </a:p>
        <a:p>
          <a:r>
            <a:rPr lang="en-AU" sz="1100" baseline="0"/>
            <a:t>By default, it is assumed that the ex-situ management plan also includes the in-situ actions listed under the status quo in-situ plan (Alternative 1).</a:t>
          </a:r>
        </a:p>
        <a:p>
          <a:r>
            <a:rPr lang="en-AU" sz="1100" baseline="0"/>
            <a:t>Review the table below (copied from the tab for Alternative 1) and modify if necessary.</a:t>
          </a:r>
        </a:p>
      </xdr:txBody>
    </xdr:sp>
    <xdr:clientData/>
  </xdr:twoCellAnchor>
  <xdr:twoCellAnchor>
    <xdr:from>
      <xdr:col>1</xdr:col>
      <xdr:colOff>0</xdr:colOff>
      <xdr:row>2</xdr:row>
      <xdr:rowOff>704</xdr:rowOff>
    </xdr:from>
    <xdr:to>
      <xdr:col>6</xdr:col>
      <xdr:colOff>25400</xdr:colOff>
      <xdr:row>12</xdr:row>
      <xdr:rowOff>134056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99722" y="416982"/>
          <a:ext cx="8315678" cy="1967796"/>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0"/>
            <a:t>Complete </a:t>
          </a:r>
          <a:r>
            <a:rPr lang="en-AU" sz="1100" b="0" baseline="0"/>
            <a:t>the fields below to specify thresholds for success for three stages of the ex-situ program:</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t>(a) sourcing individuals from the wild to found the ex-situ program, </a:t>
          </a:r>
          <a:br>
            <a:rPr lang="en-AU" sz="1100" b="0" baseline="0"/>
          </a:br>
          <a:r>
            <a:rPr lang="en-AU" sz="1100" b="0" baseline="0"/>
            <a:t>(b) the ex-situ program itself, and </a:t>
          </a:r>
          <a:br>
            <a:rPr lang="en-AU" sz="1100" b="0" baseline="0"/>
          </a:br>
          <a:r>
            <a:rPr lang="en-AU" sz="1100" b="0" baseline="0"/>
            <a:t>(c) release back into the wild.</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0"/>
            <a:t>To</a:t>
          </a:r>
          <a:r>
            <a:rPr lang="en-AU" sz="1100" b="0" baseline="0"/>
            <a:t> answer these questions and complete the cost table below them, it is necessary to have a clear understanding of the purpose, scale, and scope of the ex-situ management being considered, and the resources that will be required to achieve that purpose. The IUCN Guidelines on Ex-Situ Management include questions to help with planning and foresight of ex-situ programs - these have been reproduced in tab S1 of this workbook. While we recommend these questions be answered or discussed before completing this tab, the workbook will function without information entered in tab S1.</a:t>
          </a:r>
          <a:endParaRPr lang="en-AU" sz="1100" b="0"/>
        </a:p>
        <a:p>
          <a:pPr marL="0" marR="0" lvl="0" indent="0" defTabSz="914400" eaLnBrk="1" fontAlgn="auto" latinLnBrk="0" hangingPunct="1">
            <a:lnSpc>
              <a:spcPct val="100000"/>
            </a:lnSpc>
            <a:spcBef>
              <a:spcPts val="0"/>
            </a:spcBef>
            <a:spcAft>
              <a:spcPts val="0"/>
            </a:spcAft>
            <a:buClrTx/>
            <a:buSzTx/>
            <a:buFontTx/>
            <a:buNone/>
            <a:tabLst/>
            <a:defRPr/>
          </a:pPr>
          <a:endParaRPr lang="en-AU" sz="1100" b="0"/>
        </a:p>
        <a:p>
          <a:endParaRPr lang="en-AU" sz="1100"/>
        </a:p>
      </xdr:txBody>
    </xdr:sp>
    <xdr:clientData/>
  </xdr:twoCellAnchor>
  <xdr:twoCellAnchor>
    <xdr:from>
      <xdr:col>1</xdr:col>
      <xdr:colOff>0</xdr:colOff>
      <xdr:row>32</xdr:row>
      <xdr:rowOff>57151</xdr:rowOff>
    </xdr:from>
    <xdr:to>
      <xdr:col>6</xdr:col>
      <xdr:colOff>0</xdr:colOff>
      <xdr:row>36</xdr:row>
      <xdr:rowOff>133351</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03250" y="9245601"/>
          <a:ext cx="8293100" cy="8128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Ex-situ management costs</a:t>
          </a:r>
        </a:p>
        <a:p>
          <a:endParaRPr lang="en-AU" sz="1100" baseline="0"/>
        </a:p>
        <a:p>
          <a:r>
            <a:rPr lang="en-AU" sz="1100" baseline="0"/>
            <a:t>List the costs of ex-situ management in the table below.</a:t>
          </a:r>
        </a:p>
        <a:p>
          <a:endParaRPr lang="en-AU"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3175</xdr:colOff>
      <xdr:row>2</xdr:row>
      <xdr:rowOff>88900</xdr:rowOff>
    </xdr:from>
    <xdr:to>
      <xdr:col>6</xdr:col>
      <xdr:colOff>6350</xdr:colOff>
      <xdr:row>7</xdr:row>
      <xdr:rowOff>177800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06425" y="508000"/>
          <a:ext cx="8334375" cy="100965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By default, the</a:t>
          </a:r>
          <a:r>
            <a:rPr lang="en-AU" sz="1100" baseline="0"/>
            <a:t> in-situ plus </a:t>
          </a:r>
          <a:r>
            <a:rPr lang="en-AU" sz="1100"/>
            <a:t>alternative assumes the resources dedicated to ex-situ management under Alternative 2 are instead used to increase resourcing for each of the in-situ actions identified in Alternative 1. </a:t>
          </a:r>
          <a:r>
            <a:rPr lang="en-AU" sz="1100" baseline="0"/>
            <a:t> </a:t>
          </a:r>
          <a:r>
            <a:rPr lang="en-AU" sz="1100"/>
            <a:t>And again by default, proportional increase in resourcing is consistent across actions.</a:t>
          </a:r>
        </a:p>
        <a:p>
          <a:endParaRPr lang="en-AU" sz="1100"/>
        </a:p>
        <a:p>
          <a:r>
            <a:rPr lang="en-AU" sz="1100"/>
            <a:t>Review the costings table below</a:t>
          </a:r>
          <a:r>
            <a:rPr lang="en-AU" sz="1100" baseline="0"/>
            <a:t>, modifying if necessary. Then fill out the thresholds for successful implementation.</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2</xdr:row>
      <xdr:rowOff>19050</xdr:rowOff>
    </xdr:from>
    <xdr:to>
      <xdr:col>15</xdr:col>
      <xdr:colOff>222250</xdr:colOff>
      <xdr:row>31</xdr:row>
      <xdr:rowOff>152400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622300" y="387350"/>
          <a:ext cx="8743950" cy="5473700"/>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This section</a:t>
          </a:r>
          <a:r>
            <a:rPr lang="en-AU" sz="1100" baseline="0"/>
            <a:t> supports a structured protocol for eliciting estimates of the decision tree parameters from species experts.</a:t>
          </a:r>
        </a:p>
        <a:p>
          <a:endParaRPr lang="en-AU" sz="1100" baseline="0"/>
        </a:p>
        <a:p>
          <a:r>
            <a:rPr lang="en-AU" sz="1100" baseline="0"/>
            <a:t>The IDEA protocol, a structured expert elicitation protocol that has been used previously for environmental decision-making</a:t>
          </a:r>
          <a:r>
            <a:rPr lang="en-AU" sz="1100" b="0" i="0" u="none" strike="noStrike">
              <a:solidFill>
                <a:schemeClr val="dk1"/>
              </a:solidFill>
              <a:effectLst/>
              <a:latin typeface="+mn-lt"/>
              <a:ea typeface="+mn-ea"/>
              <a:cs typeface="+mn-cs"/>
            </a:rPr>
            <a:t>.</a:t>
          </a:r>
          <a:r>
            <a:rPr lang="en-AU" sz="1100" b="0" i="0" u="none" strike="noStrike" baseline="0">
              <a:solidFill>
                <a:schemeClr val="dk1"/>
              </a:solidFill>
              <a:effectLst/>
              <a:latin typeface="+mn-lt"/>
              <a:ea typeface="+mn-ea"/>
              <a:cs typeface="+mn-cs"/>
            </a:rPr>
            <a:t> </a:t>
          </a:r>
          <a:r>
            <a:rPr lang="en-AU" sz="1100" baseline="0"/>
            <a:t>The IDEA protocol can be conducted in person, in group workshops, or remotely. Before conducting an expert elicitation we recommend reading Hemming et al. 2018, </a:t>
          </a:r>
          <a:r>
            <a:rPr lang="en-AU" sz="1100" i="1" baseline="0"/>
            <a:t>A practical guide to structured expert elicitation using the IDEA protocol</a:t>
          </a:r>
          <a:r>
            <a:rPr lang="en-AU" sz="1100" i="0" baseline="0"/>
            <a:t>, Methods in Ecology and Evolution 9(1): 169-180</a:t>
          </a:r>
          <a:r>
            <a:rPr lang="en-AU" sz="1100" i="1" baseline="0"/>
            <a:t>.</a:t>
          </a:r>
          <a:endParaRPr lang="en-AU" sz="1100" baseline="0"/>
        </a:p>
        <a:p>
          <a:endParaRPr lang="en-AU" sz="1100" baseline="0"/>
        </a:p>
        <a:p>
          <a:r>
            <a:rPr lang="en-AU" sz="1100" baseline="0"/>
            <a:t>IDEA stands for </a:t>
          </a:r>
          <a:r>
            <a:rPr lang="en-AU" sz="1100" i="1" baseline="0"/>
            <a:t>Investigate</a:t>
          </a:r>
          <a:r>
            <a:rPr lang="en-AU" sz="1100" baseline="0"/>
            <a:t>, </a:t>
          </a:r>
          <a:r>
            <a:rPr lang="en-AU" sz="1100" i="1" baseline="0"/>
            <a:t>Discuss</a:t>
          </a:r>
          <a:r>
            <a:rPr lang="en-AU" sz="1100" baseline="0"/>
            <a:t>, </a:t>
          </a:r>
          <a:r>
            <a:rPr lang="en-AU" sz="1100" i="1" baseline="0"/>
            <a:t>Estimate</a:t>
          </a:r>
          <a:r>
            <a:rPr lang="en-AU" sz="1100" baseline="0"/>
            <a:t> and </a:t>
          </a:r>
          <a:r>
            <a:rPr lang="en-AU" sz="1100" i="1" baseline="0"/>
            <a:t>Aggregate</a:t>
          </a:r>
          <a:r>
            <a:rPr lang="en-AU" sz="1100" i="0" baseline="0"/>
            <a:t>. </a:t>
          </a:r>
          <a:r>
            <a:rPr lang="en-AU" sz="1100" baseline="0"/>
            <a:t>To follow the IDEA protocol in the context of this decision support tool:</a:t>
          </a:r>
        </a:p>
        <a:p>
          <a:endParaRPr lang="en-AU" sz="1100" baseline="0"/>
        </a:p>
        <a:p>
          <a:r>
            <a:rPr lang="en-AU" sz="1100" baseline="0"/>
            <a:t>1. Ensure experts are aware of the details of the three management alternatives being assessed, and that they have access to relevant species information.</a:t>
          </a:r>
        </a:p>
        <a:p>
          <a:endParaRPr lang="en-AU" sz="1100" baseline="0"/>
        </a:p>
        <a:p>
          <a:r>
            <a:rPr lang="en-AU" sz="1100" baseline="0"/>
            <a:t>2. Provide experts with the expert elicitation forms to complete.</a:t>
          </a:r>
        </a:p>
        <a:p>
          <a:endParaRPr lang="en-AU" sz="1100" baseline="0"/>
        </a:p>
        <a:p>
          <a:r>
            <a:rPr lang="en-AU" sz="1100" baseline="0"/>
            <a:t>3. Give experts an opportunity to ask questions about the expert elicitation form, the alternatives, or discuss general species information. Ask them to provide their individual, private, estimates and intervals for the parameters on the forms (</a:t>
          </a:r>
          <a:r>
            <a:rPr lang="en-AU" sz="1100" i="1" baseline="0"/>
            <a:t>Investigate</a:t>
          </a:r>
          <a:r>
            <a:rPr lang="en-AU" sz="1100" baseline="0"/>
            <a:t>).</a:t>
          </a:r>
        </a:p>
        <a:p>
          <a:endParaRPr lang="en-AU" sz="1100" baseline="0"/>
        </a:p>
        <a:p>
          <a:r>
            <a:rPr lang="en-AU" sz="1100" baseline="0"/>
            <a:t>4.  Enter these first round estimates into tab 4.3 'Elicitation data entry'. The results will be displayed in tab 4.4 'Group results Events' and 4.5 'Group results Payoffs'. </a:t>
          </a:r>
        </a:p>
        <a:p>
          <a:endParaRPr lang="en-AU" sz="1100" baseline="0"/>
        </a:p>
        <a:p>
          <a:r>
            <a:rPr lang="en-AU" sz="1100" baseline="0"/>
            <a:t>5. Show the graphs to the experts, to give them feedback on where their estimates sit in relation to other experts. Allow experts</a:t>
          </a:r>
          <a:r>
            <a:rPr lang="en-AU" sz="1100" i="0" baseline="0"/>
            <a:t> to discuss </a:t>
          </a:r>
          <a:r>
            <a:rPr lang="en-AU" sz="1100" baseline="0"/>
            <a:t>their estimates and reasoning behind them with each other (</a:t>
          </a:r>
          <a:r>
            <a:rPr lang="en-AU" sz="1100" i="1" baseline="0"/>
            <a:t>Discuss</a:t>
          </a:r>
          <a:r>
            <a:rPr lang="en-AU" sz="1100" baseline="0"/>
            <a:t>). A useful list of questions for facilitating this discussion is available in Supplement A of Hemming et al. 2018. </a:t>
          </a:r>
        </a:p>
        <a:p>
          <a:endParaRPr lang="en-AU" sz="1100" baseline="0"/>
        </a:p>
        <a:p>
          <a:r>
            <a:rPr lang="en-AU" sz="1100" baseline="0"/>
            <a:t>6. Ask experts to provide a second round of individual, private </a:t>
          </a:r>
          <a:r>
            <a:rPr lang="en-AU" sz="1100" baseline="0">
              <a:solidFill>
                <a:schemeClr val="dk1"/>
              </a:solidFill>
              <a:effectLst/>
              <a:latin typeface="+mn-lt"/>
              <a:ea typeface="+mn-ea"/>
              <a:cs typeface="+mn-cs"/>
            </a:rPr>
            <a:t>best guess estimates and intervals for the parameters on the expert elicitation forms (</a:t>
          </a:r>
          <a:r>
            <a:rPr lang="en-AU" sz="1100" i="1" baseline="0">
              <a:solidFill>
                <a:schemeClr val="dk1"/>
              </a:solidFill>
              <a:effectLst/>
              <a:latin typeface="+mn-lt"/>
              <a:ea typeface="+mn-ea"/>
              <a:cs typeface="+mn-cs"/>
            </a:rPr>
            <a:t>Estimate</a:t>
          </a:r>
          <a:r>
            <a:rPr lang="en-AU" sz="1100" baseline="0">
              <a:solidFill>
                <a:schemeClr val="dk1"/>
              </a:solidFill>
              <a:effectLst/>
              <a:latin typeface="+mn-lt"/>
              <a:ea typeface="+mn-ea"/>
              <a:cs typeface="+mn-cs"/>
            </a:rPr>
            <a:t>)</a:t>
          </a:r>
          <a:r>
            <a:rPr lang="en-AU" sz="1100" baseline="0"/>
            <a:t>.</a:t>
          </a:r>
        </a:p>
        <a:p>
          <a:endParaRPr lang="en-AU" sz="1100" baseline="0"/>
        </a:p>
        <a:p>
          <a:r>
            <a:rPr lang="en-AU" sz="1100" baseline="0"/>
            <a:t>7. Enter these second round estimates into tab 4.3 'Elicitation data entry'</a:t>
          </a:r>
          <a:r>
            <a:rPr lang="en-AU" sz="1100" baseline="0">
              <a:solidFill>
                <a:schemeClr val="dk1"/>
              </a:solidFill>
              <a:effectLst/>
              <a:latin typeface="+mn-lt"/>
              <a:ea typeface="+mn-ea"/>
              <a:cs typeface="+mn-cs"/>
            </a:rPr>
            <a:t>. Show these graphs to the experts, and provide a final chance for discussion and clarification (</a:t>
          </a:r>
          <a:r>
            <a:rPr lang="en-AU" sz="1100" i="1" baseline="0">
              <a:solidFill>
                <a:schemeClr val="dk1"/>
              </a:solidFill>
              <a:effectLst/>
              <a:latin typeface="+mn-lt"/>
              <a:ea typeface="+mn-ea"/>
              <a:cs typeface="+mn-cs"/>
            </a:rPr>
            <a:t>Aggregate</a:t>
          </a:r>
          <a:r>
            <a:rPr lang="en-AU" sz="1100" baseline="0">
              <a:solidFill>
                <a:schemeClr val="dk1"/>
              </a:solidFill>
              <a:effectLst/>
              <a:latin typeface="+mn-lt"/>
              <a:ea typeface="+mn-ea"/>
              <a:cs typeface="+mn-cs"/>
            </a:rPr>
            <a:t>).</a:t>
          </a:r>
        </a:p>
        <a:p>
          <a:endParaRPr lang="en-AU" sz="1100"/>
        </a:p>
        <a:p>
          <a:r>
            <a:rPr lang="en-AU" sz="1100"/>
            <a:t>Aggregated estimates </a:t>
          </a:r>
          <a:r>
            <a:rPr lang="en-AU" sz="1100" baseline="0"/>
            <a:t>will automatically populate tab 5 'Decision tree Outputs'.</a:t>
          </a:r>
        </a:p>
        <a:p>
          <a:endParaRPr lang="en-AU" sz="1100" baseline="0"/>
        </a:p>
        <a:p>
          <a:endParaRPr lang="en-AU" sz="11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977900</xdr:colOff>
      <xdr:row>36</xdr:row>
      <xdr:rowOff>425450</xdr:rowOff>
    </xdr:from>
    <xdr:to>
      <xdr:col>1</xdr:col>
      <xdr:colOff>6228080</xdr:colOff>
      <xdr:row>37</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srcRect t="26127" b="35707"/>
        <a:stretch/>
      </xdr:blipFill>
      <xdr:spPr>
        <a:xfrm>
          <a:off x="1587500" y="10083800"/>
          <a:ext cx="5250180" cy="946150"/>
        </a:xfrm>
        <a:prstGeom prst="rect">
          <a:avLst/>
        </a:prstGeom>
      </xdr:spPr>
    </xdr:pic>
    <xdr:clientData/>
  </xdr:twoCellAnchor>
  <xdr:twoCellAnchor editAs="oneCell">
    <xdr:from>
      <xdr:col>1</xdr:col>
      <xdr:colOff>927100</xdr:colOff>
      <xdr:row>42</xdr:row>
      <xdr:rowOff>171450</xdr:rowOff>
    </xdr:from>
    <xdr:to>
      <xdr:col>1</xdr:col>
      <xdr:colOff>6177280</xdr:colOff>
      <xdr:row>42</xdr:row>
      <xdr:rowOff>1050290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a:srcRect t="64549"/>
        <a:stretch/>
      </xdr:blipFill>
      <xdr:spPr>
        <a:xfrm>
          <a:off x="927100" y="7531100"/>
          <a:ext cx="5250180" cy="878840"/>
        </a:xfrm>
        <a:prstGeom prst="rect">
          <a:avLst/>
        </a:prstGeom>
      </xdr:spPr>
    </xdr:pic>
    <xdr:clientData/>
  </xdr:twoCellAnchor>
  <xdr:twoCellAnchor>
    <xdr:from>
      <xdr:col>1</xdr:col>
      <xdr:colOff>6229350</xdr:colOff>
      <xdr:row>36</xdr:row>
      <xdr:rowOff>533400</xdr:rowOff>
    </xdr:from>
    <xdr:to>
      <xdr:col>1</xdr:col>
      <xdr:colOff>6559550</xdr:colOff>
      <xdr:row>36</xdr:row>
      <xdr:rowOff>793750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838950" y="47053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2</a:t>
          </a:r>
        </a:p>
      </xdr:txBody>
    </xdr:sp>
    <xdr:clientData/>
  </xdr:twoCellAnchor>
  <xdr:twoCellAnchor>
    <xdr:from>
      <xdr:col>1</xdr:col>
      <xdr:colOff>6229350</xdr:colOff>
      <xdr:row>36</xdr:row>
      <xdr:rowOff>1060450</xdr:rowOff>
    </xdr:from>
    <xdr:to>
      <xdr:col>1</xdr:col>
      <xdr:colOff>6559550</xdr:colOff>
      <xdr:row>36</xdr:row>
      <xdr:rowOff>1320800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838950" y="52324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3</a:t>
          </a:r>
        </a:p>
      </xdr:txBody>
    </xdr:sp>
    <xdr:clientData/>
  </xdr:twoCellAnchor>
  <xdr:twoCellAnchor>
    <xdr:from>
      <xdr:col>1</xdr:col>
      <xdr:colOff>6248400</xdr:colOff>
      <xdr:row>42</xdr:row>
      <xdr:rowOff>260350</xdr:rowOff>
    </xdr:from>
    <xdr:to>
      <xdr:col>1</xdr:col>
      <xdr:colOff>6578600</xdr:colOff>
      <xdr:row>42</xdr:row>
      <xdr:rowOff>520700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858000" y="76200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4</a:t>
          </a:r>
        </a:p>
      </xdr:txBody>
    </xdr:sp>
    <xdr:clientData/>
  </xdr:twoCellAnchor>
  <xdr:twoCellAnchor>
    <xdr:from>
      <xdr:col>1</xdr:col>
      <xdr:colOff>6248400</xdr:colOff>
      <xdr:row>42</xdr:row>
      <xdr:rowOff>781050</xdr:rowOff>
    </xdr:from>
    <xdr:to>
      <xdr:col>1</xdr:col>
      <xdr:colOff>6578600</xdr:colOff>
      <xdr:row>42</xdr:row>
      <xdr:rowOff>1041400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6858000" y="81407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5</a:t>
          </a:r>
        </a:p>
      </xdr:txBody>
    </xdr:sp>
    <xdr:clientData/>
  </xdr:twoCellAnchor>
  <xdr:twoCellAnchor editAs="oneCell">
    <xdr:from>
      <xdr:col>1</xdr:col>
      <xdr:colOff>342900</xdr:colOff>
      <xdr:row>57</xdr:row>
      <xdr:rowOff>266699</xdr:rowOff>
    </xdr:from>
    <xdr:to>
      <xdr:col>1</xdr:col>
      <xdr:colOff>7931150</xdr:colOff>
      <xdr:row>96</xdr:row>
      <xdr:rowOff>74612</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9646"/>
        <a:stretch/>
      </xdr:blipFill>
      <xdr:spPr>
        <a:xfrm>
          <a:off x="952500" y="15328899"/>
          <a:ext cx="7588250" cy="7072313"/>
        </a:xfrm>
        <a:prstGeom prst="rect">
          <a:avLst/>
        </a:prstGeom>
      </xdr:spPr>
    </xdr:pic>
    <xdr:clientData/>
  </xdr:twoCellAnchor>
  <xdr:twoCellAnchor>
    <xdr:from>
      <xdr:col>1</xdr:col>
      <xdr:colOff>7442200</xdr:colOff>
      <xdr:row>57</xdr:row>
      <xdr:rowOff>1454150</xdr:rowOff>
    </xdr:from>
    <xdr:to>
      <xdr:col>1</xdr:col>
      <xdr:colOff>7772400</xdr:colOff>
      <xdr:row>57</xdr:row>
      <xdr:rowOff>1714500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8051800" y="165163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6</a:t>
          </a:r>
        </a:p>
      </xdr:txBody>
    </xdr:sp>
    <xdr:clientData/>
  </xdr:twoCellAnchor>
  <xdr:twoCellAnchor>
    <xdr:from>
      <xdr:col>1</xdr:col>
      <xdr:colOff>7448550</xdr:colOff>
      <xdr:row>57</xdr:row>
      <xdr:rowOff>2222500</xdr:rowOff>
    </xdr:from>
    <xdr:to>
      <xdr:col>1</xdr:col>
      <xdr:colOff>7778750</xdr:colOff>
      <xdr:row>57</xdr:row>
      <xdr:rowOff>2482850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8058150" y="1728470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7</a:t>
          </a:r>
        </a:p>
      </xdr:txBody>
    </xdr:sp>
    <xdr:clientData/>
  </xdr:twoCellAnchor>
  <xdr:twoCellAnchor>
    <xdr:from>
      <xdr:col>1</xdr:col>
      <xdr:colOff>7454900</xdr:colOff>
      <xdr:row>57</xdr:row>
      <xdr:rowOff>3003550</xdr:rowOff>
    </xdr:from>
    <xdr:to>
      <xdr:col>1</xdr:col>
      <xdr:colOff>7785100</xdr:colOff>
      <xdr:row>57</xdr:row>
      <xdr:rowOff>3263900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8064500" y="180657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8</a:t>
          </a:r>
        </a:p>
      </xdr:txBody>
    </xdr:sp>
    <xdr:clientData/>
  </xdr:twoCellAnchor>
  <xdr:twoCellAnchor>
    <xdr:from>
      <xdr:col>1</xdr:col>
      <xdr:colOff>7467600</xdr:colOff>
      <xdr:row>57</xdr:row>
      <xdr:rowOff>3803650</xdr:rowOff>
    </xdr:from>
    <xdr:to>
      <xdr:col>1</xdr:col>
      <xdr:colOff>7797800</xdr:colOff>
      <xdr:row>57</xdr:row>
      <xdr:rowOff>4064000</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8077200" y="188658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7620000</xdr:colOff>
      <xdr:row>57</xdr:row>
      <xdr:rowOff>3956050</xdr:rowOff>
    </xdr:from>
    <xdr:to>
      <xdr:col>1</xdr:col>
      <xdr:colOff>7950200</xdr:colOff>
      <xdr:row>57</xdr:row>
      <xdr:rowOff>4216400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8229600" y="190182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7772400</xdr:colOff>
      <xdr:row>57</xdr:row>
      <xdr:rowOff>4108450</xdr:rowOff>
    </xdr:from>
    <xdr:to>
      <xdr:col>1</xdr:col>
      <xdr:colOff>8102600</xdr:colOff>
      <xdr:row>57</xdr:row>
      <xdr:rowOff>4368800</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8382000" y="191706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7924800</xdr:colOff>
      <xdr:row>57</xdr:row>
      <xdr:rowOff>4260850</xdr:rowOff>
    </xdr:from>
    <xdr:to>
      <xdr:col>1</xdr:col>
      <xdr:colOff>8255000</xdr:colOff>
      <xdr:row>57</xdr:row>
      <xdr:rowOff>4521200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8534400" y="19323050"/>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7404100</xdr:colOff>
      <xdr:row>64</xdr:row>
      <xdr:rowOff>63499</xdr:rowOff>
    </xdr:from>
    <xdr:to>
      <xdr:col>1</xdr:col>
      <xdr:colOff>7734300</xdr:colOff>
      <xdr:row>65</xdr:row>
      <xdr:rowOff>139699</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8013700" y="164147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6</a:t>
          </a:r>
        </a:p>
      </xdr:txBody>
    </xdr:sp>
    <xdr:clientData/>
  </xdr:twoCellAnchor>
  <xdr:twoCellAnchor>
    <xdr:from>
      <xdr:col>1</xdr:col>
      <xdr:colOff>7423150</xdr:colOff>
      <xdr:row>68</xdr:row>
      <xdr:rowOff>107949</xdr:rowOff>
    </xdr:from>
    <xdr:to>
      <xdr:col>1</xdr:col>
      <xdr:colOff>7753350</xdr:colOff>
      <xdr:row>70</xdr:row>
      <xdr:rowOff>50800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8032750" y="17195799"/>
          <a:ext cx="330200" cy="311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7</a:t>
          </a:r>
        </a:p>
      </xdr:txBody>
    </xdr:sp>
    <xdr:clientData/>
  </xdr:twoCellAnchor>
  <xdr:twoCellAnchor>
    <xdr:from>
      <xdr:col>1</xdr:col>
      <xdr:colOff>7429500</xdr:colOff>
      <xdr:row>72</xdr:row>
      <xdr:rowOff>126999</xdr:rowOff>
    </xdr:from>
    <xdr:to>
      <xdr:col>1</xdr:col>
      <xdr:colOff>7759700</xdr:colOff>
      <xdr:row>74</xdr:row>
      <xdr:rowOff>19049</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8039100" y="179514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8</a:t>
          </a:r>
        </a:p>
      </xdr:txBody>
    </xdr:sp>
    <xdr:clientData/>
  </xdr:twoCellAnchor>
  <xdr:twoCellAnchor>
    <xdr:from>
      <xdr:col>1</xdr:col>
      <xdr:colOff>7435850</xdr:colOff>
      <xdr:row>77</xdr:row>
      <xdr:rowOff>19049</xdr:rowOff>
    </xdr:from>
    <xdr:to>
      <xdr:col>1</xdr:col>
      <xdr:colOff>7766050</xdr:colOff>
      <xdr:row>78</xdr:row>
      <xdr:rowOff>95249</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8045450" y="18764249"/>
          <a:ext cx="3302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9</a:t>
          </a:r>
        </a:p>
      </xdr:txBody>
    </xdr:sp>
    <xdr:clientData/>
  </xdr:twoCellAnchor>
  <xdr:twoCellAnchor>
    <xdr:from>
      <xdr:col>1</xdr:col>
      <xdr:colOff>7435850</xdr:colOff>
      <xdr:row>81</xdr:row>
      <xdr:rowOff>82549</xdr:rowOff>
    </xdr:from>
    <xdr:to>
      <xdr:col>1</xdr:col>
      <xdr:colOff>7835900</xdr:colOff>
      <xdr:row>82</xdr:row>
      <xdr:rowOff>158749</xdr:rowOff>
    </xdr:to>
    <xdr:sp macro="" textlink="">
      <xdr:nvSpPr>
        <xdr:cNvPr id="21" name="TextBox 20">
          <a:extLst>
            <a:ext uri="{FF2B5EF4-FFF2-40B4-BE49-F238E27FC236}">
              <a16:creationId xmlns:a16="http://schemas.microsoft.com/office/drawing/2014/main" id="{00000000-0008-0000-0800-000015000000}"/>
            </a:ext>
          </a:extLst>
        </xdr:cNvPr>
        <xdr:cNvSpPr txBox="1"/>
      </xdr:nvSpPr>
      <xdr:spPr>
        <a:xfrm>
          <a:off x="8045450" y="19564349"/>
          <a:ext cx="40005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10</a:t>
          </a:r>
        </a:p>
      </xdr:txBody>
    </xdr:sp>
    <xdr:clientData/>
  </xdr:twoCellAnchor>
  <xdr:twoCellAnchor>
    <xdr:from>
      <xdr:col>1</xdr:col>
      <xdr:colOff>7429500</xdr:colOff>
      <xdr:row>85</xdr:row>
      <xdr:rowOff>114299</xdr:rowOff>
    </xdr:from>
    <xdr:to>
      <xdr:col>1</xdr:col>
      <xdr:colOff>7829550</xdr:colOff>
      <xdr:row>87</xdr:row>
      <xdr:rowOff>6349</xdr:rowOff>
    </xdr:to>
    <xdr:sp macro="" textlink="">
      <xdr:nvSpPr>
        <xdr:cNvPr id="22" name="TextBox 21">
          <a:extLst>
            <a:ext uri="{FF2B5EF4-FFF2-40B4-BE49-F238E27FC236}">
              <a16:creationId xmlns:a16="http://schemas.microsoft.com/office/drawing/2014/main" id="{00000000-0008-0000-0800-000016000000}"/>
            </a:ext>
          </a:extLst>
        </xdr:cNvPr>
        <xdr:cNvSpPr txBox="1"/>
      </xdr:nvSpPr>
      <xdr:spPr>
        <a:xfrm>
          <a:off x="8039100" y="20332699"/>
          <a:ext cx="40005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11</a:t>
          </a:r>
        </a:p>
      </xdr:txBody>
    </xdr:sp>
    <xdr:clientData/>
  </xdr:twoCellAnchor>
  <xdr:twoCellAnchor>
    <xdr:from>
      <xdr:col>1</xdr:col>
      <xdr:colOff>7423150</xdr:colOff>
      <xdr:row>89</xdr:row>
      <xdr:rowOff>152399</xdr:rowOff>
    </xdr:from>
    <xdr:to>
      <xdr:col>1</xdr:col>
      <xdr:colOff>7931150</xdr:colOff>
      <xdr:row>91</xdr:row>
      <xdr:rowOff>44449</xdr:rowOff>
    </xdr:to>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8032750" y="21107399"/>
          <a:ext cx="5080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12</a:t>
          </a:r>
        </a:p>
      </xdr:txBody>
    </xdr:sp>
    <xdr:clientData/>
  </xdr:twoCellAnchor>
  <xdr:twoCellAnchor>
    <xdr:from>
      <xdr:col>1</xdr:col>
      <xdr:colOff>7435850</xdr:colOff>
      <xdr:row>94</xdr:row>
      <xdr:rowOff>38099</xdr:rowOff>
    </xdr:from>
    <xdr:to>
      <xdr:col>1</xdr:col>
      <xdr:colOff>7867650</xdr:colOff>
      <xdr:row>95</xdr:row>
      <xdr:rowOff>114299</xdr:rowOff>
    </xdr:to>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8045450" y="21913849"/>
          <a:ext cx="431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n>
                <a:noFill/>
              </a:ln>
            </a:rPr>
            <a:t>13</a:t>
          </a:r>
        </a:p>
      </xdr:txBody>
    </xdr:sp>
    <xdr:clientData/>
  </xdr:twoCellAnchor>
  <xdr:twoCellAnchor editAs="oneCell">
    <xdr:from>
      <xdr:col>1</xdr:col>
      <xdr:colOff>1009651</xdr:colOff>
      <xdr:row>6</xdr:row>
      <xdr:rowOff>152400</xdr:rowOff>
    </xdr:from>
    <xdr:to>
      <xdr:col>2</xdr:col>
      <xdr:colOff>177800</xdr:colOff>
      <xdr:row>16</xdr:row>
      <xdr:rowOff>176675</xdr:rowOff>
    </xdr:to>
    <xdr:pic>
      <xdr:nvPicPr>
        <xdr:cNvPr id="25" name="Picture 24">
          <a:extLst>
            <a:ext uri="{FF2B5EF4-FFF2-40B4-BE49-F238E27FC236}">
              <a16:creationId xmlns:a16="http://schemas.microsoft.com/office/drawing/2014/main" id="{00000000-0008-0000-0800-000019000000}"/>
            </a:ext>
          </a:extLst>
        </xdr:cNvPr>
        <xdr:cNvPicPr>
          <a:picLocks noChangeAspect="1"/>
        </xdr:cNvPicPr>
      </xdr:nvPicPr>
      <xdr:blipFill>
        <a:blip xmlns:r="http://schemas.openxmlformats.org/officeDocument/2006/relationships" r:embed="rId3"/>
        <a:stretch>
          <a:fillRect/>
        </a:stretch>
      </xdr:blipFill>
      <xdr:spPr>
        <a:xfrm>
          <a:off x="1619251" y="1308100"/>
          <a:ext cx="8312149" cy="186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3203</xdr:colOff>
      <xdr:row>4</xdr:row>
      <xdr:rowOff>5386</xdr:rowOff>
    </xdr:from>
    <xdr:to>
      <xdr:col>4</xdr:col>
      <xdr:colOff>628650</xdr:colOff>
      <xdr:row>33</xdr:row>
      <xdr:rowOff>47625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3203</xdr:colOff>
      <xdr:row>49</xdr:row>
      <xdr:rowOff>5386</xdr:rowOff>
    </xdr:from>
    <xdr:to>
      <xdr:col>4</xdr:col>
      <xdr:colOff>628650</xdr:colOff>
      <xdr:row>78</xdr:row>
      <xdr:rowOff>47625</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3203</xdr:colOff>
      <xdr:row>94</xdr:row>
      <xdr:rowOff>5386</xdr:rowOff>
    </xdr:from>
    <xdr:to>
      <xdr:col>4</xdr:col>
      <xdr:colOff>628650</xdr:colOff>
      <xdr:row>123</xdr:row>
      <xdr:rowOff>47625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3203</xdr:colOff>
      <xdr:row>139</xdr:row>
      <xdr:rowOff>5386</xdr:rowOff>
    </xdr:from>
    <xdr:to>
      <xdr:col>4</xdr:col>
      <xdr:colOff>628650</xdr:colOff>
      <xdr:row>168</xdr:row>
      <xdr:rowOff>47625</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3203</xdr:colOff>
      <xdr:row>184</xdr:row>
      <xdr:rowOff>5386</xdr:rowOff>
    </xdr:from>
    <xdr:to>
      <xdr:col>4</xdr:col>
      <xdr:colOff>628650</xdr:colOff>
      <xdr:row>213</xdr:row>
      <xdr:rowOff>47625</xdr:rowOff>
    </xdr:to>
    <xdr:graphicFrame macro="">
      <xdr:nvGraphicFramePr>
        <xdr:cNvPr id="7" name="Chart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F130"/>
  <sheetViews>
    <sheetView topLeftCell="P1" zoomScaleNormal="100" workbookViewId="0">
      <selection activeCell="Y6" sqref="Y6"/>
    </sheetView>
  </sheetViews>
  <sheetFormatPr defaultRowHeight="14.5" x14ac:dyDescent="0.35"/>
  <sheetData>
    <row r="1" spans="1:32" ht="18.5" x14ac:dyDescent="0.45">
      <c r="B1" s="265" t="s">
        <v>239</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row>
    <row r="2" spans="1:32" x14ac:dyDescent="0.35">
      <c r="A2" s="202"/>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row>
    <row r="3" spans="1:32" x14ac:dyDescent="0.35">
      <c r="A3" s="20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row>
    <row r="4" spans="1:32" x14ac:dyDescent="0.35">
      <c r="A4" s="20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row>
    <row r="5" spans="1:32" x14ac:dyDescent="0.35">
      <c r="A5" s="20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row>
    <row r="6" spans="1:32" x14ac:dyDescent="0.35">
      <c r="A6" s="20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x14ac:dyDescent="0.35">
      <c r="A7" s="202"/>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32" x14ac:dyDescent="0.35">
      <c r="A8" s="20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x14ac:dyDescent="0.35">
      <c r="A9" s="78"/>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32" x14ac:dyDescent="0.35">
      <c r="A10" s="78"/>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x14ac:dyDescent="0.35">
      <c r="A11" s="78"/>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1:32" x14ac:dyDescent="0.35">
      <c r="A12" s="78"/>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2" x14ac:dyDescent="0.35">
      <c r="A13" s="78"/>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row>
    <row r="14" spans="1:32" x14ac:dyDescent="0.35">
      <c r="A14" s="78"/>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row>
    <row r="15" spans="1:32" x14ac:dyDescent="0.35">
      <c r="A15" s="78"/>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row>
    <row r="16" spans="1:32" x14ac:dyDescent="0.35">
      <c r="A16" s="78"/>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row>
    <row r="17" spans="1:32" x14ac:dyDescent="0.35">
      <c r="A17" s="78"/>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row>
    <row r="18" spans="1:32" x14ac:dyDescent="0.35">
      <c r="A18" s="78"/>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row>
    <row r="19" spans="1:32" x14ac:dyDescent="0.3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row>
    <row r="20" spans="1:32" x14ac:dyDescent="0.35">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row>
    <row r="21" spans="1:32" x14ac:dyDescent="0.3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row>
    <row r="22" spans="1:32" x14ac:dyDescent="0.3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row>
    <row r="23" spans="1:32" x14ac:dyDescent="0.3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row>
    <row r="24" spans="1:32" x14ac:dyDescent="0.35">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row>
    <row r="25" spans="1:32" x14ac:dyDescent="0.3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row>
    <row r="26" spans="1:32" x14ac:dyDescent="0.3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row>
    <row r="27" spans="1:32" x14ac:dyDescent="0.35">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row>
    <row r="28" spans="1:32" x14ac:dyDescent="0.35">
      <c r="A28" s="73"/>
      <c r="B28" s="73"/>
      <c r="C28" s="73"/>
      <c r="D28" s="73"/>
      <c r="E28" s="73"/>
      <c r="F28" s="73"/>
      <c r="G28" s="73"/>
      <c r="H28" s="73"/>
      <c r="I28" s="73"/>
      <c r="J28" s="73"/>
      <c r="K28" s="73"/>
      <c r="L28" s="73"/>
      <c r="M28" s="73"/>
      <c r="N28" s="73"/>
      <c r="O28" s="73"/>
      <c r="P28" s="73"/>
      <c r="Q28" s="73"/>
      <c r="R28" s="73"/>
      <c r="S28" s="73"/>
      <c r="T28" s="73"/>
      <c r="U28" s="243"/>
      <c r="V28" s="73"/>
      <c r="W28" s="73"/>
      <c r="X28" s="73"/>
      <c r="Y28" s="73"/>
      <c r="Z28" s="73"/>
      <c r="AA28" s="73"/>
      <c r="AB28" s="73"/>
      <c r="AC28" s="73"/>
      <c r="AD28" s="73"/>
      <c r="AE28" s="73"/>
      <c r="AF28" s="73"/>
    </row>
    <row r="29" spans="1:32" x14ac:dyDescent="0.35">
      <c r="A29" s="73"/>
      <c r="B29" s="73"/>
      <c r="C29" s="73"/>
      <c r="D29" s="73"/>
      <c r="E29" s="73"/>
      <c r="F29" s="73"/>
      <c r="G29" s="73"/>
      <c r="H29" s="73"/>
      <c r="I29" s="73"/>
      <c r="J29" s="73"/>
      <c r="K29" s="73"/>
      <c r="L29" s="73"/>
      <c r="M29" s="73"/>
      <c r="N29" s="73"/>
      <c r="O29" s="73"/>
      <c r="P29" s="73"/>
      <c r="Q29" s="73"/>
      <c r="R29" s="73"/>
      <c r="S29" s="73"/>
      <c r="T29" s="73"/>
      <c r="U29" s="243"/>
      <c r="V29" s="73"/>
      <c r="W29" s="73"/>
      <c r="X29" s="73"/>
      <c r="Y29" s="73"/>
      <c r="Z29" s="73"/>
      <c r="AA29" s="73"/>
      <c r="AB29" s="73"/>
      <c r="AC29" s="73"/>
      <c r="AD29" s="73"/>
      <c r="AE29" s="73"/>
      <c r="AF29" s="73"/>
    </row>
    <row r="30" spans="1:32" x14ac:dyDescent="0.35">
      <c r="A30" s="73"/>
      <c r="B30" s="73"/>
      <c r="C30" s="73"/>
      <c r="D30" s="73"/>
      <c r="E30" s="73"/>
      <c r="F30" s="73"/>
      <c r="G30" s="73"/>
      <c r="H30" s="73"/>
      <c r="I30" s="73"/>
      <c r="J30" s="73"/>
      <c r="K30" s="73"/>
      <c r="L30" s="73"/>
      <c r="M30" s="73"/>
      <c r="N30" s="73"/>
      <c r="O30" s="73"/>
      <c r="P30" s="73"/>
      <c r="Q30" s="73"/>
      <c r="R30" s="73"/>
      <c r="S30" s="73"/>
      <c r="T30" s="73"/>
      <c r="U30" s="243"/>
      <c r="V30" s="73"/>
      <c r="W30" s="73"/>
      <c r="X30" s="73"/>
      <c r="Y30" s="73"/>
      <c r="Z30" s="73"/>
      <c r="AA30" s="73"/>
      <c r="AB30" s="73"/>
      <c r="AC30" s="73"/>
      <c r="AD30" s="73"/>
      <c r="AE30" s="73"/>
      <c r="AF30" s="73"/>
    </row>
    <row r="31" spans="1:32" x14ac:dyDescent="0.35">
      <c r="A31" s="73"/>
      <c r="B31" s="73"/>
      <c r="C31" s="73"/>
      <c r="D31" s="73"/>
      <c r="E31" s="73"/>
      <c r="F31" s="73"/>
      <c r="G31" s="73"/>
      <c r="H31" s="73"/>
      <c r="I31" s="73"/>
      <c r="J31" s="73"/>
      <c r="K31" s="73"/>
      <c r="L31" s="73"/>
      <c r="M31" s="73"/>
      <c r="N31" s="73"/>
      <c r="O31" s="73"/>
      <c r="P31" s="73"/>
      <c r="Q31" s="73"/>
      <c r="R31" s="73"/>
      <c r="S31" s="73"/>
      <c r="T31" s="73"/>
      <c r="U31" s="243"/>
      <c r="V31" s="73"/>
      <c r="W31" s="73"/>
      <c r="X31" s="73"/>
      <c r="Y31" s="73"/>
      <c r="Z31" s="73"/>
      <c r="AA31" s="73"/>
      <c r="AB31" s="73"/>
      <c r="AC31" s="73"/>
      <c r="AD31" s="73"/>
      <c r="AE31" s="73"/>
      <c r="AF31" s="73"/>
    </row>
    <row r="32" spans="1:32" x14ac:dyDescent="0.35">
      <c r="A32" s="73"/>
      <c r="B32" s="73"/>
      <c r="C32" s="73"/>
      <c r="D32" s="73"/>
      <c r="E32" s="73"/>
      <c r="F32" s="73"/>
      <c r="G32" s="73"/>
      <c r="H32" s="73"/>
      <c r="I32" s="73"/>
      <c r="J32" s="73"/>
      <c r="K32" s="73"/>
      <c r="L32" s="73"/>
      <c r="M32" s="73"/>
      <c r="N32" s="73"/>
      <c r="O32" s="73"/>
      <c r="P32" s="73"/>
      <c r="Q32" s="73"/>
      <c r="R32" s="73"/>
      <c r="S32" s="73"/>
      <c r="T32" s="73"/>
      <c r="U32" s="243"/>
      <c r="V32" s="73"/>
      <c r="W32" s="73"/>
      <c r="X32" s="73"/>
      <c r="Y32" s="73"/>
      <c r="Z32" s="73"/>
      <c r="AA32" s="73"/>
      <c r="AB32" s="73"/>
      <c r="AC32" s="73"/>
      <c r="AD32" s="73"/>
      <c r="AE32" s="73"/>
      <c r="AF32" s="73"/>
    </row>
    <row r="33" spans="1:32" x14ac:dyDescent="0.35">
      <c r="A33" s="73"/>
      <c r="B33" s="73"/>
      <c r="C33" s="73"/>
      <c r="D33" s="73"/>
      <c r="E33" s="73"/>
      <c r="F33" s="73"/>
      <c r="G33" s="73"/>
      <c r="H33" s="73"/>
      <c r="I33" s="73"/>
      <c r="J33" s="73"/>
      <c r="K33" s="73"/>
      <c r="L33" s="73"/>
      <c r="M33" s="73"/>
      <c r="N33" s="73"/>
      <c r="O33" s="73"/>
      <c r="P33" s="73"/>
      <c r="Q33" s="73"/>
      <c r="R33" s="73"/>
      <c r="S33" s="73"/>
      <c r="T33" s="73"/>
      <c r="U33" s="243"/>
      <c r="V33" s="73"/>
      <c r="W33" s="73"/>
      <c r="X33" s="73"/>
      <c r="Y33" s="73"/>
      <c r="Z33" s="73"/>
      <c r="AA33" s="73"/>
      <c r="AB33" s="73"/>
      <c r="AC33" s="73"/>
      <c r="AD33" s="73"/>
      <c r="AE33" s="73"/>
      <c r="AF33" s="73"/>
    </row>
    <row r="34" spans="1:32" x14ac:dyDescent="0.35">
      <c r="A34" s="73"/>
      <c r="B34" s="73"/>
      <c r="C34" s="73"/>
      <c r="D34" s="73"/>
      <c r="E34" s="73"/>
      <c r="F34" s="73"/>
      <c r="G34" s="73"/>
      <c r="H34" s="73"/>
      <c r="I34" s="73"/>
      <c r="J34" s="73"/>
      <c r="K34" s="73"/>
      <c r="L34" s="73"/>
      <c r="M34" s="73"/>
      <c r="N34" s="73"/>
      <c r="O34" s="73"/>
      <c r="P34" s="73"/>
      <c r="Q34" s="73"/>
      <c r="R34" s="73"/>
      <c r="S34" s="73"/>
      <c r="T34" s="73"/>
      <c r="U34" s="243"/>
      <c r="V34" s="73"/>
      <c r="W34" s="73"/>
      <c r="X34" s="73"/>
      <c r="Y34" s="73"/>
      <c r="Z34" s="73"/>
      <c r="AA34" s="73"/>
      <c r="AB34" s="73"/>
      <c r="AC34" s="73"/>
      <c r="AD34" s="73"/>
      <c r="AE34" s="73"/>
      <c r="AF34" s="73"/>
    </row>
    <row r="35" spans="1:32" x14ac:dyDescent="0.35">
      <c r="A35" s="73"/>
      <c r="B35" s="73"/>
      <c r="C35" s="73"/>
      <c r="D35" s="73"/>
      <c r="E35" s="73"/>
      <c r="F35" s="73"/>
      <c r="G35" s="73"/>
      <c r="H35" s="73"/>
      <c r="I35" s="73"/>
      <c r="J35" s="73"/>
      <c r="K35" s="73"/>
      <c r="L35" s="73"/>
      <c r="M35" s="73"/>
      <c r="N35" s="73"/>
      <c r="O35" s="73"/>
      <c r="P35" s="73"/>
      <c r="Q35" s="73"/>
      <c r="R35" s="73"/>
      <c r="S35" s="73"/>
      <c r="T35" s="73"/>
      <c r="U35" s="243"/>
      <c r="V35" s="73"/>
      <c r="W35" s="73"/>
      <c r="X35" s="73"/>
      <c r="Y35" s="73"/>
      <c r="Z35" s="73"/>
      <c r="AA35" s="73"/>
      <c r="AB35" s="73"/>
      <c r="AC35" s="73"/>
      <c r="AD35" s="73"/>
      <c r="AE35" s="73"/>
      <c r="AF35" s="73"/>
    </row>
    <row r="36" spans="1:32" x14ac:dyDescent="0.35">
      <c r="A36" s="73"/>
      <c r="B36" s="73"/>
      <c r="C36" s="73"/>
      <c r="D36" s="73"/>
      <c r="E36" s="73"/>
      <c r="F36" s="73"/>
      <c r="G36" s="73"/>
      <c r="H36" s="73"/>
      <c r="I36" s="73"/>
      <c r="J36" s="73"/>
      <c r="K36" s="73"/>
      <c r="L36" s="73"/>
      <c r="M36" s="73"/>
      <c r="N36" s="73"/>
      <c r="O36" s="73"/>
      <c r="P36" s="73"/>
      <c r="Q36" s="73"/>
      <c r="R36" s="73"/>
      <c r="S36" s="73"/>
      <c r="T36" s="73"/>
      <c r="U36" s="243"/>
      <c r="V36" s="73"/>
      <c r="W36" s="73"/>
      <c r="X36" s="73"/>
      <c r="Y36" s="73"/>
      <c r="Z36" s="73"/>
      <c r="AA36" s="73"/>
      <c r="AB36" s="73"/>
      <c r="AC36" s="73"/>
      <c r="AD36" s="73"/>
      <c r="AE36" s="73"/>
      <c r="AF36" s="73"/>
    </row>
    <row r="37" spans="1:32" x14ac:dyDescent="0.35">
      <c r="A37" s="73"/>
      <c r="B37" s="73"/>
      <c r="C37" s="73"/>
      <c r="D37" s="73"/>
      <c r="E37" s="73"/>
      <c r="F37" s="73"/>
      <c r="G37" s="73"/>
      <c r="H37" s="73"/>
      <c r="I37" s="73"/>
      <c r="J37" s="73"/>
      <c r="K37" s="73"/>
      <c r="L37" s="73"/>
      <c r="M37" s="73"/>
      <c r="N37" s="73"/>
      <c r="O37" s="73"/>
      <c r="P37" s="73"/>
      <c r="Q37" s="73"/>
      <c r="R37" s="73"/>
      <c r="S37" s="73"/>
      <c r="T37" s="73"/>
      <c r="U37" s="243"/>
      <c r="V37" s="73"/>
      <c r="W37" s="73"/>
      <c r="X37" s="73"/>
      <c r="Y37" s="73"/>
      <c r="Z37" s="73"/>
      <c r="AA37" s="73"/>
      <c r="AB37" s="73"/>
      <c r="AC37" s="73"/>
      <c r="AD37" s="73"/>
      <c r="AE37" s="73"/>
      <c r="AF37" s="73"/>
    </row>
    <row r="38" spans="1:32" x14ac:dyDescent="0.35">
      <c r="A38" s="73"/>
      <c r="B38" s="73"/>
      <c r="C38" s="73"/>
      <c r="D38" s="73"/>
      <c r="E38" s="73"/>
      <c r="F38" s="73"/>
      <c r="G38" s="73"/>
      <c r="H38" s="73"/>
      <c r="I38" s="73"/>
      <c r="J38" s="73"/>
      <c r="K38" s="73"/>
      <c r="L38" s="73"/>
      <c r="M38" s="73"/>
      <c r="N38" s="73"/>
      <c r="O38" s="73"/>
      <c r="P38" s="73"/>
      <c r="Q38" s="73"/>
      <c r="R38" s="73"/>
      <c r="S38" s="73"/>
      <c r="T38" s="73"/>
      <c r="U38" s="243"/>
      <c r="V38" s="73"/>
      <c r="W38" s="73"/>
      <c r="X38" s="73"/>
      <c r="Y38" s="73"/>
      <c r="Z38" s="73"/>
      <c r="AA38" s="73"/>
      <c r="AB38" s="73"/>
      <c r="AC38" s="73"/>
      <c r="AD38" s="73"/>
      <c r="AE38" s="73"/>
      <c r="AF38" s="73"/>
    </row>
    <row r="39" spans="1:32" x14ac:dyDescent="0.35">
      <c r="A39" s="73"/>
      <c r="B39" s="73"/>
      <c r="C39" s="73"/>
      <c r="D39" s="73"/>
      <c r="E39" s="73"/>
      <c r="F39" s="73"/>
      <c r="G39" s="73"/>
      <c r="H39" s="73"/>
      <c r="I39" s="73"/>
      <c r="J39" s="73"/>
      <c r="K39" s="73"/>
      <c r="L39" s="73"/>
      <c r="M39" s="73"/>
      <c r="N39" s="73"/>
      <c r="O39" s="73"/>
      <c r="P39" s="73"/>
      <c r="Q39" s="73"/>
      <c r="R39" s="73"/>
      <c r="S39" s="73"/>
      <c r="T39" s="73"/>
      <c r="U39" s="243"/>
      <c r="V39" s="73"/>
      <c r="W39" s="73"/>
      <c r="X39" s="73"/>
      <c r="Y39" s="73"/>
      <c r="Z39" s="73"/>
      <c r="AA39" s="73"/>
      <c r="AB39" s="73"/>
      <c r="AC39" s="73"/>
      <c r="AD39" s="73"/>
      <c r="AE39" s="73"/>
      <c r="AF39" s="73"/>
    </row>
    <row r="40" spans="1:32" x14ac:dyDescent="0.35">
      <c r="A40" s="73"/>
      <c r="B40" s="73"/>
      <c r="C40" s="73"/>
      <c r="D40" s="73"/>
      <c r="E40" s="73"/>
      <c r="F40" s="73"/>
      <c r="G40" s="73"/>
      <c r="H40" s="73"/>
      <c r="I40" s="73"/>
      <c r="J40" s="73"/>
      <c r="K40" s="73"/>
      <c r="L40" s="73"/>
      <c r="M40" s="73"/>
      <c r="N40" s="73"/>
      <c r="O40" s="73"/>
      <c r="P40" s="73"/>
      <c r="Q40" s="73"/>
      <c r="R40" s="73"/>
      <c r="S40" s="73"/>
      <c r="T40" s="73"/>
      <c r="U40" s="243"/>
      <c r="V40" s="73"/>
      <c r="W40" s="73"/>
      <c r="X40" s="73"/>
      <c r="Y40" s="73"/>
      <c r="Z40" s="73"/>
      <c r="AA40" s="73"/>
      <c r="AB40" s="73"/>
      <c r="AC40" s="73"/>
      <c r="AD40" s="73"/>
      <c r="AE40" s="73"/>
      <c r="AF40" s="73"/>
    </row>
    <row r="41" spans="1:32" x14ac:dyDescent="0.35">
      <c r="A41" s="73"/>
      <c r="B41" s="73"/>
      <c r="C41" s="73"/>
      <c r="D41" s="73"/>
      <c r="E41" s="73"/>
      <c r="F41" s="73"/>
      <c r="G41" s="73"/>
      <c r="H41" s="73"/>
      <c r="I41" s="73"/>
      <c r="J41" s="73"/>
      <c r="K41" s="73"/>
      <c r="L41" s="73"/>
      <c r="M41" s="73"/>
      <c r="N41" s="73"/>
      <c r="O41" s="73"/>
      <c r="P41" s="73"/>
      <c r="Q41" s="73"/>
      <c r="R41" s="73"/>
      <c r="S41" s="73"/>
      <c r="T41" s="73"/>
      <c r="U41" s="243"/>
      <c r="V41" s="73"/>
      <c r="W41" s="73"/>
      <c r="X41" s="73"/>
      <c r="Y41" s="73"/>
      <c r="Z41" s="73"/>
      <c r="AA41" s="73"/>
      <c r="AB41" s="73"/>
      <c r="AC41" s="73"/>
      <c r="AD41" s="73"/>
      <c r="AE41" s="73"/>
      <c r="AF41" s="73"/>
    </row>
    <row r="42" spans="1:32" x14ac:dyDescent="0.35">
      <c r="A42" s="73"/>
      <c r="B42" s="73"/>
      <c r="C42" s="73"/>
      <c r="D42" s="73"/>
      <c r="E42" s="73"/>
      <c r="F42" s="73"/>
      <c r="G42" s="73"/>
      <c r="H42" s="73"/>
      <c r="I42" s="73"/>
      <c r="J42" s="73"/>
      <c r="K42" s="73"/>
      <c r="L42" s="73"/>
      <c r="M42" s="73"/>
      <c r="N42" s="73"/>
      <c r="O42" s="73"/>
      <c r="P42" s="73"/>
      <c r="Q42" s="73"/>
      <c r="R42" s="73"/>
      <c r="S42" s="73"/>
      <c r="T42" s="73"/>
      <c r="U42" s="243"/>
      <c r="V42" s="73"/>
      <c r="W42" s="73"/>
      <c r="X42" s="73"/>
      <c r="Y42" s="73"/>
      <c r="Z42" s="73"/>
      <c r="AA42" s="73"/>
      <c r="AB42" s="73"/>
      <c r="AC42" s="73"/>
      <c r="AD42" s="73"/>
      <c r="AE42" s="73"/>
      <c r="AF42" s="73"/>
    </row>
    <row r="43" spans="1:32" x14ac:dyDescent="0.35">
      <c r="A43" s="73"/>
      <c r="B43" s="73"/>
      <c r="C43" s="73"/>
      <c r="D43" s="73"/>
      <c r="E43" s="73"/>
      <c r="F43" s="73"/>
      <c r="G43" s="73"/>
      <c r="H43" s="73"/>
      <c r="I43" s="73"/>
      <c r="J43" s="73"/>
      <c r="K43" s="73"/>
      <c r="L43" s="73"/>
      <c r="M43" s="73"/>
      <c r="N43" s="73"/>
      <c r="O43" s="73"/>
      <c r="P43" s="73"/>
      <c r="Q43" s="73"/>
      <c r="R43" s="73"/>
      <c r="S43" s="73"/>
      <c r="T43" s="73"/>
      <c r="U43" s="243"/>
      <c r="V43" s="73"/>
      <c r="W43" s="73"/>
      <c r="X43" s="73"/>
      <c r="Y43" s="73"/>
      <c r="Z43" s="73"/>
      <c r="AA43" s="73"/>
      <c r="AB43" s="73"/>
      <c r="AC43" s="73"/>
      <c r="AD43" s="73"/>
      <c r="AE43" s="73"/>
      <c r="AF43" s="73"/>
    </row>
    <row r="44" spans="1:32" x14ac:dyDescent="0.35">
      <c r="A44" s="73"/>
      <c r="B44" s="73"/>
      <c r="C44" s="73"/>
      <c r="D44" s="73"/>
      <c r="E44" s="73"/>
      <c r="F44" s="73"/>
      <c r="G44" s="73"/>
      <c r="H44" s="73"/>
      <c r="I44" s="73"/>
      <c r="J44" s="73"/>
      <c r="K44" s="73"/>
      <c r="L44" s="73"/>
      <c r="M44" s="73"/>
      <c r="N44" s="73"/>
      <c r="O44" s="73"/>
      <c r="P44" s="73"/>
      <c r="Q44" s="73"/>
      <c r="R44" s="73"/>
      <c r="S44" s="73"/>
      <c r="T44" s="73"/>
      <c r="U44" s="243"/>
      <c r="V44" s="73"/>
      <c r="W44" s="73"/>
      <c r="X44" s="73"/>
      <c r="Y44" s="73"/>
      <c r="Z44" s="73"/>
      <c r="AA44" s="73"/>
      <c r="AB44" s="73"/>
      <c r="AC44" s="73"/>
      <c r="AD44" s="73"/>
      <c r="AE44" s="73"/>
      <c r="AF44" s="73"/>
    </row>
    <row r="45" spans="1:32" x14ac:dyDescent="0.3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row>
    <row r="46" spans="1:32" x14ac:dyDescent="0.3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x14ac:dyDescent="0.3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row>
    <row r="48" spans="1:32" x14ac:dyDescent="0.3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row>
    <row r="49" spans="1:32" x14ac:dyDescent="0.3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row>
    <row r="50" spans="1:32" x14ac:dyDescent="0.3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row>
    <row r="51" spans="1:32" x14ac:dyDescent="0.3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row>
    <row r="52" spans="1:32" x14ac:dyDescent="0.3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row>
    <row r="53" spans="1:32" x14ac:dyDescent="0.3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row>
    <row r="54" spans="1:32" x14ac:dyDescent="0.3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row>
    <row r="55" spans="1:32" x14ac:dyDescent="0.3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row>
    <row r="56" spans="1:32" x14ac:dyDescent="0.3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row>
    <row r="57" spans="1:32" x14ac:dyDescent="0.3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row>
    <row r="58" spans="1:32" x14ac:dyDescent="0.3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row>
    <row r="59" spans="1:32" x14ac:dyDescent="0.3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row>
    <row r="60" spans="1:32" x14ac:dyDescent="0.3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2" x14ac:dyDescent="0.3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row>
    <row r="62" spans="1:32" x14ac:dyDescent="0.3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row>
    <row r="63" spans="1:32" x14ac:dyDescent="0.3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row>
    <row r="64" spans="1:32" x14ac:dyDescent="0.3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row>
    <row r="65" spans="1:32" x14ac:dyDescent="0.3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row>
    <row r="66" spans="1:32" x14ac:dyDescent="0.3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row>
    <row r="67" spans="1:32" x14ac:dyDescent="0.3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row>
    <row r="68" spans="1:32" x14ac:dyDescent="0.3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row>
    <row r="69" spans="1:32" x14ac:dyDescent="0.3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row>
    <row r="70" spans="1:32" x14ac:dyDescent="0.3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row>
    <row r="71" spans="1:32" x14ac:dyDescent="0.3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row>
    <row r="72" spans="1:32" x14ac:dyDescent="0.3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row>
    <row r="73" spans="1:32" x14ac:dyDescent="0.3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row>
    <row r="74" spans="1:32" x14ac:dyDescent="0.3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row>
    <row r="75" spans="1:32" x14ac:dyDescent="0.3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row>
    <row r="76" spans="1:32" x14ac:dyDescent="0.3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row>
    <row r="77" spans="1:32" x14ac:dyDescent="0.3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row>
    <row r="78" spans="1:32" x14ac:dyDescent="0.3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row>
    <row r="79" spans="1:32" x14ac:dyDescent="0.3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row>
    <row r="80" spans="1:32" x14ac:dyDescent="0.3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row>
    <row r="81" spans="1:32" x14ac:dyDescent="0.3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row>
    <row r="82" spans="1:32" x14ac:dyDescent="0.3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row>
    <row r="83" spans="1:32" x14ac:dyDescent="0.3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row>
    <row r="84" spans="1:32" x14ac:dyDescent="0.35">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row>
    <row r="85" spans="1:32" x14ac:dyDescent="0.35">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row>
    <row r="86" spans="1:32" x14ac:dyDescent="0.3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row>
    <row r="87" spans="1:32" x14ac:dyDescent="0.3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row>
    <row r="88" spans="1:32" x14ac:dyDescent="0.3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row>
    <row r="89" spans="1:32" x14ac:dyDescent="0.3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row>
    <row r="90" spans="1:32" x14ac:dyDescent="0.3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row>
    <row r="91" spans="1:32" x14ac:dyDescent="0.3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row>
    <row r="92" spans="1:32" x14ac:dyDescent="0.3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row>
    <row r="93" spans="1:32" x14ac:dyDescent="0.3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row>
    <row r="94" spans="1:32" x14ac:dyDescent="0.3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row>
    <row r="95" spans="1:32" x14ac:dyDescent="0.3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row>
    <row r="96" spans="1:32" x14ac:dyDescent="0.3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row>
    <row r="97" spans="1:32" x14ac:dyDescent="0.3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row>
    <row r="98" spans="1:32" x14ac:dyDescent="0.3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row>
    <row r="99" spans="1:32" x14ac:dyDescent="0.3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row>
    <row r="100" spans="1:32" x14ac:dyDescent="0.3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row>
    <row r="101" spans="1:32" x14ac:dyDescent="0.3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row>
    <row r="102" spans="1:32" x14ac:dyDescent="0.3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row>
    <row r="103" spans="1:32" x14ac:dyDescent="0.3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row>
    <row r="104" spans="1:32" x14ac:dyDescent="0.3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row>
    <row r="105" spans="1:32" x14ac:dyDescent="0.3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row>
    <row r="106" spans="1:32" x14ac:dyDescent="0.3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row>
    <row r="107" spans="1:32" x14ac:dyDescent="0.3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row>
    <row r="108" spans="1:32" x14ac:dyDescent="0.3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row>
    <row r="109" spans="1:32" x14ac:dyDescent="0.3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row>
    <row r="110" spans="1:32" x14ac:dyDescent="0.35">
      <c r="A110" s="78"/>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row>
    <row r="111" spans="1:32" x14ac:dyDescent="0.35">
      <c r="A111" s="78"/>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row>
    <row r="112" spans="1:32" x14ac:dyDescent="0.3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row>
    <row r="113" spans="1:32" x14ac:dyDescent="0.35">
      <c r="A113" s="78"/>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row>
    <row r="114" spans="1:32" s="27" customFormat="1" x14ac:dyDescent="0.35">
      <c r="A114" s="202"/>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row>
    <row r="115" spans="1:32" x14ac:dyDescent="0.3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row>
    <row r="116" spans="1:32" x14ac:dyDescent="0.3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row>
    <row r="117" spans="1:32" x14ac:dyDescent="0.3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row>
    <row r="118" spans="1:32" x14ac:dyDescent="0.3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row>
    <row r="119" spans="1:32" x14ac:dyDescent="0.3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row>
    <row r="120" spans="1:32" x14ac:dyDescent="0.3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row>
    <row r="121" spans="1:32" x14ac:dyDescent="0.3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row>
    <row r="122" spans="1:32" x14ac:dyDescent="0.3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x14ac:dyDescent="0.3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row>
    <row r="124" spans="1:32" x14ac:dyDescent="0.3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row>
    <row r="125" spans="1:32" x14ac:dyDescent="0.3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row>
    <row r="126" spans="1:32" x14ac:dyDescent="0.3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row>
    <row r="127" spans="1:32" x14ac:dyDescent="0.3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row>
    <row r="128" spans="1:32" x14ac:dyDescent="0.3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row>
    <row r="129" spans="1:32" x14ac:dyDescent="0.3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row>
    <row r="130" spans="1:32" x14ac:dyDescent="0.3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G43"/>
  <sheetViews>
    <sheetView workbookViewId="0"/>
  </sheetViews>
  <sheetFormatPr defaultRowHeight="14.5" x14ac:dyDescent="0.35"/>
  <cols>
    <col min="1" max="1" width="2.81640625" style="58" bestFit="1" customWidth="1"/>
    <col min="2" max="2" width="139.7265625" customWidth="1"/>
  </cols>
  <sheetData>
    <row r="1" spans="1:33" s="8" customFormat="1" ht="18.5" x14ac:dyDescent="0.45">
      <c r="A1" s="125"/>
      <c r="B1" s="265" t="s">
        <v>240</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3" s="8" customFormat="1" x14ac:dyDescent="0.35">
      <c r="A2" s="125"/>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row>
    <row r="3" spans="1:33" ht="18.5" x14ac:dyDescent="0.45">
      <c r="A3" s="125"/>
      <c r="B3" s="200" t="s">
        <v>146</v>
      </c>
      <c r="C3" s="201" t="s">
        <v>45</v>
      </c>
      <c r="D3" s="201" t="s">
        <v>46</v>
      </c>
      <c r="E3" s="201" t="s">
        <v>47</v>
      </c>
      <c r="F3" s="201" t="s">
        <v>48</v>
      </c>
      <c r="G3" s="201" t="s">
        <v>49</v>
      </c>
      <c r="H3" s="201" t="s">
        <v>50</v>
      </c>
      <c r="I3" s="73"/>
      <c r="J3" s="73"/>
      <c r="K3" s="73"/>
      <c r="L3" s="73"/>
      <c r="M3" s="73"/>
      <c r="N3" s="73"/>
      <c r="O3" s="73"/>
      <c r="P3" s="73"/>
      <c r="Q3" s="73"/>
      <c r="R3" s="73"/>
      <c r="S3" s="73"/>
      <c r="T3" s="73"/>
      <c r="U3" s="73"/>
      <c r="V3" s="73"/>
      <c r="W3" s="73"/>
      <c r="X3" s="73"/>
      <c r="Y3" s="73"/>
      <c r="Z3" s="73"/>
      <c r="AA3" s="73"/>
      <c r="AB3" s="73"/>
      <c r="AC3" s="73"/>
      <c r="AD3" s="73"/>
      <c r="AE3" s="73"/>
      <c r="AF3" s="73"/>
      <c r="AG3" s="73"/>
    </row>
    <row r="4" spans="1:33" x14ac:dyDescent="0.35">
      <c r="A4" s="125"/>
      <c r="B4" s="131" t="s">
        <v>65</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x14ac:dyDescent="0.35">
      <c r="A5" s="125">
        <v>1</v>
      </c>
      <c r="B5" s="163" t="str">
        <f>CONCATENATE("What is the probability that the 'in-situ status quo' plan for the ",'Initial information'!C7," will be ",'1. In-situ status quo plan'!$C$38,"% implemented in ",'1. In-situ status quo plan'!$C$35," years from now?")</f>
        <v>What is the probability that the 'in-situ status quo' plan for the  will be % implemented in  years from now?</v>
      </c>
      <c r="C5" s="57"/>
      <c r="D5" s="57"/>
      <c r="E5" s="57"/>
      <c r="F5" s="57"/>
      <c r="G5" s="57"/>
      <c r="H5" s="160"/>
      <c r="I5" s="73"/>
      <c r="J5" s="73"/>
      <c r="K5" s="73"/>
      <c r="L5" s="73"/>
      <c r="M5" s="73"/>
      <c r="N5" s="73"/>
      <c r="O5" s="73"/>
      <c r="P5" s="73"/>
      <c r="Q5" s="73"/>
      <c r="R5" s="73"/>
      <c r="S5" s="73"/>
      <c r="T5" s="73"/>
      <c r="U5" s="73"/>
      <c r="V5" s="73"/>
      <c r="W5" s="73"/>
      <c r="X5" s="73"/>
      <c r="Y5" s="73"/>
      <c r="Z5" s="73"/>
      <c r="AA5" s="73"/>
      <c r="AB5" s="73"/>
      <c r="AC5" s="73"/>
      <c r="AD5" s="73"/>
      <c r="AE5" s="73"/>
      <c r="AF5" s="73"/>
      <c r="AG5" s="73"/>
    </row>
    <row r="6" spans="1:33" x14ac:dyDescent="0.35">
      <c r="A6" s="125"/>
      <c r="B6" s="158"/>
      <c r="C6" s="159"/>
      <c r="D6" s="159"/>
      <c r="E6" s="159"/>
      <c r="F6" s="159"/>
      <c r="G6" s="159"/>
      <c r="H6" s="159"/>
      <c r="I6" s="73"/>
      <c r="J6" s="73"/>
      <c r="K6" s="73"/>
      <c r="L6" s="73"/>
      <c r="M6" s="73"/>
      <c r="N6" s="73"/>
      <c r="O6" s="73"/>
      <c r="P6" s="73"/>
      <c r="Q6" s="73"/>
      <c r="R6" s="73"/>
      <c r="S6" s="73"/>
      <c r="T6" s="73"/>
      <c r="U6" s="73"/>
      <c r="V6" s="73"/>
      <c r="W6" s="73"/>
      <c r="X6" s="73"/>
      <c r="Y6" s="73"/>
      <c r="Z6" s="73"/>
      <c r="AA6" s="73"/>
      <c r="AB6" s="73"/>
      <c r="AC6" s="73"/>
      <c r="AD6" s="73"/>
      <c r="AE6" s="73"/>
      <c r="AF6" s="73"/>
      <c r="AG6" s="73"/>
    </row>
    <row r="7" spans="1:33" x14ac:dyDescent="0.35">
      <c r="A7" s="125"/>
      <c r="B7" s="131" t="s">
        <v>67</v>
      </c>
      <c r="C7" s="155"/>
      <c r="D7" s="155"/>
      <c r="E7" s="155"/>
      <c r="F7" s="155"/>
      <c r="G7" s="155"/>
      <c r="H7" s="155"/>
      <c r="I7" s="73"/>
      <c r="J7" s="73"/>
      <c r="K7" s="73"/>
      <c r="L7" s="73"/>
      <c r="M7" s="73"/>
      <c r="N7" s="73"/>
      <c r="O7" s="73"/>
      <c r="P7" s="73"/>
      <c r="Q7" s="73"/>
      <c r="R7" s="73"/>
      <c r="S7" s="73"/>
      <c r="T7" s="73"/>
      <c r="U7" s="73"/>
      <c r="V7" s="73"/>
      <c r="W7" s="73"/>
      <c r="X7" s="73"/>
      <c r="Y7" s="73"/>
      <c r="Z7" s="73"/>
      <c r="AA7" s="73"/>
      <c r="AB7" s="73"/>
      <c r="AC7" s="73"/>
      <c r="AD7" s="73"/>
      <c r="AE7" s="73"/>
      <c r="AF7" s="73"/>
      <c r="AG7" s="73"/>
    </row>
    <row r="8" spans="1:33" x14ac:dyDescent="0.35">
      <c r="A8" s="125">
        <v>2</v>
      </c>
      <c r="B8" s="122" t="str">
        <f>CONCATENATE("What is the probability that the 'in situ plus' plan for the ",'Initial information'!C7," will be ", '3. In-situ plus plan'!$D$41,"% implemented in ",'3. In-situ plus plan'!$D$38," years from now?")</f>
        <v>What is the probability that the 'in situ plus' plan for the  will be % implemented in  years from now?</v>
      </c>
      <c r="C8" s="57"/>
      <c r="D8" s="57"/>
      <c r="E8" s="57"/>
      <c r="F8" s="57"/>
      <c r="G8" s="57"/>
      <c r="H8" s="160"/>
      <c r="I8" s="73"/>
      <c r="J8" s="73"/>
      <c r="K8" s="73"/>
      <c r="L8" s="73"/>
      <c r="M8" s="73"/>
      <c r="N8" s="73"/>
      <c r="O8" s="73"/>
      <c r="P8" s="73"/>
      <c r="Q8" s="73"/>
      <c r="R8" s="73"/>
      <c r="S8" s="73"/>
      <c r="T8" s="73"/>
      <c r="U8" s="73"/>
      <c r="V8" s="73"/>
      <c r="W8" s="73"/>
      <c r="X8" s="73"/>
      <c r="Y8" s="73"/>
      <c r="Z8" s="73"/>
      <c r="AA8" s="73"/>
      <c r="AB8" s="73"/>
      <c r="AC8" s="73"/>
      <c r="AD8" s="73"/>
      <c r="AE8" s="73"/>
      <c r="AF8" s="73"/>
      <c r="AG8" s="73"/>
    </row>
    <row r="9" spans="1:33" s="75" customFormat="1" x14ac:dyDescent="0.35">
      <c r="A9" s="134"/>
      <c r="B9" s="136"/>
      <c r="C9" s="159"/>
      <c r="D9" s="159"/>
      <c r="E9" s="159"/>
      <c r="F9" s="159"/>
      <c r="G9" s="159"/>
      <c r="H9" s="159"/>
    </row>
    <row r="10" spans="1:33" x14ac:dyDescent="0.35">
      <c r="A10" s="125"/>
      <c r="B10" s="131" t="s">
        <v>68</v>
      </c>
      <c r="C10" s="155"/>
      <c r="D10" s="155"/>
      <c r="E10" s="155"/>
      <c r="F10" s="155"/>
      <c r="G10" s="155"/>
      <c r="H10" s="155"/>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row>
    <row r="11" spans="1:33" ht="29" x14ac:dyDescent="0.35">
      <c r="A11" s="125">
        <v>3</v>
      </c>
      <c r="B11" s="56" t="str">
        <f>CONCATENATE("What is the probability that the ex situ plan will have a TRIVIAL impact on the wild source population, i.e. a take of ", '2. Ex-situ plan'!C15*'2. Ex-situ plan'!C16, " individuals will not threaten the viability of wild source population(s)?")</f>
        <v>What is the probability that the ex situ plan will have a TRIVIAL impact on the wild source population, i.e. a take of 0 individuals will not threaten the viability of wild source population(s)?</v>
      </c>
      <c r="C11" s="57"/>
      <c r="D11" s="57"/>
      <c r="E11" s="57"/>
      <c r="F11" s="57"/>
      <c r="G11" s="57"/>
      <c r="H11" s="57"/>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row>
    <row r="12" spans="1:33" ht="29" x14ac:dyDescent="0.35">
      <c r="A12" s="125">
        <v>4</v>
      </c>
      <c r="B12" s="122" t="str">
        <f>CONCATENATE("What is the probability that the captive breeding component of the ex situ plan will be successful, i.e. ≥ ",'2. Ex-situ plan'!$C$23,"% of offspring born in year ",'2. Ex-situ plan'!$C$21," of the ex-situ breeding program will survive to ",'2. Ex-situ plan'!$C$22," months?")</f>
        <v>What is the probability that the captive breeding component of the ex situ plan will be successful, i.e. ≥ % of offspring born in year  of the ex-situ breeding program will survive to  months?</v>
      </c>
      <c r="C12" s="57"/>
      <c r="D12" s="57"/>
      <c r="E12" s="57"/>
      <c r="F12" s="57"/>
      <c r="G12" s="57"/>
      <c r="H12" s="57"/>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row>
    <row r="13" spans="1:33" ht="14.5" customHeight="1" x14ac:dyDescent="0.35">
      <c r="A13" s="125">
        <v>5</v>
      </c>
      <c r="B13" s="122" t="str">
        <f>CONCATENATE("What is the probability that captive individuals will be successfully released into the wild, i.e. ≥ ",'2. Ex-situ plan'!$C$29,"% of released individuals survive in the wild ",'2. Ex-situ plan'!$C$28," months after release?")</f>
        <v>What is the probability that captive individuals will be successfully released into the wild, i.e. ≥ % of released individuals survive in the wild  months after release?</v>
      </c>
      <c r="C13" s="57"/>
      <c r="D13" s="57"/>
      <c r="E13" s="57"/>
      <c r="F13" s="57"/>
      <c r="G13" s="57"/>
      <c r="H13" s="57"/>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row>
    <row r="14" spans="1:33" x14ac:dyDescent="0.35">
      <c r="A14" s="125"/>
      <c r="B14" s="73"/>
      <c r="C14" s="125"/>
      <c r="D14" s="125"/>
      <c r="E14" s="125"/>
      <c r="F14" s="125"/>
      <c r="G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row>
    <row r="15" spans="1:33" x14ac:dyDescent="0.35">
      <c r="A15" s="125"/>
      <c r="B15" s="118"/>
      <c r="C15" s="201" t="s">
        <v>45</v>
      </c>
      <c r="D15" s="201" t="s">
        <v>45</v>
      </c>
      <c r="E15" s="201" t="s">
        <v>45</v>
      </c>
      <c r="F15" s="201" t="s">
        <v>45</v>
      </c>
      <c r="G15" s="73"/>
      <c r="H15" s="201" t="s">
        <v>46</v>
      </c>
      <c r="I15" s="201" t="s">
        <v>46</v>
      </c>
      <c r="J15" s="201" t="s">
        <v>46</v>
      </c>
      <c r="K15" s="201" t="s">
        <v>46</v>
      </c>
      <c r="L15" s="73"/>
      <c r="M15" s="201" t="s">
        <v>47</v>
      </c>
      <c r="N15" s="201" t="s">
        <v>47</v>
      </c>
      <c r="O15" s="201" t="s">
        <v>47</v>
      </c>
      <c r="P15" s="201" t="s">
        <v>47</v>
      </c>
      <c r="Q15" s="73"/>
      <c r="R15" s="201" t="s">
        <v>48</v>
      </c>
      <c r="S15" s="201" t="s">
        <v>48</v>
      </c>
      <c r="T15" s="201" t="s">
        <v>48</v>
      </c>
      <c r="U15" s="201" t="s">
        <v>48</v>
      </c>
      <c r="V15" s="73"/>
      <c r="W15" s="201" t="s">
        <v>49</v>
      </c>
      <c r="X15" s="201" t="s">
        <v>49</v>
      </c>
      <c r="Y15" s="201" t="s">
        <v>49</v>
      </c>
      <c r="Z15" s="201" t="s">
        <v>49</v>
      </c>
      <c r="AA15" s="73"/>
      <c r="AB15" s="201" t="s">
        <v>50</v>
      </c>
      <c r="AC15" s="201" t="s">
        <v>50</v>
      </c>
      <c r="AD15" s="201" t="s">
        <v>50</v>
      </c>
      <c r="AE15" s="201" t="s">
        <v>50</v>
      </c>
      <c r="AF15" s="73"/>
      <c r="AG15" s="73"/>
    </row>
    <row r="16" spans="1:33" ht="18.5" x14ac:dyDescent="0.45">
      <c r="A16" s="125"/>
      <c r="B16" s="200" t="s">
        <v>147</v>
      </c>
      <c r="C16" s="201" t="s">
        <v>10</v>
      </c>
      <c r="D16" s="201" t="s">
        <v>11</v>
      </c>
      <c r="E16" s="201" t="s">
        <v>9</v>
      </c>
      <c r="F16" s="201" t="s">
        <v>148</v>
      </c>
      <c r="G16" s="73"/>
      <c r="H16" s="201" t="s">
        <v>10</v>
      </c>
      <c r="I16" s="201" t="s">
        <v>11</v>
      </c>
      <c r="J16" s="201" t="s">
        <v>9</v>
      </c>
      <c r="K16" s="201" t="s">
        <v>148</v>
      </c>
      <c r="L16" s="73"/>
      <c r="M16" s="201" t="s">
        <v>10</v>
      </c>
      <c r="N16" s="201" t="s">
        <v>11</v>
      </c>
      <c r="O16" s="201" t="s">
        <v>9</v>
      </c>
      <c r="P16" s="201" t="s">
        <v>148</v>
      </c>
      <c r="Q16" s="73"/>
      <c r="R16" s="201" t="s">
        <v>10</v>
      </c>
      <c r="S16" s="201" t="s">
        <v>11</v>
      </c>
      <c r="T16" s="201" t="s">
        <v>9</v>
      </c>
      <c r="U16" s="201" t="s">
        <v>148</v>
      </c>
      <c r="V16" s="73"/>
      <c r="W16" s="201" t="s">
        <v>10</v>
      </c>
      <c r="X16" s="201" t="s">
        <v>11</v>
      </c>
      <c r="Y16" s="201" t="s">
        <v>9</v>
      </c>
      <c r="Z16" s="201" t="s">
        <v>148</v>
      </c>
      <c r="AA16" s="73"/>
      <c r="AB16" s="201" t="s">
        <v>10</v>
      </c>
      <c r="AC16" s="201" t="s">
        <v>11</v>
      </c>
      <c r="AD16" s="201" t="s">
        <v>9</v>
      </c>
      <c r="AE16" s="201" t="s">
        <v>148</v>
      </c>
      <c r="AF16" s="73"/>
      <c r="AG16" s="73"/>
    </row>
    <row r="17" spans="1:33" x14ac:dyDescent="0.35">
      <c r="A17" s="125"/>
      <c r="B17" s="139" t="s">
        <v>205</v>
      </c>
      <c r="C17" s="125"/>
      <c r="D17" s="125"/>
      <c r="E17" s="125"/>
      <c r="F17" s="125"/>
      <c r="G17" s="73"/>
      <c r="H17" s="125"/>
      <c r="I17" s="125"/>
      <c r="J17" s="125"/>
      <c r="K17" s="125"/>
      <c r="L17" s="73"/>
      <c r="M17" s="125"/>
      <c r="N17" s="125"/>
      <c r="O17" s="125"/>
      <c r="P17" s="125"/>
      <c r="Q17" s="73"/>
      <c r="R17" s="125"/>
      <c r="S17" s="125"/>
      <c r="T17" s="125"/>
      <c r="U17" s="125"/>
      <c r="V17" s="73"/>
      <c r="W17" s="125"/>
      <c r="X17" s="125"/>
      <c r="Y17" s="125"/>
      <c r="Z17" s="125"/>
      <c r="AA17" s="73"/>
      <c r="AB17" s="125"/>
      <c r="AC17" s="125"/>
      <c r="AD17" s="125"/>
      <c r="AE17" s="125"/>
      <c r="AF17" s="73"/>
      <c r="AG17" s="73"/>
    </row>
    <row r="18" spans="1:33" ht="29" x14ac:dyDescent="0.35">
      <c r="A18" s="125">
        <v>1</v>
      </c>
      <c r="B18" s="153" t="str">
        <f>'4.5 Group results Payoffs'!B3</f>
        <v>Let's say we DO NOTHING. 
At the end of the planning time horizon, what will be the CHANGE (as a % relative to current population size) in population size IN THE WILD?</v>
      </c>
      <c r="C18" s="59"/>
      <c r="D18" s="59"/>
      <c r="E18" s="59"/>
      <c r="F18" s="59"/>
      <c r="G18" s="73"/>
      <c r="H18" s="59"/>
      <c r="I18" s="59"/>
      <c r="J18" s="59"/>
      <c r="K18" s="59"/>
      <c r="L18" s="73"/>
      <c r="M18" s="59"/>
      <c r="N18" s="59"/>
      <c r="O18" s="59"/>
      <c r="P18" s="59"/>
      <c r="Q18" s="73"/>
      <c r="R18" s="59"/>
      <c r="S18" s="59"/>
      <c r="T18" s="59"/>
      <c r="U18" s="59"/>
      <c r="V18" s="73"/>
      <c r="W18" s="59"/>
      <c r="X18" s="59"/>
      <c r="Y18" s="59"/>
      <c r="Z18" s="59"/>
      <c r="AA18" s="73"/>
      <c r="AB18" s="161"/>
      <c r="AC18" s="161"/>
      <c r="AD18" s="161"/>
      <c r="AE18" s="161"/>
      <c r="AF18" s="73"/>
      <c r="AG18" s="73"/>
    </row>
    <row r="19" spans="1:33" s="73" customFormat="1" x14ac:dyDescent="0.35">
      <c r="A19" s="125"/>
      <c r="B19" s="120"/>
      <c r="C19" s="156"/>
      <c r="D19" s="156"/>
      <c r="E19" s="156"/>
      <c r="F19" s="156"/>
      <c r="G19" s="75"/>
      <c r="H19" s="156"/>
      <c r="I19" s="156"/>
      <c r="J19" s="156"/>
      <c r="K19" s="156"/>
      <c r="L19" s="75"/>
      <c r="M19" s="156"/>
      <c r="N19" s="156"/>
      <c r="O19" s="156"/>
      <c r="P19" s="156"/>
      <c r="Q19" s="75"/>
      <c r="R19" s="156"/>
      <c r="S19" s="156"/>
      <c r="T19" s="156"/>
      <c r="U19" s="156"/>
      <c r="V19" s="75"/>
      <c r="W19" s="156"/>
      <c r="X19" s="156"/>
      <c r="Y19" s="156"/>
      <c r="Z19" s="156"/>
      <c r="AA19" s="75"/>
      <c r="AB19" s="156"/>
      <c r="AC19" s="156"/>
      <c r="AD19" s="156"/>
      <c r="AE19" s="156"/>
    </row>
    <row r="20" spans="1:33" x14ac:dyDescent="0.35">
      <c r="A20" s="125"/>
      <c r="B20" s="139" t="s">
        <v>102</v>
      </c>
      <c r="C20" s="157"/>
      <c r="D20" s="157"/>
      <c r="E20" s="157"/>
      <c r="F20" s="157"/>
      <c r="G20" s="75"/>
      <c r="H20" s="157"/>
      <c r="I20" s="157"/>
      <c r="J20" s="157"/>
      <c r="K20" s="157"/>
      <c r="L20" s="75"/>
      <c r="M20" s="157"/>
      <c r="N20" s="157"/>
      <c r="O20" s="157"/>
      <c r="P20" s="157"/>
      <c r="Q20" s="75"/>
      <c r="R20" s="157"/>
      <c r="S20" s="157"/>
      <c r="T20" s="157"/>
      <c r="U20" s="157"/>
      <c r="V20" s="75"/>
      <c r="W20" s="157"/>
      <c r="X20" s="157"/>
      <c r="Y20" s="157"/>
      <c r="Z20" s="157"/>
      <c r="AA20" s="75"/>
      <c r="AB20" s="157"/>
      <c r="AC20" s="157"/>
      <c r="AD20" s="157"/>
      <c r="AE20" s="157"/>
      <c r="AF20" s="73"/>
      <c r="AG20" s="73"/>
    </row>
    <row r="21" spans="1:33" ht="29" x14ac:dyDescent="0.35">
      <c r="A21" s="125">
        <v>2</v>
      </c>
      <c r="B21" s="56" t="str">
        <f>'4.5 Group results Payoffs'!B50</f>
        <v>Let's say implementation of the STATUS QUO IN-SITU PLAN = SUCCESSFUL. 
At the end of the planning time horizon, what will be the CHANGE (as a % relative to current population size) in population size IN THE WILD?</v>
      </c>
      <c r="C21" s="59"/>
      <c r="D21" s="59"/>
      <c r="E21" s="59"/>
      <c r="F21" s="59"/>
      <c r="G21" s="73"/>
      <c r="H21" s="59"/>
      <c r="I21" s="59"/>
      <c r="J21" s="59"/>
      <c r="K21" s="59"/>
      <c r="L21" s="73"/>
      <c r="M21" s="59"/>
      <c r="N21" s="59"/>
      <c r="O21" s="59"/>
      <c r="P21" s="59"/>
      <c r="Q21" s="73"/>
      <c r="R21" s="59"/>
      <c r="S21" s="59"/>
      <c r="T21" s="59"/>
      <c r="U21" s="59"/>
      <c r="V21" s="73"/>
      <c r="W21" s="59"/>
      <c r="X21" s="59"/>
      <c r="Y21" s="59"/>
      <c r="Z21" s="59"/>
      <c r="AA21" s="73"/>
      <c r="AB21" s="161"/>
      <c r="AC21" s="161"/>
      <c r="AD21" s="161"/>
      <c r="AE21" s="161"/>
      <c r="AF21" s="73"/>
      <c r="AG21" s="73"/>
    </row>
    <row r="22" spans="1:33" ht="29" x14ac:dyDescent="0.35">
      <c r="A22" s="125">
        <v>3</v>
      </c>
      <c r="B22" s="56" t="str">
        <f>'4.5 Group results Payoffs'!B97</f>
        <v>Let's say implementation of the STATUS QUO IN-SITU PLAN = UNSUCCESSFUL. 
At the end of the planning time horizon, what will be the CHANGE (as a % relative to current population size) in population size IN THE WILD?</v>
      </c>
      <c r="C22" s="59"/>
      <c r="D22" s="59"/>
      <c r="E22" s="59"/>
      <c r="F22" s="59"/>
      <c r="G22" s="73"/>
      <c r="H22" s="59"/>
      <c r="I22" s="59"/>
      <c r="J22" s="59"/>
      <c r="K22" s="59"/>
      <c r="L22" s="73"/>
      <c r="M22" s="59"/>
      <c r="N22" s="59"/>
      <c r="O22" s="59"/>
      <c r="P22" s="59"/>
      <c r="Q22" s="73"/>
      <c r="R22" s="59"/>
      <c r="S22" s="59"/>
      <c r="T22" s="59"/>
      <c r="U22" s="59"/>
      <c r="V22" s="73"/>
      <c r="W22" s="59"/>
      <c r="X22" s="59"/>
      <c r="Y22" s="59"/>
      <c r="Z22" s="59"/>
      <c r="AA22" s="73"/>
      <c r="AB22" s="161"/>
      <c r="AC22" s="161"/>
      <c r="AD22" s="161"/>
      <c r="AE22" s="161"/>
      <c r="AF22" s="73"/>
      <c r="AG22" s="73"/>
    </row>
    <row r="23" spans="1:33" s="73" customFormat="1" x14ac:dyDescent="0.35">
      <c r="A23" s="125"/>
      <c r="B23" s="146"/>
      <c r="C23" s="156"/>
      <c r="D23" s="156"/>
      <c r="E23" s="156"/>
      <c r="F23" s="156"/>
      <c r="G23" s="75"/>
      <c r="H23" s="156"/>
      <c r="I23" s="156"/>
      <c r="J23" s="156"/>
      <c r="K23" s="156"/>
      <c r="L23" s="75"/>
      <c r="M23" s="156"/>
      <c r="N23" s="156"/>
      <c r="O23" s="156"/>
      <c r="P23" s="156"/>
      <c r="Q23" s="75"/>
      <c r="R23" s="156"/>
      <c r="S23" s="156"/>
      <c r="T23" s="156"/>
      <c r="U23" s="156"/>
      <c r="V23" s="75"/>
      <c r="W23" s="156"/>
      <c r="X23" s="156"/>
      <c r="Y23" s="156"/>
      <c r="Z23" s="156"/>
      <c r="AA23" s="75"/>
      <c r="AB23" s="156"/>
      <c r="AC23" s="156"/>
      <c r="AD23" s="156"/>
      <c r="AE23" s="156"/>
    </row>
    <row r="24" spans="1:33" x14ac:dyDescent="0.35">
      <c r="A24" s="125"/>
      <c r="B24" s="139" t="s">
        <v>103</v>
      </c>
      <c r="C24" s="157"/>
      <c r="D24" s="157"/>
      <c r="E24" s="157"/>
      <c r="F24" s="157"/>
      <c r="G24" s="75"/>
      <c r="H24" s="157"/>
      <c r="I24" s="157"/>
      <c r="J24" s="157"/>
      <c r="K24" s="157"/>
      <c r="L24" s="75"/>
      <c r="M24" s="157"/>
      <c r="N24" s="157"/>
      <c r="O24" s="157"/>
      <c r="P24" s="157"/>
      <c r="Q24" s="75"/>
      <c r="R24" s="157"/>
      <c r="S24" s="157"/>
      <c r="T24" s="157"/>
      <c r="U24" s="157"/>
      <c r="V24" s="75"/>
      <c r="W24" s="157"/>
      <c r="X24" s="157"/>
      <c r="Y24" s="157"/>
      <c r="Z24" s="157"/>
      <c r="AA24" s="75"/>
      <c r="AB24" s="157"/>
      <c r="AC24" s="157"/>
      <c r="AD24" s="157"/>
      <c r="AE24" s="157"/>
      <c r="AF24" s="73"/>
      <c r="AG24" s="73"/>
    </row>
    <row r="25" spans="1:33" ht="29" x14ac:dyDescent="0.35">
      <c r="A25" s="125">
        <v>4</v>
      </c>
      <c r="B25" s="56" t="str">
        <f>'4.5 Group results Payoffs'!B144</f>
        <v>Let's say implementation of the IN-SITU PLUS PLAN = SUCCESSFUL. 
At the end of the planning time horizon, what will be the CHANGE (as a % relative to current population size) in population size IN THE WILD?</v>
      </c>
      <c r="C25" s="59"/>
      <c r="D25" s="59"/>
      <c r="E25" s="59"/>
      <c r="F25" s="59"/>
      <c r="G25" s="73"/>
      <c r="H25" s="59"/>
      <c r="I25" s="59"/>
      <c r="J25" s="59"/>
      <c r="K25" s="59"/>
      <c r="L25" s="73"/>
      <c r="M25" s="59"/>
      <c r="N25" s="59"/>
      <c r="O25" s="59"/>
      <c r="P25" s="59"/>
      <c r="Q25" s="73"/>
      <c r="R25" s="59"/>
      <c r="S25" s="59"/>
      <c r="T25" s="59"/>
      <c r="U25" s="59"/>
      <c r="V25" s="73"/>
      <c r="W25" s="59"/>
      <c r="X25" s="59"/>
      <c r="Y25" s="59"/>
      <c r="Z25" s="59"/>
      <c r="AA25" s="73"/>
      <c r="AB25" s="161"/>
      <c r="AC25" s="161"/>
      <c r="AD25" s="161"/>
      <c r="AE25" s="161"/>
      <c r="AF25" s="73"/>
      <c r="AG25" s="73"/>
    </row>
    <row r="26" spans="1:33" ht="29" x14ac:dyDescent="0.35">
      <c r="A26" s="125">
        <v>5</v>
      </c>
      <c r="B26" s="56" t="str">
        <f>'4.5 Group results Payoffs'!B191</f>
        <v>Let's say implementation of the IN-SITU PLUS PLAN = UNSUCCESSFUL. 
At the end of the planning time horizon, what will be the CHANGE (as a % relative to current population size) in population size IN THE WILD?</v>
      </c>
      <c r="C26" s="59"/>
      <c r="D26" s="59"/>
      <c r="E26" s="59"/>
      <c r="F26" s="59"/>
      <c r="G26" s="73"/>
      <c r="H26" s="59"/>
      <c r="I26" s="59"/>
      <c r="J26" s="59"/>
      <c r="K26" s="59"/>
      <c r="L26" s="73"/>
      <c r="M26" s="59"/>
      <c r="N26" s="59"/>
      <c r="O26" s="59"/>
      <c r="P26" s="59"/>
      <c r="Q26" s="73"/>
      <c r="R26" s="59"/>
      <c r="S26" s="59"/>
      <c r="T26" s="59"/>
      <c r="U26" s="59"/>
      <c r="V26" s="73"/>
      <c r="W26" s="59"/>
      <c r="X26" s="59"/>
      <c r="Y26" s="59"/>
      <c r="Z26" s="59"/>
      <c r="AA26" s="73"/>
      <c r="AB26" s="161"/>
      <c r="AC26" s="161"/>
      <c r="AD26" s="161"/>
      <c r="AE26" s="161"/>
      <c r="AF26" s="73"/>
      <c r="AG26" s="73"/>
    </row>
    <row r="27" spans="1:33" s="73" customFormat="1" x14ac:dyDescent="0.35">
      <c r="A27" s="125"/>
      <c r="B27" s="146"/>
      <c r="C27" s="156"/>
      <c r="D27" s="156"/>
      <c r="E27" s="156"/>
      <c r="F27" s="156"/>
      <c r="G27" s="75"/>
      <c r="H27" s="156"/>
      <c r="I27" s="156"/>
      <c r="J27" s="156"/>
      <c r="K27" s="156"/>
      <c r="L27" s="75"/>
      <c r="M27" s="156"/>
      <c r="N27" s="156"/>
      <c r="O27" s="156"/>
      <c r="P27" s="156"/>
      <c r="Q27" s="75"/>
      <c r="R27" s="156"/>
      <c r="S27" s="156"/>
      <c r="T27" s="156"/>
      <c r="U27" s="156"/>
      <c r="V27" s="75"/>
      <c r="W27" s="156"/>
      <c r="X27" s="156"/>
      <c r="Y27" s="156"/>
      <c r="Z27" s="156"/>
      <c r="AA27" s="75"/>
      <c r="AB27" s="156"/>
      <c r="AC27" s="156"/>
      <c r="AD27" s="156"/>
      <c r="AE27" s="156"/>
    </row>
    <row r="28" spans="1:33" x14ac:dyDescent="0.35">
      <c r="A28" s="125"/>
      <c r="B28" s="139" t="s">
        <v>104</v>
      </c>
      <c r="C28" s="157"/>
      <c r="D28" s="157"/>
      <c r="E28" s="157"/>
      <c r="F28" s="157"/>
      <c r="G28" s="75"/>
      <c r="H28" s="157"/>
      <c r="I28" s="157"/>
      <c r="J28" s="157"/>
      <c r="K28" s="157"/>
      <c r="L28" s="75"/>
      <c r="M28" s="157"/>
      <c r="N28" s="157"/>
      <c r="O28" s="157"/>
      <c r="P28" s="157"/>
      <c r="Q28" s="75"/>
      <c r="R28" s="157"/>
      <c r="S28" s="157"/>
      <c r="T28" s="157"/>
      <c r="U28" s="157"/>
      <c r="V28" s="75"/>
      <c r="W28" s="157"/>
      <c r="X28" s="157"/>
      <c r="Y28" s="157"/>
      <c r="Z28" s="157"/>
      <c r="AA28" s="75"/>
      <c r="AB28" s="157"/>
      <c r="AC28" s="157"/>
      <c r="AD28" s="157"/>
      <c r="AE28" s="157"/>
      <c r="AF28" s="73"/>
      <c r="AG28" s="73"/>
    </row>
    <row r="29" spans="1:33" ht="29" x14ac:dyDescent="0.35">
      <c r="A29" s="125">
        <v>6</v>
      </c>
      <c r="B29" s="56" t="str">
        <f>'4.5 Group results Payoffs'!B238</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29" s="59"/>
      <c r="D29" s="59"/>
      <c r="E29" s="59"/>
      <c r="F29" s="59"/>
      <c r="G29" s="73"/>
      <c r="H29" s="59"/>
      <c r="I29" s="59"/>
      <c r="J29" s="59"/>
      <c r="K29" s="59"/>
      <c r="L29" s="73"/>
      <c r="M29" s="59"/>
      <c r="N29" s="59"/>
      <c r="O29" s="59"/>
      <c r="P29" s="59"/>
      <c r="Q29" s="73"/>
      <c r="R29" s="59"/>
      <c r="S29" s="59"/>
      <c r="T29" s="59"/>
      <c r="U29" s="59"/>
      <c r="V29" s="73"/>
      <c r="W29" s="59"/>
      <c r="X29" s="59"/>
      <c r="Y29" s="59"/>
      <c r="Z29" s="59"/>
      <c r="AA29" s="73"/>
      <c r="AB29" s="161"/>
      <c r="AC29" s="161"/>
      <c r="AD29" s="161"/>
      <c r="AE29" s="161"/>
      <c r="AF29" s="73"/>
      <c r="AG29" s="73"/>
    </row>
    <row r="30" spans="1:33" ht="29" x14ac:dyDescent="0.35">
      <c r="A30" s="125">
        <v>7</v>
      </c>
      <c r="B30" s="56" t="str">
        <f>'4.5 Group results Payoffs'!B285</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30" s="59"/>
      <c r="D30" s="59"/>
      <c r="E30" s="59"/>
      <c r="F30" s="59"/>
      <c r="G30" s="73"/>
      <c r="H30" s="59"/>
      <c r="I30" s="59"/>
      <c r="J30" s="59"/>
      <c r="K30" s="59"/>
      <c r="L30" s="73"/>
      <c r="M30" s="59"/>
      <c r="N30" s="59"/>
      <c r="O30" s="59"/>
      <c r="P30" s="59"/>
      <c r="Q30" s="73"/>
      <c r="R30" s="59"/>
      <c r="S30" s="59"/>
      <c r="T30" s="59"/>
      <c r="U30" s="59"/>
      <c r="V30" s="73"/>
      <c r="W30" s="59"/>
      <c r="X30" s="59"/>
      <c r="Y30" s="59"/>
      <c r="Z30" s="59"/>
      <c r="AA30" s="73"/>
      <c r="AB30" s="161"/>
      <c r="AC30" s="161"/>
      <c r="AD30" s="161"/>
      <c r="AE30" s="161"/>
      <c r="AF30" s="73"/>
      <c r="AG30" s="73"/>
    </row>
    <row r="31" spans="1:33" s="73" customFormat="1" x14ac:dyDescent="0.35">
      <c r="A31" s="125"/>
      <c r="B31" s="136"/>
      <c r="C31" s="156"/>
      <c r="D31" s="156"/>
      <c r="E31" s="156"/>
      <c r="F31" s="156"/>
      <c r="G31" s="75"/>
      <c r="H31" s="156"/>
      <c r="I31" s="156"/>
      <c r="J31" s="156"/>
      <c r="K31" s="156"/>
      <c r="L31" s="75"/>
      <c r="M31" s="156"/>
      <c r="N31" s="156"/>
      <c r="O31" s="156"/>
      <c r="P31" s="156"/>
      <c r="Q31" s="75"/>
      <c r="R31" s="156"/>
      <c r="S31" s="156"/>
      <c r="T31" s="156"/>
      <c r="U31" s="156"/>
      <c r="V31" s="75"/>
      <c r="W31" s="156"/>
      <c r="X31" s="156"/>
      <c r="Y31" s="156"/>
      <c r="Z31" s="156"/>
      <c r="AA31" s="75"/>
      <c r="AB31" s="156"/>
      <c r="AC31" s="156"/>
      <c r="AD31" s="156"/>
      <c r="AE31" s="156"/>
    </row>
    <row r="32" spans="1:33" ht="29" x14ac:dyDescent="0.35">
      <c r="A32" s="125">
        <v>8</v>
      </c>
      <c r="B32" s="56" t="str">
        <f>'4.5 Group results Payoffs'!B332</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32" s="59"/>
      <c r="D32" s="59"/>
      <c r="E32" s="59"/>
      <c r="F32" s="59"/>
      <c r="G32" s="73"/>
      <c r="H32" s="59"/>
      <c r="I32" s="59"/>
      <c r="J32" s="59"/>
      <c r="K32" s="59"/>
      <c r="L32" s="73"/>
      <c r="M32" s="59"/>
      <c r="N32" s="59"/>
      <c r="O32" s="59"/>
      <c r="P32" s="59"/>
      <c r="Q32" s="73"/>
      <c r="R32" s="59"/>
      <c r="S32" s="59"/>
      <c r="T32" s="59"/>
      <c r="U32" s="59"/>
      <c r="V32" s="73"/>
      <c r="W32" s="59"/>
      <c r="X32" s="59"/>
      <c r="Y32" s="59"/>
      <c r="Z32" s="59"/>
      <c r="AA32" s="73"/>
      <c r="AB32" s="161"/>
      <c r="AC32" s="161"/>
      <c r="AD32" s="161"/>
      <c r="AE32" s="161"/>
      <c r="AF32" s="73"/>
      <c r="AG32" s="73"/>
    </row>
    <row r="33" spans="1:33" ht="29" x14ac:dyDescent="0.35">
      <c r="A33" s="125">
        <v>9</v>
      </c>
      <c r="B33" s="56" t="str">
        <f>'4.5 Group results Payoffs'!B379</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33" s="59"/>
      <c r="D33" s="59"/>
      <c r="E33" s="59"/>
      <c r="F33" s="59"/>
      <c r="G33" s="73"/>
      <c r="H33" s="59"/>
      <c r="I33" s="59"/>
      <c r="J33" s="59"/>
      <c r="K33" s="59"/>
      <c r="L33" s="73"/>
      <c r="M33" s="59"/>
      <c r="N33" s="59"/>
      <c r="O33" s="59"/>
      <c r="P33" s="59"/>
      <c r="Q33" s="73"/>
      <c r="R33" s="59"/>
      <c r="S33" s="59"/>
      <c r="T33" s="59"/>
      <c r="U33" s="59"/>
      <c r="V33" s="73"/>
      <c r="W33" s="59"/>
      <c r="X33" s="59"/>
      <c r="Y33" s="59"/>
      <c r="Z33" s="59"/>
      <c r="AA33" s="73"/>
      <c r="AB33" s="161"/>
      <c r="AC33" s="161"/>
      <c r="AD33" s="161"/>
      <c r="AE33" s="161"/>
      <c r="AF33" s="73"/>
      <c r="AG33" s="73"/>
    </row>
    <row r="34" spans="1:33" s="73" customFormat="1" x14ac:dyDescent="0.35">
      <c r="A34" s="125"/>
      <c r="B34" s="144"/>
      <c r="C34" s="162"/>
      <c r="D34" s="162"/>
      <c r="E34" s="162"/>
      <c r="F34" s="162"/>
      <c r="G34" s="75"/>
      <c r="H34" s="162"/>
      <c r="I34" s="162"/>
      <c r="J34" s="162"/>
      <c r="K34" s="162"/>
      <c r="L34" s="75"/>
      <c r="M34" s="162"/>
      <c r="N34" s="162"/>
      <c r="O34" s="162"/>
      <c r="P34" s="162"/>
      <c r="Q34" s="75"/>
      <c r="R34" s="162"/>
      <c r="S34" s="162"/>
      <c r="T34" s="162"/>
      <c r="U34" s="162"/>
      <c r="V34" s="75"/>
      <c r="W34" s="162"/>
      <c r="X34" s="162"/>
      <c r="Y34" s="162"/>
      <c r="Z34" s="162"/>
      <c r="AA34" s="75"/>
      <c r="AB34" s="162"/>
      <c r="AC34" s="162"/>
      <c r="AD34" s="162"/>
      <c r="AE34" s="154"/>
    </row>
    <row r="35" spans="1:33" ht="29" x14ac:dyDescent="0.35">
      <c r="A35" s="125">
        <v>10</v>
      </c>
      <c r="B35" s="56" t="str">
        <f>'4.5 Group results Payoffs'!B426</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35" s="59"/>
      <c r="D35" s="59"/>
      <c r="E35" s="59"/>
      <c r="F35" s="59"/>
      <c r="G35" s="73"/>
      <c r="H35" s="59"/>
      <c r="I35" s="59"/>
      <c r="J35" s="59"/>
      <c r="K35" s="59"/>
      <c r="L35" s="73"/>
      <c r="M35" s="59"/>
      <c r="N35" s="59"/>
      <c r="O35" s="59"/>
      <c r="P35" s="59"/>
      <c r="Q35" s="73"/>
      <c r="R35" s="59"/>
      <c r="S35" s="59"/>
      <c r="T35" s="59"/>
      <c r="U35" s="59"/>
      <c r="V35" s="73"/>
      <c r="W35" s="59"/>
      <c r="X35" s="59"/>
      <c r="Y35" s="59"/>
      <c r="Z35" s="59"/>
      <c r="AA35" s="73"/>
      <c r="AB35" s="59"/>
      <c r="AC35" s="59"/>
      <c r="AD35" s="59"/>
      <c r="AE35" s="59"/>
      <c r="AF35" s="73"/>
      <c r="AG35" s="73"/>
    </row>
    <row r="36" spans="1:33" ht="29" x14ac:dyDescent="0.35">
      <c r="A36" s="125">
        <v>11</v>
      </c>
      <c r="B36" s="56" t="str">
        <f>'4.5 Group results Payoffs'!B473</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36" s="59"/>
      <c r="D36" s="59"/>
      <c r="E36" s="59"/>
      <c r="F36" s="59"/>
      <c r="G36" s="73"/>
      <c r="H36" s="59"/>
      <c r="I36" s="59"/>
      <c r="J36" s="59"/>
      <c r="K36" s="59"/>
      <c r="L36" s="73"/>
      <c r="M36" s="59"/>
      <c r="N36" s="59"/>
      <c r="O36" s="59"/>
      <c r="P36" s="59"/>
      <c r="Q36" s="73"/>
      <c r="R36" s="59"/>
      <c r="S36" s="59"/>
      <c r="T36" s="59"/>
      <c r="U36" s="59"/>
      <c r="V36" s="73"/>
      <c r="W36" s="59"/>
      <c r="X36" s="59"/>
      <c r="Y36" s="59"/>
      <c r="Z36" s="59"/>
      <c r="AA36" s="73"/>
      <c r="AB36" s="59"/>
      <c r="AC36" s="59"/>
      <c r="AD36" s="59"/>
      <c r="AE36" s="59"/>
      <c r="AF36" s="73"/>
      <c r="AG36" s="73"/>
    </row>
    <row r="37" spans="1:33" s="73" customFormat="1" x14ac:dyDescent="0.35">
      <c r="A37" s="125"/>
      <c r="B37" s="144"/>
      <c r="C37" s="162"/>
      <c r="D37" s="162"/>
      <c r="E37" s="162"/>
      <c r="F37" s="162"/>
      <c r="G37" s="75"/>
      <c r="H37" s="162"/>
      <c r="I37" s="162"/>
      <c r="J37" s="162"/>
      <c r="K37" s="162"/>
      <c r="L37" s="75"/>
      <c r="M37" s="162"/>
      <c r="N37" s="162"/>
      <c r="O37" s="162"/>
      <c r="P37" s="162"/>
      <c r="Q37" s="75"/>
      <c r="R37" s="162"/>
      <c r="S37" s="162"/>
      <c r="T37" s="162"/>
      <c r="U37" s="162"/>
      <c r="V37" s="75"/>
      <c r="W37" s="162"/>
      <c r="X37" s="162"/>
      <c r="Y37" s="162"/>
      <c r="Z37" s="162"/>
      <c r="AA37" s="75"/>
      <c r="AB37" s="162"/>
      <c r="AC37" s="162"/>
      <c r="AD37" s="162"/>
      <c r="AE37" s="154"/>
    </row>
    <row r="38" spans="1:33" ht="29" x14ac:dyDescent="0.35">
      <c r="A38" s="125">
        <v>12</v>
      </c>
      <c r="B38" s="56" t="str">
        <f>'4.5 Group results Payoffs'!B520</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38" s="59"/>
      <c r="D38" s="59"/>
      <c r="E38" s="59"/>
      <c r="F38" s="59"/>
      <c r="G38" s="73"/>
      <c r="H38" s="59"/>
      <c r="I38" s="59"/>
      <c r="J38" s="59"/>
      <c r="K38" s="59"/>
      <c r="L38" s="73"/>
      <c r="M38" s="59"/>
      <c r="N38" s="59"/>
      <c r="O38" s="59"/>
      <c r="P38" s="59"/>
      <c r="Q38" s="73"/>
      <c r="R38" s="59"/>
      <c r="S38" s="59"/>
      <c r="T38" s="59"/>
      <c r="U38" s="59"/>
      <c r="V38" s="73"/>
      <c r="W38" s="59"/>
      <c r="X38" s="59"/>
      <c r="Y38" s="59"/>
      <c r="Z38" s="59"/>
      <c r="AA38" s="73"/>
      <c r="AB38" s="59"/>
      <c r="AC38" s="59"/>
      <c r="AD38" s="59"/>
      <c r="AE38" s="59"/>
      <c r="AF38" s="73"/>
      <c r="AG38" s="73"/>
    </row>
    <row r="39" spans="1:33" ht="29" x14ac:dyDescent="0.35">
      <c r="A39" s="125">
        <v>13</v>
      </c>
      <c r="B39" s="56" t="str">
        <f>'4.5 Group results Payoffs'!B567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39" s="59"/>
      <c r="D39" s="59"/>
      <c r="E39" s="59"/>
      <c r="F39" s="59"/>
      <c r="G39" s="73"/>
      <c r="H39" s="59"/>
      <c r="I39" s="59"/>
      <c r="J39" s="59"/>
      <c r="K39" s="59"/>
      <c r="L39" s="73"/>
      <c r="M39" s="59"/>
      <c r="N39" s="59"/>
      <c r="O39" s="59"/>
      <c r="P39" s="59"/>
      <c r="Q39" s="73"/>
      <c r="R39" s="59"/>
      <c r="S39" s="59"/>
      <c r="T39" s="59"/>
      <c r="U39" s="59"/>
      <c r="V39" s="73"/>
      <c r="W39" s="59"/>
      <c r="X39" s="59"/>
      <c r="Y39" s="59"/>
      <c r="Z39" s="59"/>
      <c r="AA39" s="73"/>
      <c r="AB39" s="59"/>
      <c r="AC39" s="59"/>
      <c r="AD39" s="59"/>
      <c r="AE39" s="59"/>
      <c r="AF39" s="73"/>
      <c r="AG39" s="73"/>
    </row>
    <row r="40" spans="1:33" x14ac:dyDescent="0.35">
      <c r="A40" s="125"/>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125"/>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125"/>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125"/>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231"/>
  <sheetViews>
    <sheetView zoomScaleNormal="100" workbookViewId="0"/>
  </sheetViews>
  <sheetFormatPr defaultRowHeight="14.5" x14ac:dyDescent="0.35"/>
  <cols>
    <col min="1" max="1" width="10.1796875" style="23" customWidth="1"/>
    <col min="2" max="2" width="62.26953125" customWidth="1"/>
    <col min="3" max="3" width="11.453125" customWidth="1"/>
    <col min="4" max="6" width="13.54296875" customWidth="1"/>
    <col min="7" max="7" width="14.453125" style="8" customWidth="1"/>
    <col min="8" max="8" width="13" style="8" customWidth="1"/>
    <col min="9" max="9" width="13.54296875" style="21" customWidth="1"/>
    <col min="10" max="11" width="13.26953125" style="21" customWidth="1"/>
  </cols>
  <sheetData>
    <row r="1" spans="1:18" s="8" customFormat="1" ht="18.5" x14ac:dyDescent="0.45">
      <c r="A1" s="199"/>
      <c r="B1" s="265" t="s">
        <v>241</v>
      </c>
      <c r="C1" s="73"/>
      <c r="D1" s="73"/>
      <c r="E1" s="73"/>
      <c r="F1" s="73"/>
      <c r="G1" s="73"/>
      <c r="H1" s="73"/>
      <c r="I1" s="73"/>
      <c r="J1" s="73"/>
      <c r="K1" s="73"/>
      <c r="L1" s="73"/>
      <c r="M1" s="73"/>
      <c r="N1" s="73"/>
      <c r="O1" s="73"/>
      <c r="P1" s="73"/>
      <c r="Q1" s="73"/>
      <c r="R1" s="73"/>
    </row>
    <row r="2" spans="1:18" s="8" customFormat="1" x14ac:dyDescent="0.35">
      <c r="A2" s="199"/>
      <c r="B2" s="73"/>
      <c r="C2" s="73"/>
      <c r="D2" s="73"/>
      <c r="E2" s="73"/>
      <c r="F2" s="73"/>
      <c r="G2" s="73"/>
      <c r="H2" s="73"/>
      <c r="I2" s="73"/>
      <c r="J2" s="73"/>
      <c r="K2" s="73"/>
      <c r="L2" s="73"/>
      <c r="M2" s="73"/>
      <c r="N2" s="73"/>
      <c r="O2" s="73"/>
      <c r="P2" s="73"/>
      <c r="Q2" s="73"/>
      <c r="R2" s="73"/>
    </row>
    <row r="3" spans="1:18" ht="35.25" customHeight="1" x14ac:dyDescent="0.35">
      <c r="A3" s="164" t="s">
        <v>209</v>
      </c>
      <c r="B3" s="428" t="str">
        <f>CONCATENATE("What is the probability that the 'in-situ status quo' plan for the ",'Initial information'!C7," will be ",'1. In-situ status quo plan'!$C$38,"% implemented in ",'1. In-situ status quo plan'!$C$35," years from now?")</f>
        <v>What is the probability that the 'in-situ status quo' plan for the  will be % implemented in  years from now?</v>
      </c>
      <c r="C3" s="429"/>
      <c r="D3" s="429"/>
      <c r="E3" s="429"/>
      <c r="F3" s="429"/>
      <c r="G3" s="429"/>
      <c r="H3" s="429"/>
      <c r="I3" s="429"/>
      <c r="J3" s="429"/>
      <c r="K3" s="430"/>
      <c r="L3" s="73"/>
      <c r="M3" s="73"/>
      <c r="N3" s="73"/>
      <c r="O3" s="73"/>
      <c r="P3" s="73"/>
      <c r="Q3" s="73"/>
      <c r="R3" s="73"/>
    </row>
    <row r="4" spans="1:18" x14ac:dyDescent="0.35">
      <c r="A4" s="73"/>
      <c r="B4" s="73"/>
      <c r="C4" s="73"/>
      <c r="D4" s="73"/>
      <c r="E4" s="73"/>
      <c r="F4" s="73"/>
      <c r="G4" s="73"/>
      <c r="H4" s="73"/>
      <c r="I4" s="73"/>
      <c r="J4" s="73"/>
      <c r="K4" s="73"/>
      <c r="L4" s="73"/>
      <c r="M4" s="73"/>
      <c r="N4" s="73"/>
      <c r="O4" s="73"/>
      <c r="P4" s="73"/>
      <c r="Q4" s="73"/>
      <c r="R4" s="73"/>
    </row>
    <row r="5" spans="1:18" x14ac:dyDescent="0.35">
      <c r="A5" s="73"/>
      <c r="B5" s="73"/>
      <c r="C5" s="73"/>
      <c r="D5" s="73"/>
      <c r="E5" s="73"/>
      <c r="F5" s="73"/>
      <c r="G5" s="73"/>
      <c r="H5" s="73"/>
      <c r="I5" s="73"/>
      <c r="J5" s="73"/>
      <c r="K5" s="73"/>
      <c r="L5" s="73"/>
      <c r="M5" s="73"/>
      <c r="N5" s="73"/>
      <c r="O5" s="73"/>
      <c r="P5" s="73"/>
      <c r="Q5" s="73"/>
      <c r="R5" s="73"/>
    </row>
    <row r="6" spans="1:18" x14ac:dyDescent="0.35">
      <c r="A6" s="73"/>
      <c r="B6" s="73"/>
      <c r="C6" s="73"/>
      <c r="D6" s="73"/>
      <c r="E6" s="73"/>
      <c r="F6" s="73"/>
      <c r="G6" s="73"/>
      <c r="H6" s="73"/>
      <c r="I6" s="73"/>
      <c r="J6" s="73"/>
      <c r="K6" s="73"/>
      <c r="L6" s="73"/>
      <c r="M6" s="73"/>
      <c r="N6" s="73"/>
      <c r="O6" s="73"/>
      <c r="P6" s="73"/>
      <c r="Q6" s="73"/>
      <c r="R6" s="73"/>
    </row>
    <row r="7" spans="1:18" x14ac:dyDescent="0.35">
      <c r="A7" s="73"/>
      <c r="B7" s="73"/>
      <c r="C7" s="73"/>
      <c r="D7" s="73"/>
      <c r="E7" s="73"/>
      <c r="F7" s="73"/>
      <c r="G7" s="73"/>
      <c r="H7" s="73"/>
      <c r="I7" s="73"/>
      <c r="J7" s="73"/>
      <c r="K7" s="73"/>
      <c r="L7" s="73"/>
      <c r="M7" s="73"/>
      <c r="N7" s="73"/>
      <c r="O7" s="73"/>
      <c r="P7" s="73"/>
      <c r="Q7" s="73"/>
      <c r="R7" s="73"/>
    </row>
    <row r="8" spans="1:18" x14ac:dyDescent="0.35">
      <c r="A8" s="73"/>
      <c r="B8" s="73"/>
      <c r="C8" s="73"/>
      <c r="D8" s="73"/>
      <c r="E8" s="73"/>
      <c r="F8" s="73"/>
      <c r="G8" s="73"/>
      <c r="H8" s="73"/>
      <c r="I8" s="73"/>
      <c r="J8" s="73"/>
      <c r="K8" s="73"/>
      <c r="L8" s="73"/>
      <c r="M8" s="73"/>
      <c r="N8" s="73"/>
      <c r="O8" s="73"/>
      <c r="P8" s="73"/>
      <c r="Q8" s="73"/>
      <c r="R8" s="73"/>
    </row>
    <row r="9" spans="1:18" x14ac:dyDescent="0.35">
      <c r="A9" s="73"/>
      <c r="B9" s="73"/>
      <c r="C9" s="73"/>
      <c r="D9" s="73"/>
      <c r="E9" s="73"/>
      <c r="F9" s="73"/>
      <c r="G9" s="73"/>
      <c r="H9" s="73"/>
      <c r="I9" s="73"/>
      <c r="J9" s="73"/>
      <c r="K9" s="73"/>
      <c r="L9" s="73"/>
      <c r="M9" s="73"/>
      <c r="N9" s="73"/>
      <c r="O9" s="73"/>
      <c r="P9" s="73"/>
      <c r="Q9" s="73"/>
      <c r="R9" s="73"/>
    </row>
    <row r="10" spans="1:18" x14ac:dyDescent="0.35">
      <c r="A10" s="73"/>
      <c r="B10" s="73"/>
      <c r="C10" s="73"/>
      <c r="D10" s="73"/>
      <c r="E10" s="73"/>
      <c r="F10" s="73"/>
      <c r="G10" s="73"/>
      <c r="H10" s="73"/>
      <c r="I10" s="73"/>
      <c r="J10" s="73"/>
      <c r="K10" s="73"/>
      <c r="L10" s="73"/>
      <c r="M10" s="73"/>
      <c r="N10" s="73"/>
      <c r="O10" s="73"/>
      <c r="P10" s="73"/>
      <c r="Q10" s="73"/>
      <c r="R10" s="73"/>
    </row>
    <row r="11" spans="1:18" x14ac:dyDescent="0.35">
      <c r="A11" s="73"/>
      <c r="B11" s="73"/>
      <c r="C11" s="73"/>
      <c r="D11" s="73"/>
      <c r="E11" s="73"/>
      <c r="F11" s="73"/>
      <c r="G11" s="73"/>
      <c r="H11" s="73"/>
      <c r="I11" s="73"/>
      <c r="J11" s="73"/>
      <c r="K11" s="73"/>
      <c r="L11" s="73"/>
      <c r="M11" s="73"/>
      <c r="N11" s="73"/>
      <c r="O11" s="73"/>
      <c r="P11" s="73"/>
      <c r="Q11" s="73"/>
      <c r="R11" s="73"/>
    </row>
    <row r="12" spans="1:18" x14ac:dyDescent="0.35">
      <c r="A12" s="73"/>
      <c r="B12" s="73"/>
      <c r="C12" s="73"/>
      <c r="D12" s="73"/>
      <c r="E12" s="73"/>
      <c r="F12" s="73"/>
      <c r="G12" s="73"/>
      <c r="H12" s="73"/>
      <c r="I12" s="73"/>
      <c r="J12" s="73"/>
      <c r="K12" s="73"/>
      <c r="L12" s="73"/>
      <c r="M12" s="73"/>
      <c r="N12" s="73"/>
      <c r="O12" s="73"/>
      <c r="P12" s="73"/>
      <c r="Q12" s="73"/>
      <c r="R12" s="73"/>
    </row>
    <row r="13" spans="1:18" x14ac:dyDescent="0.35">
      <c r="A13" s="73"/>
      <c r="B13" s="73"/>
      <c r="C13" s="73"/>
      <c r="D13" s="73"/>
      <c r="E13" s="73"/>
      <c r="F13" s="73"/>
      <c r="G13" s="73"/>
      <c r="H13" s="73"/>
      <c r="I13" s="73"/>
      <c r="J13" s="73"/>
      <c r="K13" s="73"/>
      <c r="L13" s="73"/>
      <c r="M13" s="73"/>
      <c r="N13" s="73"/>
      <c r="O13" s="73"/>
      <c r="P13" s="73"/>
      <c r="Q13" s="73"/>
      <c r="R13" s="73"/>
    </row>
    <row r="14" spans="1:18" x14ac:dyDescent="0.35">
      <c r="A14" s="73"/>
      <c r="B14" s="73"/>
      <c r="C14" s="73"/>
      <c r="D14" s="73"/>
      <c r="E14" s="73"/>
      <c r="F14" s="73"/>
      <c r="G14" s="73"/>
      <c r="H14" s="73"/>
      <c r="I14" s="73"/>
      <c r="J14" s="73"/>
      <c r="K14" s="73"/>
      <c r="L14" s="73"/>
      <c r="M14" s="73"/>
      <c r="N14" s="73"/>
      <c r="O14" s="73"/>
      <c r="P14" s="73"/>
      <c r="Q14" s="73"/>
      <c r="R14" s="73"/>
    </row>
    <row r="15" spans="1:18" x14ac:dyDescent="0.35">
      <c r="A15" s="73"/>
      <c r="B15" s="73"/>
      <c r="C15" s="73"/>
      <c r="D15" s="73"/>
      <c r="E15" s="73"/>
      <c r="F15" s="73"/>
      <c r="G15" s="73"/>
      <c r="H15" s="73"/>
      <c r="I15" s="73"/>
      <c r="J15" s="73"/>
      <c r="K15" s="73"/>
      <c r="L15" s="73"/>
      <c r="M15" s="73"/>
      <c r="N15" s="73"/>
      <c r="O15" s="73"/>
      <c r="P15" s="73"/>
      <c r="Q15" s="73"/>
      <c r="R15" s="73"/>
    </row>
    <row r="16" spans="1:18" x14ac:dyDescent="0.35">
      <c r="A16" s="73"/>
      <c r="B16" s="73"/>
      <c r="C16" s="73"/>
      <c r="D16" s="73"/>
      <c r="E16" s="73"/>
      <c r="F16" s="73"/>
      <c r="G16" s="73"/>
      <c r="H16" s="73"/>
      <c r="I16" s="73"/>
      <c r="J16" s="73"/>
      <c r="K16" s="73"/>
      <c r="L16" s="73"/>
      <c r="M16" s="73"/>
      <c r="N16" s="73"/>
      <c r="O16" s="73"/>
      <c r="P16" s="73"/>
      <c r="Q16" s="73"/>
      <c r="R16" s="73"/>
    </row>
    <row r="17" spans="1:18" x14ac:dyDescent="0.35">
      <c r="A17" s="73"/>
      <c r="B17" s="73"/>
      <c r="C17" s="73"/>
      <c r="D17" s="73"/>
      <c r="E17" s="73"/>
      <c r="F17" s="73"/>
      <c r="G17" s="73"/>
      <c r="H17" s="73"/>
      <c r="I17" s="73"/>
      <c r="J17" s="73"/>
      <c r="K17" s="73"/>
      <c r="L17" s="73"/>
      <c r="M17" s="73"/>
      <c r="N17" s="73"/>
      <c r="O17" s="73"/>
      <c r="P17" s="73"/>
      <c r="Q17" s="73"/>
      <c r="R17" s="73"/>
    </row>
    <row r="18" spans="1:18" x14ac:dyDescent="0.35">
      <c r="A18" s="73"/>
      <c r="B18" s="73"/>
      <c r="C18" s="73"/>
      <c r="D18" s="73"/>
      <c r="E18" s="73"/>
      <c r="F18" s="73"/>
      <c r="G18" s="73"/>
      <c r="H18" s="73"/>
      <c r="I18" s="73"/>
      <c r="J18" s="73"/>
      <c r="K18" s="73"/>
      <c r="L18" s="73"/>
      <c r="M18" s="73"/>
      <c r="N18" s="73"/>
      <c r="O18" s="73"/>
      <c r="P18" s="73"/>
      <c r="Q18" s="73"/>
      <c r="R18" s="73"/>
    </row>
    <row r="19" spans="1:18" x14ac:dyDescent="0.35">
      <c r="A19" s="73"/>
      <c r="B19" s="73"/>
      <c r="C19" s="73"/>
      <c r="D19" s="73"/>
      <c r="E19" s="73"/>
      <c r="F19" s="73"/>
      <c r="G19" s="73"/>
      <c r="H19" s="73"/>
      <c r="I19" s="73"/>
      <c r="J19" s="73"/>
      <c r="K19" s="73"/>
      <c r="L19" s="73"/>
      <c r="M19" s="73"/>
      <c r="N19" s="73"/>
      <c r="O19" s="73"/>
      <c r="P19" s="73"/>
      <c r="Q19" s="73"/>
      <c r="R19" s="73"/>
    </row>
    <row r="20" spans="1:18" x14ac:dyDescent="0.35">
      <c r="A20" s="73"/>
      <c r="B20" s="73"/>
      <c r="C20" s="73"/>
      <c r="D20" s="73"/>
      <c r="E20" s="73"/>
      <c r="F20" s="73"/>
      <c r="G20" s="73"/>
      <c r="H20" s="73"/>
      <c r="I20" s="73"/>
      <c r="J20" s="73"/>
      <c r="K20" s="73"/>
      <c r="L20" s="73"/>
      <c r="M20" s="73"/>
      <c r="N20" s="73"/>
      <c r="O20" s="73"/>
      <c r="P20" s="73"/>
      <c r="Q20" s="73"/>
      <c r="R20" s="73"/>
    </row>
    <row r="21" spans="1:18" x14ac:dyDescent="0.35">
      <c r="A21" s="73"/>
      <c r="B21" s="73"/>
      <c r="C21" s="73"/>
      <c r="D21" s="73"/>
      <c r="E21" s="73"/>
      <c r="F21" s="73"/>
      <c r="G21" s="73"/>
      <c r="H21" s="73"/>
      <c r="I21" s="73"/>
      <c r="J21" s="73"/>
      <c r="K21" s="73"/>
      <c r="L21" s="73"/>
      <c r="M21" s="73"/>
      <c r="N21" s="73"/>
      <c r="O21" s="73"/>
      <c r="P21" s="73"/>
      <c r="Q21" s="73"/>
      <c r="R21" s="73"/>
    </row>
    <row r="22" spans="1:18" x14ac:dyDescent="0.35">
      <c r="A22" s="73"/>
      <c r="B22" s="73"/>
      <c r="C22" s="73"/>
      <c r="D22" s="73"/>
      <c r="E22" s="73"/>
      <c r="F22" s="73"/>
      <c r="G22" s="73"/>
      <c r="H22" s="73"/>
      <c r="I22" s="73"/>
      <c r="J22" s="73"/>
      <c r="K22" s="73"/>
      <c r="L22" s="73"/>
      <c r="M22" s="73"/>
      <c r="N22" s="73"/>
      <c r="O22" s="73"/>
      <c r="P22" s="73"/>
      <c r="Q22" s="73"/>
      <c r="R22" s="73"/>
    </row>
    <row r="23" spans="1:18" x14ac:dyDescent="0.35">
      <c r="A23" s="73"/>
      <c r="B23" s="73"/>
      <c r="C23" s="73"/>
      <c r="D23" s="73"/>
      <c r="E23" s="73"/>
      <c r="F23" s="73"/>
      <c r="G23" s="73"/>
      <c r="H23" s="73"/>
      <c r="I23" s="73"/>
      <c r="J23" s="73"/>
      <c r="K23" s="73"/>
      <c r="L23" s="73"/>
      <c r="M23" s="73"/>
      <c r="N23" s="73"/>
      <c r="O23" s="73"/>
      <c r="P23" s="73"/>
      <c r="Q23" s="73"/>
      <c r="R23" s="73"/>
    </row>
    <row r="24" spans="1:18" x14ac:dyDescent="0.35">
      <c r="A24" s="73"/>
      <c r="B24" s="73"/>
      <c r="C24" s="73"/>
      <c r="D24" s="73"/>
      <c r="E24" s="73"/>
      <c r="F24" s="73"/>
      <c r="G24" s="73"/>
      <c r="H24" s="73"/>
      <c r="I24" s="73"/>
      <c r="J24" s="73"/>
      <c r="K24" s="73"/>
      <c r="L24" s="73"/>
      <c r="M24" s="73"/>
      <c r="N24" s="73"/>
      <c r="O24" s="73"/>
      <c r="P24" s="73"/>
      <c r="Q24" s="73"/>
      <c r="R24" s="73"/>
    </row>
    <row r="25" spans="1:18" x14ac:dyDescent="0.35">
      <c r="A25" s="73"/>
      <c r="B25" s="73"/>
      <c r="C25" s="73"/>
      <c r="D25" s="73"/>
      <c r="E25" s="73"/>
      <c r="F25" s="73"/>
      <c r="G25" s="73"/>
      <c r="H25" s="73"/>
      <c r="I25" s="73"/>
      <c r="J25" s="73"/>
      <c r="K25" s="73"/>
      <c r="L25" s="73"/>
      <c r="M25" s="73"/>
      <c r="N25" s="73"/>
      <c r="O25" s="73"/>
      <c r="P25" s="73"/>
      <c r="Q25" s="73"/>
      <c r="R25" s="73"/>
    </row>
    <row r="26" spans="1:18" x14ac:dyDescent="0.35">
      <c r="A26" s="73"/>
      <c r="B26" s="73"/>
      <c r="C26" s="73"/>
      <c r="D26" s="73"/>
      <c r="E26" s="73"/>
      <c r="F26" s="73"/>
      <c r="G26" s="73"/>
      <c r="H26" s="73"/>
      <c r="I26" s="73"/>
      <c r="J26" s="73"/>
      <c r="K26" s="73"/>
      <c r="L26" s="73"/>
      <c r="M26" s="73"/>
      <c r="N26" s="73"/>
      <c r="O26" s="73"/>
      <c r="P26" s="73"/>
      <c r="Q26" s="73"/>
      <c r="R26" s="73"/>
    </row>
    <row r="27" spans="1:18" x14ac:dyDescent="0.35">
      <c r="A27" s="73"/>
      <c r="B27" s="73"/>
      <c r="C27" s="73"/>
      <c r="D27" s="73"/>
      <c r="E27" s="73"/>
      <c r="F27" s="73"/>
      <c r="G27" s="73"/>
      <c r="H27" s="73"/>
      <c r="I27" s="73"/>
      <c r="J27" s="73"/>
      <c r="K27" s="73"/>
      <c r="L27" s="73"/>
      <c r="M27" s="73"/>
      <c r="N27" s="73"/>
      <c r="O27" s="73"/>
      <c r="P27" s="73"/>
      <c r="Q27" s="73"/>
      <c r="R27" s="73"/>
    </row>
    <row r="28" spans="1:18" x14ac:dyDescent="0.35">
      <c r="A28" s="73"/>
      <c r="B28" s="73"/>
      <c r="C28" s="73"/>
      <c r="D28" s="73"/>
      <c r="E28" s="73"/>
      <c r="F28" s="73"/>
      <c r="G28" s="73"/>
      <c r="H28" s="73"/>
      <c r="I28" s="73"/>
      <c r="J28" s="73"/>
      <c r="K28" s="73"/>
      <c r="L28" s="73"/>
      <c r="M28" s="73"/>
      <c r="N28" s="73"/>
      <c r="O28" s="73"/>
      <c r="P28" s="73"/>
      <c r="Q28" s="73"/>
      <c r="R28" s="73"/>
    </row>
    <row r="29" spans="1:18" x14ac:dyDescent="0.35">
      <c r="A29" s="73"/>
      <c r="B29" s="73"/>
      <c r="C29" s="73"/>
      <c r="D29" s="73"/>
      <c r="E29" s="73"/>
      <c r="F29" s="73"/>
      <c r="G29" s="73"/>
      <c r="H29" s="73"/>
      <c r="I29" s="73"/>
      <c r="J29" s="73"/>
      <c r="K29" s="73"/>
      <c r="L29" s="73"/>
      <c r="M29" s="73"/>
      <c r="N29" s="73"/>
      <c r="O29" s="73"/>
      <c r="P29" s="73"/>
      <c r="Q29" s="73"/>
      <c r="R29" s="73"/>
    </row>
    <row r="30" spans="1:18" x14ac:dyDescent="0.35">
      <c r="A30" s="73"/>
      <c r="B30" s="73"/>
      <c r="C30" s="73"/>
      <c r="D30" s="73"/>
      <c r="E30" s="73"/>
      <c r="F30" s="73"/>
      <c r="G30" s="73"/>
      <c r="H30" s="73"/>
      <c r="I30" s="73"/>
      <c r="J30" s="73"/>
      <c r="K30" s="73"/>
      <c r="L30" s="73"/>
      <c r="M30" s="73"/>
      <c r="N30" s="73"/>
      <c r="O30" s="73"/>
      <c r="P30" s="73"/>
      <c r="Q30" s="73"/>
      <c r="R30" s="73"/>
    </row>
    <row r="31" spans="1:18" x14ac:dyDescent="0.35">
      <c r="A31" s="73"/>
      <c r="B31" s="73"/>
      <c r="C31" s="73"/>
      <c r="D31" s="73"/>
      <c r="E31" s="73"/>
      <c r="F31" s="73"/>
      <c r="G31" s="73"/>
      <c r="H31" s="73"/>
      <c r="I31" s="73"/>
      <c r="J31" s="73"/>
      <c r="K31" s="73"/>
      <c r="L31" s="73"/>
      <c r="M31" s="73"/>
      <c r="N31" s="73"/>
      <c r="O31" s="73"/>
      <c r="P31" s="73"/>
      <c r="Q31" s="73"/>
      <c r="R31" s="73"/>
    </row>
    <row r="32" spans="1:18" x14ac:dyDescent="0.35">
      <c r="A32" s="73"/>
      <c r="B32" s="73"/>
      <c r="C32" s="73"/>
      <c r="D32" s="73"/>
      <c r="E32" s="73"/>
      <c r="F32" s="73"/>
      <c r="G32" s="73"/>
      <c r="H32" s="73"/>
      <c r="I32" s="73"/>
      <c r="J32" s="73"/>
      <c r="K32" s="73"/>
      <c r="L32" s="73"/>
      <c r="M32" s="73"/>
      <c r="N32" s="73"/>
      <c r="O32" s="73"/>
      <c r="P32" s="73"/>
      <c r="Q32" s="73"/>
      <c r="R32" s="73"/>
    </row>
    <row r="33" spans="1:18" x14ac:dyDescent="0.35">
      <c r="A33" s="73"/>
      <c r="B33" s="73"/>
      <c r="C33" s="73"/>
      <c r="D33" s="73"/>
      <c r="E33" s="73"/>
      <c r="F33" s="73"/>
      <c r="G33" s="73"/>
      <c r="H33" s="73"/>
      <c r="I33" s="73"/>
      <c r="J33" s="73"/>
      <c r="K33" s="73"/>
      <c r="L33" s="73"/>
      <c r="M33" s="73"/>
      <c r="N33" s="73"/>
      <c r="O33" s="73"/>
      <c r="P33" s="73"/>
      <c r="Q33" s="73"/>
      <c r="R33" s="73"/>
    </row>
    <row r="34" spans="1:18" x14ac:dyDescent="0.35">
      <c r="A34" s="73"/>
      <c r="B34" s="73"/>
      <c r="C34" s="73"/>
      <c r="D34" s="73"/>
      <c r="E34" s="73"/>
      <c r="F34" s="73"/>
      <c r="G34" s="73"/>
      <c r="H34" s="73"/>
      <c r="I34" s="73"/>
      <c r="J34" s="73"/>
      <c r="K34" s="73"/>
      <c r="L34" s="73"/>
      <c r="M34" s="73"/>
      <c r="N34" s="73"/>
      <c r="O34" s="73"/>
      <c r="P34" s="73"/>
      <c r="Q34" s="73"/>
      <c r="R34" s="73"/>
    </row>
    <row r="35" spans="1:18" s="24" customFormat="1" ht="13" x14ac:dyDescent="0.3">
      <c r="A35" s="172"/>
      <c r="B35" s="172"/>
      <c r="C35" s="172"/>
      <c r="D35" s="172"/>
      <c r="E35" s="165"/>
      <c r="F35" s="165"/>
      <c r="G35" s="165"/>
      <c r="H35" s="165"/>
      <c r="I35" s="165"/>
      <c r="J35" s="172"/>
      <c r="K35" s="172"/>
      <c r="L35" s="172"/>
      <c r="M35" s="172"/>
      <c r="N35" s="172"/>
      <c r="O35" s="172"/>
      <c r="P35" s="172"/>
      <c r="Q35" s="172"/>
      <c r="R35" s="172"/>
    </row>
    <row r="36" spans="1:18" s="24" customFormat="1" ht="13" x14ac:dyDescent="0.3">
      <c r="A36" s="426"/>
      <c r="B36" s="427"/>
      <c r="C36" s="173" t="s">
        <v>44</v>
      </c>
      <c r="D36" s="184" t="s">
        <v>210</v>
      </c>
      <c r="E36" s="165"/>
      <c r="F36" s="165"/>
      <c r="G36" s="165"/>
      <c r="H36" s="165"/>
      <c r="I36" s="165"/>
      <c r="J36" s="172"/>
      <c r="K36" s="172"/>
      <c r="L36" s="172"/>
      <c r="M36" s="172"/>
      <c r="N36" s="172"/>
      <c r="O36" s="172"/>
      <c r="P36" s="172"/>
      <c r="Q36" s="172"/>
      <c r="R36" s="172"/>
    </row>
    <row r="37" spans="1:18" s="24" customFormat="1" x14ac:dyDescent="0.35">
      <c r="A37" s="431" t="s">
        <v>209</v>
      </c>
      <c r="B37" s="432" t="str">
        <f>B3</f>
        <v>What is the probability that the 'in-situ status quo' plan for the  will be % implemented in  years from now?</v>
      </c>
      <c r="C37" s="174" t="s">
        <v>45</v>
      </c>
      <c r="D37" s="181" t="str">
        <f>IF('4.3 Elicitation data entry'!$C$5="","",'4.3 Elicitation data entry'!$C$5)</f>
        <v/>
      </c>
      <c r="E37" s="166"/>
      <c r="F37" s="167"/>
      <c r="G37" s="168"/>
      <c r="H37" s="169"/>
      <c r="I37" s="167"/>
      <c r="J37" s="172"/>
      <c r="K37" s="172"/>
      <c r="L37" s="172"/>
      <c r="M37" s="172"/>
      <c r="N37" s="172"/>
      <c r="O37" s="172"/>
      <c r="P37" s="172"/>
      <c r="Q37" s="172"/>
      <c r="R37" s="172"/>
    </row>
    <row r="38" spans="1:18" s="24" customFormat="1" x14ac:dyDescent="0.35">
      <c r="A38" s="431"/>
      <c r="B38" s="432"/>
      <c r="C38" s="174" t="s">
        <v>46</v>
      </c>
      <c r="D38" s="181" t="str">
        <f>IF('4.3 Elicitation data entry'!$D$5="","",'4.3 Elicitation data entry'!$D$5)</f>
        <v/>
      </c>
      <c r="E38" s="166"/>
      <c r="F38" s="167"/>
      <c r="G38" s="168"/>
      <c r="H38" s="169"/>
      <c r="I38" s="167"/>
      <c r="J38" s="172"/>
      <c r="K38" s="172"/>
      <c r="L38" s="172"/>
      <c r="M38" s="172"/>
      <c r="N38" s="172"/>
      <c r="O38" s="172"/>
      <c r="P38" s="172"/>
      <c r="Q38" s="172"/>
      <c r="R38" s="172"/>
    </row>
    <row r="39" spans="1:18" s="24" customFormat="1" x14ac:dyDescent="0.35">
      <c r="A39" s="431"/>
      <c r="B39" s="432"/>
      <c r="C39" s="174" t="s">
        <v>47</v>
      </c>
      <c r="D39" s="181" t="str">
        <f>IF('4.3 Elicitation data entry'!$E$5="","",'4.3 Elicitation data entry'!$E$5)</f>
        <v/>
      </c>
      <c r="E39" s="166"/>
      <c r="F39" s="167"/>
      <c r="G39" s="168"/>
      <c r="H39" s="169"/>
      <c r="I39" s="167"/>
      <c r="J39" s="172"/>
      <c r="K39" s="172"/>
      <c r="L39" s="172"/>
      <c r="M39" s="172"/>
      <c r="N39" s="172"/>
      <c r="O39" s="172"/>
      <c r="P39" s="172"/>
      <c r="Q39" s="172"/>
      <c r="R39" s="172"/>
    </row>
    <row r="40" spans="1:18" s="24" customFormat="1" x14ac:dyDescent="0.35">
      <c r="A40" s="431"/>
      <c r="B40" s="432"/>
      <c r="C40" s="174" t="s">
        <v>48</v>
      </c>
      <c r="D40" s="181" t="str">
        <f>IF('4.3 Elicitation data entry'!$F$5="","",'4.3 Elicitation data entry'!$F$5)</f>
        <v/>
      </c>
      <c r="E40" s="166"/>
      <c r="F40" s="167"/>
      <c r="G40" s="168"/>
      <c r="H40" s="169"/>
      <c r="I40" s="167"/>
      <c r="J40" s="172"/>
      <c r="K40" s="172"/>
      <c r="L40" s="172"/>
      <c r="M40" s="172"/>
      <c r="N40" s="172"/>
      <c r="O40" s="172"/>
      <c r="P40" s="172"/>
      <c r="Q40" s="172"/>
      <c r="R40" s="172"/>
    </row>
    <row r="41" spans="1:18" s="24" customFormat="1" x14ac:dyDescent="0.35">
      <c r="A41" s="431"/>
      <c r="B41" s="432"/>
      <c r="C41" s="174" t="s">
        <v>49</v>
      </c>
      <c r="D41" s="181" t="str">
        <f>IF('4.3 Elicitation data entry'!$G$5="","",'4.3 Elicitation data entry'!$G$5)</f>
        <v/>
      </c>
      <c r="E41" s="166"/>
      <c r="F41" s="167"/>
      <c r="G41" s="168"/>
      <c r="H41" s="169"/>
      <c r="I41" s="167"/>
      <c r="J41" s="172"/>
      <c r="K41" s="172"/>
      <c r="L41" s="172"/>
      <c r="M41" s="172"/>
      <c r="N41" s="172"/>
      <c r="O41" s="172"/>
      <c r="P41" s="172"/>
      <c r="Q41" s="172"/>
      <c r="R41" s="172"/>
    </row>
    <row r="42" spans="1:18" s="24" customFormat="1" x14ac:dyDescent="0.35">
      <c r="A42" s="431"/>
      <c r="B42" s="432"/>
      <c r="C42" s="174" t="s">
        <v>50</v>
      </c>
      <c r="D42" s="181" t="str">
        <f>IF('4.3 Elicitation data entry'!$H$5="","",'4.3 Elicitation data entry'!$H$5)</f>
        <v/>
      </c>
      <c r="E42" s="166"/>
      <c r="F42" s="167"/>
      <c r="G42" s="168"/>
      <c r="H42" s="169"/>
      <c r="I42" s="167"/>
      <c r="J42" s="172"/>
      <c r="K42" s="172"/>
      <c r="L42" s="172"/>
      <c r="M42" s="172"/>
      <c r="N42" s="172"/>
      <c r="O42" s="172"/>
      <c r="P42" s="172"/>
      <c r="Q42" s="172"/>
      <c r="R42" s="172"/>
    </row>
    <row r="43" spans="1:18" s="24" customFormat="1" x14ac:dyDescent="0.35">
      <c r="A43" s="175"/>
      <c r="B43" s="176" t="s">
        <v>51</v>
      </c>
      <c r="C43" s="177" t="s">
        <v>52</v>
      </c>
      <c r="D43" s="182" t="e">
        <f t="shared" ref="D43" si="0">AVERAGE(D37:D42)</f>
        <v>#DIV/0!</v>
      </c>
      <c r="E43" s="170"/>
      <c r="F43" s="171"/>
      <c r="G43" s="171"/>
      <c r="H43" s="169"/>
      <c r="I43" s="167"/>
      <c r="J43" s="172"/>
      <c r="K43" s="172"/>
      <c r="L43" s="172"/>
      <c r="M43" s="172"/>
      <c r="N43" s="172"/>
      <c r="O43" s="172"/>
      <c r="P43" s="172"/>
      <c r="Q43" s="172"/>
      <c r="R43" s="172"/>
    </row>
    <row r="44" spans="1:18" s="24" customFormat="1" x14ac:dyDescent="0.35">
      <c r="A44" s="178"/>
      <c r="B44" s="179"/>
      <c r="C44" s="180" t="s">
        <v>53</v>
      </c>
      <c r="D44" s="183" t="e">
        <f>STDEV(D37:D42)/SQRT(COUNT(D37:D42))</f>
        <v>#DIV/0!</v>
      </c>
      <c r="E44" s="170"/>
      <c r="F44" s="171"/>
      <c r="G44" s="171"/>
      <c r="H44" s="171"/>
      <c r="I44" s="171"/>
      <c r="J44" s="172"/>
      <c r="K44" s="172"/>
      <c r="L44" s="172"/>
      <c r="M44" s="172"/>
      <c r="N44" s="172"/>
      <c r="O44" s="172"/>
      <c r="P44" s="172"/>
      <c r="Q44" s="172"/>
      <c r="R44" s="172"/>
    </row>
    <row r="45" spans="1:18" x14ac:dyDescent="0.35">
      <c r="A45" s="22"/>
      <c r="B45" s="21"/>
      <c r="C45" s="21"/>
      <c r="D45" s="21"/>
      <c r="E45" s="21"/>
      <c r="F45" s="21"/>
      <c r="G45" s="73"/>
      <c r="H45" s="73"/>
      <c r="I45" s="73"/>
      <c r="J45" s="73"/>
      <c r="K45" s="73"/>
      <c r="L45" s="73"/>
      <c r="M45" s="73"/>
      <c r="N45" s="73"/>
      <c r="O45" s="73"/>
      <c r="P45" s="73"/>
      <c r="Q45" s="73"/>
      <c r="R45" s="73"/>
    </row>
    <row r="46" spans="1:18" x14ac:dyDescent="0.35">
      <c r="A46" s="22"/>
      <c r="B46" s="21"/>
      <c r="C46" s="21"/>
      <c r="D46" s="21"/>
      <c r="E46" s="21"/>
      <c r="F46" s="21"/>
      <c r="G46" s="73"/>
      <c r="H46" s="73"/>
      <c r="I46" s="73"/>
      <c r="J46" s="73"/>
      <c r="K46" s="73"/>
      <c r="L46" s="73"/>
      <c r="M46" s="73"/>
      <c r="N46" s="73"/>
      <c r="O46" s="73"/>
      <c r="P46" s="73"/>
      <c r="Q46" s="73"/>
      <c r="R46" s="73"/>
    </row>
    <row r="47" spans="1:18" x14ac:dyDescent="0.35">
      <c r="A47" s="22"/>
      <c r="B47" s="21"/>
      <c r="C47" s="21"/>
      <c r="D47" s="21"/>
      <c r="E47" s="21"/>
      <c r="F47" s="21"/>
      <c r="G47" s="73"/>
      <c r="H47" s="73"/>
      <c r="I47" s="73"/>
      <c r="J47" s="73"/>
      <c r="K47" s="73"/>
      <c r="L47" s="73"/>
      <c r="M47" s="73"/>
      <c r="N47" s="73"/>
      <c r="O47" s="73"/>
      <c r="P47" s="73"/>
      <c r="Q47" s="73"/>
      <c r="R47" s="73"/>
    </row>
    <row r="48" spans="1:18" ht="35.15" customHeight="1" x14ac:dyDescent="0.35">
      <c r="A48" s="164" t="s">
        <v>211</v>
      </c>
      <c r="B48" s="428" t="str">
        <f>CONCATENATE("What is the probability that the 'in situ plus' plan for the ",'Initial information'!C7," will be ", '3. In-situ plus plan'!$D$41,"% implemented in ",'3. In-situ plus plan'!$D$38," years from now?")</f>
        <v>What is the probability that the 'in situ plus' plan for the  will be % implemented in  years from now?</v>
      </c>
      <c r="C48" s="429"/>
      <c r="D48" s="429"/>
      <c r="E48" s="429"/>
      <c r="F48" s="429"/>
      <c r="G48" s="429"/>
      <c r="H48" s="429"/>
      <c r="I48" s="429"/>
      <c r="J48" s="429"/>
      <c r="K48" s="430"/>
      <c r="L48" s="73"/>
      <c r="M48" s="73"/>
      <c r="N48" s="73"/>
      <c r="O48" s="73"/>
      <c r="P48" s="73"/>
      <c r="Q48" s="73"/>
      <c r="R48" s="73"/>
    </row>
    <row r="49" spans="1:18" x14ac:dyDescent="0.35">
      <c r="A49" s="73"/>
      <c r="B49" s="73"/>
      <c r="C49" s="73"/>
      <c r="D49" s="73"/>
      <c r="E49" s="73"/>
      <c r="F49" s="73"/>
      <c r="G49" s="73"/>
      <c r="H49" s="73"/>
      <c r="I49" s="73"/>
      <c r="J49" s="73"/>
      <c r="K49" s="73"/>
      <c r="L49" s="73"/>
      <c r="M49" s="73"/>
      <c r="N49" s="73"/>
      <c r="O49" s="73"/>
      <c r="P49" s="73"/>
      <c r="Q49" s="73"/>
      <c r="R49" s="73"/>
    </row>
    <row r="50" spans="1:18" x14ac:dyDescent="0.35">
      <c r="A50" s="73"/>
      <c r="B50" s="73"/>
      <c r="C50" s="73"/>
      <c r="D50" s="73"/>
      <c r="E50" s="73"/>
      <c r="F50" s="73"/>
      <c r="G50" s="73"/>
      <c r="H50" s="73"/>
      <c r="I50" s="73"/>
      <c r="J50" s="73"/>
      <c r="K50" s="73"/>
      <c r="L50" s="73"/>
      <c r="M50" s="73"/>
      <c r="N50" s="73"/>
      <c r="O50" s="73"/>
      <c r="P50" s="73"/>
      <c r="Q50" s="73"/>
      <c r="R50" s="73"/>
    </row>
    <row r="51" spans="1:18" x14ac:dyDescent="0.35">
      <c r="A51" s="73"/>
      <c r="B51" s="73"/>
      <c r="C51" s="73"/>
      <c r="D51" s="73"/>
      <c r="E51" s="73"/>
      <c r="F51" s="73"/>
      <c r="G51" s="73"/>
      <c r="H51" s="73"/>
      <c r="I51" s="73"/>
      <c r="J51" s="73"/>
      <c r="K51" s="73"/>
      <c r="L51" s="73"/>
      <c r="M51" s="73"/>
      <c r="N51" s="73"/>
      <c r="O51" s="73"/>
      <c r="P51" s="73"/>
      <c r="Q51" s="73"/>
      <c r="R51" s="73"/>
    </row>
    <row r="52" spans="1:18" x14ac:dyDescent="0.35">
      <c r="A52" s="73"/>
      <c r="B52" s="73"/>
      <c r="C52" s="73"/>
      <c r="D52" s="73"/>
      <c r="E52" s="73"/>
      <c r="F52" s="73"/>
      <c r="G52" s="73"/>
      <c r="H52" s="73"/>
      <c r="I52" s="73"/>
      <c r="J52" s="73"/>
      <c r="K52" s="73"/>
      <c r="L52" s="73"/>
      <c r="M52" s="73"/>
      <c r="N52" s="73"/>
      <c r="O52" s="73"/>
      <c r="P52" s="73"/>
      <c r="Q52" s="73"/>
      <c r="R52" s="73"/>
    </row>
    <row r="53" spans="1:18" x14ac:dyDescent="0.35">
      <c r="A53" s="73"/>
      <c r="B53" s="73"/>
      <c r="C53" s="73"/>
      <c r="D53" s="73"/>
      <c r="E53" s="73"/>
      <c r="F53" s="73"/>
      <c r="G53" s="73"/>
      <c r="H53" s="73"/>
      <c r="I53" s="73"/>
      <c r="J53" s="73"/>
      <c r="K53" s="73"/>
      <c r="L53" s="73"/>
      <c r="M53" s="73"/>
      <c r="N53" s="73"/>
      <c r="O53" s="73"/>
      <c r="P53" s="73"/>
      <c r="Q53" s="73"/>
      <c r="R53" s="73"/>
    </row>
    <row r="54" spans="1:18" x14ac:dyDescent="0.35">
      <c r="A54" s="73"/>
      <c r="B54" s="73"/>
      <c r="C54" s="73"/>
      <c r="D54" s="73"/>
      <c r="E54" s="73"/>
      <c r="F54" s="73"/>
      <c r="G54" s="73"/>
      <c r="H54" s="73"/>
      <c r="I54" s="73"/>
      <c r="J54" s="73"/>
      <c r="K54" s="73"/>
      <c r="L54" s="73"/>
      <c r="M54" s="73"/>
      <c r="N54" s="73"/>
      <c r="O54" s="73"/>
      <c r="P54" s="73"/>
      <c r="Q54" s="73"/>
      <c r="R54" s="73"/>
    </row>
    <row r="55" spans="1:18" x14ac:dyDescent="0.35">
      <c r="A55" s="73"/>
      <c r="B55" s="73"/>
      <c r="C55" s="73"/>
      <c r="D55" s="73"/>
      <c r="E55" s="73"/>
      <c r="F55" s="73"/>
      <c r="G55" s="73"/>
      <c r="H55" s="73"/>
      <c r="I55" s="73"/>
      <c r="J55" s="73"/>
      <c r="K55" s="73"/>
      <c r="L55" s="73"/>
      <c r="M55" s="73"/>
      <c r="N55" s="73"/>
      <c r="O55" s="73"/>
      <c r="P55" s="73"/>
      <c r="Q55" s="73"/>
      <c r="R55" s="73"/>
    </row>
    <row r="56" spans="1:18" x14ac:dyDescent="0.35">
      <c r="A56" s="73"/>
      <c r="B56" s="73"/>
      <c r="C56" s="73"/>
      <c r="D56" s="73"/>
      <c r="E56" s="73"/>
      <c r="F56" s="73"/>
      <c r="G56" s="73"/>
      <c r="H56" s="73"/>
      <c r="I56" s="73"/>
      <c r="J56" s="73"/>
      <c r="K56" s="73"/>
      <c r="L56" s="73"/>
      <c r="M56" s="73"/>
      <c r="N56" s="73"/>
      <c r="O56" s="73"/>
      <c r="P56" s="73"/>
      <c r="Q56" s="73"/>
      <c r="R56" s="73"/>
    </row>
    <row r="57" spans="1:18" x14ac:dyDescent="0.35">
      <c r="A57" s="73"/>
      <c r="B57" s="73"/>
      <c r="C57" s="73"/>
      <c r="D57" s="73"/>
      <c r="E57" s="73"/>
      <c r="F57" s="73"/>
      <c r="G57" s="73"/>
      <c r="H57" s="73"/>
      <c r="I57" s="73"/>
      <c r="J57" s="73"/>
      <c r="K57" s="73"/>
      <c r="L57" s="73"/>
      <c r="M57" s="73"/>
      <c r="N57" s="73"/>
      <c r="O57" s="73"/>
      <c r="P57" s="73"/>
      <c r="Q57" s="73"/>
      <c r="R57" s="73"/>
    </row>
    <row r="58" spans="1:18" x14ac:dyDescent="0.35">
      <c r="A58" s="73"/>
      <c r="B58" s="73"/>
      <c r="C58" s="73"/>
      <c r="D58" s="73"/>
      <c r="E58" s="73"/>
      <c r="F58" s="73"/>
      <c r="G58" s="73"/>
      <c r="H58" s="73"/>
      <c r="I58" s="73"/>
      <c r="J58" s="73"/>
      <c r="K58" s="73"/>
      <c r="L58" s="73"/>
      <c r="M58" s="73"/>
      <c r="N58" s="73"/>
      <c r="O58" s="73"/>
      <c r="P58" s="73"/>
      <c r="Q58" s="73"/>
      <c r="R58" s="73"/>
    </row>
    <row r="59" spans="1:18" x14ac:dyDescent="0.35">
      <c r="A59" s="73"/>
      <c r="B59" s="73"/>
      <c r="C59" s="73"/>
      <c r="D59" s="73"/>
      <c r="E59" s="73"/>
      <c r="F59" s="73"/>
      <c r="G59" s="73"/>
      <c r="H59" s="73"/>
      <c r="I59" s="73"/>
      <c r="J59" s="73"/>
      <c r="K59" s="73"/>
      <c r="L59" s="73"/>
      <c r="M59" s="73"/>
      <c r="N59" s="73"/>
      <c r="O59" s="73"/>
      <c r="P59" s="73"/>
      <c r="Q59" s="73"/>
      <c r="R59" s="73"/>
    </row>
    <row r="60" spans="1:18" x14ac:dyDescent="0.35">
      <c r="A60" s="73"/>
      <c r="B60" s="73"/>
      <c r="C60" s="73"/>
      <c r="D60" s="73"/>
      <c r="E60" s="73"/>
      <c r="F60" s="73"/>
      <c r="G60" s="73"/>
      <c r="H60" s="73"/>
      <c r="I60" s="73"/>
      <c r="J60" s="73"/>
      <c r="K60" s="73"/>
      <c r="L60" s="73"/>
      <c r="M60" s="73"/>
      <c r="N60" s="73"/>
      <c r="O60" s="73"/>
      <c r="P60" s="73"/>
      <c r="Q60" s="73"/>
      <c r="R60" s="73"/>
    </row>
    <row r="61" spans="1:18" x14ac:dyDescent="0.35">
      <c r="A61" s="73"/>
      <c r="B61" s="73"/>
      <c r="C61" s="73"/>
      <c r="D61" s="73"/>
      <c r="E61" s="73"/>
      <c r="F61" s="73"/>
      <c r="G61" s="73"/>
      <c r="H61" s="73"/>
      <c r="I61" s="73"/>
      <c r="J61" s="73"/>
      <c r="K61" s="73"/>
      <c r="L61" s="73"/>
      <c r="M61" s="73"/>
      <c r="N61" s="73"/>
      <c r="O61" s="73"/>
      <c r="P61" s="73"/>
      <c r="Q61" s="73"/>
      <c r="R61" s="73"/>
    </row>
    <row r="62" spans="1:18" x14ac:dyDescent="0.35">
      <c r="A62" s="73"/>
      <c r="B62" s="73"/>
      <c r="C62" s="73"/>
      <c r="D62" s="73"/>
      <c r="E62" s="73"/>
      <c r="F62" s="73"/>
      <c r="G62" s="73"/>
      <c r="H62" s="73"/>
      <c r="I62" s="73"/>
      <c r="J62" s="73"/>
      <c r="K62" s="73"/>
      <c r="L62" s="73"/>
      <c r="M62" s="73"/>
      <c r="N62" s="73"/>
      <c r="O62" s="73"/>
      <c r="P62" s="73"/>
      <c r="Q62" s="73"/>
      <c r="R62" s="73"/>
    </row>
    <row r="63" spans="1:18" x14ac:dyDescent="0.35">
      <c r="A63" s="73"/>
      <c r="B63" s="73"/>
      <c r="C63" s="73"/>
      <c r="D63" s="73"/>
      <c r="E63" s="73"/>
      <c r="F63" s="73"/>
      <c r="G63" s="73"/>
      <c r="H63" s="73"/>
      <c r="I63" s="73"/>
      <c r="J63" s="73"/>
      <c r="K63" s="73"/>
      <c r="L63" s="73"/>
      <c r="M63" s="73"/>
      <c r="N63" s="73"/>
      <c r="O63" s="73"/>
      <c r="P63" s="73"/>
      <c r="Q63" s="73"/>
      <c r="R63" s="73"/>
    </row>
    <row r="64" spans="1:18" x14ac:dyDescent="0.35">
      <c r="A64" s="73"/>
      <c r="B64" s="73"/>
      <c r="C64" s="73"/>
      <c r="D64" s="73"/>
      <c r="E64" s="73"/>
      <c r="F64" s="73"/>
      <c r="G64" s="73"/>
      <c r="H64" s="73"/>
      <c r="I64" s="73"/>
      <c r="J64" s="73"/>
      <c r="K64" s="73"/>
      <c r="L64" s="73"/>
      <c r="M64" s="73"/>
      <c r="N64" s="73"/>
      <c r="O64" s="73"/>
      <c r="P64" s="73"/>
      <c r="Q64" s="73"/>
      <c r="R64" s="73"/>
    </row>
    <row r="65" spans="1:18" x14ac:dyDescent="0.35">
      <c r="A65" s="73"/>
      <c r="B65" s="73"/>
      <c r="C65" s="73"/>
      <c r="D65" s="73"/>
      <c r="E65" s="73"/>
      <c r="F65" s="73"/>
      <c r="G65" s="73"/>
      <c r="H65" s="73"/>
      <c r="I65" s="73"/>
      <c r="J65" s="73"/>
      <c r="K65" s="73"/>
      <c r="L65" s="73"/>
      <c r="M65" s="73"/>
      <c r="N65" s="73"/>
      <c r="O65" s="73"/>
      <c r="P65" s="73"/>
      <c r="Q65" s="73"/>
      <c r="R65" s="73"/>
    </row>
    <row r="66" spans="1:18" x14ac:dyDescent="0.35">
      <c r="A66" s="73"/>
      <c r="B66" s="73"/>
      <c r="C66" s="73"/>
      <c r="D66" s="73"/>
      <c r="E66" s="73"/>
      <c r="F66" s="73"/>
      <c r="G66" s="73"/>
      <c r="H66" s="73"/>
      <c r="I66" s="73"/>
      <c r="J66" s="73"/>
      <c r="K66" s="73"/>
      <c r="L66" s="73"/>
      <c r="M66" s="73"/>
      <c r="N66" s="73"/>
      <c r="O66" s="73"/>
      <c r="P66" s="73"/>
      <c r="Q66" s="73"/>
      <c r="R66" s="73"/>
    </row>
    <row r="67" spans="1:18" x14ac:dyDescent="0.35">
      <c r="A67" s="73"/>
      <c r="B67" s="73"/>
      <c r="C67" s="73"/>
      <c r="D67" s="73"/>
      <c r="E67" s="73"/>
      <c r="F67" s="73"/>
      <c r="G67" s="73"/>
      <c r="H67" s="73"/>
      <c r="I67" s="73"/>
      <c r="J67" s="73"/>
      <c r="K67" s="73"/>
      <c r="L67" s="73"/>
      <c r="M67" s="73"/>
      <c r="N67" s="73"/>
      <c r="O67" s="73"/>
      <c r="P67" s="73"/>
      <c r="Q67" s="73"/>
      <c r="R67" s="73"/>
    </row>
    <row r="68" spans="1:18" x14ac:dyDescent="0.35">
      <c r="A68" s="73"/>
      <c r="B68" s="73"/>
      <c r="C68" s="73"/>
      <c r="D68" s="73"/>
      <c r="E68" s="73"/>
      <c r="F68" s="73"/>
      <c r="G68" s="73"/>
      <c r="H68" s="73"/>
      <c r="I68" s="73"/>
      <c r="J68" s="73"/>
      <c r="K68" s="73"/>
      <c r="L68" s="73"/>
      <c r="M68" s="73"/>
      <c r="N68" s="73"/>
      <c r="O68" s="73"/>
      <c r="P68" s="73"/>
      <c r="Q68" s="73"/>
      <c r="R68" s="73"/>
    </row>
    <row r="69" spans="1:18" x14ac:dyDescent="0.35">
      <c r="A69" s="73"/>
      <c r="B69" s="73"/>
      <c r="C69" s="73"/>
      <c r="D69" s="73"/>
      <c r="E69" s="73"/>
      <c r="F69" s="73"/>
      <c r="G69" s="73"/>
      <c r="H69" s="73"/>
      <c r="I69" s="73"/>
      <c r="J69" s="73"/>
      <c r="K69" s="73"/>
      <c r="L69" s="73"/>
      <c r="M69" s="73"/>
      <c r="N69" s="73"/>
      <c r="O69" s="73"/>
      <c r="P69" s="73"/>
      <c r="Q69" s="73"/>
      <c r="R69" s="73"/>
    </row>
    <row r="70" spans="1:18" x14ac:dyDescent="0.35">
      <c r="A70" s="73"/>
      <c r="B70" s="73"/>
      <c r="C70" s="73"/>
      <c r="D70" s="73"/>
      <c r="E70" s="73"/>
      <c r="F70" s="73"/>
      <c r="G70" s="73"/>
      <c r="H70" s="73"/>
      <c r="I70" s="73"/>
      <c r="J70" s="73"/>
      <c r="K70" s="73"/>
      <c r="L70" s="73"/>
      <c r="M70" s="73"/>
      <c r="N70" s="73"/>
      <c r="O70" s="73"/>
      <c r="P70" s="73"/>
      <c r="Q70" s="73"/>
      <c r="R70" s="73"/>
    </row>
    <row r="71" spans="1:18" x14ac:dyDescent="0.35">
      <c r="A71" s="73"/>
      <c r="B71" s="73"/>
      <c r="C71" s="73"/>
      <c r="D71" s="73"/>
      <c r="E71" s="73"/>
      <c r="F71" s="73"/>
      <c r="G71" s="73"/>
      <c r="H71" s="73"/>
      <c r="I71" s="73"/>
      <c r="J71" s="73"/>
      <c r="K71" s="73"/>
      <c r="L71" s="73"/>
      <c r="M71" s="73"/>
      <c r="N71" s="73"/>
      <c r="O71" s="73"/>
      <c r="P71" s="73"/>
      <c r="Q71" s="73"/>
      <c r="R71" s="73"/>
    </row>
    <row r="72" spans="1:18" x14ac:dyDescent="0.35">
      <c r="A72" s="73"/>
      <c r="B72" s="73"/>
      <c r="C72" s="73"/>
      <c r="D72" s="73"/>
      <c r="E72" s="73"/>
      <c r="F72" s="73"/>
      <c r="G72" s="73"/>
      <c r="H72" s="73"/>
      <c r="I72" s="73"/>
      <c r="J72" s="73"/>
      <c r="K72" s="73"/>
      <c r="L72" s="73"/>
      <c r="M72" s="73"/>
      <c r="N72" s="73"/>
      <c r="O72" s="73"/>
      <c r="P72" s="73"/>
      <c r="Q72" s="73"/>
      <c r="R72" s="73"/>
    </row>
    <row r="73" spans="1:18" x14ac:dyDescent="0.35">
      <c r="A73" s="73"/>
      <c r="B73" s="73"/>
      <c r="C73" s="73"/>
      <c r="D73" s="73"/>
      <c r="E73" s="73"/>
      <c r="F73" s="73"/>
      <c r="G73" s="73"/>
      <c r="H73" s="73"/>
      <c r="I73" s="73"/>
      <c r="J73" s="73"/>
      <c r="K73" s="73"/>
      <c r="L73" s="73"/>
      <c r="M73" s="73"/>
      <c r="N73" s="73"/>
      <c r="O73" s="73"/>
      <c r="P73" s="73"/>
      <c r="Q73" s="73"/>
      <c r="R73" s="73"/>
    </row>
    <row r="74" spans="1:18" x14ac:dyDescent="0.35">
      <c r="A74" s="73"/>
      <c r="B74" s="73"/>
      <c r="C74" s="73"/>
      <c r="D74" s="73"/>
      <c r="E74" s="73"/>
      <c r="F74" s="73"/>
      <c r="G74" s="73"/>
      <c r="H74" s="73"/>
      <c r="I74" s="73"/>
      <c r="J74" s="73"/>
      <c r="K74" s="73"/>
      <c r="L74" s="73"/>
      <c r="M74" s="73"/>
      <c r="N74" s="73"/>
      <c r="O74" s="73"/>
      <c r="P74" s="73"/>
      <c r="Q74" s="73"/>
      <c r="R74" s="73"/>
    </row>
    <row r="75" spans="1:18" x14ac:dyDescent="0.35">
      <c r="A75" s="73"/>
      <c r="B75" s="73"/>
      <c r="C75" s="73"/>
      <c r="D75" s="73"/>
      <c r="E75" s="73"/>
      <c r="F75" s="73"/>
      <c r="G75" s="73"/>
      <c r="H75" s="73"/>
      <c r="I75" s="73"/>
      <c r="J75" s="73"/>
      <c r="K75" s="73"/>
      <c r="L75" s="73"/>
      <c r="M75" s="73"/>
      <c r="N75" s="73"/>
      <c r="O75" s="73"/>
      <c r="P75" s="73"/>
      <c r="Q75" s="73"/>
      <c r="R75" s="73"/>
    </row>
    <row r="76" spans="1:18" x14ac:dyDescent="0.35">
      <c r="A76" s="73"/>
      <c r="B76" s="73"/>
      <c r="C76" s="73"/>
      <c r="D76" s="73"/>
      <c r="E76" s="73"/>
      <c r="F76" s="73"/>
      <c r="G76" s="73"/>
      <c r="H76" s="73"/>
      <c r="I76" s="73"/>
      <c r="J76" s="73"/>
      <c r="K76" s="73"/>
      <c r="L76" s="73"/>
      <c r="M76" s="73"/>
      <c r="N76" s="73"/>
      <c r="O76" s="73"/>
      <c r="P76" s="73"/>
      <c r="Q76" s="73"/>
      <c r="R76" s="73"/>
    </row>
    <row r="77" spans="1:18" x14ac:dyDescent="0.35">
      <c r="A77" s="73"/>
      <c r="B77" s="73"/>
      <c r="C77" s="73"/>
      <c r="D77" s="73"/>
      <c r="E77" s="73"/>
      <c r="F77" s="73"/>
      <c r="G77" s="73"/>
      <c r="H77" s="73"/>
      <c r="I77" s="73"/>
      <c r="J77" s="73"/>
      <c r="K77" s="73"/>
      <c r="L77" s="73"/>
      <c r="M77" s="73"/>
      <c r="N77" s="73"/>
      <c r="O77" s="73"/>
      <c r="P77" s="73"/>
      <c r="Q77" s="73"/>
      <c r="R77" s="73"/>
    </row>
    <row r="78" spans="1:18" x14ac:dyDescent="0.35">
      <c r="A78" s="73"/>
      <c r="B78" s="73"/>
      <c r="C78" s="73"/>
      <c r="D78" s="73"/>
      <c r="E78" s="73"/>
      <c r="F78" s="73"/>
      <c r="G78" s="73"/>
      <c r="H78" s="73"/>
      <c r="I78" s="73"/>
      <c r="J78" s="73"/>
      <c r="K78" s="73"/>
      <c r="L78" s="73"/>
      <c r="M78" s="73"/>
      <c r="N78" s="73"/>
      <c r="O78" s="73"/>
      <c r="P78" s="73"/>
      <c r="Q78" s="73"/>
      <c r="R78" s="73"/>
    </row>
    <row r="79" spans="1:18" x14ac:dyDescent="0.35">
      <c r="A79" s="73"/>
      <c r="B79" s="73"/>
      <c r="C79" s="73"/>
      <c r="D79" s="73"/>
      <c r="E79" s="73"/>
      <c r="F79" s="73"/>
      <c r="G79" s="73"/>
      <c r="H79" s="73"/>
      <c r="I79" s="73"/>
      <c r="J79" s="73"/>
      <c r="K79" s="73"/>
      <c r="L79" s="73"/>
      <c r="M79" s="73"/>
      <c r="N79" s="73"/>
      <c r="O79" s="73"/>
      <c r="P79" s="73"/>
      <c r="Q79" s="73"/>
      <c r="R79" s="73"/>
    </row>
    <row r="80" spans="1:18" x14ac:dyDescent="0.35">
      <c r="A80" s="172"/>
      <c r="B80" s="172"/>
      <c r="C80" s="172"/>
      <c r="D80" s="172"/>
      <c r="E80" s="165"/>
      <c r="F80" s="165"/>
      <c r="G80" s="165"/>
      <c r="H80" s="165"/>
      <c r="I80" s="165"/>
      <c r="J80" s="172"/>
      <c r="K80" s="172"/>
      <c r="L80" s="172"/>
      <c r="M80" s="73"/>
      <c r="N80" s="73"/>
      <c r="O80" s="73"/>
      <c r="P80" s="73"/>
      <c r="Q80" s="73"/>
      <c r="R80" s="73"/>
    </row>
    <row r="81" spans="1:18" x14ac:dyDescent="0.35">
      <c r="A81" s="426"/>
      <c r="B81" s="427"/>
      <c r="C81" s="173" t="s">
        <v>44</v>
      </c>
      <c r="D81" s="184" t="s">
        <v>210</v>
      </c>
      <c r="E81" s="165"/>
      <c r="F81" s="165"/>
      <c r="G81" s="165"/>
      <c r="H81" s="165"/>
      <c r="I81" s="165"/>
      <c r="J81" s="172"/>
      <c r="K81" s="172"/>
      <c r="L81" s="172"/>
      <c r="M81" s="73"/>
      <c r="N81" s="73"/>
      <c r="O81" s="73"/>
      <c r="P81" s="73"/>
      <c r="Q81" s="73"/>
      <c r="R81" s="73"/>
    </row>
    <row r="82" spans="1:18" ht="14.5" customHeight="1" x14ac:dyDescent="0.35">
      <c r="A82" s="431" t="s">
        <v>211</v>
      </c>
      <c r="B82" s="432" t="str">
        <f>B48</f>
        <v>What is the probability that the 'in situ plus' plan for the  will be % implemented in  years from now?</v>
      </c>
      <c r="C82" s="174" t="s">
        <v>45</v>
      </c>
      <c r="D82" s="181" t="str">
        <f>IF('4.3 Elicitation data entry'!$C$8="","",'4.3 Elicitation data entry'!$C$8)</f>
        <v/>
      </c>
      <c r="E82" s="166"/>
      <c r="F82" s="167"/>
      <c r="G82" s="168"/>
      <c r="H82" s="169"/>
      <c r="I82" s="167"/>
      <c r="J82" s="172"/>
      <c r="K82" s="172"/>
      <c r="L82" s="172"/>
      <c r="M82" s="73"/>
      <c r="N82" s="73"/>
      <c r="O82" s="73"/>
      <c r="P82" s="73"/>
      <c r="Q82" s="73"/>
      <c r="R82" s="73"/>
    </row>
    <row r="83" spans="1:18" x14ac:dyDescent="0.35">
      <c r="A83" s="431"/>
      <c r="B83" s="432"/>
      <c r="C83" s="174" t="s">
        <v>46</v>
      </c>
      <c r="D83" s="181" t="str">
        <f>IF('4.3 Elicitation data entry'!$D$8="","",'4.3 Elicitation data entry'!$D$8)</f>
        <v/>
      </c>
      <c r="E83" s="166"/>
      <c r="F83" s="167"/>
      <c r="G83" s="168"/>
      <c r="H83" s="169"/>
      <c r="I83" s="167"/>
      <c r="J83" s="172"/>
      <c r="K83" s="172"/>
      <c r="L83" s="172"/>
      <c r="M83" s="73"/>
      <c r="N83" s="73"/>
      <c r="O83" s="73"/>
      <c r="P83" s="73"/>
      <c r="Q83" s="73"/>
      <c r="R83" s="73"/>
    </row>
    <row r="84" spans="1:18" x14ac:dyDescent="0.35">
      <c r="A84" s="431"/>
      <c r="B84" s="432"/>
      <c r="C84" s="174" t="s">
        <v>47</v>
      </c>
      <c r="D84" s="181" t="str">
        <f>IF('4.3 Elicitation data entry'!$E$8="","",'4.3 Elicitation data entry'!$E$8)</f>
        <v/>
      </c>
      <c r="E84" s="166"/>
      <c r="F84" s="167"/>
      <c r="G84" s="168"/>
      <c r="H84" s="169"/>
      <c r="I84" s="167"/>
      <c r="J84" s="172"/>
      <c r="K84" s="172"/>
      <c r="L84" s="172"/>
      <c r="M84" s="73"/>
      <c r="N84" s="73"/>
      <c r="O84" s="73"/>
      <c r="P84" s="73"/>
      <c r="Q84" s="73"/>
      <c r="R84" s="73"/>
    </row>
    <row r="85" spans="1:18" x14ac:dyDescent="0.35">
      <c r="A85" s="431"/>
      <c r="B85" s="432"/>
      <c r="C85" s="174" t="s">
        <v>48</v>
      </c>
      <c r="D85" s="181" t="str">
        <f>IF('4.3 Elicitation data entry'!$F$8="","",'4.3 Elicitation data entry'!$F$8)</f>
        <v/>
      </c>
      <c r="E85" s="166"/>
      <c r="F85" s="167"/>
      <c r="G85" s="168"/>
      <c r="H85" s="169"/>
      <c r="I85" s="167"/>
      <c r="J85" s="172"/>
      <c r="K85" s="172"/>
      <c r="L85" s="172"/>
      <c r="M85" s="73"/>
      <c r="N85" s="73"/>
      <c r="O85" s="73"/>
      <c r="P85" s="73"/>
      <c r="Q85" s="73"/>
      <c r="R85" s="73"/>
    </row>
    <row r="86" spans="1:18" x14ac:dyDescent="0.35">
      <c r="A86" s="431"/>
      <c r="B86" s="432"/>
      <c r="C86" s="174" t="s">
        <v>49</v>
      </c>
      <c r="D86" s="181" t="str">
        <f>IF('4.3 Elicitation data entry'!$G$8="","",'4.3 Elicitation data entry'!$G$8)</f>
        <v/>
      </c>
      <c r="E86" s="166"/>
      <c r="F86" s="167"/>
      <c r="G86" s="168"/>
      <c r="H86" s="169"/>
      <c r="I86" s="167"/>
      <c r="J86" s="172"/>
      <c r="K86" s="172"/>
      <c r="L86" s="172"/>
      <c r="M86" s="73"/>
      <c r="N86" s="73"/>
      <c r="O86" s="73"/>
      <c r="P86" s="73"/>
      <c r="Q86" s="73"/>
      <c r="R86" s="73"/>
    </row>
    <row r="87" spans="1:18" x14ac:dyDescent="0.35">
      <c r="A87" s="431"/>
      <c r="B87" s="432"/>
      <c r="C87" s="174" t="s">
        <v>50</v>
      </c>
      <c r="D87" s="181" t="str">
        <f>IF('4.3 Elicitation data entry'!$H$8="","",'4.3 Elicitation data entry'!$H$8)</f>
        <v/>
      </c>
      <c r="E87" s="166"/>
      <c r="F87" s="167"/>
      <c r="G87" s="168"/>
      <c r="H87" s="169"/>
      <c r="I87" s="167"/>
      <c r="J87" s="172"/>
      <c r="K87" s="172"/>
      <c r="L87" s="172"/>
      <c r="M87" s="73"/>
      <c r="N87" s="73"/>
      <c r="O87" s="73"/>
      <c r="P87" s="73"/>
      <c r="Q87" s="73"/>
      <c r="R87" s="73"/>
    </row>
    <row r="88" spans="1:18" x14ac:dyDescent="0.35">
      <c r="A88" s="175"/>
      <c r="B88" s="176" t="s">
        <v>51</v>
      </c>
      <c r="C88" s="177" t="s">
        <v>52</v>
      </c>
      <c r="D88" s="182" t="e">
        <f>AVERAGE(D82:D87)</f>
        <v>#DIV/0!</v>
      </c>
      <c r="E88" s="170"/>
      <c r="F88" s="171"/>
      <c r="G88" s="171"/>
      <c r="H88" s="169"/>
      <c r="I88" s="167"/>
      <c r="J88" s="172"/>
      <c r="K88" s="172"/>
      <c r="L88" s="172"/>
      <c r="M88" s="73"/>
      <c r="N88" s="73"/>
      <c r="O88" s="73"/>
      <c r="P88" s="73"/>
      <c r="Q88" s="73"/>
      <c r="R88" s="73"/>
    </row>
    <row r="89" spans="1:18" x14ac:dyDescent="0.35">
      <c r="A89" s="178"/>
      <c r="B89" s="179"/>
      <c r="C89" s="180" t="s">
        <v>53</v>
      </c>
      <c r="D89" s="183" t="e">
        <f>STDEV(D82:D87)/SQRT(COUNT(D82:D87))</f>
        <v>#DIV/0!</v>
      </c>
      <c r="E89" s="170"/>
      <c r="F89" s="171"/>
      <c r="G89" s="171"/>
      <c r="H89" s="171"/>
      <c r="I89" s="171"/>
      <c r="J89" s="172"/>
      <c r="K89" s="172"/>
      <c r="L89" s="172"/>
      <c r="M89" s="73"/>
      <c r="N89" s="73"/>
      <c r="O89" s="73"/>
      <c r="P89" s="73"/>
      <c r="Q89" s="73"/>
      <c r="R89" s="73"/>
    </row>
    <row r="90" spans="1:18" x14ac:dyDescent="0.35">
      <c r="A90" s="22"/>
      <c r="B90" s="21"/>
      <c r="C90" s="21"/>
      <c r="D90" s="21"/>
      <c r="E90" s="21"/>
      <c r="F90" s="21"/>
      <c r="G90" s="73"/>
      <c r="H90" s="73"/>
      <c r="I90" s="73"/>
      <c r="J90" s="73"/>
      <c r="K90" s="73"/>
      <c r="L90" s="73"/>
      <c r="M90" s="73"/>
      <c r="N90" s="73"/>
      <c r="O90" s="73"/>
      <c r="P90" s="73"/>
      <c r="Q90" s="73"/>
      <c r="R90" s="73"/>
    </row>
    <row r="91" spans="1:18" x14ac:dyDescent="0.35">
      <c r="A91" s="22"/>
      <c r="B91" s="73"/>
      <c r="C91" s="73"/>
      <c r="D91" s="73"/>
      <c r="E91" s="73"/>
      <c r="F91" s="73"/>
      <c r="G91" s="73"/>
      <c r="H91" s="73"/>
      <c r="I91" s="73"/>
      <c r="J91" s="73"/>
      <c r="K91" s="73"/>
      <c r="L91" s="73"/>
      <c r="M91" s="73"/>
      <c r="N91" s="73"/>
      <c r="O91" s="73"/>
      <c r="P91" s="73"/>
      <c r="Q91" s="73"/>
      <c r="R91" s="73"/>
    </row>
    <row r="92" spans="1:18" x14ac:dyDescent="0.35">
      <c r="A92" s="22"/>
      <c r="B92" s="73"/>
      <c r="C92" s="73"/>
      <c r="D92" s="73"/>
      <c r="E92" s="73"/>
      <c r="F92" s="73"/>
      <c r="G92" s="73"/>
      <c r="H92" s="73"/>
      <c r="I92" s="73"/>
      <c r="J92" s="73"/>
      <c r="K92" s="73"/>
      <c r="L92" s="73"/>
      <c r="M92" s="73"/>
      <c r="N92" s="73"/>
      <c r="O92" s="73"/>
      <c r="P92" s="73"/>
      <c r="Q92" s="73"/>
      <c r="R92" s="73"/>
    </row>
    <row r="93" spans="1:18" ht="35.15" customHeight="1" x14ac:dyDescent="0.35">
      <c r="A93" s="164" t="s">
        <v>212</v>
      </c>
      <c r="B93" s="428" t="str">
        <f>CONCATENATE("What is the probability that the ex situ plan will have a TRIVIAL impact on the wild source population, i.e. a take of ", '2. Ex-situ plan'!C15*'2. Ex-situ plan'!C16, " individuals will not threaten the viability of wild source population(s)?")</f>
        <v>What is the probability that the ex situ plan will have a TRIVIAL impact on the wild source population, i.e. a take of 0 individuals will not threaten the viability of wild source population(s)?</v>
      </c>
      <c r="C93" s="429"/>
      <c r="D93" s="429"/>
      <c r="E93" s="429"/>
      <c r="F93" s="429"/>
      <c r="G93" s="429"/>
      <c r="H93" s="429"/>
      <c r="I93" s="429"/>
      <c r="J93" s="429"/>
      <c r="K93" s="430"/>
      <c r="L93" s="73"/>
      <c r="M93" s="73"/>
      <c r="N93" s="73"/>
      <c r="O93" s="73"/>
      <c r="P93" s="73"/>
      <c r="Q93" s="73"/>
      <c r="R93" s="73"/>
    </row>
    <row r="94" spans="1:18" x14ac:dyDescent="0.35">
      <c r="A94" s="73"/>
      <c r="B94" s="73"/>
      <c r="C94" s="73"/>
      <c r="D94" s="73"/>
      <c r="E94" s="73"/>
      <c r="F94" s="73"/>
      <c r="G94" s="73"/>
      <c r="H94" s="73"/>
      <c r="I94" s="73"/>
      <c r="J94" s="73"/>
      <c r="K94" s="73"/>
      <c r="L94" s="73"/>
      <c r="M94" s="73"/>
      <c r="N94" s="73"/>
      <c r="O94" s="73"/>
      <c r="P94" s="73"/>
      <c r="Q94" s="73"/>
      <c r="R94" s="73"/>
    </row>
    <row r="95" spans="1:18" x14ac:dyDescent="0.35">
      <c r="A95" s="73"/>
      <c r="B95" s="73"/>
      <c r="C95" s="73"/>
      <c r="D95" s="73"/>
      <c r="E95" s="73"/>
      <c r="F95" s="73"/>
      <c r="G95" s="73"/>
      <c r="H95" s="73"/>
      <c r="I95" s="73"/>
      <c r="J95" s="73"/>
      <c r="K95" s="73"/>
      <c r="L95" s="73"/>
      <c r="M95" s="73"/>
      <c r="N95" s="73"/>
      <c r="O95" s="73"/>
      <c r="P95" s="73"/>
      <c r="Q95" s="73"/>
      <c r="R95" s="73"/>
    </row>
    <row r="96" spans="1:18" x14ac:dyDescent="0.35">
      <c r="A96" s="73"/>
      <c r="B96" s="73"/>
      <c r="C96" s="73"/>
      <c r="D96" s="73"/>
      <c r="E96" s="73"/>
      <c r="F96" s="73"/>
      <c r="G96" s="73"/>
      <c r="H96" s="73"/>
      <c r="I96" s="73"/>
      <c r="J96" s="73"/>
      <c r="K96" s="73"/>
      <c r="L96" s="73"/>
      <c r="M96" s="73"/>
      <c r="N96" s="73"/>
      <c r="O96" s="73"/>
      <c r="P96" s="73"/>
      <c r="Q96" s="73"/>
      <c r="R96" s="73"/>
    </row>
    <row r="97" spans="1:18" x14ac:dyDescent="0.35">
      <c r="A97" s="73"/>
      <c r="B97" s="73"/>
      <c r="C97" s="73"/>
      <c r="D97" s="73"/>
      <c r="E97" s="73"/>
      <c r="F97" s="73"/>
      <c r="G97" s="73"/>
      <c r="H97" s="73"/>
      <c r="I97" s="73"/>
      <c r="J97" s="73"/>
      <c r="K97" s="73"/>
      <c r="L97" s="73"/>
      <c r="M97" s="73"/>
      <c r="N97" s="73"/>
      <c r="O97" s="73"/>
      <c r="P97" s="73"/>
      <c r="Q97" s="73"/>
      <c r="R97" s="73"/>
    </row>
    <row r="98" spans="1:18" x14ac:dyDescent="0.35">
      <c r="A98" s="73"/>
      <c r="B98" s="73"/>
      <c r="C98" s="73"/>
      <c r="D98" s="73"/>
      <c r="E98" s="73"/>
      <c r="F98" s="73"/>
      <c r="G98" s="73"/>
      <c r="H98" s="73"/>
      <c r="I98" s="73"/>
      <c r="J98" s="73"/>
      <c r="K98" s="73"/>
      <c r="L98" s="73"/>
      <c r="M98" s="73"/>
      <c r="N98" s="73"/>
      <c r="O98" s="73"/>
      <c r="P98" s="73"/>
      <c r="Q98" s="73"/>
      <c r="R98" s="73"/>
    </row>
    <row r="99" spans="1:18" x14ac:dyDescent="0.35">
      <c r="A99" s="73"/>
      <c r="B99" s="73"/>
      <c r="C99" s="73"/>
      <c r="D99" s="73"/>
      <c r="E99" s="73"/>
      <c r="F99" s="73"/>
      <c r="G99" s="73"/>
      <c r="H99" s="73"/>
      <c r="I99" s="73"/>
      <c r="J99" s="73"/>
      <c r="K99" s="73"/>
      <c r="L99" s="73"/>
      <c r="M99" s="73"/>
      <c r="N99" s="73"/>
      <c r="O99" s="73"/>
      <c r="P99" s="73"/>
      <c r="Q99" s="73"/>
      <c r="R99" s="73"/>
    </row>
    <row r="100" spans="1:18" x14ac:dyDescent="0.35">
      <c r="A100" s="73"/>
      <c r="B100" s="73"/>
      <c r="C100" s="73"/>
      <c r="D100" s="73"/>
      <c r="E100" s="73"/>
      <c r="F100" s="73"/>
      <c r="G100" s="73"/>
      <c r="H100" s="73"/>
      <c r="I100" s="73"/>
      <c r="J100" s="73"/>
      <c r="K100" s="73"/>
      <c r="L100" s="73"/>
      <c r="M100" s="73"/>
      <c r="N100" s="73"/>
      <c r="O100" s="73"/>
      <c r="P100" s="73"/>
      <c r="Q100" s="73"/>
      <c r="R100" s="73"/>
    </row>
    <row r="101" spans="1:18" x14ac:dyDescent="0.35">
      <c r="A101" s="73"/>
      <c r="B101" s="73"/>
      <c r="C101" s="73"/>
      <c r="D101" s="73"/>
      <c r="E101" s="73"/>
      <c r="F101" s="73"/>
      <c r="G101" s="73"/>
      <c r="H101" s="73"/>
      <c r="I101" s="73"/>
      <c r="J101" s="73"/>
      <c r="K101" s="73"/>
      <c r="L101" s="73"/>
      <c r="M101" s="73"/>
      <c r="N101" s="73"/>
      <c r="O101" s="73"/>
      <c r="P101" s="73"/>
      <c r="Q101" s="73"/>
      <c r="R101" s="73"/>
    </row>
    <row r="102" spans="1:18" x14ac:dyDescent="0.35">
      <c r="A102" s="73"/>
      <c r="B102" s="73"/>
      <c r="C102" s="73"/>
      <c r="D102" s="73"/>
      <c r="E102" s="73"/>
      <c r="F102" s="73"/>
      <c r="G102" s="73"/>
      <c r="H102" s="73"/>
      <c r="I102" s="73"/>
      <c r="J102" s="73"/>
      <c r="K102" s="73"/>
      <c r="L102" s="73"/>
      <c r="M102" s="73"/>
      <c r="N102" s="73"/>
      <c r="O102" s="73"/>
      <c r="P102" s="73"/>
      <c r="Q102" s="73"/>
      <c r="R102" s="73"/>
    </row>
    <row r="103" spans="1:18" x14ac:dyDescent="0.35">
      <c r="A103" s="73"/>
      <c r="B103" s="73"/>
      <c r="C103" s="73"/>
      <c r="D103" s="73"/>
      <c r="E103" s="73"/>
      <c r="F103" s="73"/>
      <c r="G103" s="73"/>
      <c r="H103" s="73"/>
      <c r="I103" s="73"/>
      <c r="J103" s="73"/>
      <c r="K103" s="73"/>
      <c r="L103" s="73"/>
      <c r="M103" s="73"/>
      <c r="N103" s="73"/>
      <c r="O103" s="73"/>
      <c r="P103" s="73"/>
      <c r="Q103" s="73"/>
      <c r="R103" s="73"/>
    </row>
    <row r="104" spans="1:18" x14ac:dyDescent="0.35">
      <c r="A104" s="73"/>
      <c r="B104" s="73"/>
      <c r="C104" s="73"/>
      <c r="D104" s="73"/>
      <c r="E104" s="73"/>
      <c r="F104" s="73"/>
      <c r="G104" s="73"/>
      <c r="H104" s="73"/>
      <c r="I104" s="73"/>
      <c r="J104" s="73"/>
      <c r="K104" s="73"/>
      <c r="L104" s="73"/>
      <c r="M104" s="73"/>
      <c r="N104" s="73"/>
      <c r="O104" s="73"/>
      <c r="P104" s="73"/>
      <c r="Q104" s="73"/>
      <c r="R104" s="73"/>
    </row>
    <row r="105" spans="1:18" x14ac:dyDescent="0.35">
      <c r="A105" s="73"/>
      <c r="B105" s="73"/>
      <c r="C105" s="73"/>
      <c r="D105" s="73"/>
      <c r="E105" s="73"/>
      <c r="F105" s="73"/>
      <c r="G105" s="73"/>
      <c r="H105" s="73"/>
      <c r="I105" s="73"/>
      <c r="J105" s="73"/>
      <c r="K105" s="73"/>
      <c r="L105" s="73"/>
      <c r="M105" s="73"/>
      <c r="N105" s="73"/>
      <c r="O105" s="73"/>
      <c r="P105" s="73"/>
      <c r="Q105" s="73"/>
      <c r="R105" s="73"/>
    </row>
    <row r="106" spans="1:18" x14ac:dyDescent="0.35">
      <c r="A106" s="73"/>
      <c r="B106" s="73"/>
      <c r="C106" s="73"/>
      <c r="D106" s="73"/>
      <c r="E106" s="73"/>
      <c r="F106" s="73"/>
      <c r="G106" s="73"/>
      <c r="H106" s="73"/>
      <c r="I106" s="73"/>
      <c r="J106" s="73"/>
      <c r="K106" s="73"/>
      <c r="L106" s="73"/>
      <c r="M106" s="73"/>
      <c r="N106" s="73"/>
      <c r="O106" s="73"/>
      <c r="P106" s="73"/>
      <c r="Q106" s="73"/>
      <c r="R106" s="73"/>
    </row>
    <row r="107" spans="1:18" x14ac:dyDescent="0.35">
      <c r="A107" s="73"/>
      <c r="B107" s="73"/>
      <c r="C107" s="73"/>
      <c r="D107" s="73"/>
      <c r="E107" s="73"/>
      <c r="F107" s="73"/>
      <c r="G107" s="73"/>
      <c r="H107" s="73"/>
      <c r="I107" s="73"/>
      <c r="J107" s="73"/>
      <c r="K107" s="73"/>
      <c r="L107" s="73"/>
      <c r="M107" s="73"/>
      <c r="N107" s="73"/>
      <c r="O107" s="73"/>
      <c r="P107" s="73"/>
      <c r="Q107" s="73"/>
      <c r="R107" s="73"/>
    </row>
    <row r="108" spans="1:18" x14ac:dyDescent="0.35">
      <c r="A108" s="73"/>
      <c r="B108" s="73"/>
      <c r="C108" s="73"/>
      <c r="D108" s="73"/>
      <c r="E108" s="73"/>
      <c r="F108" s="73"/>
      <c r="G108" s="73"/>
      <c r="H108" s="73"/>
      <c r="I108" s="73"/>
      <c r="J108" s="73"/>
      <c r="K108" s="73"/>
      <c r="L108" s="73"/>
      <c r="M108" s="73"/>
      <c r="N108" s="73"/>
      <c r="O108" s="73"/>
      <c r="P108" s="73"/>
      <c r="Q108" s="73"/>
      <c r="R108" s="73"/>
    </row>
    <row r="109" spans="1:18" x14ac:dyDescent="0.35">
      <c r="A109" s="73"/>
      <c r="B109" s="73"/>
      <c r="C109" s="73"/>
      <c r="D109" s="73"/>
      <c r="E109" s="73"/>
      <c r="F109" s="73"/>
      <c r="G109" s="73"/>
      <c r="H109" s="73"/>
      <c r="I109" s="73"/>
      <c r="J109" s="73"/>
      <c r="K109" s="73"/>
      <c r="L109" s="73"/>
      <c r="M109" s="73"/>
      <c r="N109" s="73"/>
      <c r="O109" s="73"/>
      <c r="P109" s="73"/>
      <c r="Q109" s="73"/>
      <c r="R109" s="73"/>
    </row>
    <row r="110" spans="1:18" x14ac:dyDescent="0.35">
      <c r="A110" s="73"/>
      <c r="B110" s="73"/>
      <c r="C110" s="73"/>
      <c r="D110" s="73"/>
      <c r="E110" s="73"/>
      <c r="F110" s="73"/>
      <c r="G110" s="73"/>
      <c r="H110" s="73"/>
      <c r="I110" s="73"/>
      <c r="J110" s="73"/>
      <c r="K110" s="73"/>
      <c r="L110" s="73"/>
      <c r="M110" s="73"/>
      <c r="N110" s="73"/>
      <c r="O110" s="73"/>
      <c r="P110" s="73"/>
      <c r="Q110" s="73"/>
      <c r="R110" s="73"/>
    </row>
    <row r="111" spans="1:18" x14ac:dyDescent="0.35">
      <c r="A111" s="73"/>
      <c r="B111" s="73"/>
      <c r="C111" s="73"/>
      <c r="D111" s="73"/>
      <c r="E111" s="73"/>
      <c r="F111" s="73"/>
      <c r="G111" s="73"/>
      <c r="H111" s="73"/>
      <c r="I111" s="73"/>
      <c r="J111" s="73"/>
      <c r="K111" s="73"/>
      <c r="L111" s="73"/>
      <c r="M111" s="73"/>
      <c r="N111" s="73"/>
      <c r="O111" s="73"/>
      <c r="P111" s="73"/>
      <c r="Q111" s="73"/>
      <c r="R111" s="73"/>
    </row>
    <row r="112" spans="1:18" x14ac:dyDescent="0.35">
      <c r="A112" s="73"/>
      <c r="B112" s="73"/>
      <c r="C112" s="73"/>
      <c r="D112" s="73"/>
      <c r="E112" s="73"/>
      <c r="F112" s="73"/>
      <c r="G112" s="73"/>
      <c r="H112" s="73"/>
      <c r="I112" s="73"/>
      <c r="J112" s="73"/>
      <c r="K112" s="73"/>
      <c r="L112" s="73"/>
      <c r="M112" s="73"/>
      <c r="N112" s="73"/>
      <c r="O112" s="73"/>
      <c r="P112" s="73"/>
      <c r="Q112" s="73"/>
      <c r="R112" s="73"/>
    </row>
    <row r="113" spans="1:18" x14ac:dyDescent="0.35">
      <c r="A113" s="73"/>
      <c r="B113" s="73"/>
      <c r="C113" s="73"/>
      <c r="D113" s="73"/>
      <c r="E113" s="73"/>
      <c r="F113" s="73"/>
      <c r="G113" s="73"/>
      <c r="H113" s="73"/>
      <c r="I113" s="73"/>
      <c r="J113" s="73"/>
      <c r="K113" s="73"/>
      <c r="L113" s="73"/>
      <c r="M113" s="73"/>
      <c r="N113" s="73"/>
      <c r="O113" s="73"/>
      <c r="P113" s="73"/>
      <c r="Q113" s="73"/>
      <c r="R113" s="73"/>
    </row>
    <row r="114" spans="1:18" x14ac:dyDescent="0.35">
      <c r="A114" s="73"/>
      <c r="B114" s="73"/>
      <c r="C114" s="73"/>
      <c r="D114" s="73"/>
      <c r="E114" s="73"/>
      <c r="F114" s="73"/>
      <c r="G114" s="73"/>
      <c r="H114" s="73"/>
      <c r="I114" s="73"/>
      <c r="J114" s="73"/>
      <c r="K114" s="73"/>
      <c r="L114" s="73"/>
      <c r="M114" s="73"/>
      <c r="N114" s="73"/>
      <c r="O114" s="73"/>
      <c r="P114" s="73"/>
      <c r="Q114" s="73"/>
      <c r="R114" s="73"/>
    </row>
    <row r="115" spans="1:18" x14ac:dyDescent="0.35">
      <c r="A115" s="73"/>
      <c r="B115" s="73"/>
      <c r="C115" s="73"/>
      <c r="D115" s="73"/>
      <c r="E115" s="73"/>
      <c r="F115" s="73"/>
      <c r="G115" s="73"/>
      <c r="H115" s="73"/>
      <c r="I115" s="73"/>
      <c r="J115" s="73"/>
      <c r="K115" s="73"/>
      <c r="L115" s="73"/>
      <c r="M115" s="73"/>
      <c r="N115" s="73"/>
      <c r="O115" s="73"/>
      <c r="P115" s="73"/>
      <c r="Q115" s="73"/>
      <c r="R115" s="73"/>
    </row>
    <row r="116" spans="1:18" x14ac:dyDescent="0.35">
      <c r="A116" s="73"/>
      <c r="B116" s="73"/>
      <c r="C116" s="73"/>
      <c r="D116" s="73"/>
      <c r="E116" s="73"/>
      <c r="F116" s="73"/>
      <c r="G116" s="73"/>
      <c r="H116" s="73"/>
      <c r="I116" s="73"/>
      <c r="J116" s="73"/>
      <c r="K116" s="73"/>
      <c r="L116" s="73"/>
      <c r="M116" s="73"/>
      <c r="N116" s="73"/>
      <c r="O116" s="73"/>
      <c r="P116" s="73"/>
      <c r="Q116" s="73"/>
      <c r="R116" s="73"/>
    </row>
    <row r="117" spans="1:18" x14ac:dyDescent="0.35">
      <c r="A117" s="73"/>
      <c r="B117" s="73"/>
      <c r="C117" s="73"/>
      <c r="D117" s="73"/>
      <c r="E117" s="73"/>
      <c r="F117" s="73"/>
      <c r="G117" s="73"/>
      <c r="H117" s="73"/>
      <c r="I117" s="73"/>
      <c r="J117" s="73"/>
      <c r="K117" s="73"/>
      <c r="L117" s="73"/>
      <c r="M117" s="73"/>
      <c r="N117" s="73"/>
      <c r="O117" s="73"/>
      <c r="P117" s="73"/>
      <c r="Q117" s="73"/>
      <c r="R117" s="73"/>
    </row>
    <row r="118" spans="1:18" x14ac:dyDescent="0.35">
      <c r="A118" s="73"/>
      <c r="B118" s="73"/>
      <c r="C118" s="73"/>
      <c r="D118" s="73"/>
      <c r="E118" s="73"/>
      <c r="F118" s="73"/>
      <c r="G118" s="73"/>
      <c r="H118" s="73"/>
      <c r="I118" s="73"/>
      <c r="J118" s="73"/>
      <c r="K118" s="73"/>
      <c r="L118" s="73"/>
      <c r="M118" s="73"/>
      <c r="N118" s="73"/>
      <c r="O118" s="73"/>
      <c r="P118" s="73"/>
      <c r="Q118" s="73"/>
      <c r="R118" s="73"/>
    </row>
    <row r="119" spans="1:18" x14ac:dyDescent="0.35">
      <c r="A119" s="73"/>
      <c r="B119" s="73"/>
      <c r="C119" s="73"/>
      <c r="D119" s="73"/>
      <c r="E119" s="73"/>
      <c r="F119" s="73"/>
      <c r="G119" s="73"/>
      <c r="H119" s="73"/>
      <c r="I119" s="73"/>
      <c r="J119" s="73"/>
      <c r="K119" s="73"/>
      <c r="L119" s="73"/>
      <c r="M119" s="73"/>
      <c r="N119" s="73"/>
      <c r="O119" s="73"/>
      <c r="P119" s="73"/>
      <c r="Q119" s="73"/>
      <c r="R119" s="73"/>
    </row>
    <row r="120" spans="1:18" x14ac:dyDescent="0.35">
      <c r="A120" s="73"/>
      <c r="B120" s="73"/>
      <c r="C120" s="73"/>
      <c r="D120" s="73"/>
      <c r="E120" s="73"/>
      <c r="F120" s="73"/>
      <c r="G120" s="73"/>
      <c r="H120" s="73"/>
      <c r="I120" s="73"/>
      <c r="J120" s="73"/>
      <c r="K120" s="73"/>
      <c r="L120" s="73"/>
      <c r="M120" s="73"/>
      <c r="N120" s="73"/>
      <c r="O120" s="73"/>
      <c r="P120" s="73"/>
      <c r="Q120" s="73"/>
      <c r="R120" s="73"/>
    </row>
    <row r="121" spans="1:18" x14ac:dyDescent="0.35">
      <c r="A121" s="73"/>
      <c r="B121" s="73"/>
      <c r="C121" s="73"/>
      <c r="D121" s="73"/>
      <c r="E121" s="73"/>
      <c r="F121" s="73"/>
      <c r="G121" s="73"/>
      <c r="H121" s="73"/>
      <c r="I121" s="73"/>
      <c r="J121" s="73"/>
      <c r="K121" s="73"/>
      <c r="L121" s="73"/>
      <c r="M121" s="73"/>
      <c r="N121" s="73"/>
      <c r="O121" s="73"/>
      <c r="P121" s="73"/>
      <c r="Q121" s="73"/>
      <c r="R121" s="73"/>
    </row>
    <row r="122" spans="1:18" x14ac:dyDescent="0.35">
      <c r="A122" s="73"/>
      <c r="B122" s="73"/>
      <c r="C122" s="73"/>
      <c r="D122" s="73"/>
      <c r="E122" s="73"/>
      <c r="F122" s="73"/>
      <c r="G122" s="73"/>
      <c r="H122" s="73"/>
      <c r="I122" s="73"/>
      <c r="J122" s="73"/>
      <c r="K122" s="73"/>
      <c r="L122" s="73"/>
      <c r="M122" s="73"/>
      <c r="N122" s="73"/>
      <c r="O122" s="73"/>
      <c r="P122" s="73"/>
      <c r="Q122" s="73"/>
      <c r="R122" s="73"/>
    </row>
    <row r="123" spans="1:18" x14ac:dyDescent="0.35">
      <c r="A123" s="73"/>
      <c r="B123" s="73"/>
      <c r="C123" s="73"/>
      <c r="D123" s="73"/>
      <c r="E123" s="73"/>
      <c r="F123" s="73"/>
      <c r="G123" s="73"/>
      <c r="H123" s="73"/>
      <c r="I123" s="73"/>
      <c r="J123" s="73"/>
      <c r="K123" s="73"/>
      <c r="L123" s="73"/>
      <c r="M123" s="73"/>
      <c r="N123" s="73"/>
      <c r="O123" s="73"/>
      <c r="P123" s="73"/>
      <c r="Q123" s="73"/>
      <c r="R123" s="73"/>
    </row>
    <row r="124" spans="1:18" x14ac:dyDescent="0.35">
      <c r="A124" s="73"/>
      <c r="B124" s="73"/>
      <c r="C124" s="73"/>
      <c r="D124" s="73"/>
      <c r="E124" s="73"/>
      <c r="F124" s="73"/>
      <c r="G124" s="73"/>
      <c r="H124" s="73"/>
      <c r="I124" s="73"/>
      <c r="J124" s="73"/>
      <c r="K124" s="73"/>
      <c r="L124" s="73"/>
      <c r="M124" s="73"/>
      <c r="N124" s="73"/>
      <c r="O124" s="73"/>
      <c r="P124" s="73"/>
      <c r="Q124" s="73"/>
      <c r="R124" s="73"/>
    </row>
    <row r="125" spans="1:18" x14ac:dyDescent="0.35">
      <c r="A125" s="172"/>
      <c r="B125" s="172"/>
      <c r="C125" s="172"/>
      <c r="D125" s="172"/>
      <c r="E125" s="165"/>
      <c r="F125" s="165"/>
      <c r="G125" s="165"/>
      <c r="H125" s="165"/>
      <c r="I125" s="165"/>
      <c r="J125" s="172"/>
      <c r="K125" s="172"/>
      <c r="L125" s="172"/>
      <c r="M125" s="73"/>
      <c r="N125" s="73"/>
      <c r="O125" s="73"/>
      <c r="P125" s="73"/>
      <c r="Q125" s="73"/>
      <c r="R125" s="73"/>
    </row>
    <row r="126" spans="1:18" x14ac:dyDescent="0.35">
      <c r="A126" s="426"/>
      <c r="B126" s="427"/>
      <c r="C126" s="173" t="s">
        <v>44</v>
      </c>
      <c r="D126" s="184" t="s">
        <v>210</v>
      </c>
      <c r="E126" s="165"/>
      <c r="F126" s="165"/>
      <c r="G126" s="165"/>
      <c r="H126" s="165"/>
      <c r="I126" s="165"/>
      <c r="J126" s="172"/>
      <c r="K126" s="172"/>
      <c r="L126" s="172"/>
      <c r="M126" s="73"/>
      <c r="N126" s="73"/>
      <c r="O126" s="73"/>
      <c r="P126" s="73"/>
      <c r="Q126" s="73"/>
      <c r="R126" s="73"/>
    </row>
    <row r="127" spans="1:18" x14ac:dyDescent="0.35">
      <c r="A127" s="431" t="s">
        <v>212</v>
      </c>
      <c r="B127" s="432" t="str">
        <f>B93</f>
        <v>What is the probability that the ex situ plan will have a TRIVIAL impact on the wild source population, i.e. a take of 0 individuals will not threaten the viability of wild source population(s)?</v>
      </c>
      <c r="C127" s="174" t="s">
        <v>45</v>
      </c>
      <c r="D127" s="181" t="str">
        <f>IF('4.3 Elicitation data entry'!$C$11="","",'4.3 Elicitation data entry'!$C$11)</f>
        <v/>
      </c>
      <c r="E127" s="166"/>
      <c r="F127" s="167"/>
      <c r="G127" s="168"/>
      <c r="H127" s="169"/>
      <c r="I127" s="167"/>
      <c r="J127" s="172"/>
      <c r="K127" s="172"/>
      <c r="L127" s="172"/>
      <c r="M127" s="73"/>
      <c r="N127" s="73"/>
      <c r="O127" s="73"/>
      <c r="P127" s="73"/>
      <c r="Q127" s="73"/>
      <c r="R127" s="73"/>
    </row>
    <row r="128" spans="1:18" x14ac:dyDescent="0.35">
      <c r="A128" s="431"/>
      <c r="B128" s="432"/>
      <c r="C128" s="174" t="s">
        <v>46</v>
      </c>
      <c r="D128" s="181" t="str">
        <f>IF('4.3 Elicitation data entry'!$D$11="","",'4.3 Elicitation data entry'!$D$11)</f>
        <v/>
      </c>
      <c r="E128" s="166"/>
      <c r="F128" s="167"/>
      <c r="G128" s="168"/>
      <c r="H128" s="169"/>
      <c r="I128" s="167"/>
      <c r="J128" s="172"/>
      <c r="K128" s="172"/>
      <c r="L128" s="172"/>
      <c r="M128" s="73"/>
      <c r="N128" s="73"/>
      <c r="O128" s="73"/>
      <c r="P128" s="73"/>
      <c r="Q128" s="73"/>
      <c r="R128" s="73"/>
    </row>
    <row r="129" spans="1:18" x14ac:dyDescent="0.35">
      <c r="A129" s="431"/>
      <c r="B129" s="432"/>
      <c r="C129" s="174" t="s">
        <v>47</v>
      </c>
      <c r="D129" s="181" t="str">
        <f>IF('4.3 Elicitation data entry'!$E$11="","",'4.3 Elicitation data entry'!$E$11)</f>
        <v/>
      </c>
      <c r="E129" s="166"/>
      <c r="F129" s="167"/>
      <c r="G129" s="168"/>
      <c r="H129" s="169"/>
      <c r="I129" s="167"/>
      <c r="J129" s="172"/>
      <c r="K129" s="172"/>
      <c r="L129" s="172"/>
      <c r="M129" s="73"/>
      <c r="N129" s="73"/>
      <c r="O129" s="73"/>
      <c r="P129" s="73"/>
      <c r="Q129" s="73"/>
      <c r="R129" s="73"/>
    </row>
    <row r="130" spans="1:18" x14ac:dyDescent="0.35">
      <c r="A130" s="431"/>
      <c r="B130" s="432"/>
      <c r="C130" s="174" t="s">
        <v>48</v>
      </c>
      <c r="D130" s="181" t="str">
        <f>IF('4.3 Elicitation data entry'!$F$11="","",'4.3 Elicitation data entry'!$F$11)</f>
        <v/>
      </c>
      <c r="E130" s="166"/>
      <c r="F130" s="167"/>
      <c r="G130" s="168"/>
      <c r="H130" s="169"/>
      <c r="I130" s="167"/>
      <c r="J130" s="172"/>
      <c r="K130" s="172"/>
      <c r="L130" s="172"/>
      <c r="M130" s="73"/>
      <c r="N130" s="73"/>
      <c r="O130" s="73"/>
      <c r="P130" s="73"/>
      <c r="Q130" s="73"/>
      <c r="R130" s="73"/>
    </row>
    <row r="131" spans="1:18" x14ac:dyDescent="0.35">
      <c r="A131" s="431"/>
      <c r="B131" s="432"/>
      <c r="C131" s="174" t="s">
        <v>49</v>
      </c>
      <c r="D131" s="181" t="str">
        <f>IF('4.3 Elicitation data entry'!$G$11="","",'4.3 Elicitation data entry'!$G$11)</f>
        <v/>
      </c>
      <c r="E131" s="166"/>
      <c r="F131" s="167"/>
      <c r="G131" s="168"/>
      <c r="H131" s="169"/>
      <c r="I131" s="167"/>
      <c r="J131" s="172"/>
      <c r="K131" s="172"/>
      <c r="L131" s="172"/>
      <c r="M131" s="73"/>
      <c r="N131" s="73"/>
      <c r="O131" s="73"/>
      <c r="P131" s="73"/>
      <c r="Q131" s="73"/>
      <c r="R131" s="73"/>
    </row>
    <row r="132" spans="1:18" x14ac:dyDescent="0.35">
      <c r="A132" s="431"/>
      <c r="B132" s="432"/>
      <c r="C132" s="174" t="s">
        <v>50</v>
      </c>
      <c r="D132" s="181" t="str">
        <f>IF('4.3 Elicitation data entry'!$H$11="","",'4.3 Elicitation data entry'!$H$11)</f>
        <v/>
      </c>
      <c r="E132" s="166"/>
      <c r="F132" s="167"/>
      <c r="G132" s="168"/>
      <c r="H132" s="169"/>
      <c r="I132" s="167"/>
      <c r="J132" s="172"/>
      <c r="K132" s="172"/>
      <c r="L132" s="172"/>
      <c r="M132" s="73"/>
      <c r="N132" s="73"/>
      <c r="O132" s="73"/>
      <c r="P132" s="73"/>
      <c r="Q132" s="73"/>
      <c r="R132" s="73"/>
    </row>
    <row r="133" spans="1:18" x14ac:dyDescent="0.35">
      <c r="A133" s="175"/>
      <c r="B133" s="176" t="s">
        <v>51</v>
      </c>
      <c r="C133" s="177" t="s">
        <v>52</v>
      </c>
      <c r="D133" s="182" t="e">
        <f>AVERAGE(D127:D132)</f>
        <v>#DIV/0!</v>
      </c>
      <c r="E133" s="170"/>
      <c r="F133" s="171"/>
      <c r="G133" s="171"/>
      <c r="H133" s="169"/>
      <c r="I133" s="167"/>
      <c r="J133" s="172"/>
      <c r="K133" s="172"/>
      <c r="L133" s="172"/>
      <c r="M133" s="73"/>
      <c r="N133" s="73"/>
      <c r="O133" s="73"/>
      <c r="P133" s="73"/>
      <c r="Q133" s="73"/>
      <c r="R133" s="73"/>
    </row>
    <row r="134" spans="1:18" x14ac:dyDescent="0.35">
      <c r="A134" s="178"/>
      <c r="B134" s="179"/>
      <c r="C134" s="180" t="s">
        <v>53</v>
      </c>
      <c r="D134" s="183" t="e">
        <f>STDEV(D127:D132)/SQRT(COUNT(D127:D132))</f>
        <v>#DIV/0!</v>
      </c>
      <c r="E134" s="170"/>
      <c r="F134" s="171"/>
      <c r="G134" s="171"/>
      <c r="H134" s="171"/>
      <c r="I134" s="171"/>
      <c r="J134" s="172"/>
      <c r="K134" s="172"/>
      <c r="L134" s="172"/>
      <c r="M134" s="73"/>
      <c r="N134" s="73"/>
      <c r="O134" s="73"/>
      <c r="P134" s="73"/>
      <c r="Q134" s="73"/>
      <c r="R134" s="73"/>
    </row>
    <row r="135" spans="1:18" x14ac:dyDescent="0.35">
      <c r="A135" s="22"/>
      <c r="B135" s="21"/>
      <c r="C135" s="21"/>
      <c r="D135" s="21"/>
      <c r="E135" s="21"/>
      <c r="F135" s="73"/>
      <c r="G135" s="73"/>
      <c r="H135" s="73"/>
      <c r="I135" s="73"/>
      <c r="J135" s="73"/>
      <c r="K135" s="73"/>
      <c r="L135" s="73"/>
      <c r="M135" s="73"/>
      <c r="N135" s="73"/>
      <c r="O135" s="73"/>
      <c r="P135" s="73"/>
      <c r="Q135" s="73"/>
      <c r="R135" s="73"/>
    </row>
    <row r="136" spans="1:18" x14ac:dyDescent="0.35">
      <c r="A136" s="22"/>
      <c r="B136" s="21"/>
      <c r="C136" s="21"/>
      <c r="D136" s="21"/>
      <c r="E136" s="21"/>
      <c r="F136" s="73"/>
      <c r="G136" s="73"/>
      <c r="H136" s="73"/>
      <c r="I136" s="73"/>
      <c r="J136" s="73"/>
      <c r="K136" s="73"/>
      <c r="L136" s="73"/>
      <c r="M136" s="73"/>
      <c r="N136" s="73"/>
      <c r="O136" s="73"/>
      <c r="P136" s="73"/>
      <c r="Q136" s="73"/>
      <c r="R136" s="73"/>
    </row>
    <row r="137" spans="1:18" x14ac:dyDescent="0.35">
      <c r="A137" s="22"/>
      <c r="B137" s="21"/>
      <c r="C137" s="21"/>
      <c r="D137" s="21"/>
      <c r="E137" s="21"/>
      <c r="F137" s="73"/>
      <c r="G137" s="73"/>
      <c r="H137" s="73"/>
      <c r="I137" s="73"/>
      <c r="J137" s="73"/>
      <c r="K137" s="73"/>
      <c r="L137" s="73"/>
      <c r="M137" s="73"/>
      <c r="N137" s="73"/>
      <c r="O137" s="73"/>
      <c r="P137" s="73"/>
      <c r="Q137" s="73"/>
      <c r="R137" s="73"/>
    </row>
    <row r="138" spans="1:18" ht="35.15" customHeight="1" x14ac:dyDescent="0.35">
      <c r="A138" s="164" t="s">
        <v>213</v>
      </c>
      <c r="B138" s="428" t="str">
        <f>CONCATENATE("What is the probability that the captive breeding component of the ex situ plan will be successful, i.e. ≥ ",'2. Ex-situ plan'!$C$23,"% of offspring born in year ",'2. Ex-situ plan'!$C$21," of the ex-situ breeding program will survive to ",'2. Ex-situ plan'!$C$22," months?")</f>
        <v>What is the probability that the captive breeding component of the ex situ plan will be successful, i.e. ≥ % of offspring born in year  of the ex-situ breeding program will survive to  months?</v>
      </c>
      <c r="C138" s="429"/>
      <c r="D138" s="429"/>
      <c r="E138" s="429"/>
      <c r="F138" s="429"/>
      <c r="G138" s="429"/>
      <c r="H138" s="429"/>
      <c r="I138" s="429"/>
      <c r="J138" s="429"/>
      <c r="K138" s="430"/>
      <c r="L138" s="73"/>
      <c r="M138" s="73"/>
      <c r="N138" s="73"/>
      <c r="O138" s="73"/>
      <c r="P138" s="73"/>
      <c r="Q138" s="73"/>
      <c r="R138" s="73"/>
    </row>
    <row r="139" spans="1:18" x14ac:dyDescent="0.35">
      <c r="A139" s="73"/>
      <c r="B139" s="73"/>
      <c r="C139" s="73"/>
      <c r="D139" s="73"/>
      <c r="E139" s="73"/>
      <c r="F139" s="73"/>
      <c r="G139" s="73"/>
      <c r="H139" s="73"/>
      <c r="I139" s="73"/>
      <c r="J139" s="73"/>
      <c r="K139" s="73"/>
      <c r="L139" s="73"/>
      <c r="M139" s="73"/>
      <c r="N139" s="73"/>
      <c r="O139" s="73"/>
      <c r="P139" s="73"/>
      <c r="Q139" s="73"/>
      <c r="R139" s="73"/>
    </row>
    <row r="140" spans="1:18" x14ac:dyDescent="0.35">
      <c r="A140" s="73"/>
      <c r="B140" s="73"/>
      <c r="C140" s="73"/>
      <c r="D140" s="73"/>
      <c r="E140" s="73"/>
      <c r="F140" s="73"/>
      <c r="G140" s="73"/>
      <c r="H140" s="73"/>
      <c r="I140" s="73"/>
      <c r="J140" s="73"/>
      <c r="K140" s="73"/>
      <c r="L140" s="73"/>
      <c r="M140" s="73"/>
      <c r="N140" s="73"/>
      <c r="O140" s="73"/>
      <c r="P140" s="73"/>
      <c r="Q140" s="73"/>
      <c r="R140" s="73"/>
    </row>
    <row r="141" spans="1:18" x14ac:dyDescent="0.35">
      <c r="A141" s="73"/>
      <c r="B141" s="73"/>
      <c r="C141" s="73"/>
      <c r="D141" s="73"/>
      <c r="E141" s="73"/>
      <c r="F141" s="73"/>
      <c r="G141" s="73"/>
      <c r="H141" s="73"/>
      <c r="I141" s="73"/>
      <c r="J141" s="73"/>
      <c r="K141" s="73"/>
      <c r="L141" s="73"/>
      <c r="M141" s="73"/>
      <c r="N141" s="73"/>
      <c r="O141" s="73"/>
      <c r="P141" s="73"/>
      <c r="Q141" s="73"/>
      <c r="R141" s="73"/>
    </row>
    <row r="142" spans="1:18" x14ac:dyDescent="0.35">
      <c r="A142" s="73"/>
      <c r="B142" s="73"/>
      <c r="C142" s="73"/>
      <c r="D142" s="73"/>
      <c r="E142" s="73"/>
      <c r="F142" s="73"/>
      <c r="G142" s="73"/>
      <c r="H142" s="73"/>
      <c r="I142" s="73"/>
      <c r="J142" s="73"/>
      <c r="K142" s="73"/>
      <c r="L142" s="73"/>
      <c r="M142" s="73"/>
      <c r="N142" s="73"/>
      <c r="O142" s="73"/>
      <c r="P142" s="73"/>
      <c r="Q142" s="73"/>
      <c r="R142" s="73"/>
    </row>
    <row r="143" spans="1:18" x14ac:dyDescent="0.35">
      <c r="A143" s="73"/>
      <c r="B143" s="73"/>
      <c r="C143" s="73"/>
      <c r="D143" s="73"/>
      <c r="E143" s="73"/>
      <c r="F143" s="73"/>
      <c r="G143" s="73"/>
      <c r="H143" s="73"/>
      <c r="I143" s="73"/>
      <c r="J143" s="73"/>
      <c r="K143" s="73"/>
      <c r="L143" s="73"/>
      <c r="M143" s="73"/>
      <c r="N143" s="73"/>
      <c r="O143" s="73"/>
      <c r="P143" s="73"/>
      <c r="Q143" s="73"/>
      <c r="R143" s="73"/>
    </row>
    <row r="144" spans="1:18" x14ac:dyDescent="0.35">
      <c r="A144" s="73"/>
      <c r="B144" s="73"/>
      <c r="C144" s="73"/>
      <c r="D144" s="73"/>
      <c r="E144" s="73"/>
      <c r="F144" s="73"/>
      <c r="G144" s="73"/>
      <c r="H144" s="73"/>
      <c r="I144" s="73"/>
      <c r="J144" s="73"/>
      <c r="K144" s="73"/>
      <c r="L144" s="73"/>
      <c r="M144" s="73"/>
      <c r="N144" s="73"/>
      <c r="O144" s="73"/>
      <c r="P144" s="73"/>
      <c r="Q144" s="73"/>
      <c r="R144" s="73"/>
    </row>
    <row r="145" spans="1:18" x14ac:dyDescent="0.35">
      <c r="A145" s="73"/>
      <c r="B145" s="73"/>
      <c r="C145" s="73"/>
      <c r="D145" s="73"/>
      <c r="E145" s="73"/>
      <c r="F145" s="73"/>
      <c r="G145" s="73"/>
      <c r="H145" s="73"/>
      <c r="I145" s="73"/>
      <c r="J145" s="73"/>
      <c r="K145" s="73"/>
      <c r="L145" s="73"/>
      <c r="M145" s="73"/>
      <c r="N145" s="73"/>
      <c r="O145" s="73"/>
      <c r="P145" s="73"/>
      <c r="Q145" s="73"/>
      <c r="R145" s="73"/>
    </row>
    <row r="146" spans="1:18" x14ac:dyDescent="0.35">
      <c r="A146" s="73"/>
      <c r="B146" s="73"/>
      <c r="C146" s="73"/>
      <c r="D146" s="73"/>
      <c r="E146" s="73"/>
      <c r="F146" s="73"/>
      <c r="G146" s="73"/>
      <c r="H146" s="73"/>
      <c r="I146" s="73"/>
      <c r="J146" s="73"/>
      <c r="K146" s="73"/>
      <c r="L146" s="73"/>
      <c r="M146" s="73"/>
      <c r="N146" s="73"/>
      <c r="O146" s="73"/>
      <c r="P146" s="73"/>
      <c r="Q146" s="73"/>
      <c r="R146" s="73"/>
    </row>
    <row r="147" spans="1:18" x14ac:dyDescent="0.35">
      <c r="A147" s="73"/>
      <c r="B147" s="73"/>
      <c r="C147" s="73"/>
      <c r="D147" s="73"/>
      <c r="E147" s="73"/>
      <c r="F147" s="73"/>
      <c r="G147" s="73"/>
      <c r="H147" s="73"/>
      <c r="I147" s="73"/>
      <c r="J147" s="73"/>
      <c r="K147" s="73"/>
      <c r="L147" s="73"/>
      <c r="M147" s="73"/>
      <c r="N147" s="73"/>
      <c r="O147" s="73"/>
      <c r="P147" s="73"/>
      <c r="Q147" s="73"/>
      <c r="R147" s="73"/>
    </row>
    <row r="148" spans="1:18" x14ac:dyDescent="0.35">
      <c r="A148" s="73"/>
      <c r="B148" s="73"/>
      <c r="C148" s="73"/>
      <c r="D148" s="73"/>
      <c r="E148" s="73"/>
      <c r="F148" s="73"/>
      <c r="G148" s="73"/>
      <c r="H148" s="73"/>
      <c r="I148" s="73"/>
      <c r="J148" s="73"/>
      <c r="K148" s="73"/>
      <c r="L148" s="73"/>
      <c r="M148" s="73"/>
      <c r="N148" s="73"/>
      <c r="O148" s="73"/>
      <c r="P148" s="73"/>
      <c r="Q148" s="73"/>
      <c r="R148" s="73"/>
    </row>
    <row r="149" spans="1:18" x14ac:dyDescent="0.35">
      <c r="A149" s="73"/>
      <c r="B149" s="73"/>
      <c r="C149" s="73"/>
      <c r="D149" s="73"/>
      <c r="E149" s="73"/>
      <c r="F149" s="73"/>
      <c r="G149" s="73"/>
      <c r="H149" s="73"/>
      <c r="I149" s="73"/>
      <c r="J149" s="73"/>
      <c r="K149" s="73"/>
      <c r="L149" s="73"/>
      <c r="M149" s="73"/>
      <c r="N149" s="73"/>
      <c r="O149" s="73"/>
      <c r="P149" s="73"/>
      <c r="Q149" s="73"/>
      <c r="R149" s="73"/>
    </row>
    <row r="150" spans="1:18" x14ac:dyDescent="0.35">
      <c r="A150" s="73"/>
      <c r="B150" s="73"/>
      <c r="C150" s="73"/>
      <c r="D150" s="73"/>
      <c r="E150" s="73"/>
      <c r="F150" s="73"/>
      <c r="G150" s="73"/>
      <c r="H150" s="73"/>
      <c r="I150" s="73"/>
      <c r="J150" s="73"/>
      <c r="K150" s="73"/>
      <c r="L150" s="73"/>
      <c r="M150" s="73"/>
      <c r="N150" s="73"/>
      <c r="O150" s="73"/>
      <c r="P150" s="73"/>
      <c r="Q150" s="73"/>
      <c r="R150" s="73"/>
    </row>
    <row r="151" spans="1:18" x14ac:dyDescent="0.35">
      <c r="A151" s="73"/>
      <c r="B151" s="73"/>
      <c r="C151" s="73"/>
      <c r="D151" s="73"/>
      <c r="E151" s="73"/>
      <c r="F151" s="73"/>
      <c r="G151" s="73"/>
      <c r="H151" s="73"/>
      <c r="I151" s="73"/>
      <c r="J151" s="73"/>
      <c r="K151" s="73"/>
      <c r="L151" s="73"/>
      <c r="M151" s="73"/>
      <c r="N151" s="73"/>
      <c r="O151" s="73"/>
      <c r="P151" s="73"/>
      <c r="Q151" s="73"/>
      <c r="R151" s="73"/>
    </row>
    <row r="152" spans="1:18" x14ac:dyDescent="0.35">
      <c r="A152" s="73"/>
      <c r="B152" s="73"/>
      <c r="C152" s="73"/>
      <c r="D152" s="73"/>
      <c r="E152" s="73"/>
      <c r="F152" s="73"/>
      <c r="G152" s="73"/>
      <c r="H152" s="73"/>
      <c r="I152" s="73"/>
      <c r="J152" s="73"/>
      <c r="K152" s="73"/>
      <c r="L152" s="73"/>
      <c r="M152" s="73"/>
      <c r="N152" s="73"/>
      <c r="O152" s="73"/>
      <c r="P152" s="73"/>
      <c r="Q152" s="73"/>
      <c r="R152" s="73"/>
    </row>
    <row r="153" spans="1:18" x14ac:dyDescent="0.35">
      <c r="A153" s="73"/>
      <c r="B153" s="73"/>
      <c r="C153" s="73"/>
      <c r="D153" s="73"/>
      <c r="E153" s="73"/>
      <c r="F153" s="73"/>
      <c r="G153" s="73"/>
      <c r="H153" s="73"/>
      <c r="I153" s="73"/>
      <c r="J153" s="73"/>
      <c r="K153" s="73"/>
      <c r="L153" s="73"/>
      <c r="M153" s="73"/>
      <c r="N153" s="73"/>
      <c r="O153" s="73"/>
      <c r="P153" s="73"/>
      <c r="Q153" s="73"/>
      <c r="R153" s="73"/>
    </row>
    <row r="154" spans="1:18" x14ac:dyDescent="0.35">
      <c r="A154" s="73"/>
      <c r="B154" s="73"/>
      <c r="C154" s="73"/>
      <c r="D154" s="73"/>
      <c r="E154" s="73"/>
      <c r="F154" s="73"/>
      <c r="G154" s="73"/>
      <c r="H154" s="73"/>
      <c r="I154" s="73"/>
      <c r="J154" s="73"/>
      <c r="K154" s="73"/>
      <c r="L154" s="73"/>
      <c r="M154" s="73"/>
      <c r="N154" s="73"/>
      <c r="O154" s="73"/>
      <c r="P154" s="73"/>
      <c r="Q154" s="73"/>
      <c r="R154" s="73"/>
    </row>
    <row r="155" spans="1:18" x14ac:dyDescent="0.35">
      <c r="A155" s="73"/>
      <c r="B155" s="73"/>
      <c r="C155" s="73"/>
      <c r="D155" s="73"/>
      <c r="E155" s="73"/>
      <c r="F155" s="73"/>
      <c r="G155" s="73"/>
      <c r="H155" s="73"/>
      <c r="I155" s="73"/>
      <c r="J155" s="73"/>
      <c r="K155" s="73"/>
      <c r="L155" s="73"/>
      <c r="M155" s="73"/>
      <c r="N155" s="73"/>
      <c r="O155" s="73"/>
      <c r="P155" s="73"/>
      <c r="Q155" s="73"/>
      <c r="R155" s="73"/>
    </row>
    <row r="156" spans="1:18" x14ac:dyDescent="0.35">
      <c r="A156" s="73"/>
      <c r="B156" s="73"/>
      <c r="C156" s="73"/>
      <c r="D156" s="73"/>
      <c r="E156" s="73"/>
      <c r="F156" s="73"/>
      <c r="G156" s="73"/>
      <c r="H156" s="73"/>
      <c r="I156" s="73"/>
      <c r="J156" s="73"/>
      <c r="K156" s="73"/>
      <c r="L156" s="73"/>
      <c r="M156" s="73"/>
      <c r="N156" s="73"/>
      <c r="O156" s="73"/>
      <c r="P156" s="73"/>
      <c r="Q156" s="73"/>
      <c r="R156" s="73"/>
    </row>
    <row r="157" spans="1:18" x14ac:dyDescent="0.35">
      <c r="A157" s="73"/>
      <c r="B157" s="73"/>
      <c r="C157" s="73"/>
      <c r="D157" s="73"/>
      <c r="E157" s="73"/>
      <c r="F157" s="73"/>
      <c r="G157" s="73"/>
      <c r="H157" s="73"/>
      <c r="I157" s="73"/>
      <c r="J157" s="73"/>
      <c r="K157" s="73"/>
      <c r="L157" s="73"/>
      <c r="M157" s="73"/>
      <c r="N157" s="73"/>
      <c r="O157" s="73"/>
      <c r="P157" s="73"/>
      <c r="Q157" s="73"/>
      <c r="R157" s="73"/>
    </row>
    <row r="158" spans="1:18" x14ac:dyDescent="0.35">
      <c r="A158" s="73"/>
      <c r="B158" s="73"/>
      <c r="C158" s="73"/>
      <c r="D158" s="73"/>
      <c r="E158" s="73"/>
      <c r="F158" s="73"/>
      <c r="G158" s="73"/>
      <c r="H158" s="73"/>
      <c r="I158" s="73"/>
      <c r="J158" s="73"/>
      <c r="K158" s="73"/>
      <c r="L158" s="73"/>
      <c r="M158" s="73"/>
      <c r="N158" s="73"/>
      <c r="O158" s="73"/>
      <c r="P158" s="73"/>
      <c r="Q158" s="73"/>
      <c r="R158" s="73"/>
    </row>
    <row r="159" spans="1:18" x14ac:dyDescent="0.35">
      <c r="A159" s="73"/>
      <c r="B159" s="73"/>
      <c r="C159" s="73"/>
      <c r="D159" s="73"/>
      <c r="E159" s="73"/>
      <c r="F159" s="73"/>
      <c r="G159" s="73"/>
      <c r="H159" s="73"/>
      <c r="I159" s="73"/>
      <c r="J159" s="73"/>
      <c r="K159" s="73"/>
      <c r="L159" s="73"/>
      <c r="M159" s="73"/>
      <c r="N159" s="73"/>
      <c r="O159" s="73"/>
      <c r="P159" s="73"/>
      <c r="Q159" s="73"/>
      <c r="R159" s="73"/>
    </row>
    <row r="160" spans="1:18" x14ac:dyDescent="0.35">
      <c r="A160" s="73"/>
      <c r="B160" s="73"/>
      <c r="C160" s="73"/>
      <c r="D160" s="73"/>
      <c r="E160" s="73"/>
      <c r="F160" s="73"/>
      <c r="G160" s="73"/>
      <c r="H160" s="73"/>
      <c r="I160" s="73"/>
      <c r="J160" s="73"/>
      <c r="K160" s="73"/>
      <c r="L160" s="73"/>
      <c r="M160" s="73"/>
      <c r="N160" s="73"/>
      <c r="O160" s="73"/>
      <c r="P160" s="73"/>
      <c r="Q160" s="73"/>
      <c r="R160" s="73"/>
    </row>
    <row r="161" spans="1:18" x14ac:dyDescent="0.35">
      <c r="A161" s="73"/>
      <c r="B161" s="73"/>
      <c r="C161" s="73"/>
      <c r="D161" s="73"/>
      <c r="E161" s="73"/>
      <c r="F161" s="73"/>
      <c r="G161" s="73"/>
      <c r="H161" s="73"/>
      <c r="I161" s="73"/>
      <c r="J161" s="73"/>
      <c r="K161" s="73"/>
      <c r="L161" s="73"/>
      <c r="M161" s="73"/>
      <c r="N161" s="73"/>
      <c r="O161" s="73"/>
      <c r="P161" s="73"/>
      <c r="Q161" s="73"/>
      <c r="R161" s="73"/>
    </row>
    <row r="162" spans="1:18" x14ac:dyDescent="0.35">
      <c r="A162" s="73"/>
      <c r="B162" s="73"/>
      <c r="C162" s="73"/>
      <c r="D162" s="73"/>
      <c r="E162" s="73"/>
      <c r="F162" s="73"/>
      <c r="G162" s="73"/>
      <c r="H162" s="73"/>
      <c r="I162" s="73"/>
      <c r="J162" s="73"/>
      <c r="K162" s="73"/>
      <c r="L162" s="73"/>
      <c r="M162" s="73"/>
      <c r="N162" s="73"/>
      <c r="O162" s="73"/>
      <c r="P162" s="73"/>
      <c r="Q162" s="73"/>
      <c r="R162" s="73"/>
    </row>
    <row r="163" spans="1:18" x14ac:dyDescent="0.35">
      <c r="A163" s="73"/>
      <c r="B163" s="73"/>
      <c r="C163" s="73"/>
      <c r="D163" s="73"/>
      <c r="E163" s="73"/>
      <c r="F163" s="73"/>
      <c r="G163" s="73"/>
      <c r="H163" s="73"/>
      <c r="I163" s="73"/>
      <c r="J163" s="73"/>
      <c r="K163" s="73"/>
      <c r="L163" s="73"/>
      <c r="M163" s="73"/>
      <c r="N163" s="73"/>
      <c r="O163" s="73"/>
      <c r="P163" s="73"/>
      <c r="Q163" s="73"/>
      <c r="R163" s="73"/>
    </row>
    <row r="164" spans="1:18" x14ac:dyDescent="0.35">
      <c r="A164" s="73"/>
      <c r="B164" s="73"/>
      <c r="C164" s="73"/>
      <c r="D164" s="73"/>
      <c r="E164" s="73"/>
      <c r="F164" s="73"/>
      <c r="G164" s="73"/>
      <c r="H164" s="73"/>
      <c r="I164" s="73"/>
      <c r="J164" s="73"/>
      <c r="K164" s="73"/>
      <c r="L164" s="73"/>
      <c r="M164" s="73"/>
      <c r="N164" s="73"/>
      <c r="O164" s="73"/>
      <c r="P164" s="73"/>
      <c r="Q164" s="73"/>
      <c r="R164" s="73"/>
    </row>
    <row r="165" spans="1:18" x14ac:dyDescent="0.35">
      <c r="A165" s="73"/>
      <c r="B165" s="73"/>
      <c r="C165" s="73"/>
      <c r="D165" s="73"/>
      <c r="E165" s="73"/>
      <c r="F165" s="73"/>
      <c r="G165" s="73"/>
      <c r="H165" s="73"/>
      <c r="I165" s="73"/>
      <c r="J165" s="73"/>
      <c r="K165" s="73"/>
      <c r="L165" s="73"/>
      <c r="M165" s="73"/>
      <c r="N165" s="73"/>
      <c r="O165" s="73"/>
      <c r="P165" s="73"/>
      <c r="Q165" s="73"/>
      <c r="R165" s="73"/>
    </row>
    <row r="166" spans="1:18" x14ac:dyDescent="0.35">
      <c r="A166" s="73"/>
      <c r="B166" s="73"/>
      <c r="C166" s="73"/>
      <c r="D166" s="73"/>
      <c r="E166" s="73"/>
      <c r="F166" s="73"/>
      <c r="G166" s="73"/>
      <c r="H166" s="73"/>
      <c r="I166" s="73"/>
      <c r="J166" s="73"/>
      <c r="K166" s="73"/>
      <c r="L166" s="73"/>
      <c r="M166" s="73"/>
      <c r="N166" s="73"/>
      <c r="O166" s="73"/>
      <c r="P166" s="73"/>
      <c r="Q166" s="73"/>
      <c r="R166" s="73"/>
    </row>
    <row r="167" spans="1:18" x14ac:dyDescent="0.35">
      <c r="A167" s="73"/>
      <c r="B167" s="73"/>
      <c r="C167" s="73"/>
      <c r="D167" s="73"/>
      <c r="E167" s="73"/>
      <c r="F167" s="73"/>
      <c r="G167" s="73"/>
      <c r="H167" s="73"/>
      <c r="I167" s="73"/>
      <c r="J167" s="73"/>
      <c r="K167" s="73"/>
      <c r="L167" s="73"/>
      <c r="M167" s="73"/>
      <c r="N167" s="73"/>
      <c r="O167" s="73"/>
      <c r="P167" s="73"/>
      <c r="Q167" s="73"/>
      <c r="R167" s="73"/>
    </row>
    <row r="168" spans="1:18" x14ac:dyDescent="0.35">
      <c r="A168" s="73"/>
      <c r="B168" s="73"/>
      <c r="C168" s="73"/>
      <c r="D168" s="73"/>
      <c r="E168" s="73"/>
      <c r="F168" s="73"/>
      <c r="G168" s="73"/>
      <c r="H168" s="73"/>
      <c r="I168" s="73"/>
      <c r="J168" s="73"/>
      <c r="K168" s="73"/>
      <c r="L168" s="73"/>
      <c r="M168" s="73"/>
      <c r="N168" s="73"/>
      <c r="O168" s="73"/>
      <c r="P168" s="73"/>
      <c r="Q168" s="73"/>
      <c r="R168" s="73"/>
    </row>
    <row r="169" spans="1:18" x14ac:dyDescent="0.35">
      <c r="A169" s="73"/>
      <c r="B169" s="73"/>
      <c r="C169" s="73"/>
      <c r="D169" s="73"/>
      <c r="E169" s="73"/>
      <c r="F169" s="73"/>
      <c r="G169" s="73"/>
      <c r="H169" s="73"/>
      <c r="I169" s="73"/>
      <c r="J169" s="73"/>
      <c r="K169" s="73"/>
      <c r="L169" s="73"/>
      <c r="M169" s="73"/>
      <c r="N169" s="73"/>
      <c r="O169" s="73"/>
      <c r="P169" s="73"/>
      <c r="Q169" s="73"/>
      <c r="R169" s="73"/>
    </row>
    <row r="170" spans="1:18" x14ac:dyDescent="0.35">
      <c r="A170" s="172"/>
      <c r="B170" s="172"/>
      <c r="C170" s="172"/>
      <c r="D170" s="172"/>
      <c r="E170" s="165"/>
      <c r="F170" s="165"/>
      <c r="G170" s="165"/>
      <c r="H170" s="165"/>
      <c r="I170" s="165"/>
      <c r="J170" s="172"/>
      <c r="K170" s="172"/>
      <c r="L170" s="172"/>
      <c r="M170" s="73"/>
      <c r="N170" s="73"/>
      <c r="O170" s="73"/>
      <c r="P170" s="73"/>
      <c r="Q170" s="73"/>
      <c r="R170" s="73"/>
    </row>
    <row r="171" spans="1:18" x14ac:dyDescent="0.35">
      <c r="A171" s="426"/>
      <c r="B171" s="427"/>
      <c r="C171" s="173" t="s">
        <v>44</v>
      </c>
      <c r="D171" s="184" t="s">
        <v>210</v>
      </c>
      <c r="E171" s="165"/>
      <c r="F171" s="165"/>
      <c r="G171" s="165"/>
      <c r="H171" s="165"/>
      <c r="I171" s="165"/>
      <c r="J171" s="172"/>
      <c r="K171" s="172"/>
      <c r="L171" s="172"/>
      <c r="M171" s="73"/>
      <c r="N171" s="73"/>
      <c r="O171" s="73"/>
      <c r="P171" s="73"/>
      <c r="Q171" s="73"/>
      <c r="R171" s="73"/>
    </row>
    <row r="172" spans="1:18" x14ac:dyDescent="0.35">
      <c r="A172" s="431" t="s">
        <v>213</v>
      </c>
      <c r="B172" s="432" t="str">
        <f>B138</f>
        <v>What is the probability that the captive breeding component of the ex situ plan will be successful, i.e. ≥ % of offspring born in year  of the ex-situ breeding program will survive to  months?</v>
      </c>
      <c r="C172" s="174" t="s">
        <v>45</v>
      </c>
      <c r="D172" s="181" t="str">
        <f>IF('4.3 Elicitation data entry'!$C$12="","",'4.3 Elicitation data entry'!$C$12)</f>
        <v/>
      </c>
      <c r="E172" s="166"/>
      <c r="F172" s="167"/>
      <c r="G172" s="168"/>
      <c r="H172" s="169"/>
      <c r="I172" s="167"/>
      <c r="J172" s="172"/>
      <c r="K172" s="172"/>
      <c r="L172" s="172"/>
      <c r="M172" s="73"/>
      <c r="N172" s="73"/>
      <c r="O172" s="73"/>
      <c r="P172" s="73"/>
      <c r="Q172" s="73"/>
      <c r="R172" s="73"/>
    </row>
    <row r="173" spans="1:18" x14ac:dyDescent="0.35">
      <c r="A173" s="431"/>
      <c r="B173" s="432"/>
      <c r="C173" s="174" t="s">
        <v>46</v>
      </c>
      <c r="D173" s="181" t="str">
        <f>IF('4.3 Elicitation data entry'!$D$12="","",'4.3 Elicitation data entry'!$D$12)</f>
        <v/>
      </c>
      <c r="E173" s="166"/>
      <c r="F173" s="167"/>
      <c r="G173" s="168"/>
      <c r="H173" s="169"/>
      <c r="I173" s="167"/>
      <c r="J173" s="172"/>
      <c r="K173" s="172"/>
      <c r="L173" s="172"/>
      <c r="M173" s="73"/>
      <c r="N173" s="73"/>
      <c r="O173" s="73"/>
      <c r="P173" s="73"/>
      <c r="Q173" s="73"/>
      <c r="R173" s="73"/>
    </row>
    <row r="174" spans="1:18" x14ac:dyDescent="0.35">
      <c r="A174" s="431"/>
      <c r="B174" s="432"/>
      <c r="C174" s="174" t="s">
        <v>47</v>
      </c>
      <c r="D174" s="181" t="str">
        <f>IF('4.3 Elicitation data entry'!$E$12="","",'4.3 Elicitation data entry'!$E$12)</f>
        <v/>
      </c>
      <c r="E174" s="166"/>
      <c r="F174" s="167"/>
      <c r="G174" s="168"/>
      <c r="H174" s="169"/>
      <c r="I174" s="167"/>
      <c r="J174" s="172"/>
      <c r="K174" s="172"/>
      <c r="L174" s="172"/>
      <c r="M174" s="73"/>
      <c r="N174" s="73"/>
      <c r="O174" s="73"/>
      <c r="P174" s="73"/>
      <c r="Q174" s="73"/>
      <c r="R174" s="73"/>
    </row>
    <row r="175" spans="1:18" x14ac:dyDescent="0.35">
      <c r="A175" s="431"/>
      <c r="B175" s="432"/>
      <c r="C175" s="174" t="s">
        <v>48</v>
      </c>
      <c r="D175" s="181" t="str">
        <f>IF('4.3 Elicitation data entry'!$F$12="","",'4.3 Elicitation data entry'!$F$12)</f>
        <v/>
      </c>
      <c r="E175" s="166"/>
      <c r="F175" s="167"/>
      <c r="G175" s="168"/>
      <c r="H175" s="169"/>
      <c r="I175" s="167"/>
      <c r="J175" s="172"/>
      <c r="K175" s="172"/>
      <c r="L175" s="172"/>
      <c r="M175" s="73"/>
      <c r="N175" s="73"/>
      <c r="O175" s="73"/>
      <c r="P175" s="73"/>
      <c r="Q175" s="73"/>
      <c r="R175" s="73"/>
    </row>
    <row r="176" spans="1:18" x14ac:dyDescent="0.35">
      <c r="A176" s="431"/>
      <c r="B176" s="432"/>
      <c r="C176" s="174" t="s">
        <v>49</v>
      </c>
      <c r="D176" s="181" t="str">
        <f>IF('4.3 Elicitation data entry'!$G$12="","",'4.3 Elicitation data entry'!$G$12)</f>
        <v/>
      </c>
      <c r="E176" s="166"/>
      <c r="F176" s="167"/>
      <c r="G176" s="168"/>
      <c r="H176" s="169"/>
      <c r="I176" s="167"/>
      <c r="J176" s="172"/>
      <c r="K176" s="172"/>
      <c r="L176" s="172"/>
      <c r="M176" s="73"/>
      <c r="N176" s="73"/>
      <c r="O176" s="73"/>
      <c r="P176" s="73"/>
      <c r="Q176" s="73"/>
      <c r="R176" s="73"/>
    </row>
    <row r="177" spans="1:18" x14ac:dyDescent="0.35">
      <c r="A177" s="431"/>
      <c r="B177" s="432"/>
      <c r="C177" s="174" t="s">
        <v>50</v>
      </c>
      <c r="D177" s="181" t="str">
        <f>IF('4.3 Elicitation data entry'!$H$12="","",'4.3 Elicitation data entry'!$H$12)</f>
        <v/>
      </c>
      <c r="E177" s="166"/>
      <c r="F177" s="167"/>
      <c r="G177" s="168"/>
      <c r="H177" s="169"/>
      <c r="I177" s="167"/>
      <c r="J177" s="172"/>
      <c r="K177" s="172"/>
      <c r="L177" s="172"/>
      <c r="M177" s="73"/>
      <c r="N177" s="73"/>
      <c r="O177" s="73"/>
      <c r="P177" s="73"/>
      <c r="Q177" s="73"/>
      <c r="R177" s="73"/>
    </row>
    <row r="178" spans="1:18" x14ac:dyDescent="0.35">
      <c r="A178" s="175"/>
      <c r="B178" s="176" t="s">
        <v>51</v>
      </c>
      <c r="C178" s="177" t="s">
        <v>52</v>
      </c>
      <c r="D178" s="182" t="e">
        <f>AVERAGE(D172:D177)</f>
        <v>#DIV/0!</v>
      </c>
      <c r="E178" s="170"/>
      <c r="F178" s="171"/>
      <c r="G178" s="171"/>
      <c r="H178" s="169"/>
      <c r="I178" s="167"/>
      <c r="J178" s="172"/>
      <c r="K178" s="172"/>
      <c r="L178" s="172"/>
      <c r="M178" s="73"/>
      <c r="N178" s="73"/>
      <c r="O178" s="73"/>
      <c r="P178" s="73"/>
      <c r="Q178" s="73"/>
      <c r="R178" s="73"/>
    </row>
    <row r="179" spans="1:18" x14ac:dyDescent="0.35">
      <c r="A179" s="178"/>
      <c r="B179" s="179"/>
      <c r="C179" s="180" t="s">
        <v>53</v>
      </c>
      <c r="D179" s="183" t="e">
        <f>STDEV(D172:D177)/SQRT(COUNT(D172:D177))</f>
        <v>#DIV/0!</v>
      </c>
      <c r="E179" s="170"/>
      <c r="F179" s="171"/>
      <c r="G179" s="171"/>
      <c r="H179" s="171"/>
      <c r="I179" s="171"/>
      <c r="J179" s="172"/>
      <c r="K179" s="172"/>
      <c r="L179" s="172"/>
      <c r="M179" s="73"/>
      <c r="N179" s="73"/>
      <c r="O179" s="73"/>
      <c r="P179" s="73"/>
      <c r="Q179" s="73"/>
      <c r="R179" s="73"/>
    </row>
    <row r="180" spans="1:18" x14ac:dyDescent="0.35">
      <c r="A180" s="22"/>
      <c r="B180" s="21"/>
      <c r="C180" s="21"/>
      <c r="D180" s="21"/>
      <c r="E180" s="21"/>
      <c r="F180" s="73"/>
      <c r="G180" s="73"/>
      <c r="H180" s="73"/>
      <c r="I180" s="73"/>
      <c r="J180" s="73"/>
      <c r="K180" s="73"/>
      <c r="L180" s="73"/>
      <c r="M180" s="73"/>
      <c r="N180" s="73"/>
      <c r="O180" s="73"/>
      <c r="P180" s="73"/>
      <c r="Q180" s="73"/>
      <c r="R180" s="73"/>
    </row>
    <row r="181" spans="1:18" x14ac:dyDescent="0.35">
      <c r="A181" s="22"/>
      <c r="B181" s="21"/>
      <c r="C181" s="21"/>
      <c r="D181" s="21"/>
      <c r="E181" s="21"/>
      <c r="F181" s="73"/>
      <c r="G181" s="73"/>
      <c r="H181" s="73"/>
      <c r="I181" s="73"/>
      <c r="J181" s="73"/>
      <c r="K181" s="73"/>
      <c r="L181" s="73"/>
      <c r="M181" s="73"/>
      <c r="N181" s="73"/>
      <c r="O181" s="73"/>
      <c r="P181" s="73"/>
      <c r="Q181" s="73"/>
      <c r="R181" s="73"/>
    </row>
    <row r="182" spans="1:18" x14ac:dyDescent="0.35">
      <c r="A182" s="22"/>
      <c r="B182" s="21"/>
      <c r="C182" s="21"/>
      <c r="D182" s="21"/>
      <c r="E182" s="21"/>
      <c r="F182" s="73"/>
      <c r="G182" s="73"/>
      <c r="H182" s="73"/>
      <c r="I182" s="73"/>
      <c r="J182" s="73"/>
      <c r="K182" s="73"/>
      <c r="L182" s="73"/>
      <c r="M182" s="73"/>
      <c r="N182" s="73"/>
      <c r="O182" s="73"/>
      <c r="P182" s="73"/>
      <c r="Q182" s="73"/>
      <c r="R182" s="73"/>
    </row>
    <row r="183" spans="1:18" ht="35.15" customHeight="1" x14ac:dyDescent="0.35">
      <c r="A183" s="164" t="s">
        <v>214</v>
      </c>
      <c r="B183" s="428" t="str">
        <f>CONCATENATE("What is the probability that captive individuals will be successfully released into the wild, i.e. ≥ ",'2. Ex-situ plan'!$C$29,"% of released individuals survive in the wild ",'2. Ex-situ plan'!$C$28," months after release?")</f>
        <v>What is the probability that captive individuals will be successfully released into the wild, i.e. ≥ % of released individuals survive in the wild  months after release?</v>
      </c>
      <c r="C183" s="429"/>
      <c r="D183" s="429"/>
      <c r="E183" s="429"/>
      <c r="F183" s="429"/>
      <c r="G183" s="429"/>
      <c r="H183" s="429"/>
      <c r="I183" s="429"/>
      <c r="J183" s="429"/>
      <c r="K183" s="430"/>
      <c r="L183" s="73"/>
      <c r="M183" s="73"/>
      <c r="N183" s="73"/>
      <c r="O183" s="73"/>
      <c r="P183" s="73"/>
      <c r="Q183" s="73"/>
      <c r="R183" s="73"/>
    </row>
    <row r="184" spans="1:18" x14ac:dyDescent="0.35">
      <c r="A184" s="73"/>
      <c r="B184" s="73"/>
      <c r="C184" s="73"/>
      <c r="D184" s="73"/>
      <c r="E184" s="73"/>
      <c r="F184" s="73"/>
      <c r="G184" s="73"/>
      <c r="H184" s="73"/>
      <c r="I184" s="73"/>
      <c r="J184" s="73"/>
      <c r="K184" s="73"/>
      <c r="L184" s="73"/>
      <c r="M184" s="73"/>
      <c r="N184" s="73"/>
      <c r="O184" s="73"/>
      <c r="P184" s="73"/>
      <c r="Q184" s="73"/>
      <c r="R184" s="73"/>
    </row>
    <row r="185" spans="1:18" x14ac:dyDescent="0.35">
      <c r="A185" s="73"/>
      <c r="B185" s="73"/>
      <c r="C185" s="73"/>
      <c r="D185" s="73"/>
      <c r="E185" s="73"/>
      <c r="F185" s="73"/>
      <c r="G185" s="73"/>
      <c r="H185" s="73"/>
      <c r="I185" s="73"/>
      <c r="J185" s="73"/>
      <c r="K185" s="73"/>
      <c r="L185" s="73"/>
      <c r="M185" s="73"/>
      <c r="N185" s="73"/>
      <c r="O185" s="73"/>
      <c r="P185" s="73"/>
      <c r="Q185" s="73"/>
      <c r="R185" s="73"/>
    </row>
    <row r="186" spans="1:18" x14ac:dyDescent="0.35">
      <c r="A186" s="73"/>
      <c r="B186" s="73"/>
      <c r="C186" s="73"/>
      <c r="D186" s="73"/>
      <c r="E186" s="73"/>
      <c r="F186" s="73"/>
      <c r="G186" s="73"/>
      <c r="H186" s="73"/>
      <c r="I186" s="73"/>
      <c r="J186" s="73"/>
      <c r="K186" s="73"/>
      <c r="L186" s="73"/>
      <c r="M186" s="73"/>
      <c r="N186" s="73"/>
      <c r="O186" s="73"/>
      <c r="P186" s="73"/>
      <c r="Q186" s="73"/>
      <c r="R186" s="73"/>
    </row>
    <row r="187" spans="1:18" x14ac:dyDescent="0.35">
      <c r="A187" s="73"/>
      <c r="B187" s="73"/>
      <c r="C187" s="73"/>
      <c r="D187" s="73"/>
      <c r="E187" s="73"/>
      <c r="F187" s="73"/>
      <c r="G187" s="73"/>
      <c r="H187" s="73"/>
      <c r="I187" s="73"/>
      <c r="J187" s="73"/>
      <c r="K187" s="73"/>
      <c r="L187" s="73"/>
      <c r="M187" s="73"/>
      <c r="N187" s="73"/>
      <c r="O187" s="73"/>
      <c r="P187" s="73"/>
      <c r="Q187" s="73"/>
      <c r="R187" s="73"/>
    </row>
    <row r="188" spans="1:18" x14ac:dyDescent="0.35">
      <c r="A188" s="73"/>
      <c r="B188" s="73"/>
      <c r="C188" s="73"/>
      <c r="D188" s="73"/>
      <c r="E188" s="73"/>
      <c r="F188" s="73"/>
      <c r="G188" s="73"/>
      <c r="H188" s="73"/>
      <c r="I188" s="73"/>
      <c r="J188" s="73"/>
      <c r="K188" s="73"/>
      <c r="L188" s="73"/>
      <c r="M188" s="73"/>
      <c r="N188" s="73"/>
      <c r="O188" s="73"/>
      <c r="P188" s="73"/>
      <c r="Q188" s="73"/>
      <c r="R188" s="73"/>
    </row>
    <row r="189" spans="1:18" x14ac:dyDescent="0.35">
      <c r="A189" s="73"/>
      <c r="B189" s="73"/>
      <c r="C189" s="73"/>
      <c r="D189" s="73"/>
      <c r="E189" s="73"/>
      <c r="F189" s="73"/>
      <c r="G189" s="73"/>
      <c r="H189" s="73"/>
      <c r="I189" s="73"/>
      <c r="J189" s="73"/>
      <c r="K189" s="73"/>
      <c r="L189" s="73"/>
      <c r="M189" s="73"/>
      <c r="N189" s="73"/>
      <c r="O189" s="73"/>
      <c r="P189" s="73"/>
      <c r="Q189" s="73"/>
      <c r="R189" s="73"/>
    </row>
    <row r="190" spans="1:18" x14ac:dyDescent="0.35">
      <c r="A190" s="73"/>
      <c r="B190" s="73"/>
      <c r="C190" s="73"/>
      <c r="D190" s="73"/>
      <c r="E190" s="73"/>
      <c r="F190" s="73"/>
      <c r="G190" s="73"/>
      <c r="H190" s="73"/>
      <c r="I190" s="73"/>
      <c r="J190" s="73"/>
      <c r="K190" s="73"/>
      <c r="L190" s="73"/>
      <c r="M190" s="73"/>
      <c r="N190" s="73"/>
      <c r="O190" s="73"/>
      <c r="P190" s="73"/>
      <c r="Q190" s="73"/>
      <c r="R190" s="73"/>
    </row>
    <row r="191" spans="1:18" x14ac:dyDescent="0.35">
      <c r="A191" s="73"/>
      <c r="B191" s="73"/>
      <c r="C191" s="73"/>
      <c r="D191" s="73"/>
      <c r="E191" s="73"/>
      <c r="F191" s="73"/>
      <c r="G191" s="73"/>
      <c r="H191" s="73"/>
      <c r="I191" s="73"/>
      <c r="J191" s="73"/>
      <c r="K191" s="73"/>
      <c r="L191" s="73"/>
      <c r="M191" s="73"/>
      <c r="N191" s="73"/>
      <c r="O191" s="73"/>
      <c r="P191" s="73"/>
      <c r="Q191" s="73"/>
      <c r="R191" s="73"/>
    </row>
    <row r="192" spans="1:18" x14ac:dyDescent="0.35">
      <c r="A192" s="73"/>
      <c r="B192" s="73"/>
      <c r="C192" s="73"/>
      <c r="D192" s="73"/>
      <c r="E192" s="73"/>
      <c r="F192" s="73"/>
      <c r="G192" s="73"/>
      <c r="H192" s="73"/>
      <c r="I192" s="73"/>
      <c r="J192" s="73"/>
      <c r="K192" s="73"/>
      <c r="L192" s="73"/>
      <c r="M192" s="73"/>
      <c r="N192" s="73"/>
      <c r="O192" s="73"/>
      <c r="P192" s="73"/>
      <c r="Q192" s="73"/>
      <c r="R192" s="73"/>
    </row>
    <row r="193" spans="1:18" x14ac:dyDescent="0.35">
      <c r="A193" s="73"/>
      <c r="B193" s="73"/>
      <c r="C193" s="73"/>
      <c r="D193" s="73"/>
      <c r="E193" s="73"/>
      <c r="F193" s="73"/>
      <c r="G193" s="73"/>
      <c r="H193" s="73"/>
      <c r="I193" s="73"/>
      <c r="J193" s="73"/>
      <c r="K193" s="73"/>
      <c r="L193" s="73"/>
      <c r="M193" s="73"/>
      <c r="N193" s="73"/>
      <c r="O193" s="73"/>
      <c r="P193" s="73"/>
      <c r="Q193" s="73"/>
      <c r="R193" s="73"/>
    </row>
    <row r="194" spans="1:18" x14ac:dyDescent="0.35">
      <c r="A194" s="73"/>
      <c r="B194" s="73"/>
      <c r="C194" s="73"/>
      <c r="D194" s="73"/>
      <c r="E194" s="73"/>
      <c r="F194" s="73"/>
      <c r="G194" s="73"/>
      <c r="H194" s="73"/>
      <c r="I194" s="73"/>
      <c r="J194" s="73"/>
      <c r="K194" s="73"/>
      <c r="L194" s="73"/>
      <c r="M194" s="73"/>
      <c r="N194" s="73"/>
      <c r="O194" s="73"/>
      <c r="P194" s="73"/>
      <c r="Q194" s="73"/>
      <c r="R194" s="73"/>
    </row>
    <row r="195" spans="1:18" x14ac:dyDescent="0.35">
      <c r="A195" s="73"/>
      <c r="B195" s="73"/>
      <c r="C195" s="73"/>
      <c r="D195" s="73"/>
      <c r="E195" s="73"/>
      <c r="F195" s="73"/>
      <c r="G195" s="73"/>
      <c r="H195" s="73"/>
      <c r="I195" s="73"/>
      <c r="J195" s="73"/>
      <c r="K195" s="73"/>
      <c r="L195" s="73"/>
      <c r="M195" s="73"/>
      <c r="N195" s="73"/>
      <c r="O195" s="73"/>
      <c r="P195" s="73"/>
      <c r="Q195" s="73"/>
      <c r="R195" s="73"/>
    </row>
    <row r="196" spans="1:18" x14ac:dyDescent="0.35">
      <c r="A196" s="73"/>
      <c r="B196" s="73"/>
      <c r="C196" s="73"/>
      <c r="D196" s="73"/>
      <c r="E196" s="73"/>
      <c r="F196" s="73"/>
      <c r="G196" s="73"/>
      <c r="H196" s="73"/>
      <c r="I196" s="73"/>
      <c r="J196" s="73"/>
      <c r="K196" s="73"/>
      <c r="L196" s="73"/>
      <c r="M196" s="73"/>
      <c r="N196" s="73"/>
      <c r="O196" s="73"/>
      <c r="P196" s="73"/>
      <c r="Q196" s="73"/>
      <c r="R196" s="73"/>
    </row>
    <row r="197" spans="1:18" x14ac:dyDescent="0.35">
      <c r="A197" s="73"/>
      <c r="B197" s="73"/>
      <c r="C197" s="73"/>
      <c r="D197" s="73"/>
      <c r="E197" s="73"/>
      <c r="F197" s="73"/>
      <c r="G197" s="73"/>
      <c r="H197" s="73"/>
      <c r="I197" s="73"/>
      <c r="J197" s="73"/>
      <c r="K197" s="73"/>
      <c r="L197" s="73"/>
      <c r="M197" s="73"/>
      <c r="N197" s="73"/>
      <c r="O197" s="73"/>
      <c r="P197" s="73"/>
      <c r="Q197" s="73"/>
      <c r="R197" s="73"/>
    </row>
    <row r="198" spans="1:18" x14ac:dyDescent="0.35">
      <c r="A198" s="73"/>
      <c r="B198" s="73"/>
      <c r="C198" s="73"/>
      <c r="D198" s="73"/>
      <c r="E198" s="73"/>
      <c r="F198" s="73"/>
      <c r="G198" s="73"/>
      <c r="H198" s="73"/>
      <c r="I198" s="73"/>
      <c r="J198" s="73"/>
      <c r="K198" s="73"/>
      <c r="L198" s="73"/>
      <c r="M198" s="73"/>
      <c r="N198" s="73"/>
      <c r="O198" s="73"/>
      <c r="P198" s="73"/>
      <c r="Q198" s="73"/>
      <c r="R198" s="73"/>
    </row>
    <row r="199" spans="1:18" x14ac:dyDescent="0.35">
      <c r="A199" s="73"/>
      <c r="B199" s="73"/>
      <c r="C199" s="73"/>
      <c r="D199" s="73"/>
      <c r="E199" s="73"/>
      <c r="F199" s="73"/>
      <c r="G199" s="73"/>
      <c r="H199" s="73"/>
      <c r="I199" s="73"/>
      <c r="J199" s="73"/>
      <c r="K199" s="73"/>
      <c r="L199" s="73"/>
      <c r="M199" s="73"/>
      <c r="N199" s="73"/>
      <c r="O199" s="73"/>
      <c r="P199" s="73"/>
      <c r="Q199" s="73"/>
      <c r="R199" s="73"/>
    </row>
    <row r="200" spans="1:18" x14ac:dyDescent="0.35">
      <c r="A200" s="73"/>
      <c r="B200" s="73"/>
      <c r="C200" s="73"/>
      <c r="D200" s="73"/>
      <c r="E200" s="73"/>
      <c r="F200" s="73"/>
      <c r="G200" s="73"/>
      <c r="H200" s="73"/>
      <c r="I200" s="73"/>
      <c r="J200" s="73"/>
      <c r="K200" s="73"/>
      <c r="L200" s="73"/>
      <c r="M200" s="73"/>
      <c r="N200" s="73"/>
      <c r="O200" s="73"/>
      <c r="P200" s="73"/>
      <c r="Q200" s="73"/>
      <c r="R200" s="73"/>
    </row>
    <row r="201" spans="1:18" x14ac:dyDescent="0.35">
      <c r="A201" s="73"/>
      <c r="B201" s="73"/>
      <c r="C201" s="73"/>
      <c r="D201" s="73"/>
      <c r="E201" s="73"/>
      <c r="F201" s="73"/>
      <c r="G201" s="73"/>
      <c r="H201" s="73"/>
      <c r="I201" s="73"/>
      <c r="J201" s="73"/>
      <c r="K201" s="73"/>
      <c r="L201" s="73"/>
      <c r="M201" s="73"/>
      <c r="N201" s="73"/>
      <c r="O201" s="73"/>
      <c r="P201" s="73"/>
      <c r="Q201" s="73"/>
      <c r="R201" s="73"/>
    </row>
    <row r="202" spans="1:18" x14ac:dyDescent="0.35">
      <c r="A202" s="73"/>
      <c r="B202" s="73"/>
      <c r="C202" s="73"/>
      <c r="D202" s="73"/>
      <c r="E202" s="73"/>
      <c r="F202" s="73"/>
      <c r="G202" s="73"/>
      <c r="H202" s="73"/>
      <c r="I202" s="73"/>
      <c r="J202" s="73"/>
      <c r="K202" s="73"/>
      <c r="L202" s="73"/>
      <c r="M202" s="73"/>
      <c r="N202" s="73"/>
      <c r="O202" s="73"/>
      <c r="P202" s="73"/>
      <c r="Q202" s="73"/>
      <c r="R202" s="73"/>
    </row>
    <row r="203" spans="1:18" x14ac:dyDescent="0.35">
      <c r="A203" s="73"/>
      <c r="B203" s="73"/>
      <c r="C203" s="73"/>
      <c r="D203" s="73"/>
      <c r="E203" s="73"/>
      <c r="F203" s="73"/>
      <c r="G203" s="73"/>
      <c r="H203" s="73"/>
      <c r="I203" s="73"/>
      <c r="J203" s="73"/>
      <c r="K203" s="73"/>
      <c r="L203" s="73"/>
      <c r="M203" s="73"/>
      <c r="N203" s="73"/>
      <c r="O203" s="73"/>
      <c r="P203" s="73"/>
      <c r="Q203" s="73"/>
      <c r="R203" s="73"/>
    </row>
    <row r="204" spans="1:18" x14ac:dyDescent="0.35">
      <c r="A204" s="73"/>
      <c r="B204" s="73"/>
      <c r="C204" s="73"/>
      <c r="D204" s="73"/>
      <c r="E204" s="73"/>
      <c r="F204" s="73"/>
      <c r="G204" s="73"/>
      <c r="H204" s="73"/>
      <c r="I204" s="73"/>
      <c r="J204" s="73"/>
      <c r="K204" s="73"/>
      <c r="L204" s="73"/>
      <c r="M204" s="73"/>
      <c r="N204" s="73"/>
      <c r="O204" s="73"/>
      <c r="P204" s="73"/>
      <c r="Q204" s="73"/>
      <c r="R204" s="73"/>
    </row>
    <row r="205" spans="1:18" x14ac:dyDescent="0.35">
      <c r="A205" s="73"/>
      <c r="B205" s="73"/>
      <c r="C205" s="73"/>
      <c r="D205" s="73"/>
      <c r="E205" s="73"/>
      <c r="F205" s="73"/>
      <c r="G205" s="73"/>
      <c r="H205" s="73"/>
      <c r="I205" s="73"/>
      <c r="J205" s="73"/>
      <c r="K205" s="73"/>
      <c r="L205" s="73"/>
      <c r="M205" s="73"/>
      <c r="N205" s="73"/>
      <c r="O205" s="73"/>
      <c r="P205" s="73"/>
      <c r="Q205" s="73"/>
      <c r="R205" s="73"/>
    </row>
    <row r="206" spans="1:18" x14ac:dyDescent="0.35">
      <c r="A206" s="73"/>
      <c r="B206" s="73"/>
      <c r="C206" s="73"/>
      <c r="D206" s="73"/>
      <c r="E206" s="73"/>
      <c r="F206" s="73"/>
      <c r="G206" s="73"/>
      <c r="H206" s="73"/>
      <c r="I206" s="73"/>
      <c r="J206" s="73"/>
      <c r="K206" s="73"/>
      <c r="L206" s="73"/>
      <c r="M206" s="73"/>
      <c r="N206" s="73"/>
      <c r="O206" s="73"/>
      <c r="P206" s="73"/>
      <c r="Q206" s="73"/>
      <c r="R206" s="73"/>
    </row>
    <row r="207" spans="1:18" x14ac:dyDescent="0.35">
      <c r="A207" s="73"/>
      <c r="B207" s="73"/>
      <c r="C207" s="73"/>
      <c r="D207" s="73"/>
      <c r="E207" s="73"/>
      <c r="F207" s="73"/>
      <c r="G207" s="73"/>
      <c r="H207" s="73"/>
      <c r="I207" s="73"/>
      <c r="J207" s="73"/>
      <c r="K207" s="73"/>
      <c r="L207" s="73"/>
      <c r="M207" s="73"/>
      <c r="N207" s="73"/>
      <c r="O207" s="73"/>
      <c r="P207" s="73"/>
      <c r="Q207" s="73"/>
      <c r="R207" s="73"/>
    </row>
    <row r="208" spans="1:18" x14ac:dyDescent="0.35">
      <c r="A208" s="73"/>
      <c r="B208" s="73"/>
      <c r="C208" s="73"/>
      <c r="D208" s="73"/>
      <c r="E208" s="73"/>
      <c r="F208" s="73"/>
      <c r="G208" s="73"/>
      <c r="H208" s="73"/>
      <c r="I208" s="73"/>
      <c r="J208" s="73"/>
      <c r="K208" s="73"/>
      <c r="L208" s="73"/>
      <c r="M208" s="73"/>
      <c r="N208" s="73"/>
      <c r="O208" s="73"/>
      <c r="P208" s="73"/>
      <c r="Q208" s="73"/>
      <c r="R208" s="73"/>
    </row>
    <row r="209" spans="1:18" x14ac:dyDescent="0.35">
      <c r="A209" s="73"/>
      <c r="B209" s="73"/>
      <c r="C209" s="73"/>
      <c r="D209" s="73"/>
      <c r="E209" s="73"/>
      <c r="F209" s="73"/>
      <c r="G209" s="73"/>
      <c r="H209" s="73"/>
      <c r="I209" s="73"/>
      <c r="J209" s="73"/>
      <c r="K209" s="73"/>
      <c r="L209" s="73"/>
      <c r="M209" s="73"/>
      <c r="N209" s="73"/>
      <c r="O209" s="73"/>
      <c r="P209" s="73"/>
      <c r="Q209" s="73"/>
      <c r="R209" s="73"/>
    </row>
    <row r="210" spans="1:18" x14ac:dyDescent="0.35">
      <c r="A210" s="73"/>
      <c r="B210" s="73"/>
      <c r="C210" s="73"/>
      <c r="D210" s="73"/>
      <c r="E210" s="73"/>
      <c r="F210" s="73"/>
      <c r="G210" s="73"/>
      <c r="H210" s="73"/>
      <c r="I210" s="73"/>
      <c r="J210" s="73"/>
      <c r="K210" s="73"/>
      <c r="L210" s="73"/>
      <c r="M210" s="73"/>
      <c r="N210" s="73"/>
      <c r="O210" s="73"/>
      <c r="P210" s="73"/>
      <c r="Q210" s="73"/>
      <c r="R210" s="73"/>
    </row>
    <row r="211" spans="1:18" x14ac:dyDescent="0.35">
      <c r="A211" s="73"/>
      <c r="B211" s="73"/>
      <c r="C211" s="73"/>
      <c r="D211" s="73"/>
      <c r="E211" s="73"/>
      <c r="F211" s="73"/>
      <c r="G211" s="73"/>
      <c r="H211" s="73"/>
      <c r="I211" s="73"/>
      <c r="J211" s="73"/>
      <c r="K211" s="73"/>
      <c r="L211" s="73"/>
      <c r="M211" s="73"/>
      <c r="N211" s="73"/>
      <c r="O211" s="73"/>
      <c r="P211" s="73"/>
      <c r="Q211" s="73"/>
      <c r="R211" s="73"/>
    </row>
    <row r="212" spans="1:18" x14ac:dyDescent="0.35">
      <c r="A212" s="73"/>
      <c r="B212" s="73"/>
      <c r="C212" s="73"/>
      <c r="D212" s="73"/>
      <c r="E212" s="73"/>
      <c r="F212" s="73"/>
      <c r="G212" s="73"/>
      <c r="H212" s="73"/>
      <c r="I212" s="73"/>
      <c r="J212" s="73"/>
      <c r="K212" s="73"/>
      <c r="L212" s="73"/>
      <c r="M212" s="73"/>
      <c r="N212" s="73"/>
      <c r="O212" s="73"/>
      <c r="P212" s="73"/>
      <c r="Q212" s="73"/>
      <c r="R212" s="73"/>
    </row>
    <row r="213" spans="1:18" x14ac:dyDescent="0.35">
      <c r="A213" s="73"/>
      <c r="B213" s="73"/>
      <c r="C213" s="73"/>
      <c r="D213" s="73"/>
      <c r="E213" s="73"/>
      <c r="F213" s="73"/>
      <c r="G213" s="73"/>
      <c r="H213" s="73"/>
      <c r="I213" s="73"/>
      <c r="J213" s="73"/>
      <c r="K213" s="73"/>
      <c r="L213" s="73"/>
      <c r="M213" s="73"/>
      <c r="N213" s="73"/>
      <c r="O213" s="73"/>
      <c r="P213" s="73"/>
      <c r="Q213" s="73"/>
      <c r="R213" s="73"/>
    </row>
    <row r="214" spans="1:18" x14ac:dyDescent="0.35">
      <c r="A214" s="73"/>
      <c r="B214" s="73"/>
      <c r="C214" s="73"/>
      <c r="D214" s="73"/>
      <c r="E214" s="73"/>
      <c r="F214" s="73"/>
      <c r="G214" s="73"/>
      <c r="H214" s="73"/>
      <c r="I214" s="73"/>
      <c r="J214" s="73"/>
      <c r="K214" s="73"/>
      <c r="L214" s="73"/>
      <c r="M214" s="73"/>
      <c r="N214" s="73"/>
      <c r="O214" s="73"/>
      <c r="P214" s="73"/>
      <c r="Q214" s="73"/>
      <c r="R214" s="73"/>
    </row>
    <row r="215" spans="1:18" x14ac:dyDescent="0.35">
      <c r="A215" s="172"/>
      <c r="B215" s="172"/>
      <c r="C215" s="172"/>
      <c r="D215" s="172"/>
      <c r="E215" s="165"/>
      <c r="F215" s="165"/>
      <c r="G215" s="165"/>
      <c r="H215" s="165"/>
      <c r="I215" s="165"/>
      <c r="J215" s="172"/>
      <c r="K215" s="172"/>
      <c r="L215" s="172"/>
      <c r="M215" s="73"/>
      <c r="N215" s="73"/>
      <c r="O215" s="73"/>
      <c r="P215" s="73"/>
      <c r="Q215" s="73"/>
      <c r="R215" s="73"/>
    </row>
    <row r="216" spans="1:18" x14ac:dyDescent="0.35">
      <c r="A216" s="426"/>
      <c r="B216" s="427"/>
      <c r="C216" s="173" t="s">
        <v>44</v>
      </c>
      <c r="D216" s="184" t="s">
        <v>210</v>
      </c>
      <c r="E216" s="165"/>
      <c r="F216" s="165"/>
      <c r="G216" s="165"/>
      <c r="H216" s="165"/>
      <c r="I216" s="165"/>
      <c r="J216" s="172"/>
      <c r="K216" s="172"/>
      <c r="L216" s="172"/>
      <c r="M216" s="73"/>
      <c r="N216" s="73"/>
      <c r="O216" s="73"/>
      <c r="P216" s="73"/>
      <c r="Q216" s="73"/>
      <c r="R216" s="73"/>
    </row>
    <row r="217" spans="1:18" x14ac:dyDescent="0.35">
      <c r="A217" s="431" t="s">
        <v>214</v>
      </c>
      <c r="B217" s="432" t="str">
        <f>B183</f>
        <v>What is the probability that captive individuals will be successfully released into the wild, i.e. ≥ % of released individuals survive in the wild  months after release?</v>
      </c>
      <c r="C217" s="174" t="s">
        <v>45</v>
      </c>
      <c r="D217" s="181" t="str">
        <f>IF('4.3 Elicitation data entry'!$C$13="","",'4.3 Elicitation data entry'!$C$13)</f>
        <v/>
      </c>
      <c r="E217" s="166"/>
      <c r="F217" s="167"/>
      <c r="G217" s="168"/>
      <c r="H217" s="169"/>
      <c r="I217" s="167"/>
      <c r="J217" s="172"/>
      <c r="K217" s="172"/>
      <c r="L217" s="172"/>
      <c r="M217" s="73"/>
      <c r="N217" s="73"/>
      <c r="O217" s="73"/>
      <c r="P217" s="73"/>
      <c r="Q217" s="73"/>
      <c r="R217" s="73"/>
    </row>
    <row r="218" spans="1:18" x14ac:dyDescent="0.35">
      <c r="A218" s="431"/>
      <c r="B218" s="432"/>
      <c r="C218" s="174" t="s">
        <v>46</v>
      </c>
      <c r="D218" s="181" t="str">
        <f>IF('4.3 Elicitation data entry'!$D$13="","",'4.3 Elicitation data entry'!$D$13)</f>
        <v/>
      </c>
      <c r="E218" s="166"/>
      <c r="F218" s="167"/>
      <c r="G218" s="168"/>
      <c r="H218" s="169"/>
      <c r="I218" s="167"/>
      <c r="J218" s="172"/>
      <c r="K218" s="172"/>
      <c r="L218" s="172"/>
      <c r="M218" s="73"/>
      <c r="N218" s="73"/>
      <c r="O218" s="73"/>
      <c r="P218" s="73"/>
      <c r="Q218" s="73"/>
      <c r="R218" s="73"/>
    </row>
    <row r="219" spans="1:18" x14ac:dyDescent="0.35">
      <c r="A219" s="431"/>
      <c r="B219" s="432"/>
      <c r="C219" s="174" t="s">
        <v>47</v>
      </c>
      <c r="D219" s="181" t="str">
        <f>IF('4.3 Elicitation data entry'!$E$13="","",'4.3 Elicitation data entry'!$E$13)</f>
        <v/>
      </c>
      <c r="E219" s="166"/>
      <c r="F219" s="167"/>
      <c r="G219" s="168"/>
      <c r="H219" s="169"/>
      <c r="I219" s="167"/>
      <c r="J219" s="172"/>
      <c r="K219" s="172"/>
      <c r="L219" s="172"/>
      <c r="M219" s="73"/>
      <c r="N219" s="73"/>
      <c r="O219" s="73"/>
      <c r="P219" s="73"/>
      <c r="Q219" s="73"/>
      <c r="R219" s="73"/>
    </row>
    <row r="220" spans="1:18" x14ac:dyDescent="0.35">
      <c r="A220" s="431"/>
      <c r="B220" s="432"/>
      <c r="C220" s="174" t="s">
        <v>48</v>
      </c>
      <c r="D220" s="181" t="str">
        <f>IF('4.3 Elicitation data entry'!$F$13="","",'4.3 Elicitation data entry'!$F$13)</f>
        <v/>
      </c>
      <c r="E220" s="166"/>
      <c r="F220" s="167"/>
      <c r="G220" s="168"/>
      <c r="H220" s="169"/>
      <c r="I220" s="167"/>
      <c r="J220" s="172"/>
      <c r="K220" s="172"/>
      <c r="L220" s="172"/>
      <c r="M220" s="73"/>
      <c r="N220" s="73"/>
      <c r="O220" s="73"/>
      <c r="P220" s="73"/>
      <c r="Q220" s="73"/>
      <c r="R220" s="73"/>
    </row>
    <row r="221" spans="1:18" x14ac:dyDescent="0.35">
      <c r="A221" s="431"/>
      <c r="B221" s="432"/>
      <c r="C221" s="174" t="s">
        <v>49</v>
      </c>
      <c r="D221" s="181" t="str">
        <f>IF('4.3 Elicitation data entry'!$G$13="","",'4.3 Elicitation data entry'!$G$13)</f>
        <v/>
      </c>
      <c r="E221" s="166"/>
      <c r="F221" s="167"/>
      <c r="G221" s="168"/>
      <c r="H221" s="169"/>
      <c r="I221" s="167"/>
      <c r="J221" s="172"/>
      <c r="K221" s="172"/>
      <c r="L221" s="172"/>
      <c r="M221" s="73"/>
      <c r="N221" s="73"/>
      <c r="O221" s="73"/>
      <c r="P221" s="73"/>
      <c r="Q221" s="73"/>
      <c r="R221" s="73"/>
    </row>
    <row r="222" spans="1:18" x14ac:dyDescent="0.35">
      <c r="A222" s="431"/>
      <c r="B222" s="432"/>
      <c r="C222" s="174" t="s">
        <v>50</v>
      </c>
      <c r="D222" s="181" t="str">
        <f>IF('4.3 Elicitation data entry'!$H$13="","",'4.3 Elicitation data entry'!$H$13)</f>
        <v/>
      </c>
      <c r="E222" s="166"/>
      <c r="F222" s="167"/>
      <c r="G222" s="168"/>
      <c r="H222" s="169"/>
      <c r="I222" s="167"/>
      <c r="J222" s="172"/>
      <c r="K222" s="172"/>
      <c r="L222" s="172"/>
      <c r="M222" s="73"/>
      <c r="N222" s="73"/>
      <c r="O222" s="73"/>
      <c r="P222" s="73"/>
      <c r="Q222" s="73"/>
      <c r="R222" s="73"/>
    </row>
    <row r="223" spans="1:18" x14ac:dyDescent="0.35">
      <c r="A223" s="175"/>
      <c r="B223" s="176" t="s">
        <v>51</v>
      </c>
      <c r="C223" s="177" t="s">
        <v>52</v>
      </c>
      <c r="D223" s="182" t="e">
        <f>AVERAGE(D217:D222)</f>
        <v>#DIV/0!</v>
      </c>
      <c r="E223" s="170"/>
      <c r="F223" s="171"/>
      <c r="G223" s="171"/>
      <c r="H223" s="169"/>
      <c r="I223" s="167"/>
      <c r="J223" s="172"/>
      <c r="K223" s="172"/>
      <c r="L223" s="172"/>
      <c r="M223" s="73"/>
      <c r="N223" s="73"/>
      <c r="O223" s="73"/>
      <c r="P223" s="73"/>
      <c r="Q223" s="73"/>
      <c r="R223" s="73"/>
    </row>
    <row r="224" spans="1:18" x14ac:dyDescent="0.35">
      <c r="A224" s="178"/>
      <c r="B224" s="179"/>
      <c r="C224" s="180" t="s">
        <v>53</v>
      </c>
      <c r="D224" s="183" t="e">
        <f>STDEV(D217:D222)/SQRT(COUNT(D217:D222))</f>
        <v>#DIV/0!</v>
      </c>
      <c r="E224" s="170"/>
      <c r="F224" s="171"/>
      <c r="G224" s="171"/>
      <c r="H224" s="171"/>
      <c r="I224" s="171"/>
      <c r="J224" s="172"/>
      <c r="K224" s="172"/>
      <c r="L224" s="172"/>
      <c r="M224" s="73"/>
      <c r="N224" s="73"/>
      <c r="O224" s="73"/>
      <c r="P224" s="73"/>
      <c r="Q224" s="73"/>
      <c r="R224" s="73"/>
    </row>
    <row r="225" spans="1:18" x14ac:dyDescent="0.35">
      <c r="A225" s="22"/>
      <c r="B225" s="21"/>
      <c r="C225" s="21"/>
      <c r="D225" s="21"/>
      <c r="E225" s="21"/>
      <c r="F225" s="21"/>
      <c r="G225" s="73"/>
      <c r="H225" s="73"/>
      <c r="I225" s="73"/>
      <c r="J225" s="73"/>
      <c r="K225" s="73"/>
      <c r="L225" s="73"/>
      <c r="M225" s="73"/>
      <c r="N225" s="73"/>
      <c r="O225" s="73"/>
      <c r="P225" s="73"/>
      <c r="Q225" s="73"/>
      <c r="R225" s="73"/>
    </row>
    <row r="226" spans="1:18" x14ac:dyDescent="0.35">
      <c r="A226" s="22"/>
      <c r="B226" s="21"/>
      <c r="C226" s="21"/>
      <c r="D226" s="21"/>
      <c r="E226" s="21"/>
      <c r="F226" s="21"/>
      <c r="G226" s="73"/>
      <c r="H226" s="73"/>
      <c r="I226" s="73"/>
      <c r="J226" s="73"/>
      <c r="K226" s="73"/>
      <c r="L226" s="73"/>
      <c r="M226" s="73"/>
      <c r="N226" s="73"/>
      <c r="O226" s="73"/>
      <c r="P226" s="73"/>
      <c r="Q226" s="73"/>
      <c r="R226" s="73"/>
    </row>
    <row r="227" spans="1:18" x14ac:dyDescent="0.35">
      <c r="A227" s="22"/>
      <c r="B227" s="21"/>
      <c r="C227" s="21"/>
      <c r="D227" s="21"/>
      <c r="E227" s="21"/>
      <c r="F227" s="21"/>
      <c r="G227" s="73"/>
      <c r="H227" s="73"/>
      <c r="I227" s="73"/>
      <c r="J227" s="73"/>
      <c r="K227" s="73"/>
      <c r="L227" s="73"/>
      <c r="M227" s="73"/>
      <c r="N227" s="73"/>
      <c r="O227" s="73"/>
      <c r="P227" s="73"/>
      <c r="Q227" s="73"/>
      <c r="R227" s="73"/>
    </row>
    <row r="228" spans="1:18" x14ac:dyDescent="0.35">
      <c r="A228" s="22"/>
      <c r="B228" s="21"/>
      <c r="C228" s="21"/>
      <c r="D228" s="21"/>
      <c r="E228" s="21"/>
      <c r="F228" s="21"/>
      <c r="G228" s="73"/>
      <c r="H228" s="73"/>
      <c r="I228" s="73"/>
      <c r="J228" s="73"/>
      <c r="K228" s="73"/>
      <c r="L228" s="73"/>
      <c r="M228" s="73"/>
      <c r="N228" s="73"/>
      <c r="O228" s="73"/>
      <c r="P228" s="73"/>
      <c r="Q228" s="73"/>
      <c r="R228" s="73"/>
    </row>
    <row r="229" spans="1:18" x14ac:dyDescent="0.35">
      <c r="A229" s="22"/>
      <c r="B229" s="21"/>
      <c r="C229" s="21"/>
      <c r="D229" s="21"/>
      <c r="E229" s="21"/>
      <c r="F229" s="21"/>
      <c r="G229" s="73"/>
      <c r="H229" s="73"/>
      <c r="I229" s="73"/>
      <c r="J229" s="73"/>
      <c r="K229" s="73"/>
      <c r="L229" s="73"/>
      <c r="M229" s="73"/>
      <c r="N229" s="73"/>
      <c r="O229" s="73"/>
      <c r="P229" s="73"/>
      <c r="Q229" s="73"/>
      <c r="R229" s="73"/>
    </row>
    <row r="230" spans="1:18" x14ac:dyDescent="0.35">
      <c r="A230" s="22"/>
      <c r="B230" s="21"/>
      <c r="C230" s="21"/>
      <c r="D230" s="21"/>
      <c r="E230" s="21"/>
      <c r="F230" s="21"/>
      <c r="G230" s="73"/>
      <c r="H230" s="73"/>
      <c r="I230" s="73"/>
      <c r="J230" s="73"/>
      <c r="K230" s="73"/>
      <c r="L230" s="73"/>
      <c r="M230" s="73"/>
      <c r="N230" s="73"/>
      <c r="O230" s="73"/>
      <c r="P230" s="73"/>
      <c r="Q230" s="73"/>
      <c r="R230" s="73"/>
    </row>
    <row r="231" spans="1:18" x14ac:dyDescent="0.35">
      <c r="G231" s="73"/>
      <c r="H231" s="73"/>
      <c r="I231" s="73"/>
      <c r="J231" s="73"/>
      <c r="K231" s="73"/>
      <c r="L231" s="73"/>
      <c r="M231" s="73"/>
      <c r="N231" s="73"/>
      <c r="O231" s="73"/>
      <c r="P231" s="73"/>
      <c r="Q231" s="73"/>
      <c r="R231" s="73"/>
    </row>
  </sheetData>
  <mergeCells count="20">
    <mergeCell ref="A217:A222"/>
    <mergeCell ref="B217:B222"/>
    <mergeCell ref="B138:K138"/>
    <mergeCell ref="A171:B171"/>
    <mergeCell ref="A172:A177"/>
    <mergeCell ref="B172:B177"/>
    <mergeCell ref="B183:K183"/>
    <mergeCell ref="A216:B216"/>
    <mergeCell ref="A82:A87"/>
    <mergeCell ref="B82:B87"/>
    <mergeCell ref="B93:K93"/>
    <mergeCell ref="A126:B126"/>
    <mergeCell ref="A127:A132"/>
    <mergeCell ref="B127:B132"/>
    <mergeCell ref="A81:B81"/>
    <mergeCell ref="B3:K3"/>
    <mergeCell ref="A36:B36"/>
    <mergeCell ref="A37:A42"/>
    <mergeCell ref="B37:B42"/>
    <mergeCell ref="B48:K4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622"/>
  <sheetViews>
    <sheetView zoomScaleNormal="100" workbookViewId="0"/>
  </sheetViews>
  <sheetFormatPr defaultRowHeight="14.5" x14ac:dyDescent="0.35"/>
  <cols>
    <col min="1" max="1" width="10.1796875" style="23" customWidth="1"/>
    <col min="2" max="2" width="62.26953125" customWidth="1"/>
    <col min="3" max="3" width="11.453125" customWidth="1"/>
    <col min="4" max="6" width="13.54296875" customWidth="1"/>
    <col min="7" max="7" width="14.453125" style="8" customWidth="1"/>
    <col min="8" max="8" width="13" style="8" customWidth="1"/>
    <col min="9" max="9" width="13.54296875" style="21" customWidth="1"/>
    <col min="10" max="11" width="13.26953125" style="21" customWidth="1"/>
  </cols>
  <sheetData>
    <row r="1" spans="1:18" ht="18.5" x14ac:dyDescent="0.45">
      <c r="A1" s="199"/>
      <c r="B1" s="265" t="s">
        <v>242</v>
      </c>
      <c r="C1" s="73"/>
      <c r="D1" s="73"/>
      <c r="E1" s="73"/>
      <c r="F1" s="73"/>
      <c r="G1" s="73"/>
      <c r="H1" s="73"/>
      <c r="I1" s="73"/>
      <c r="J1" s="73"/>
      <c r="K1" s="73"/>
      <c r="L1" s="73"/>
      <c r="M1" s="73"/>
      <c r="N1" s="73"/>
      <c r="O1" s="73"/>
      <c r="P1" s="73"/>
      <c r="Q1" s="73"/>
      <c r="R1" s="73"/>
    </row>
    <row r="2" spans="1:18" x14ac:dyDescent="0.35">
      <c r="A2" s="199"/>
      <c r="B2" s="73"/>
      <c r="C2" s="73"/>
      <c r="D2" s="73"/>
      <c r="E2" s="73"/>
      <c r="F2" s="73"/>
      <c r="G2" s="73"/>
      <c r="H2" s="73"/>
      <c r="I2" s="73"/>
      <c r="J2" s="73"/>
      <c r="K2" s="73"/>
      <c r="L2" s="73"/>
      <c r="M2" s="73"/>
      <c r="N2" s="73"/>
      <c r="O2" s="73"/>
      <c r="P2" s="73"/>
      <c r="Q2" s="73"/>
      <c r="R2" s="73"/>
    </row>
    <row r="3" spans="1:18" ht="35.25" customHeight="1" x14ac:dyDescent="0.35">
      <c r="A3" s="164" t="s">
        <v>219</v>
      </c>
      <c r="B3" s="428" t="s">
        <v>120</v>
      </c>
      <c r="C3" s="429"/>
      <c r="D3" s="429"/>
      <c r="E3" s="429"/>
      <c r="F3" s="429"/>
      <c r="G3" s="429"/>
      <c r="H3" s="429"/>
      <c r="I3" s="429"/>
      <c r="J3" s="429"/>
      <c r="K3" s="430"/>
      <c r="L3" s="73"/>
      <c r="M3" s="73"/>
      <c r="N3" s="73"/>
      <c r="O3" s="73"/>
      <c r="P3" s="73"/>
      <c r="Q3" s="73"/>
      <c r="R3" s="73"/>
    </row>
    <row r="4" spans="1:18" x14ac:dyDescent="0.35">
      <c r="A4" s="73"/>
      <c r="B4" s="73"/>
      <c r="C4" s="73"/>
      <c r="D4" s="73"/>
      <c r="E4" s="73"/>
      <c r="F4" s="73"/>
      <c r="G4" s="73"/>
      <c r="H4" s="73"/>
      <c r="I4" s="73"/>
      <c r="J4" s="73"/>
      <c r="K4" s="73"/>
      <c r="L4" s="73"/>
      <c r="M4" s="73"/>
      <c r="N4" s="73"/>
      <c r="O4" s="73"/>
      <c r="P4" s="73"/>
      <c r="Q4" s="73"/>
      <c r="R4" s="73"/>
    </row>
    <row r="5" spans="1:18" x14ac:dyDescent="0.35">
      <c r="A5" s="73"/>
      <c r="B5" s="73"/>
      <c r="C5" s="73"/>
      <c r="D5" s="73"/>
      <c r="E5" s="73"/>
      <c r="F5" s="73"/>
      <c r="G5" s="73"/>
      <c r="H5" s="73"/>
      <c r="I5" s="73"/>
      <c r="J5" s="73"/>
      <c r="K5" s="73"/>
      <c r="L5" s="73"/>
      <c r="M5" s="73"/>
      <c r="N5" s="73"/>
      <c r="O5" s="73"/>
      <c r="P5" s="73"/>
      <c r="Q5" s="73"/>
      <c r="R5" s="73"/>
    </row>
    <row r="6" spans="1:18" x14ac:dyDescent="0.35">
      <c r="A6" s="73"/>
      <c r="B6" s="73"/>
      <c r="C6" s="73"/>
      <c r="D6" s="73"/>
      <c r="E6" s="73"/>
      <c r="F6" s="73"/>
      <c r="G6" s="73"/>
      <c r="H6" s="73"/>
      <c r="I6" s="73"/>
      <c r="J6" s="73"/>
      <c r="K6" s="73"/>
      <c r="L6" s="73"/>
      <c r="M6" s="73"/>
      <c r="N6" s="73"/>
      <c r="O6" s="73"/>
      <c r="P6" s="73"/>
      <c r="Q6" s="73"/>
      <c r="R6" s="73"/>
    </row>
    <row r="7" spans="1:18" x14ac:dyDescent="0.35">
      <c r="A7" s="73"/>
      <c r="B7" s="73"/>
      <c r="C7" s="73"/>
      <c r="D7" s="73"/>
      <c r="E7" s="73"/>
      <c r="F7" s="73"/>
      <c r="G7" s="73"/>
      <c r="H7" s="73"/>
      <c r="I7" s="73"/>
      <c r="J7" s="73"/>
      <c r="K7" s="73"/>
      <c r="L7" s="73"/>
      <c r="M7" s="73"/>
      <c r="N7" s="73"/>
      <c r="O7" s="73"/>
      <c r="P7" s="73"/>
      <c r="Q7" s="73"/>
      <c r="R7" s="73"/>
    </row>
    <row r="8" spans="1:18" x14ac:dyDescent="0.35">
      <c r="A8" s="73"/>
      <c r="B8" s="73"/>
      <c r="C8" s="73"/>
      <c r="D8" s="73"/>
      <c r="E8" s="73"/>
      <c r="F8" s="73"/>
      <c r="G8" s="73"/>
      <c r="H8" s="73"/>
      <c r="I8" s="73"/>
      <c r="J8" s="73"/>
      <c r="K8" s="73"/>
      <c r="L8" s="73"/>
      <c r="M8" s="73"/>
      <c r="N8" s="73"/>
      <c r="O8" s="73"/>
      <c r="P8" s="73"/>
      <c r="Q8" s="73"/>
      <c r="R8" s="73"/>
    </row>
    <row r="9" spans="1:18" x14ac:dyDescent="0.35">
      <c r="A9" s="73"/>
      <c r="B9" s="73"/>
      <c r="C9" s="73"/>
      <c r="D9" s="73"/>
      <c r="E9" s="73"/>
      <c r="F9" s="73"/>
      <c r="G9" s="73"/>
      <c r="H9" s="73"/>
      <c r="I9" s="73"/>
      <c r="J9" s="73"/>
      <c r="K9" s="73"/>
      <c r="L9" s="73"/>
      <c r="M9" s="73"/>
      <c r="N9" s="73"/>
      <c r="O9" s="73"/>
      <c r="P9" s="73"/>
      <c r="Q9" s="73"/>
      <c r="R9" s="73"/>
    </row>
    <row r="10" spans="1:18" x14ac:dyDescent="0.35">
      <c r="A10" s="73"/>
      <c r="B10" s="73"/>
      <c r="C10" s="73"/>
      <c r="D10" s="73"/>
      <c r="E10" s="73"/>
      <c r="F10" s="73"/>
      <c r="G10" s="73"/>
      <c r="H10" s="73"/>
      <c r="I10" s="73"/>
      <c r="J10" s="73"/>
      <c r="K10" s="73"/>
      <c r="L10" s="73"/>
      <c r="M10" s="73"/>
      <c r="N10" s="73"/>
      <c r="O10" s="73"/>
      <c r="P10" s="73"/>
      <c r="Q10" s="73"/>
      <c r="R10" s="73"/>
    </row>
    <row r="11" spans="1:18" x14ac:dyDescent="0.35">
      <c r="A11" s="73"/>
      <c r="B11" s="73"/>
      <c r="C11" s="73"/>
      <c r="D11" s="73"/>
      <c r="E11" s="73"/>
      <c r="F11" s="73"/>
      <c r="G11" s="73"/>
      <c r="H11" s="73"/>
      <c r="I11" s="73"/>
      <c r="J11" s="73"/>
      <c r="K11" s="73"/>
      <c r="L11" s="73"/>
      <c r="M11" s="73"/>
      <c r="N11" s="73"/>
      <c r="O11" s="73"/>
      <c r="P11" s="73"/>
      <c r="Q11" s="73"/>
      <c r="R11" s="73"/>
    </row>
    <row r="12" spans="1:18" x14ac:dyDescent="0.35">
      <c r="A12" s="73"/>
      <c r="B12" s="73"/>
      <c r="C12" s="73"/>
      <c r="D12" s="73"/>
      <c r="E12" s="73"/>
      <c r="F12" s="73"/>
      <c r="G12" s="73"/>
      <c r="H12" s="73"/>
      <c r="I12" s="73"/>
      <c r="J12" s="73"/>
      <c r="K12" s="73"/>
      <c r="L12" s="73"/>
      <c r="M12" s="73"/>
      <c r="N12" s="73"/>
      <c r="O12" s="73"/>
      <c r="P12" s="73"/>
      <c r="Q12" s="73"/>
      <c r="R12" s="73"/>
    </row>
    <row r="13" spans="1:18" x14ac:dyDescent="0.35">
      <c r="A13" s="73"/>
      <c r="B13" s="73"/>
      <c r="C13" s="73"/>
      <c r="D13" s="73"/>
      <c r="E13" s="73"/>
      <c r="F13" s="73"/>
      <c r="G13" s="73"/>
      <c r="H13" s="73"/>
      <c r="I13" s="73"/>
      <c r="J13" s="73"/>
      <c r="K13" s="73"/>
      <c r="L13" s="73"/>
      <c r="M13" s="73"/>
      <c r="N13" s="73"/>
      <c r="O13" s="73"/>
      <c r="P13" s="73"/>
      <c r="Q13" s="73"/>
      <c r="R13" s="73"/>
    </row>
    <row r="14" spans="1:18" x14ac:dyDescent="0.35">
      <c r="A14" s="73"/>
      <c r="B14" s="73"/>
      <c r="C14" s="73"/>
      <c r="D14" s="73"/>
      <c r="E14" s="73"/>
      <c r="F14" s="73"/>
      <c r="G14" s="73"/>
      <c r="H14" s="73"/>
      <c r="I14" s="73"/>
      <c r="J14" s="73"/>
      <c r="K14" s="73"/>
      <c r="L14" s="73"/>
      <c r="M14" s="73"/>
      <c r="N14" s="73"/>
      <c r="O14" s="73"/>
      <c r="P14" s="73"/>
      <c r="Q14" s="73"/>
      <c r="R14" s="73"/>
    </row>
    <row r="15" spans="1:18" x14ac:dyDescent="0.35">
      <c r="A15" s="73"/>
      <c r="B15" s="73"/>
      <c r="C15" s="73"/>
      <c r="D15" s="73"/>
      <c r="E15" s="73"/>
      <c r="F15" s="73"/>
      <c r="G15" s="73"/>
      <c r="H15" s="73"/>
      <c r="I15" s="73"/>
      <c r="J15" s="73"/>
      <c r="K15" s="73"/>
      <c r="L15" s="73"/>
      <c r="M15" s="73"/>
      <c r="N15" s="73"/>
      <c r="O15" s="73"/>
      <c r="P15" s="73"/>
      <c r="Q15" s="73"/>
      <c r="R15" s="73"/>
    </row>
    <row r="16" spans="1:18" x14ac:dyDescent="0.35">
      <c r="A16" s="73"/>
      <c r="B16" s="73"/>
      <c r="C16" s="73"/>
      <c r="D16" s="73"/>
      <c r="E16" s="73"/>
      <c r="F16" s="73"/>
      <c r="G16" s="73"/>
      <c r="H16" s="73"/>
      <c r="I16" s="73"/>
      <c r="J16" s="73"/>
      <c r="K16" s="73"/>
      <c r="L16" s="73"/>
      <c r="M16" s="73"/>
      <c r="N16" s="73"/>
      <c r="O16" s="73"/>
      <c r="P16" s="73"/>
      <c r="Q16" s="73"/>
      <c r="R16" s="73"/>
    </row>
    <row r="17" spans="1:18" x14ac:dyDescent="0.35">
      <c r="A17" s="73"/>
      <c r="B17" s="73"/>
      <c r="C17" s="73"/>
      <c r="D17" s="73"/>
      <c r="E17" s="73"/>
      <c r="F17" s="73"/>
      <c r="G17" s="73"/>
      <c r="H17" s="73"/>
      <c r="I17" s="73"/>
      <c r="J17" s="73"/>
      <c r="K17" s="73"/>
      <c r="L17" s="73"/>
      <c r="M17" s="73"/>
      <c r="N17" s="73"/>
      <c r="O17" s="73"/>
      <c r="P17" s="73"/>
      <c r="Q17" s="73"/>
      <c r="R17" s="73"/>
    </row>
    <row r="18" spans="1:18" x14ac:dyDescent="0.35">
      <c r="A18" s="73"/>
      <c r="B18" s="73"/>
      <c r="C18" s="73"/>
      <c r="D18" s="73"/>
      <c r="E18" s="73"/>
      <c r="F18" s="73"/>
      <c r="G18" s="73"/>
      <c r="H18" s="73"/>
      <c r="I18" s="73"/>
      <c r="J18" s="73"/>
      <c r="K18" s="73"/>
      <c r="L18" s="73"/>
      <c r="M18" s="73"/>
      <c r="N18" s="73"/>
      <c r="O18" s="73"/>
      <c r="P18" s="73"/>
      <c r="Q18" s="73"/>
      <c r="R18" s="73"/>
    </row>
    <row r="19" spans="1:18" x14ac:dyDescent="0.35">
      <c r="A19" s="73"/>
      <c r="B19" s="73"/>
      <c r="C19" s="73"/>
      <c r="D19" s="73"/>
      <c r="E19" s="73"/>
      <c r="F19" s="73"/>
      <c r="G19" s="73"/>
      <c r="H19" s="73"/>
      <c r="I19" s="73"/>
      <c r="J19" s="73"/>
      <c r="K19" s="73"/>
      <c r="L19" s="73"/>
      <c r="M19" s="73"/>
      <c r="N19" s="73"/>
      <c r="O19" s="73"/>
      <c r="P19" s="73"/>
      <c r="Q19" s="73"/>
      <c r="R19" s="73"/>
    </row>
    <row r="20" spans="1:18" x14ac:dyDescent="0.35">
      <c r="A20" s="73"/>
      <c r="B20" s="73"/>
      <c r="C20" s="73"/>
      <c r="D20" s="73"/>
      <c r="E20" s="73"/>
      <c r="F20" s="73"/>
      <c r="G20" s="73"/>
      <c r="H20" s="73"/>
      <c r="I20" s="73"/>
      <c r="J20" s="73"/>
      <c r="K20" s="73"/>
      <c r="L20" s="73"/>
      <c r="M20" s="73"/>
      <c r="N20" s="73"/>
      <c r="O20" s="73"/>
      <c r="P20" s="73"/>
      <c r="Q20" s="73"/>
      <c r="R20" s="73"/>
    </row>
    <row r="21" spans="1:18" x14ac:dyDescent="0.35">
      <c r="A21" s="73"/>
      <c r="B21" s="73"/>
      <c r="C21" s="73"/>
      <c r="D21" s="73"/>
      <c r="E21" s="73"/>
      <c r="F21" s="73"/>
      <c r="G21" s="73"/>
      <c r="H21" s="73"/>
      <c r="I21" s="73"/>
      <c r="J21" s="73"/>
      <c r="K21" s="73"/>
      <c r="L21" s="73"/>
      <c r="M21" s="73"/>
      <c r="N21" s="73"/>
      <c r="O21" s="73"/>
      <c r="P21" s="73"/>
      <c r="Q21" s="73"/>
      <c r="R21" s="73"/>
    </row>
    <row r="22" spans="1:18" x14ac:dyDescent="0.35">
      <c r="A22" s="73"/>
      <c r="B22" s="73"/>
      <c r="C22" s="73"/>
      <c r="D22" s="73"/>
      <c r="E22" s="73"/>
      <c r="F22" s="73"/>
      <c r="G22" s="73"/>
      <c r="H22" s="73"/>
      <c r="I22" s="73"/>
      <c r="J22" s="73"/>
      <c r="K22" s="73"/>
      <c r="L22" s="73"/>
      <c r="M22" s="73"/>
      <c r="N22" s="73"/>
      <c r="O22" s="73"/>
      <c r="P22" s="73"/>
      <c r="Q22" s="73"/>
      <c r="R22" s="73"/>
    </row>
    <row r="23" spans="1:18" x14ac:dyDescent="0.35">
      <c r="A23" s="73"/>
      <c r="B23" s="73"/>
      <c r="C23" s="73"/>
      <c r="D23" s="73"/>
      <c r="E23" s="73"/>
      <c r="F23" s="73"/>
      <c r="G23" s="73"/>
      <c r="H23" s="73"/>
      <c r="I23" s="73"/>
      <c r="J23" s="73"/>
      <c r="K23" s="73"/>
      <c r="L23" s="73"/>
      <c r="M23" s="73"/>
      <c r="N23" s="73"/>
      <c r="O23" s="73"/>
      <c r="P23" s="73"/>
      <c r="Q23" s="73"/>
      <c r="R23" s="73"/>
    </row>
    <row r="24" spans="1:18" x14ac:dyDescent="0.35">
      <c r="A24" s="73"/>
      <c r="B24" s="73"/>
      <c r="C24" s="73"/>
      <c r="D24" s="73"/>
      <c r="E24" s="73"/>
      <c r="F24" s="73"/>
      <c r="G24" s="73"/>
      <c r="H24" s="73"/>
      <c r="I24" s="73"/>
      <c r="J24" s="73"/>
      <c r="K24" s="73"/>
      <c r="L24" s="73"/>
      <c r="M24" s="73"/>
      <c r="N24" s="73"/>
      <c r="O24" s="73"/>
      <c r="P24" s="73"/>
      <c r="Q24" s="73"/>
      <c r="R24" s="73"/>
    </row>
    <row r="25" spans="1:18" x14ac:dyDescent="0.35">
      <c r="A25" s="73"/>
      <c r="B25" s="73"/>
      <c r="C25" s="73"/>
      <c r="D25" s="73"/>
      <c r="E25" s="73"/>
      <c r="F25" s="73"/>
      <c r="G25" s="73"/>
      <c r="H25" s="73"/>
      <c r="I25" s="73"/>
      <c r="J25" s="73"/>
      <c r="K25" s="73"/>
      <c r="L25" s="73"/>
      <c r="M25" s="73"/>
      <c r="N25" s="73"/>
      <c r="O25" s="73"/>
      <c r="P25" s="73"/>
      <c r="Q25" s="73"/>
      <c r="R25" s="73"/>
    </row>
    <row r="26" spans="1:18" x14ac:dyDescent="0.35">
      <c r="A26" s="73"/>
      <c r="B26" s="73"/>
      <c r="C26" s="73"/>
      <c r="D26" s="73"/>
      <c r="E26" s="73"/>
      <c r="F26" s="73"/>
      <c r="G26" s="73"/>
      <c r="H26" s="73"/>
      <c r="I26" s="73"/>
      <c r="J26" s="73"/>
      <c r="K26" s="73"/>
      <c r="L26" s="73"/>
      <c r="M26" s="73"/>
      <c r="N26" s="73"/>
      <c r="O26" s="73"/>
      <c r="P26" s="73"/>
      <c r="Q26" s="73"/>
      <c r="R26" s="73"/>
    </row>
    <row r="27" spans="1:18" x14ac:dyDescent="0.35">
      <c r="A27" s="73"/>
      <c r="B27" s="73"/>
      <c r="C27" s="73"/>
      <c r="D27" s="73"/>
      <c r="E27" s="73"/>
      <c r="F27" s="73"/>
      <c r="G27" s="73"/>
      <c r="H27" s="73"/>
      <c r="I27" s="73"/>
      <c r="J27" s="73"/>
      <c r="K27" s="73"/>
      <c r="L27" s="73"/>
      <c r="M27" s="73"/>
      <c r="N27" s="73"/>
      <c r="O27" s="73"/>
      <c r="P27" s="73"/>
      <c r="Q27" s="73"/>
      <c r="R27" s="73"/>
    </row>
    <row r="28" spans="1:18" x14ac:dyDescent="0.35">
      <c r="A28" s="73"/>
      <c r="B28" s="73"/>
      <c r="C28" s="73"/>
      <c r="D28" s="73"/>
      <c r="E28" s="73"/>
      <c r="F28" s="73"/>
      <c r="G28" s="73"/>
      <c r="H28" s="73"/>
      <c r="I28" s="73"/>
      <c r="J28" s="73"/>
      <c r="K28" s="73"/>
      <c r="L28" s="73"/>
      <c r="M28" s="73"/>
      <c r="N28" s="73"/>
      <c r="O28" s="73"/>
      <c r="P28" s="73"/>
      <c r="Q28" s="73"/>
      <c r="R28" s="73"/>
    </row>
    <row r="29" spans="1:18" x14ac:dyDescent="0.35">
      <c r="A29" s="73"/>
      <c r="B29" s="73"/>
      <c r="C29" s="73"/>
      <c r="D29" s="73"/>
      <c r="E29" s="73"/>
      <c r="F29" s="73"/>
      <c r="G29" s="73"/>
      <c r="H29" s="73"/>
      <c r="I29" s="73"/>
      <c r="J29" s="73"/>
      <c r="K29" s="73"/>
      <c r="L29" s="73"/>
      <c r="M29" s="73"/>
      <c r="N29" s="73"/>
      <c r="O29" s="73"/>
      <c r="P29" s="73"/>
      <c r="Q29" s="73"/>
      <c r="R29" s="73"/>
    </row>
    <row r="30" spans="1:18" x14ac:dyDescent="0.35">
      <c r="A30" s="73"/>
      <c r="B30" s="73"/>
      <c r="C30" s="73"/>
      <c r="D30" s="73"/>
      <c r="E30" s="73"/>
      <c r="F30" s="73"/>
      <c r="G30" s="73"/>
      <c r="H30" s="73"/>
      <c r="I30" s="73"/>
      <c r="J30" s="73"/>
      <c r="K30" s="73"/>
      <c r="L30" s="73"/>
      <c r="M30" s="73"/>
      <c r="N30" s="73"/>
      <c r="O30" s="73"/>
      <c r="P30" s="73"/>
      <c r="Q30" s="73"/>
      <c r="R30" s="73"/>
    </row>
    <row r="31" spans="1:18" x14ac:dyDescent="0.35">
      <c r="A31" s="73"/>
      <c r="B31" s="73"/>
      <c r="C31" s="73"/>
      <c r="D31" s="73"/>
      <c r="E31" s="73"/>
      <c r="F31" s="73"/>
      <c r="G31" s="73"/>
      <c r="H31" s="73"/>
      <c r="I31" s="73"/>
      <c r="J31" s="73"/>
      <c r="K31" s="73"/>
      <c r="L31" s="73"/>
      <c r="M31" s="73"/>
      <c r="N31" s="73"/>
      <c r="O31" s="73"/>
      <c r="P31" s="73"/>
      <c r="Q31" s="73"/>
      <c r="R31" s="73"/>
    </row>
    <row r="32" spans="1:18" x14ac:dyDescent="0.35">
      <c r="A32" s="73"/>
      <c r="B32" s="73"/>
      <c r="C32" s="73"/>
      <c r="D32" s="73"/>
      <c r="E32" s="73"/>
      <c r="F32" s="73"/>
      <c r="G32" s="73"/>
      <c r="H32" s="73"/>
      <c r="I32" s="73"/>
      <c r="J32" s="73"/>
      <c r="K32" s="73"/>
      <c r="L32" s="73"/>
      <c r="M32" s="73"/>
      <c r="N32" s="73"/>
      <c r="O32" s="73"/>
      <c r="P32" s="73"/>
      <c r="Q32" s="73"/>
      <c r="R32" s="73"/>
    </row>
    <row r="33" spans="1:18" x14ac:dyDescent="0.35">
      <c r="A33" s="73"/>
      <c r="B33" s="73"/>
      <c r="C33" s="73"/>
      <c r="D33" s="73"/>
      <c r="E33" s="73"/>
      <c r="F33" s="73"/>
      <c r="G33" s="73"/>
      <c r="H33" s="73"/>
      <c r="I33" s="73"/>
      <c r="J33" s="73"/>
      <c r="K33" s="73"/>
      <c r="L33" s="73"/>
      <c r="M33" s="73"/>
      <c r="N33" s="73"/>
      <c r="O33" s="73"/>
      <c r="P33" s="73"/>
      <c r="Q33" s="73"/>
      <c r="R33" s="73"/>
    </row>
    <row r="34" spans="1:18" x14ac:dyDescent="0.35">
      <c r="A34" s="73"/>
      <c r="B34" s="73"/>
      <c r="C34" s="73"/>
      <c r="D34" s="73"/>
      <c r="E34" s="73"/>
      <c r="F34" s="73"/>
      <c r="G34" s="73"/>
      <c r="H34" s="73"/>
      <c r="I34" s="73"/>
      <c r="J34" s="73"/>
      <c r="K34" s="73"/>
      <c r="L34" s="73"/>
      <c r="M34" s="73"/>
      <c r="N34" s="73"/>
      <c r="O34" s="73"/>
      <c r="P34" s="73"/>
      <c r="Q34" s="73"/>
      <c r="R34" s="73"/>
    </row>
    <row r="35" spans="1:18" s="24" customFormat="1" ht="13" x14ac:dyDescent="0.3">
      <c r="A35" s="185"/>
      <c r="B35" s="172"/>
      <c r="C35" s="172"/>
      <c r="D35" s="172"/>
      <c r="E35" s="172"/>
      <c r="F35" s="172"/>
      <c r="G35" s="172"/>
      <c r="H35" s="172"/>
      <c r="I35" s="172"/>
      <c r="J35" s="172"/>
      <c r="K35" s="172"/>
      <c r="L35" s="172"/>
      <c r="M35" s="172"/>
      <c r="N35" s="172"/>
      <c r="O35" s="172"/>
      <c r="P35" s="172"/>
      <c r="Q35" s="172"/>
      <c r="R35" s="172"/>
    </row>
    <row r="36" spans="1:18" s="24" customFormat="1" ht="26" x14ac:dyDescent="0.3">
      <c r="A36" s="426"/>
      <c r="B36" s="427"/>
      <c r="C36" s="173" t="s">
        <v>44</v>
      </c>
      <c r="D36" s="187" t="s">
        <v>99</v>
      </c>
      <c r="E36" s="187" t="s">
        <v>100</v>
      </c>
      <c r="F36" s="187" t="s">
        <v>23</v>
      </c>
      <c r="G36" s="187" t="s">
        <v>101</v>
      </c>
      <c r="H36" s="187" t="s">
        <v>215</v>
      </c>
      <c r="I36" s="187" t="s">
        <v>216</v>
      </c>
      <c r="J36" s="187" t="s">
        <v>217</v>
      </c>
      <c r="K36" s="188" t="s">
        <v>218</v>
      </c>
      <c r="L36" s="172"/>
      <c r="M36" s="172"/>
      <c r="N36" s="172"/>
      <c r="O36" s="172"/>
      <c r="P36" s="172"/>
      <c r="Q36" s="172"/>
      <c r="R36" s="172"/>
    </row>
    <row r="37" spans="1:18" s="24" customFormat="1" x14ac:dyDescent="0.35">
      <c r="A37" s="431" t="str">
        <f>A3</f>
        <v>Payoffs Q1</v>
      </c>
      <c r="B37" s="432" t="str">
        <f>B3</f>
        <v>Let's say we DO NOTHING. 
At the end of the planning time horizon, what will be the CHANGE (as a % relative to current population size) in population size IN THE WILD?</v>
      </c>
      <c r="C37" s="174" t="s">
        <v>45</v>
      </c>
      <c r="D37" s="190" t="str">
        <f>IF('4.3 Elicitation data entry'!$C$18="","",'4.3 Elicitation data entry'!$C$18)</f>
        <v/>
      </c>
      <c r="E37" s="190" t="str">
        <f>IF('4.3 Elicitation data entry'!$D$18="","",'4.3 Elicitation data entry'!$D$18)</f>
        <v/>
      </c>
      <c r="F37" s="190" t="str">
        <f>IF('4.3 Elicitation data entry'!$E$18="","",'4.3 Elicitation data entry'!$E$18)</f>
        <v/>
      </c>
      <c r="G37" s="190" t="str">
        <f>IF('4.3 Elicitation data entry'!$F$18="","",'4.3 Elicitation data entry'!$F$18)</f>
        <v/>
      </c>
      <c r="H37" s="190" t="str">
        <f>IF($F37="","",F37-J37)</f>
        <v/>
      </c>
      <c r="I37" s="191" t="str">
        <f>IF($F37="","",K37-F37)</f>
        <v/>
      </c>
      <c r="J37" s="192" t="str">
        <f>IF($F37="","",IF(F37-((F37-D37)/G37)*90&lt;-100,-100,F37-((F37-D37)/G37)*90))</f>
        <v/>
      </c>
      <c r="K37" s="193" t="str">
        <f>IF($F37="","",(F37-((F37-E37)/G37)*90))</f>
        <v/>
      </c>
      <c r="L37" s="172"/>
      <c r="M37" s="172"/>
      <c r="N37" s="172"/>
      <c r="O37" s="172"/>
      <c r="P37" s="172"/>
      <c r="Q37" s="172"/>
      <c r="R37" s="172"/>
    </row>
    <row r="38" spans="1:18" s="24" customFormat="1" x14ac:dyDescent="0.35">
      <c r="A38" s="431"/>
      <c r="B38" s="432"/>
      <c r="C38" s="174" t="s">
        <v>46</v>
      </c>
      <c r="D38" s="190" t="str">
        <f>IF('4.3 Elicitation data entry'!$H$18="","",'4.3 Elicitation data entry'!$H$18)</f>
        <v/>
      </c>
      <c r="E38" s="190" t="str">
        <f>IF('4.3 Elicitation data entry'!$I$18="","",'4.3 Elicitation data entry'!$I$18)</f>
        <v/>
      </c>
      <c r="F38" s="190" t="str">
        <f>IF('4.3 Elicitation data entry'!$J$18="","",'4.3 Elicitation data entry'!$J$18)</f>
        <v/>
      </c>
      <c r="G38" s="190" t="str">
        <f>IF('4.3 Elicitation data entry'!$K$18="","",'4.3 Elicitation data entry'!$K$18)</f>
        <v/>
      </c>
      <c r="H38" s="190" t="str">
        <f>IF($F38="","",F38-J38)</f>
        <v/>
      </c>
      <c r="I38" s="191" t="str">
        <f>IF($F38="","",K38-F38)</f>
        <v/>
      </c>
      <c r="J38" s="192" t="str">
        <f t="shared" ref="J38:J42" si="0">IF($F38="","",IF(F38-((F38-D38)/G38)*90&lt;-100,-100,F38-((F38-D38)/G38)*90))</f>
        <v/>
      </c>
      <c r="K38" s="193" t="str">
        <f t="shared" ref="K38:K42" si="1">IF($F38="","",(F38-((F38-E38)/G38)*90))</f>
        <v/>
      </c>
      <c r="L38" s="172"/>
      <c r="M38" s="172"/>
      <c r="N38" s="172"/>
      <c r="O38" s="172"/>
      <c r="P38" s="172"/>
      <c r="Q38" s="172"/>
      <c r="R38" s="172"/>
    </row>
    <row r="39" spans="1:18" s="24" customFormat="1" x14ac:dyDescent="0.35">
      <c r="A39" s="431"/>
      <c r="B39" s="432"/>
      <c r="C39" s="174" t="s">
        <v>47</v>
      </c>
      <c r="D39" s="190" t="str">
        <f>IF('4.3 Elicitation data entry'!$M$18="","",'4.3 Elicitation data entry'!$M$18)</f>
        <v/>
      </c>
      <c r="E39" s="190" t="str">
        <f>IF('4.3 Elicitation data entry'!$N$18="","",'4.3 Elicitation data entry'!$N$18)</f>
        <v/>
      </c>
      <c r="F39" s="190" t="str">
        <f>IF('4.3 Elicitation data entry'!$O$18="","",'4.3 Elicitation data entry'!$O$18)</f>
        <v/>
      </c>
      <c r="G39" s="190" t="str">
        <f>IF('4.3 Elicitation data entry'!$P$18="","",'4.3 Elicitation data entry'!$P$18)</f>
        <v/>
      </c>
      <c r="H39" s="190" t="str">
        <f t="shared" ref="H39:H42" si="2">IF($F39="","",F39-J39)</f>
        <v/>
      </c>
      <c r="I39" s="191" t="str">
        <f t="shared" ref="I39:I42" si="3">IF($F39="","",K39-F39)</f>
        <v/>
      </c>
      <c r="J39" s="192" t="str">
        <f t="shared" si="0"/>
        <v/>
      </c>
      <c r="K39" s="193" t="str">
        <f t="shared" si="1"/>
        <v/>
      </c>
      <c r="L39" s="172"/>
      <c r="M39" s="172"/>
      <c r="N39" s="172"/>
      <c r="O39" s="172"/>
      <c r="P39" s="172"/>
      <c r="Q39" s="172"/>
      <c r="R39" s="172"/>
    </row>
    <row r="40" spans="1:18" s="24" customFormat="1" x14ac:dyDescent="0.35">
      <c r="A40" s="431"/>
      <c r="B40" s="432"/>
      <c r="C40" s="174" t="s">
        <v>48</v>
      </c>
      <c r="D40" s="190" t="str">
        <f>IF('4.3 Elicitation data entry'!$R$18="","",'4.3 Elicitation data entry'!$R$18)</f>
        <v/>
      </c>
      <c r="E40" s="190" t="str">
        <f>IF('4.3 Elicitation data entry'!$S$18="","",'4.3 Elicitation data entry'!$S$18)</f>
        <v/>
      </c>
      <c r="F40" s="190" t="str">
        <f>IF('4.3 Elicitation data entry'!$T$18="","",'4.3 Elicitation data entry'!$T$18)</f>
        <v/>
      </c>
      <c r="G40" s="190" t="str">
        <f>IF('4.3 Elicitation data entry'!$U$18="","",'4.3 Elicitation data entry'!$U$18)</f>
        <v/>
      </c>
      <c r="H40" s="190" t="str">
        <f t="shared" si="2"/>
        <v/>
      </c>
      <c r="I40" s="191" t="str">
        <f t="shared" si="3"/>
        <v/>
      </c>
      <c r="J40" s="192" t="str">
        <f t="shared" si="0"/>
        <v/>
      </c>
      <c r="K40" s="193" t="str">
        <f t="shared" si="1"/>
        <v/>
      </c>
      <c r="L40" s="172"/>
      <c r="M40" s="172"/>
      <c r="N40" s="172"/>
      <c r="O40" s="172"/>
      <c r="P40" s="172"/>
      <c r="Q40" s="172"/>
      <c r="R40" s="172"/>
    </row>
    <row r="41" spans="1:18" s="24" customFormat="1" x14ac:dyDescent="0.35">
      <c r="A41" s="431"/>
      <c r="B41" s="432"/>
      <c r="C41" s="174" t="s">
        <v>49</v>
      </c>
      <c r="D41" s="190" t="str">
        <f>IF('4.3 Elicitation data entry'!$W$18="","",'4.3 Elicitation data entry'!$W$18)</f>
        <v/>
      </c>
      <c r="E41" s="190" t="str">
        <f>IF('4.3 Elicitation data entry'!$X$18="","",'4.3 Elicitation data entry'!$X$18)</f>
        <v/>
      </c>
      <c r="F41" s="190" t="str">
        <f>IF('4.3 Elicitation data entry'!$Y$18="","",'4.3 Elicitation data entry'!$Y$18)</f>
        <v/>
      </c>
      <c r="G41" s="190" t="str">
        <f>IF('4.3 Elicitation data entry'!$Z$18="","",'4.3 Elicitation data entry'!$Z$18)</f>
        <v/>
      </c>
      <c r="H41" s="190" t="str">
        <f t="shared" si="2"/>
        <v/>
      </c>
      <c r="I41" s="191" t="str">
        <f t="shared" si="3"/>
        <v/>
      </c>
      <c r="J41" s="192" t="str">
        <f t="shared" si="0"/>
        <v/>
      </c>
      <c r="K41" s="193" t="str">
        <f t="shared" si="1"/>
        <v/>
      </c>
      <c r="L41" s="172"/>
      <c r="M41" s="172"/>
      <c r="N41" s="172"/>
      <c r="O41" s="172"/>
      <c r="P41" s="172"/>
      <c r="Q41" s="172"/>
      <c r="R41" s="172"/>
    </row>
    <row r="42" spans="1:18" s="24" customFormat="1" x14ac:dyDescent="0.35">
      <c r="A42" s="431"/>
      <c r="B42" s="432"/>
      <c r="C42" s="174" t="s">
        <v>50</v>
      </c>
      <c r="D42" s="190" t="str">
        <f>IF('4.3 Elicitation data entry'!$AB$18="","",'4.3 Elicitation data entry'!$AB$18)</f>
        <v/>
      </c>
      <c r="E42" s="190" t="str">
        <f>IF('4.3 Elicitation data entry'!$AC$18="","",'4.3 Elicitation data entry'!$AC$18)</f>
        <v/>
      </c>
      <c r="F42" s="190" t="str">
        <f>IF('4.3 Elicitation data entry'!$AD$18="","",'4.3 Elicitation data entry'!$AD$18)</f>
        <v/>
      </c>
      <c r="G42" s="190" t="str">
        <f>IF('4.3 Elicitation data entry'!$AE$18="","",'4.3 Elicitation data entry'!$AE$18)</f>
        <v/>
      </c>
      <c r="H42" s="190" t="str">
        <f t="shared" si="2"/>
        <v/>
      </c>
      <c r="I42" s="191" t="str">
        <f t="shared" si="3"/>
        <v/>
      </c>
      <c r="J42" s="192" t="str">
        <f t="shared" si="0"/>
        <v/>
      </c>
      <c r="K42" s="193" t="str">
        <f t="shared" si="1"/>
        <v/>
      </c>
      <c r="L42" s="172"/>
      <c r="M42" s="172"/>
      <c r="N42" s="172"/>
      <c r="O42" s="172"/>
      <c r="P42" s="172"/>
      <c r="Q42" s="172"/>
      <c r="R42" s="172"/>
    </row>
    <row r="43" spans="1:18" s="24" customFormat="1" x14ac:dyDescent="0.35">
      <c r="A43" s="175"/>
      <c r="B43" s="176" t="s">
        <v>51</v>
      </c>
      <c r="C43" s="177" t="s">
        <v>52</v>
      </c>
      <c r="D43" s="190" t="e">
        <f t="shared" ref="D43:I43" si="4">AVERAGE(D37:D42)</f>
        <v>#DIV/0!</v>
      </c>
      <c r="E43" s="194" t="e">
        <f t="shared" si="4"/>
        <v>#DIV/0!</v>
      </c>
      <c r="F43" s="194" t="e">
        <f t="shared" si="4"/>
        <v>#DIV/0!</v>
      </c>
      <c r="G43" s="194" t="e">
        <f t="shared" si="4"/>
        <v>#DIV/0!</v>
      </c>
      <c r="H43" s="190" t="e">
        <f t="shared" si="4"/>
        <v>#DIV/0!</v>
      </c>
      <c r="I43" s="190" t="e">
        <f t="shared" si="4"/>
        <v>#DIV/0!</v>
      </c>
      <c r="J43" s="192" t="e">
        <f>IF((F43-((F43-D43)/G43)*90)&lt;-100,-100,(F43-((F43-D43)/G43)*90))</f>
        <v>#DIV/0!</v>
      </c>
      <c r="K43" s="193" t="e">
        <f>IF((F43-((F43-E43)/G43)*90)&lt;-100,-100,(F43-((F43-E43)/G43)*90))</f>
        <v>#DIV/0!</v>
      </c>
      <c r="L43" s="172"/>
      <c r="M43" s="172"/>
      <c r="N43" s="172"/>
      <c r="O43" s="172"/>
      <c r="P43" s="172"/>
      <c r="Q43" s="172"/>
      <c r="R43" s="172"/>
    </row>
    <row r="44" spans="1:18" s="24" customFormat="1" x14ac:dyDescent="0.35">
      <c r="A44" s="178"/>
      <c r="B44" s="179"/>
      <c r="C44" s="180" t="s">
        <v>53</v>
      </c>
      <c r="D44" s="196" t="e">
        <f t="shared" ref="D44:K44" si="5">STDEV(D37:D42)/SQRT(COUNT(D37:D42))</f>
        <v>#DIV/0!</v>
      </c>
      <c r="E44" s="196" t="e">
        <f t="shared" si="5"/>
        <v>#DIV/0!</v>
      </c>
      <c r="F44" s="196" t="e">
        <f t="shared" si="5"/>
        <v>#DIV/0!</v>
      </c>
      <c r="G44" s="196" t="e">
        <f t="shared" si="5"/>
        <v>#DIV/0!</v>
      </c>
      <c r="H44" s="197" t="e">
        <f t="shared" si="5"/>
        <v>#DIV/0!</v>
      </c>
      <c r="I44" s="197" t="e">
        <f t="shared" si="5"/>
        <v>#DIV/0!</v>
      </c>
      <c r="J44" s="197" t="e">
        <f t="shared" si="5"/>
        <v>#DIV/0!</v>
      </c>
      <c r="K44" s="198" t="e">
        <f t="shared" si="5"/>
        <v>#DIV/0!</v>
      </c>
      <c r="L44" s="172"/>
      <c r="M44" s="172"/>
      <c r="N44" s="172"/>
      <c r="O44" s="172"/>
      <c r="P44" s="172"/>
      <c r="Q44" s="172"/>
      <c r="R44" s="172"/>
    </row>
    <row r="45" spans="1:18" x14ac:dyDescent="0.35">
      <c r="A45" s="199"/>
      <c r="B45" s="73"/>
      <c r="C45" s="73"/>
      <c r="D45" s="73"/>
      <c r="E45" s="73"/>
      <c r="F45" s="73"/>
      <c r="G45" s="73"/>
      <c r="H45" s="73"/>
      <c r="I45" s="73"/>
      <c r="J45" s="73"/>
      <c r="K45" s="73"/>
      <c r="L45" s="73"/>
      <c r="M45" s="73"/>
      <c r="N45" s="73"/>
      <c r="O45" s="73"/>
      <c r="P45" s="73"/>
      <c r="Q45" s="73"/>
      <c r="R45" s="73"/>
    </row>
    <row r="46" spans="1:18" x14ac:dyDescent="0.35">
      <c r="A46" s="199"/>
      <c r="B46" s="73"/>
      <c r="C46" s="73"/>
      <c r="D46" s="73"/>
      <c r="E46" s="73"/>
      <c r="F46" s="73"/>
      <c r="G46" s="73"/>
      <c r="H46" s="73"/>
      <c r="I46" s="73"/>
      <c r="J46" s="73"/>
      <c r="K46" s="73"/>
      <c r="L46" s="73"/>
      <c r="M46" s="73"/>
      <c r="N46" s="73"/>
      <c r="O46" s="73"/>
      <c r="P46" s="73"/>
      <c r="Q46" s="73"/>
      <c r="R46" s="73"/>
    </row>
    <row r="47" spans="1:18" x14ac:dyDescent="0.35">
      <c r="A47" s="199"/>
      <c r="B47" s="73"/>
      <c r="C47" s="73"/>
      <c r="D47" s="73"/>
      <c r="E47" s="73"/>
      <c r="F47" s="73"/>
      <c r="G47" s="73"/>
      <c r="H47" s="73"/>
      <c r="I47" s="73"/>
      <c r="J47" s="73"/>
      <c r="K47" s="73"/>
      <c r="L47" s="73"/>
      <c r="M47" s="73"/>
      <c r="N47" s="73"/>
      <c r="O47" s="73"/>
      <c r="P47" s="73"/>
      <c r="Q47" s="73"/>
      <c r="R47" s="73"/>
    </row>
    <row r="48" spans="1:18" x14ac:dyDescent="0.35">
      <c r="A48" s="199"/>
      <c r="B48" s="73"/>
      <c r="C48" s="73"/>
      <c r="D48" s="73"/>
      <c r="E48" s="73"/>
      <c r="F48" s="73"/>
      <c r="G48" s="73"/>
      <c r="H48" s="73"/>
      <c r="I48" s="73"/>
      <c r="J48" s="73"/>
      <c r="K48" s="73"/>
      <c r="L48" s="73"/>
      <c r="M48" s="73"/>
      <c r="N48" s="73"/>
      <c r="O48" s="73"/>
      <c r="P48" s="73"/>
      <c r="Q48" s="73"/>
      <c r="R48" s="73"/>
    </row>
    <row r="49" spans="1:18" x14ac:dyDescent="0.35">
      <c r="A49" s="199"/>
      <c r="B49" s="73"/>
      <c r="C49" s="73"/>
      <c r="D49" s="73"/>
      <c r="E49" s="73"/>
      <c r="F49" s="73"/>
      <c r="G49" s="73"/>
      <c r="H49" s="73"/>
      <c r="I49" s="73"/>
      <c r="J49" s="73"/>
      <c r="K49" s="73"/>
      <c r="L49" s="73"/>
      <c r="M49" s="73"/>
      <c r="N49" s="73"/>
      <c r="O49" s="73"/>
      <c r="P49" s="73"/>
      <c r="Q49" s="73"/>
      <c r="R49" s="73"/>
    </row>
    <row r="50" spans="1:18" ht="35.15" customHeight="1" x14ac:dyDescent="0.35">
      <c r="A50" s="164" t="s">
        <v>220</v>
      </c>
      <c r="B50" s="428" t="s">
        <v>121</v>
      </c>
      <c r="C50" s="429"/>
      <c r="D50" s="429"/>
      <c r="E50" s="429"/>
      <c r="F50" s="429"/>
      <c r="G50" s="429"/>
      <c r="H50" s="429"/>
      <c r="I50" s="429"/>
      <c r="J50" s="429"/>
      <c r="K50" s="430"/>
      <c r="L50" s="73"/>
      <c r="M50" s="73"/>
      <c r="N50" s="73"/>
      <c r="O50" s="73"/>
      <c r="P50" s="73"/>
      <c r="Q50" s="73"/>
      <c r="R50" s="73"/>
    </row>
    <row r="51" spans="1:18" x14ac:dyDescent="0.35">
      <c r="A51" s="73"/>
      <c r="B51" s="73"/>
      <c r="C51" s="73"/>
      <c r="D51" s="73"/>
      <c r="E51" s="73"/>
      <c r="F51" s="73"/>
      <c r="G51" s="73"/>
      <c r="H51" s="73"/>
      <c r="I51" s="73"/>
      <c r="J51" s="73"/>
      <c r="K51" s="73"/>
      <c r="L51" s="73"/>
      <c r="M51" s="73"/>
      <c r="N51" s="73"/>
      <c r="O51" s="73"/>
      <c r="P51" s="73"/>
      <c r="Q51" s="73"/>
      <c r="R51" s="73"/>
    </row>
    <row r="52" spans="1:18" x14ac:dyDescent="0.35">
      <c r="A52" s="73"/>
      <c r="B52" s="73"/>
      <c r="C52" s="73"/>
      <c r="D52" s="73"/>
      <c r="E52" s="73"/>
      <c r="F52" s="73"/>
      <c r="G52" s="73"/>
      <c r="H52" s="73"/>
      <c r="I52" s="73"/>
      <c r="J52" s="73"/>
      <c r="K52" s="73"/>
      <c r="L52" s="73"/>
      <c r="M52" s="73"/>
      <c r="N52" s="73"/>
      <c r="O52" s="73"/>
      <c r="P52" s="73"/>
      <c r="Q52" s="73"/>
      <c r="R52" s="73"/>
    </row>
    <row r="53" spans="1:18" x14ac:dyDescent="0.35">
      <c r="A53" s="73"/>
      <c r="B53" s="73"/>
      <c r="C53" s="73"/>
      <c r="D53" s="73"/>
      <c r="E53" s="73"/>
      <c r="F53" s="73"/>
      <c r="G53" s="73"/>
      <c r="H53" s="73"/>
      <c r="I53" s="73"/>
      <c r="J53" s="73"/>
      <c r="K53" s="73"/>
      <c r="L53" s="73"/>
      <c r="M53" s="73"/>
      <c r="N53" s="73"/>
      <c r="O53" s="73"/>
      <c r="P53" s="73"/>
      <c r="Q53" s="73"/>
      <c r="R53" s="73"/>
    </row>
    <row r="54" spans="1:18" x14ac:dyDescent="0.35">
      <c r="A54" s="73"/>
      <c r="B54" s="73"/>
      <c r="C54" s="73"/>
      <c r="D54" s="73"/>
      <c r="E54" s="73"/>
      <c r="F54" s="73"/>
      <c r="G54" s="73"/>
      <c r="H54" s="73"/>
      <c r="I54" s="73"/>
      <c r="J54" s="73"/>
      <c r="K54" s="73"/>
      <c r="L54" s="73"/>
      <c r="M54" s="73"/>
      <c r="N54" s="73"/>
      <c r="O54" s="73"/>
      <c r="P54" s="73"/>
      <c r="Q54" s="73"/>
      <c r="R54" s="73"/>
    </row>
    <row r="55" spans="1:18" x14ac:dyDescent="0.35">
      <c r="A55" s="73"/>
      <c r="B55" s="73"/>
      <c r="C55" s="73"/>
      <c r="D55" s="73"/>
      <c r="E55" s="73"/>
      <c r="F55" s="73"/>
      <c r="G55" s="73"/>
      <c r="H55" s="73"/>
      <c r="I55" s="73"/>
      <c r="J55" s="73"/>
      <c r="K55" s="73"/>
      <c r="L55" s="73"/>
      <c r="M55" s="73"/>
      <c r="N55" s="73"/>
      <c r="O55" s="73"/>
      <c r="P55" s="73"/>
      <c r="Q55" s="73"/>
      <c r="R55" s="73"/>
    </row>
    <row r="56" spans="1:18" x14ac:dyDescent="0.35">
      <c r="A56" s="73"/>
      <c r="B56" s="73"/>
      <c r="C56" s="73"/>
      <c r="D56" s="73"/>
      <c r="E56" s="73"/>
      <c r="F56" s="73"/>
      <c r="G56" s="73"/>
      <c r="H56" s="73"/>
      <c r="I56" s="73"/>
      <c r="J56" s="73"/>
      <c r="K56" s="73"/>
      <c r="L56" s="73"/>
      <c r="M56" s="73"/>
      <c r="N56" s="73"/>
      <c r="O56" s="73"/>
      <c r="P56" s="73"/>
      <c r="Q56" s="73"/>
      <c r="R56" s="73"/>
    </row>
    <row r="57" spans="1:18" x14ac:dyDescent="0.35">
      <c r="A57" s="73"/>
      <c r="B57" s="73"/>
      <c r="C57" s="73"/>
      <c r="D57" s="73"/>
      <c r="E57" s="73"/>
      <c r="F57" s="73"/>
      <c r="G57" s="73"/>
      <c r="H57" s="73"/>
      <c r="I57" s="73"/>
      <c r="J57" s="73"/>
      <c r="K57" s="73"/>
      <c r="L57" s="73"/>
      <c r="M57" s="73"/>
      <c r="N57" s="73"/>
      <c r="O57" s="73"/>
      <c r="P57" s="73"/>
      <c r="Q57" s="73"/>
      <c r="R57" s="73"/>
    </row>
    <row r="58" spans="1:18" x14ac:dyDescent="0.35">
      <c r="A58" s="73"/>
      <c r="B58" s="73"/>
      <c r="C58" s="73"/>
      <c r="D58" s="73"/>
      <c r="E58" s="73"/>
      <c r="F58" s="73"/>
      <c r="G58" s="73"/>
      <c r="H58" s="73"/>
      <c r="I58" s="73"/>
      <c r="J58" s="73"/>
      <c r="K58" s="73"/>
      <c r="L58" s="73"/>
      <c r="M58" s="73"/>
      <c r="N58" s="73"/>
      <c r="O58" s="73"/>
      <c r="P58" s="73"/>
      <c r="Q58" s="73"/>
      <c r="R58" s="73"/>
    </row>
    <row r="59" spans="1:18" x14ac:dyDescent="0.35">
      <c r="A59" s="73"/>
      <c r="B59" s="73"/>
      <c r="C59" s="73"/>
      <c r="D59" s="73"/>
      <c r="E59" s="73"/>
      <c r="F59" s="73"/>
      <c r="G59" s="73"/>
      <c r="H59" s="73"/>
      <c r="I59" s="73"/>
      <c r="J59" s="73"/>
      <c r="K59" s="73"/>
      <c r="L59" s="73"/>
      <c r="M59" s="73"/>
      <c r="N59" s="73"/>
      <c r="O59" s="73"/>
      <c r="P59" s="73"/>
      <c r="Q59" s="73"/>
      <c r="R59" s="73"/>
    </row>
    <row r="60" spans="1:18" x14ac:dyDescent="0.35">
      <c r="A60" s="73"/>
      <c r="B60" s="73"/>
      <c r="C60" s="73"/>
      <c r="D60" s="73"/>
      <c r="E60" s="73"/>
      <c r="F60" s="73"/>
      <c r="G60" s="73"/>
      <c r="H60" s="73"/>
      <c r="I60" s="73"/>
      <c r="J60" s="73"/>
      <c r="K60" s="73"/>
      <c r="L60" s="73"/>
      <c r="M60" s="73"/>
      <c r="N60" s="73"/>
      <c r="O60" s="73"/>
      <c r="P60" s="73"/>
      <c r="Q60" s="73"/>
      <c r="R60" s="73"/>
    </row>
    <row r="61" spans="1:18" x14ac:dyDescent="0.35">
      <c r="A61" s="73"/>
      <c r="B61" s="73"/>
      <c r="C61" s="73"/>
      <c r="D61" s="73"/>
      <c r="E61" s="73"/>
      <c r="F61" s="73"/>
      <c r="G61" s="73"/>
      <c r="H61" s="73"/>
      <c r="I61" s="73"/>
      <c r="J61" s="73"/>
      <c r="K61" s="73"/>
      <c r="L61" s="73"/>
      <c r="M61" s="73"/>
      <c r="N61" s="73"/>
      <c r="O61" s="73"/>
      <c r="P61" s="73"/>
      <c r="Q61" s="73"/>
      <c r="R61" s="73"/>
    </row>
    <row r="62" spans="1:18" x14ac:dyDescent="0.35">
      <c r="A62" s="73"/>
      <c r="B62" s="73"/>
      <c r="C62" s="73"/>
      <c r="D62" s="73"/>
      <c r="E62" s="73"/>
      <c r="F62" s="73"/>
      <c r="G62" s="73"/>
      <c r="H62" s="73"/>
      <c r="I62" s="73"/>
      <c r="J62" s="73"/>
      <c r="K62" s="73"/>
      <c r="L62" s="73"/>
      <c r="M62" s="73"/>
      <c r="N62" s="73"/>
      <c r="O62" s="73"/>
      <c r="P62" s="73"/>
      <c r="Q62" s="73"/>
      <c r="R62" s="73"/>
    </row>
    <row r="63" spans="1:18" x14ac:dyDescent="0.35">
      <c r="A63" s="73"/>
      <c r="B63" s="73"/>
      <c r="C63" s="73"/>
      <c r="D63" s="73"/>
      <c r="E63" s="73"/>
      <c r="F63" s="73"/>
      <c r="G63" s="73"/>
      <c r="H63" s="73"/>
      <c r="I63" s="73"/>
      <c r="J63" s="73"/>
      <c r="K63" s="73"/>
      <c r="L63" s="73"/>
      <c r="M63" s="73"/>
      <c r="N63" s="73"/>
      <c r="O63" s="73"/>
      <c r="P63" s="73"/>
      <c r="Q63" s="73"/>
      <c r="R63" s="73"/>
    </row>
    <row r="64" spans="1:18" x14ac:dyDescent="0.35">
      <c r="A64" s="73"/>
      <c r="B64" s="73"/>
      <c r="C64" s="73"/>
      <c r="D64" s="73"/>
      <c r="E64" s="73"/>
      <c r="F64" s="73"/>
      <c r="G64" s="73"/>
      <c r="H64" s="73"/>
      <c r="I64" s="73"/>
      <c r="J64" s="73"/>
      <c r="K64" s="73"/>
      <c r="L64" s="73"/>
      <c r="M64" s="73"/>
      <c r="N64" s="73"/>
      <c r="O64" s="73"/>
      <c r="P64" s="73"/>
      <c r="Q64" s="73"/>
      <c r="R64" s="73"/>
    </row>
    <row r="65" spans="1:18" x14ac:dyDescent="0.35">
      <c r="A65" s="73"/>
      <c r="B65" s="73"/>
      <c r="C65" s="73"/>
      <c r="D65" s="73"/>
      <c r="E65" s="73"/>
      <c r="F65" s="73"/>
      <c r="G65" s="73"/>
      <c r="H65" s="73"/>
      <c r="I65" s="73"/>
      <c r="J65" s="73"/>
      <c r="K65" s="73"/>
      <c r="L65" s="73"/>
      <c r="M65" s="73"/>
      <c r="N65" s="73"/>
      <c r="O65" s="73"/>
      <c r="P65" s="73"/>
      <c r="Q65" s="73"/>
      <c r="R65" s="73"/>
    </row>
    <row r="66" spans="1:18" x14ac:dyDescent="0.35">
      <c r="A66" s="73"/>
      <c r="B66" s="73"/>
      <c r="C66" s="73"/>
      <c r="D66" s="73"/>
      <c r="E66" s="73"/>
      <c r="F66" s="73"/>
      <c r="G66" s="73"/>
      <c r="H66" s="73"/>
      <c r="I66" s="73"/>
      <c r="J66" s="73"/>
      <c r="K66" s="73"/>
      <c r="L66" s="73"/>
      <c r="M66" s="73"/>
      <c r="N66" s="73"/>
      <c r="O66" s="73"/>
      <c r="P66" s="73"/>
      <c r="Q66" s="73"/>
      <c r="R66" s="73"/>
    </row>
    <row r="67" spans="1:18" x14ac:dyDescent="0.35">
      <c r="A67" s="73"/>
      <c r="B67" s="73"/>
      <c r="C67" s="73"/>
      <c r="D67" s="73"/>
      <c r="E67" s="73"/>
      <c r="F67" s="73"/>
      <c r="G67" s="73"/>
      <c r="H67" s="73"/>
      <c r="I67" s="73"/>
      <c r="J67" s="73"/>
      <c r="K67" s="73"/>
      <c r="L67" s="73"/>
      <c r="M67" s="73"/>
      <c r="N67" s="73"/>
      <c r="O67" s="73"/>
      <c r="P67" s="73"/>
      <c r="Q67" s="73"/>
      <c r="R67" s="73"/>
    </row>
    <row r="68" spans="1:18" x14ac:dyDescent="0.35">
      <c r="A68" s="73"/>
      <c r="B68" s="73"/>
      <c r="C68" s="73"/>
      <c r="D68" s="73"/>
      <c r="E68" s="73"/>
      <c r="F68" s="73"/>
      <c r="G68" s="73"/>
      <c r="H68" s="73"/>
      <c r="I68" s="73"/>
      <c r="J68" s="73"/>
      <c r="K68" s="73"/>
      <c r="L68" s="73"/>
      <c r="M68" s="73"/>
      <c r="N68" s="73"/>
      <c r="O68" s="73"/>
      <c r="P68" s="73"/>
      <c r="Q68" s="73"/>
      <c r="R68" s="73"/>
    </row>
    <row r="69" spans="1:18" x14ac:dyDescent="0.35">
      <c r="A69" s="73"/>
      <c r="B69" s="73"/>
      <c r="C69" s="73"/>
      <c r="D69" s="73"/>
      <c r="E69" s="73"/>
      <c r="F69" s="73"/>
      <c r="G69" s="73"/>
      <c r="H69" s="73"/>
      <c r="I69" s="73"/>
      <c r="J69" s="73"/>
      <c r="K69" s="73"/>
      <c r="L69" s="73"/>
      <c r="M69" s="73"/>
      <c r="N69" s="73"/>
      <c r="O69" s="73"/>
      <c r="P69" s="73"/>
      <c r="Q69" s="73"/>
      <c r="R69" s="73"/>
    </row>
    <row r="70" spans="1:18" x14ac:dyDescent="0.35">
      <c r="A70" s="73"/>
      <c r="B70" s="73"/>
      <c r="C70" s="73"/>
      <c r="D70" s="73"/>
      <c r="E70" s="73"/>
      <c r="F70" s="73"/>
      <c r="G70" s="73"/>
      <c r="H70" s="73"/>
      <c r="I70" s="73"/>
      <c r="J70" s="73"/>
      <c r="K70" s="73"/>
      <c r="L70" s="73"/>
      <c r="M70" s="73"/>
      <c r="N70" s="73"/>
      <c r="O70" s="73"/>
      <c r="P70" s="73"/>
      <c r="Q70" s="73"/>
      <c r="R70" s="73"/>
    </row>
    <row r="71" spans="1:18" x14ac:dyDescent="0.35">
      <c r="A71" s="73"/>
      <c r="B71" s="73"/>
      <c r="C71" s="73"/>
      <c r="D71" s="73"/>
      <c r="E71" s="73"/>
      <c r="F71" s="73"/>
      <c r="G71" s="73"/>
      <c r="H71" s="73"/>
      <c r="I71" s="73"/>
      <c r="J71" s="73"/>
      <c r="K71" s="73"/>
      <c r="L71" s="73"/>
      <c r="M71" s="73"/>
      <c r="N71" s="73"/>
      <c r="O71" s="73"/>
      <c r="P71" s="73"/>
      <c r="Q71" s="73"/>
      <c r="R71" s="73"/>
    </row>
    <row r="72" spans="1:18" x14ac:dyDescent="0.35">
      <c r="A72" s="73"/>
      <c r="B72" s="73"/>
      <c r="C72" s="73"/>
      <c r="D72" s="73"/>
      <c r="E72" s="73"/>
      <c r="F72" s="73"/>
      <c r="G72" s="73"/>
      <c r="H72" s="73"/>
      <c r="I72" s="73"/>
      <c r="J72" s="73"/>
      <c r="K72" s="73"/>
      <c r="L72" s="73"/>
      <c r="M72" s="73"/>
      <c r="N72" s="73"/>
      <c r="O72" s="73"/>
      <c r="P72" s="73"/>
      <c r="Q72" s="73"/>
      <c r="R72" s="73"/>
    </row>
    <row r="73" spans="1:18" x14ac:dyDescent="0.35">
      <c r="A73" s="73"/>
      <c r="B73" s="73"/>
      <c r="C73" s="73"/>
      <c r="D73" s="73"/>
      <c r="E73" s="73"/>
      <c r="F73" s="73"/>
      <c r="G73" s="73"/>
      <c r="H73" s="73"/>
      <c r="I73" s="73"/>
      <c r="J73" s="73"/>
      <c r="K73" s="73"/>
      <c r="L73" s="73"/>
      <c r="M73" s="73"/>
      <c r="N73" s="73"/>
      <c r="O73" s="73"/>
      <c r="P73" s="73"/>
      <c r="Q73" s="73"/>
      <c r="R73" s="73"/>
    </row>
    <row r="74" spans="1:18" x14ac:dyDescent="0.35">
      <c r="A74" s="73"/>
      <c r="B74" s="73"/>
      <c r="C74" s="73"/>
      <c r="D74" s="73"/>
      <c r="E74" s="73"/>
      <c r="F74" s="73"/>
      <c r="G74" s="73"/>
      <c r="H74" s="73"/>
      <c r="I74" s="73"/>
      <c r="J74" s="73"/>
      <c r="K74" s="73"/>
      <c r="L74" s="73"/>
      <c r="M74" s="73"/>
      <c r="N74" s="73"/>
      <c r="O74" s="73"/>
      <c r="P74" s="73"/>
      <c r="Q74" s="73"/>
      <c r="R74" s="73"/>
    </row>
    <row r="75" spans="1:18" x14ac:dyDescent="0.35">
      <c r="A75" s="73"/>
      <c r="B75" s="73"/>
      <c r="C75" s="73"/>
      <c r="D75" s="73"/>
      <c r="E75" s="73"/>
      <c r="F75" s="73"/>
      <c r="G75" s="73"/>
      <c r="H75" s="73"/>
      <c r="I75" s="73"/>
      <c r="J75" s="73"/>
      <c r="K75" s="73"/>
      <c r="L75" s="73"/>
      <c r="M75" s="73"/>
      <c r="N75" s="73"/>
      <c r="O75" s="73"/>
      <c r="P75" s="73"/>
      <c r="Q75" s="73"/>
      <c r="R75" s="73"/>
    </row>
    <row r="76" spans="1:18" x14ac:dyDescent="0.35">
      <c r="A76" s="73"/>
      <c r="B76" s="73"/>
      <c r="C76" s="73"/>
      <c r="D76" s="73"/>
      <c r="E76" s="73"/>
      <c r="F76" s="73"/>
      <c r="G76" s="73"/>
      <c r="H76" s="73"/>
      <c r="I76" s="73"/>
      <c r="J76" s="73"/>
      <c r="K76" s="73"/>
      <c r="L76" s="73"/>
      <c r="M76" s="73"/>
      <c r="N76" s="73"/>
      <c r="O76" s="73"/>
      <c r="P76" s="73"/>
      <c r="Q76" s="73"/>
      <c r="R76" s="73"/>
    </row>
    <row r="77" spans="1:18" x14ac:dyDescent="0.35">
      <c r="A77" s="73"/>
      <c r="B77" s="73"/>
      <c r="C77" s="73"/>
      <c r="D77" s="73"/>
      <c r="E77" s="73"/>
      <c r="F77" s="73"/>
      <c r="G77" s="73"/>
      <c r="H77" s="73"/>
      <c r="I77" s="73"/>
      <c r="J77" s="73"/>
      <c r="K77" s="73"/>
      <c r="L77" s="73"/>
      <c r="M77" s="73"/>
      <c r="N77" s="73"/>
      <c r="O77" s="73"/>
      <c r="P77" s="73"/>
      <c r="Q77" s="73"/>
      <c r="R77" s="73"/>
    </row>
    <row r="78" spans="1:18" x14ac:dyDescent="0.35">
      <c r="A78" s="73"/>
      <c r="B78" s="73"/>
      <c r="C78" s="73"/>
      <c r="D78" s="73"/>
      <c r="E78" s="73"/>
      <c r="F78" s="73"/>
      <c r="G78" s="73"/>
      <c r="H78" s="73"/>
      <c r="I78" s="73"/>
      <c r="J78" s="73"/>
      <c r="K78" s="73"/>
      <c r="L78" s="73"/>
      <c r="M78" s="73"/>
      <c r="N78" s="73"/>
      <c r="O78" s="73"/>
      <c r="P78" s="73"/>
      <c r="Q78" s="73"/>
      <c r="R78" s="73"/>
    </row>
    <row r="79" spans="1:18" x14ac:dyDescent="0.35">
      <c r="A79" s="73"/>
      <c r="B79" s="73"/>
      <c r="C79" s="73"/>
      <c r="D79" s="73"/>
      <c r="E79" s="73"/>
      <c r="F79" s="73"/>
      <c r="G79" s="73"/>
      <c r="H79" s="73"/>
      <c r="I79" s="73"/>
      <c r="J79" s="73"/>
      <c r="K79" s="73"/>
      <c r="L79" s="73"/>
      <c r="M79" s="73"/>
      <c r="N79" s="73"/>
      <c r="O79" s="73"/>
      <c r="P79" s="73"/>
      <c r="Q79" s="73"/>
      <c r="R79" s="73"/>
    </row>
    <row r="80" spans="1:18" x14ac:dyDescent="0.35">
      <c r="A80" s="73"/>
      <c r="B80" s="73"/>
      <c r="C80" s="73"/>
      <c r="D80" s="73"/>
      <c r="E80" s="73"/>
      <c r="F80" s="73"/>
      <c r="G80" s="73"/>
      <c r="H80" s="73"/>
      <c r="I80" s="73"/>
      <c r="J80" s="73"/>
      <c r="K80" s="73"/>
      <c r="L80" s="73"/>
      <c r="M80" s="73"/>
      <c r="N80" s="73"/>
      <c r="O80" s="73"/>
      <c r="P80" s="73"/>
      <c r="Q80" s="73"/>
      <c r="R80" s="73"/>
    </row>
    <row r="81" spans="1:18" x14ac:dyDescent="0.35">
      <c r="A81" s="73"/>
      <c r="B81" s="73"/>
      <c r="C81" s="73"/>
      <c r="D81" s="73"/>
      <c r="E81" s="73"/>
      <c r="F81" s="73"/>
      <c r="G81" s="73"/>
      <c r="H81" s="73"/>
      <c r="I81" s="73"/>
      <c r="J81" s="73"/>
      <c r="K81" s="73"/>
      <c r="L81" s="73"/>
      <c r="M81" s="73"/>
      <c r="N81" s="73"/>
      <c r="O81" s="73"/>
      <c r="P81" s="73"/>
      <c r="Q81" s="73"/>
      <c r="R81" s="73"/>
    </row>
    <row r="82" spans="1:18" x14ac:dyDescent="0.35">
      <c r="A82" s="185"/>
      <c r="B82" s="172"/>
      <c r="C82" s="172"/>
      <c r="D82" s="172"/>
      <c r="E82" s="172"/>
      <c r="F82" s="172"/>
      <c r="G82" s="172"/>
      <c r="H82" s="172"/>
      <c r="I82" s="172"/>
      <c r="J82" s="172"/>
      <c r="K82" s="172"/>
      <c r="L82" s="73"/>
      <c r="M82" s="73"/>
      <c r="N82" s="73"/>
      <c r="O82" s="73"/>
      <c r="P82" s="73"/>
      <c r="Q82" s="73"/>
      <c r="R82" s="73"/>
    </row>
    <row r="83" spans="1:18" ht="26" x14ac:dyDescent="0.35">
      <c r="A83" s="426"/>
      <c r="B83" s="427"/>
      <c r="C83" s="173" t="s">
        <v>44</v>
      </c>
      <c r="D83" s="187" t="s">
        <v>99</v>
      </c>
      <c r="E83" s="187" t="s">
        <v>100</v>
      </c>
      <c r="F83" s="187" t="s">
        <v>23</v>
      </c>
      <c r="G83" s="187" t="s">
        <v>101</v>
      </c>
      <c r="H83" s="187" t="s">
        <v>215</v>
      </c>
      <c r="I83" s="187" t="s">
        <v>216</v>
      </c>
      <c r="J83" s="187" t="s">
        <v>217</v>
      </c>
      <c r="K83" s="188" t="s">
        <v>218</v>
      </c>
      <c r="L83" s="73"/>
      <c r="M83" s="73"/>
      <c r="N83" s="73"/>
      <c r="O83" s="73"/>
      <c r="P83" s="73"/>
      <c r="Q83" s="73"/>
      <c r="R83" s="73"/>
    </row>
    <row r="84" spans="1:18" x14ac:dyDescent="0.35">
      <c r="A84" s="431" t="str">
        <f>A50</f>
        <v>Payoffs Q2</v>
      </c>
      <c r="B84" s="432" t="str">
        <f>B50</f>
        <v>Let's say implementation of the STATUS QUO IN-SITU PLAN = SUCCESSFUL. 
At the end of the planning time horizon, what will be the CHANGE (as a % relative to current population size) in population size IN THE WILD?</v>
      </c>
      <c r="C84" s="174" t="s">
        <v>45</v>
      </c>
      <c r="D84" s="190" t="str">
        <f>IF('4.3 Elicitation data entry'!$C$21="","",'4.3 Elicitation data entry'!$C$21)</f>
        <v/>
      </c>
      <c r="E84" s="190" t="str">
        <f>IF('4.3 Elicitation data entry'!$D$21="","",'4.3 Elicitation data entry'!$D$21)</f>
        <v/>
      </c>
      <c r="F84" s="190" t="str">
        <f>IF('4.3 Elicitation data entry'!$E$21="","",'4.3 Elicitation data entry'!$E$21)</f>
        <v/>
      </c>
      <c r="G84" s="190" t="str">
        <f>IF('4.3 Elicitation data entry'!$F$21="","",'4.3 Elicitation data entry'!$F$21)</f>
        <v/>
      </c>
      <c r="H84" s="190" t="str">
        <f t="shared" ref="H84:H89" si="6">IF($F84="","",F84-J84)</f>
        <v/>
      </c>
      <c r="I84" s="191" t="str">
        <f t="shared" ref="I84:I89" si="7">IF($F84="","",K84-F84)</f>
        <v/>
      </c>
      <c r="J84" s="192" t="str">
        <f t="shared" ref="J84:J89" si="8">IF($F84="","",IF(F84-((F84-D84)/G84)*90&lt;-100,-100,F84-((F84-D84)/G84)*90))</f>
        <v/>
      </c>
      <c r="K84" s="193" t="str">
        <f t="shared" ref="K84:K89" si="9">IF($F84="","",(F84-((F84-E84)/G84)*90))</f>
        <v/>
      </c>
      <c r="L84" s="73"/>
      <c r="M84" s="73"/>
      <c r="N84" s="73"/>
      <c r="O84" s="73"/>
      <c r="P84" s="73"/>
      <c r="Q84" s="73"/>
      <c r="R84" s="73"/>
    </row>
    <row r="85" spans="1:18" x14ac:dyDescent="0.35">
      <c r="A85" s="431"/>
      <c r="B85" s="432"/>
      <c r="C85" s="174" t="s">
        <v>46</v>
      </c>
      <c r="D85" s="190" t="str">
        <f>IF('4.3 Elicitation data entry'!$H$21="","",'4.3 Elicitation data entry'!$H$21)</f>
        <v/>
      </c>
      <c r="E85" s="190" t="str">
        <f>IF('4.3 Elicitation data entry'!$I$21="","",'4.3 Elicitation data entry'!$I$21)</f>
        <v/>
      </c>
      <c r="F85" s="190" t="str">
        <f>IF('4.3 Elicitation data entry'!$J$21="","",'4.3 Elicitation data entry'!$J$21)</f>
        <v/>
      </c>
      <c r="G85" s="190" t="str">
        <f>IF('4.3 Elicitation data entry'!$K$21="","",'4.3 Elicitation data entry'!$K$21)</f>
        <v/>
      </c>
      <c r="H85" s="190" t="str">
        <f t="shared" si="6"/>
        <v/>
      </c>
      <c r="I85" s="191" t="str">
        <f t="shared" si="7"/>
        <v/>
      </c>
      <c r="J85" s="192" t="str">
        <f t="shared" si="8"/>
        <v/>
      </c>
      <c r="K85" s="193" t="str">
        <f t="shared" si="9"/>
        <v/>
      </c>
      <c r="L85" s="73"/>
      <c r="M85" s="73"/>
      <c r="N85" s="73"/>
      <c r="O85" s="73"/>
      <c r="P85" s="73"/>
      <c r="Q85" s="73"/>
      <c r="R85" s="73"/>
    </row>
    <row r="86" spans="1:18" x14ac:dyDescent="0.35">
      <c r="A86" s="431"/>
      <c r="B86" s="432"/>
      <c r="C86" s="174" t="s">
        <v>47</v>
      </c>
      <c r="D86" s="190" t="str">
        <f>IF('4.3 Elicitation data entry'!$M$21="","",'4.3 Elicitation data entry'!$M$21)</f>
        <v/>
      </c>
      <c r="E86" s="190" t="str">
        <f>IF('4.3 Elicitation data entry'!$N$21="","",'4.3 Elicitation data entry'!$N$21)</f>
        <v/>
      </c>
      <c r="F86" s="190" t="str">
        <f>IF('4.3 Elicitation data entry'!$O$21="","",'4.3 Elicitation data entry'!$O$21)</f>
        <v/>
      </c>
      <c r="G86" s="190" t="str">
        <f>IF('4.3 Elicitation data entry'!$P$21="","",'4.3 Elicitation data entry'!$P$21)</f>
        <v/>
      </c>
      <c r="H86" s="190" t="str">
        <f t="shared" si="6"/>
        <v/>
      </c>
      <c r="I86" s="191" t="str">
        <f t="shared" si="7"/>
        <v/>
      </c>
      <c r="J86" s="192" t="str">
        <f t="shared" si="8"/>
        <v/>
      </c>
      <c r="K86" s="193" t="str">
        <f t="shared" si="9"/>
        <v/>
      </c>
      <c r="L86" s="73"/>
      <c r="M86" s="73"/>
      <c r="N86" s="73"/>
      <c r="O86" s="73"/>
      <c r="P86" s="73"/>
      <c r="Q86" s="73"/>
      <c r="R86" s="73"/>
    </row>
    <row r="87" spans="1:18" x14ac:dyDescent="0.35">
      <c r="A87" s="431"/>
      <c r="B87" s="432"/>
      <c r="C87" s="174" t="s">
        <v>48</v>
      </c>
      <c r="D87" s="190" t="str">
        <f>IF('4.3 Elicitation data entry'!$R$21="","",'4.3 Elicitation data entry'!$R$21)</f>
        <v/>
      </c>
      <c r="E87" s="190" t="str">
        <f>IF('4.3 Elicitation data entry'!$S$21="","",'4.3 Elicitation data entry'!$S$21)</f>
        <v/>
      </c>
      <c r="F87" s="190" t="str">
        <f>IF('4.3 Elicitation data entry'!$T$21="","",'4.3 Elicitation data entry'!$T$21)</f>
        <v/>
      </c>
      <c r="G87" s="190" t="str">
        <f>IF('4.3 Elicitation data entry'!$U$21="","",'4.3 Elicitation data entry'!$U$21)</f>
        <v/>
      </c>
      <c r="H87" s="190" t="str">
        <f t="shared" si="6"/>
        <v/>
      </c>
      <c r="I87" s="191" t="str">
        <f t="shared" si="7"/>
        <v/>
      </c>
      <c r="J87" s="192" t="str">
        <f t="shared" si="8"/>
        <v/>
      </c>
      <c r="K87" s="193" t="str">
        <f t="shared" si="9"/>
        <v/>
      </c>
      <c r="L87" s="73"/>
      <c r="M87" s="73"/>
      <c r="N87" s="73"/>
      <c r="O87" s="73"/>
      <c r="P87" s="73"/>
      <c r="Q87" s="73"/>
      <c r="R87" s="73"/>
    </row>
    <row r="88" spans="1:18" x14ac:dyDescent="0.35">
      <c r="A88" s="431"/>
      <c r="B88" s="432"/>
      <c r="C88" s="174" t="s">
        <v>49</v>
      </c>
      <c r="D88" s="190" t="str">
        <f>IF('4.3 Elicitation data entry'!$W$21="","",'4.3 Elicitation data entry'!$W$21)</f>
        <v/>
      </c>
      <c r="E88" s="190" t="str">
        <f>IF('4.3 Elicitation data entry'!$X$21="","",'4.3 Elicitation data entry'!$X$21)</f>
        <v/>
      </c>
      <c r="F88" s="190" t="str">
        <f>IF('4.3 Elicitation data entry'!$Y$21="","",'4.3 Elicitation data entry'!$Y$21)</f>
        <v/>
      </c>
      <c r="G88" s="190" t="str">
        <f>IF('4.3 Elicitation data entry'!$Z$21="","",'4.3 Elicitation data entry'!$Z$21)</f>
        <v/>
      </c>
      <c r="H88" s="190" t="str">
        <f t="shared" si="6"/>
        <v/>
      </c>
      <c r="I88" s="191" t="str">
        <f t="shared" si="7"/>
        <v/>
      </c>
      <c r="J88" s="192" t="str">
        <f t="shared" si="8"/>
        <v/>
      </c>
      <c r="K88" s="193" t="str">
        <f t="shared" si="9"/>
        <v/>
      </c>
      <c r="L88" s="73"/>
      <c r="M88" s="73"/>
      <c r="N88" s="73"/>
      <c r="O88" s="73"/>
      <c r="P88" s="73"/>
      <c r="Q88" s="73"/>
      <c r="R88" s="73"/>
    </row>
    <row r="89" spans="1:18" x14ac:dyDescent="0.35">
      <c r="A89" s="431"/>
      <c r="B89" s="432"/>
      <c r="C89" s="174" t="s">
        <v>50</v>
      </c>
      <c r="D89" s="190" t="str">
        <f>IF('4.3 Elicitation data entry'!$AB$21="","",'4.3 Elicitation data entry'!$AB$21)</f>
        <v/>
      </c>
      <c r="E89" s="190" t="str">
        <f>IF('4.3 Elicitation data entry'!$AC$21="","",'4.3 Elicitation data entry'!$AC$21)</f>
        <v/>
      </c>
      <c r="F89" s="190" t="str">
        <f>IF('4.3 Elicitation data entry'!$AD$21="","",'4.3 Elicitation data entry'!$AD$21)</f>
        <v/>
      </c>
      <c r="G89" s="190" t="str">
        <f>IF('4.3 Elicitation data entry'!$AE$21="","",'4.3 Elicitation data entry'!$AE$21)</f>
        <v/>
      </c>
      <c r="H89" s="190" t="str">
        <f t="shared" si="6"/>
        <v/>
      </c>
      <c r="I89" s="191" t="str">
        <f t="shared" si="7"/>
        <v/>
      </c>
      <c r="J89" s="192" t="str">
        <f t="shared" si="8"/>
        <v/>
      </c>
      <c r="K89" s="193" t="str">
        <f t="shared" si="9"/>
        <v/>
      </c>
      <c r="L89" s="73"/>
      <c r="M89" s="73"/>
      <c r="N89" s="73"/>
      <c r="O89" s="73"/>
      <c r="P89" s="73"/>
      <c r="Q89" s="73"/>
      <c r="R89" s="73"/>
    </row>
    <row r="90" spans="1:18" x14ac:dyDescent="0.35">
      <c r="A90" s="175"/>
      <c r="B90" s="176" t="s">
        <v>51</v>
      </c>
      <c r="C90" s="177" t="s">
        <v>52</v>
      </c>
      <c r="D90" s="190" t="e">
        <f t="shared" ref="D90:I90" si="10">AVERAGE(D84:D89)</f>
        <v>#DIV/0!</v>
      </c>
      <c r="E90" s="194" t="e">
        <f t="shared" si="10"/>
        <v>#DIV/0!</v>
      </c>
      <c r="F90" s="194" t="e">
        <f t="shared" si="10"/>
        <v>#DIV/0!</v>
      </c>
      <c r="G90" s="194" t="e">
        <f t="shared" si="10"/>
        <v>#DIV/0!</v>
      </c>
      <c r="H90" s="190" t="e">
        <f t="shared" si="10"/>
        <v>#DIV/0!</v>
      </c>
      <c r="I90" s="190" t="e">
        <f t="shared" si="10"/>
        <v>#DIV/0!</v>
      </c>
      <c r="J90" s="192" t="e">
        <f>IF((F90-((F90-D90)/G90)*90)&lt;-100,-100,(F90-((F90-D90)/G90)*90))</f>
        <v>#DIV/0!</v>
      </c>
      <c r="K90" s="193" t="e">
        <f>IF((F90-((F90-E90)/G90)*90)&lt;-100,-100,(F90-((F90-E90)/G90)*90))</f>
        <v>#DIV/0!</v>
      </c>
      <c r="L90" s="73"/>
      <c r="M90" s="73"/>
      <c r="N90" s="73"/>
      <c r="O90" s="73"/>
      <c r="P90" s="73"/>
      <c r="Q90" s="73"/>
      <c r="R90" s="73"/>
    </row>
    <row r="91" spans="1:18" x14ac:dyDescent="0.35">
      <c r="A91" s="178"/>
      <c r="B91" s="179"/>
      <c r="C91" s="180" t="s">
        <v>53</v>
      </c>
      <c r="D91" s="196" t="e">
        <f t="shared" ref="D91:K91" si="11">STDEV(D84:D89)/SQRT(COUNT(D84:D89))</f>
        <v>#DIV/0!</v>
      </c>
      <c r="E91" s="196" t="e">
        <f t="shared" si="11"/>
        <v>#DIV/0!</v>
      </c>
      <c r="F91" s="196" t="e">
        <f t="shared" si="11"/>
        <v>#DIV/0!</v>
      </c>
      <c r="G91" s="196" t="e">
        <f t="shared" si="11"/>
        <v>#DIV/0!</v>
      </c>
      <c r="H91" s="197" t="e">
        <f t="shared" si="11"/>
        <v>#DIV/0!</v>
      </c>
      <c r="I91" s="197" t="e">
        <f t="shared" si="11"/>
        <v>#DIV/0!</v>
      </c>
      <c r="J91" s="197" t="e">
        <f t="shared" si="11"/>
        <v>#DIV/0!</v>
      </c>
      <c r="K91" s="198" t="e">
        <f t="shared" si="11"/>
        <v>#DIV/0!</v>
      </c>
      <c r="L91" s="73"/>
      <c r="M91" s="73"/>
      <c r="N91" s="73"/>
      <c r="O91" s="73"/>
      <c r="P91" s="73"/>
      <c r="Q91" s="73"/>
      <c r="R91" s="73"/>
    </row>
    <row r="92" spans="1:18" x14ac:dyDescent="0.35">
      <c r="A92" s="22"/>
      <c r="B92" s="21"/>
      <c r="C92" s="21"/>
      <c r="D92" s="21"/>
      <c r="E92" s="21"/>
      <c r="F92" s="21"/>
      <c r="G92" s="73"/>
      <c r="H92" s="73"/>
      <c r="I92" s="73"/>
      <c r="J92" s="73"/>
      <c r="L92" s="73"/>
      <c r="M92" s="73"/>
      <c r="N92" s="73"/>
      <c r="O92" s="73"/>
      <c r="P92" s="73"/>
      <c r="Q92" s="73"/>
      <c r="R92" s="73"/>
    </row>
    <row r="93" spans="1:18" x14ac:dyDescent="0.35">
      <c r="A93" s="22"/>
      <c r="B93" s="21"/>
      <c r="C93" s="21"/>
      <c r="D93" s="21"/>
      <c r="E93" s="21"/>
      <c r="F93" s="21"/>
      <c r="G93" s="73"/>
      <c r="H93" s="73"/>
      <c r="I93" s="73"/>
      <c r="J93" s="73"/>
      <c r="L93" s="73"/>
      <c r="M93" s="73"/>
      <c r="N93" s="73"/>
      <c r="O93" s="73"/>
      <c r="P93" s="73"/>
      <c r="Q93" s="73"/>
      <c r="R93" s="73"/>
    </row>
    <row r="94" spans="1:18" x14ac:dyDescent="0.35">
      <c r="A94" s="22"/>
      <c r="B94" s="21"/>
      <c r="C94" s="21"/>
      <c r="D94" s="21"/>
      <c r="E94" s="21"/>
      <c r="F94" s="21"/>
      <c r="G94" s="73"/>
      <c r="H94" s="73"/>
      <c r="I94" s="73"/>
      <c r="J94" s="73"/>
      <c r="L94" s="73"/>
      <c r="M94" s="73"/>
      <c r="N94" s="73"/>
      <c r="O94" s="73"/>
      <c r="P94" s="73"/>
      <c r="Q94" s="73"/>
      <c r="R94" s="73"/>
    </row>
    <row r="95" spans="1:18" x14ac:dyDescent="0.35">
      <c r="A95" s="22"/>
      <c r="B95" s="21"/>
      <c r="C95" s="21"/>
      <c r="D95" s="21"/>
      <c r="E95" s="21"/>
      <c r="F95" s="21"/>
      <c r="G95" s="73"/>
      <c r="H95" s="73"/>
      <c r="I95" s="73"/>
      <c r="J95" s="73"/>
      <c r="L95" s="73"/>
      <c r="M95" s="73"/>
      <c r="N95" s="73"/>
      <c r="O95" s="73"/>
      <c r="P95" s="73"/>
      <c r="Q95" s="73"/>
      <c r="R95" s="73"/>
    </row>
    <row r="96" spans="1:18" x14ac:dyDescent="0.35">
      <c r="A96" s="22"/>
      <c r="B96" s="21"/>
      <c r="C96" s="21"/>
      <c r="D96" s="21"/>
      <c r="E96" s="21"/>
      <c r="F96" s="21"/>
      <c r="G96" s="73"/>
      <c r="H96" s="73"/>
      <c r="I96" s="73"/>
      <c r="J96" s="73"/>
      <c r="L96" s="73"/>
      <c r="M96" s="73"/>
      <c r="N96" s="73"/>
      <c r="O96" s="73"/>
      <c r="P96" s="73"/>
      <c r="Q96" s="73"/>
      <c r="R96" s="73"/>
    </row>
    <row r="97" spans="1:18" ht="35.15" customHeight="1" x14ac:dyDescent="0.35">
      <c r="A97" s="164" t="s">
        <v>221</v>
      </c>
      <c r="B97" s="433" t="s">
        <v>122</v>
      </c>
      <c r="C97" s="434"/>
      <c r="D97" s="434"/>
      <c r="E97" s="434"/>
      <c r="F97" s="434"/>
      <c r="G97" s="434"/>
      <c r="H97" s="434"/>
      <c r="I97" s="434"/>
      <c r="J97" s="434"/>
      <c r="K97" s="435"/>
      <c r="L97" s="73"/>
      <c r="M97" s="73"/>
      <c r="N97" s="73"/>
      <c r="O97" s="73"/>
      <c r="P97" s="73"/>
      <c r="Q97" s="73"/>
      <c r="R97" s="73"/>
    </row>
    <row r="98" spans="1:18" x14ac:dyDescent="0.35">
      <c r="A98" s="73"/>
      <c r="B98" s="73"/>
      <c r="C98" s="73"/>
      <c r="D98" s="73"/>
      <c r="E98" s="73"/>
      <c r="F98" s="73"/>
      <c r="G98" s="73"/>
      <c r="H98" s="73"/>
      <c r="I98" s="73"/>
      <c r="J98" s="73"/>
      <c r="K98" s="73"/>
      <c r="L98" s="73"/>
      <c r="M98" s="73"/>
      <c r="N98" s="73"/>
      <c r="O98" s="73"/>
      <c r="P98" s="73"/>
      <c r="Q98" s="73"/>
      <c r="R98" s="73"/>
    </row>
    <row r="99" spans="1:18" x14ac:dyDescent="0.35">
      <c r="A99" s="73"/>
      <c r="B99" s="73"/>
      <c r="C99" s="73"/>
      <c r="D99" s="73"/>
      <c r="E99" s="73"/>
      <c r="F99" s="73"/>
      <c r="G99" s="73"/>
      <c r="H99" s="73"/>
      <c r="I99" s="73"/>
      <c r="J99" s="73"/>
      <c r="K99" s="73"/>
      <c r="L99" s="73"/>
      <c r="M99" s="73"/>
      <c r="N99" s="73"/>
      <c r="O99" s="73"/>
      <c r="P99" s="73"/>
      <c r="Q99" s="73"/>
      <c r="R99" s="73"/>
    </row>
    <row r="100" spans="1:18" x14ac:dyDescent="0.35">
      <c r="A100" s="73"/>
      <c r="B100" s="73"/>
      <c r="C100" s="73"/>
      <c r="D100" s="73"/>
      <c r="E100" s="73"/>
      <c r="F100" s="73"/>
      <c r="G100" s="73"/>
      <c r="H100" s="73"/>
      <c r="I100" s="73"/>
      <c r="J100" s="73"/>
      <c r="K100" s="73"/>
      <c r="L100" s="73"/>
      <c r="M100" s="73"/>
      <c r="N100" s="73"/>
      <c r="O100" s="73"/>
      <c r="P100" s="73"/>
      <c r="Q100" s="73"/>
      <c r="R100" s="73"/>
    </row>
    <row r="101" spans="1:18" x14ac:dyDescent="0.35">
      <c r="A101" s="73"/>
      <c r="B101" s="73"/>
      <c r="C101" s="73"/>
      <c r="D101" s="73"/>
      <c r="E101" s="73"/>
      <c r="F101" s="73"/>
      <c r="G101" s="73"/>
      <c r="H101" s="73"/>
      <c r="I101" s="73"/>
      <c r="J101" s="73"/>
      <c r="K101" s="73"/>
      <c r="L101" s="73"/>
      <c r="M101" s="73"/>
      <c r="N101" s="73"/>
      <c r="O101" s="73"/>
      <c r="P101" s="73"/>
      <c r="Q101" s="73"/>
      <c r="R101" s="73"/>
    </row>
    <row r="102" spans="1:18" x14ac:dyDescent="0.35">
      <c r="A102" s="73"/>
      <c r="B102" s="73"/>
      <c r="C102" s="73"/>
      <c r="D102" s="73"/>
      <c r="E102" s="73"/>
      <c r="F102" s="73"/>
      <c r="G102" s="73"/>
      <c r="H102" s="73"/>
      <c r="I102" s="73"/>
      <c r="J102" s="73"/>
      <c r="K102" s="73"/>
      <c r="L102" s="73"/>
      <c r="M102" s="73"/>
      <c r="N102" s="73"/>
      <c r="O102" s="73"/>
      <c r="P102" s="73"/>
      <c r="Q102" s="73"/>
      <c r="R102" s="73"/>
    </row>
    <row r="103" spans="1:18" x14ac:dyDescent="0.35">
      <c r="A103" s="73"/>
      <c r="B103" s="73"/>
      <c r="C103" s="73"/>
      <c r="D103" s="73"/>
      <c r="E103" s="73"/>
      <c r="F103" s="73"/>
      <c r="G103" s="73"/>
      <c r="H103" s="73"/>
      <c r="I103" s="73"/>
      <c r="J103" s="73"/>
      <c r="K103" s="73"/>
      <c r="L103" s="73"/>
      <c r="M103" s="73"/>
      <c r="N103" s="73"/>
      <c r="O103" s="73"/>
      <c r="P103" s="73"/>
      <c r="Q103" s="73"/>
      <c r="R103" s="73"/>
    </row>
    <row r="104" spans="1:18" x14ac:dyDescent="0.35">
      <c r="A104" s="73"/>
      <c r="B104" s="73"/>
      <c r="C104" s="73"/>
      <c r="D104" s="73"/>
      <c r="E104" s="73"/>
      <c r="F104" s="73"/>
      <c r="G104" s="73"/>
      <c r="H104" s="73"/>
      <c r="I104" s="73"/>
      <c r="J104" s="73"/>
      <c r="K104" s="73"/>
      <c r="L104" s="73"/>
      <c r="M104" s="73"/>
      <c r="N104" s="73"/>
      <c r="O104" s="73"/>
      <c r="P104" s="73"/>
      <c r="Q104" s="73"/>
      <c r="R104" s="73"/>
    </row>
    <row r="105" spans="1:18" x14ac:dyDescent="0.35">
      <c r="A105" s="73"/>
      <c r="B105" s="73"/>
      <c r="C105" s="73"/>
      <c r="D105" s="73"/>
      <c r="E105" s="73"/>
      <c r="F105" s="73"/>
      <c r="G105" s="73"/>
      <c r="H105" s="73"/>
      <c r="I105" s="73"/>
      <c r="J105" s="73"/>
      <c r="K105" s="73"/>
      <c r="L105" s="73"/>
      <c r="M105" s="73"/>
      <c r="N105" s="73"/>
      <c r="O105" s="73"/>
      <c r="P105" s="73"/>
      <c r="Q105" s="73"/>
      <c r="R105" s="73"/>
    </row>
    <row r="106" spans="1:18" x14ac:dyDescent="0.35">
      <c r="A106" s="73"/>
      <c r="B106" s="73"/>
      <c r="C106" s="73"/>
      <c r="D106" s="73"/>
      <c r="E106" s="73"/>
      <c r="F106" s="73"/>
      <c r="G106" s="73"/>
      <c r="H106" s="73"/>
      <c r="I106" s="73"/>
      <c r="J106" s="73"/>
      <c r="K106" s="73"/>
      <c r="L106" s="73"/>
      <c r="M106" s="73"/>
      <c r="N106" s="73"/>
      <c r="O106" s="73"/>
      <c r="P106" s="73"/>
      <c r="Q106" s="73"/>
      <c r="R106" s="73"/>
    </row>
    <row r="107" spans="1:18" x14ac:dyDescent="0.35">
      <c r="A107" s="73"/>
      <c r="B107" s="73"/>
      <c r="C107" s="73"/>
      <c r="D107" s="73"/>
      <c r="E107" s="73"/>
      <c r="F107" s="73"/>
      <c r="G107" s="73"/>
      <c r="H107" s="73"/>
      <c r="I107" s="73"/>
      <c r="J107" s="73"/>
      <c r="K107" s="73"/>
      <c r="L107" s="73"/>
      <c r="M107" s="73"/>
      <c r="N107" s="73"/>
      <c r="O107" s="73"/>
      <c r="P107" s="73"/>
      <c r="Q107" s="73"/>
      <c r="R107" s="73"/>
    </row>
    <row r="108" spans="1:18" x14ac:dyDescent="0.35">
      <c r="A108" s="73"/>
      <c r="B108" s="73"/>
      <c r="C108" s="73"/>
      <c r="D108" s="73"/>
      <c r="E108" s="73"/>
      <c r="F108" s="73"/>
      <c r="G108" s="73"/>
      <c r="H108" s="73"/>
      <c r="I108" s="73"/>
      <c r="J108" s="73"/>
      <c r="K108" s="73"/>
      <c r="L108" s="73"/>
      <c r="M108" s="73"/>
      <c r="N108" s="73"/>
      <c r="O108" s="73"/>
      <c r="P108" s="73"/>
      <c r="Q108" s="73"/>
      <c r="R108" s="73"/>
    </row>
    <row r="109" spans="1:18" x14ac:dyDescent="0.35">
      <c r="A109" s="73"/>
      <c r="B109" s="73"/>
      <c r="C109" s="73"/>
      <c r="D109" s="73"/>
      <c r="E109" s="73"/>
      <c r="F109" s="73"/>
      <c r="G109" s="73"/>
      <c r="H109" s="73"/>
      <c r="I109" s="73"/>
      <c r="J109" s="73"/>
      <c r="K109" s="73"/>
      <c r="L109" s="73"/>
      <c r="M109" s="73"/>
      <c r="N109" s="73"/>
      <c r="O109" s="73"/>
      <c r="P109" s="73"/>
      <c r="Q109" s="73"/>
      <c r="R109" s="73"/>
    </row>
    <row r="110" spans="1:18" x14ac:dyDescent="0.35">
      <c r="A110" s="73"/>
      <c r="B110" s="73"/>
      <c r="C110" s="73"/>
      <c r="D110" s="73"/>
      <c r="E110" s="73"/>
      <c r="F110" s="73"/>
      <c r="G110" s="73"/>
      <c r="H110" s="73"/>
      <c r="I110" s="73"/>
      <c r="J110" s="73"/>
      <c r="K110" s="73"/>
      <c r="L110" s="73"/>
      <c r="M110" s="73"/>
      <c r="N110" s="73"/>
      <c r="O110" s="73"/>
      <c r="P110" s="73"/>
      <c r="Q110" s="73"/>
      <c r="R110" s="73"/>
    </row>
    <row r="111" spans="1:18" x14ac:dyDescent="0.35">
      <c r="A111" s="73"/>
      <c r="B111" s="73"/>
      <c r="C111" s="73"/>
      <c r="D111" s="73"/>
      <c r="E111" s="73"/>
      <c r="F111" s="73"/>
      <c r="G111" s="73"/>
      <c r="H111" s="73"/>
      <c r="I111" s="73"/>
      <c r="J111" s="73"/>
      <c r="K111" s="73"/>
      <c r="L111" s="73"/>
      <c r="M111" s="73"/>
      <c r="N111" s="73"/>
      <c r="O111" s="73"/>
      <c r="P111" s="73"/>
      <c r="Q111" s="73"/>
      <c r="R111" s="73"/>
    </row>
    <row r="112" spans="1:18" x14ac:dyDescent="0.35">
      <c r="A112" s="73"/>
      <c r="B112" s="73"/>
      <c r="C112" s="73"/>
      <c r="D112" s="73"/>
      <c r="E112" s="73"/>
      <c r="F112" s="73"/>
      <c r="G112" s="73"/>
      <c r="H112" s="73"/>
      <c r="I112" s="73"/>
      <c r="J112" s="73"/>
      <c r="K112" s="73"/>
      <c r="L112" s="73"/>
      <c r="M112" s="73"/>
      <c r="N112" s="73"/>
      <c r="O112" s="73"/>
      <c r="P112" s="73"/>
      <c r="Q112" s="73"/>
      <c r="R112" s="73"/>
    </row>
    <row r="113" spans="1:18" x14ac:dyDescent="0.35">
      <c r="A113" s="73"/>
      <c r="B113" s="73"/>
      <c r="C113" s="73"/>
      <c r="D113" s="73"/>
      <c r="E113" s="73"/>
      <c r="F113" s="73"/>
      <c r="G113" s="73"/>
      <c r="H113" s="73"/>
      <c r="I113" s="73"/>
      <c r="J113" s="73"/>
      <c r="K113" s="73"/>
      <c r="L113" s="73"/>
      <c r="M113" s="73"/>
      <c r="N113" s="73"/>
      <c r="O113" s="73"/>
      <c r="P113" s="73"/>
      <c r="Q113" s="73"/>
      <c r="R113" s="73"/>
    </row>
    <row r="114" spans="1:18" x14ac:dyDescent="0.35">
      <c r="A114" s="73"/>
      <c r="B114" s="73"/>
      <c r="C114" s="73"/>
      <c r="D114" s="73"/>
      <c r="E114" s="73"/>
      <c r="F114" s="73"/>
      <c r="G114" s="73"/>
      <c r="H114" s="73"/>
      <c r="I114" s="73"/>
      <c r="J114" s="73"/>
      <c r="K114" s="73"/>
      <c r="L114" s="73"/>
      <c r="M114" s="73"/>
      <c r="N114" s="73"/>
      <c r="O114" s="73"/>
      <c r="P114" s="73"/>
      <c r="Q114" s="73"/>
      <c r="R114" s="73"/>
    </row>
    <row r="115" spans="1:18" x14ac:dyDescent="0.35">
      <c r="A115" s="73"/>
      <c r="B115" s="73"/>
      <c r="C115" s="73"/>
      <c r="D115" s="73"/>
      <c r="E115" s="73"/>
      <c r="F115" s="73"/>
      <c r="G115" s="73"/>
      <c r="H115" s="73"/>
      <c r="I115" s="73"/>
      <c r="J115" s="73"/>
      <c r="K115" s="73"/>
      <c r="L115" s="73"/>
      <c r="M115" s="73"/>
      <c r="N115" s="73"/>
      <c r="O115" s="73"/>
      <c r="P115" s="73"/>
      <c r="Q115" s="73"/>
      <c r="R115" s="73"/>
    </row>
    <row r="116" spans="1:18" x14ac:dyDescent="0.35">
      <c r="A116" s="73"/>
      <c r="B116" s="73"/>
      <c r="C116" s="73"/>
      <c r="D116" s="73"/>
      <c r="E116" s="73"/>
      <c r="F116" s="73"/>
      <c r="G116" s="73"/>
      <c r="H116" s="73"/>
      <c r="I116" s="73"/>
      <c r="J116" s="73"/>
      <c r="K116" s="73"/>
      <c r="L116" s="73"/>
      <c r="M116" s="73"/>
      <c r="N116" s="73"/>
      <c r="O116" s="73"/>
      <c r="P116" s="73"/>
      <c r="Q116" s="73"/>
      <c r="R116" s="73"/>
    </row>
    <row r="117" spans="1:18" x14ac:dyDescent="0.35">
      <c r="A117" s="73"/>
      <c r="B117" s="73"/>
      <c r="C117" s="73"/>
      <c r="D117" s="73"/>
      <c r="E117" s="73"/>
      <c r="F117" s="73"/>
      <c r="G117" s="73"/>
      <c r="H117" s="73"/>
      <c r="I117" s="73"/>
      <c r="J117" s="73"/>
      <c r="K117" s="73"/>
      <c r="L117" s="73"/>
      <c r="M117" s="73"/>
      <c r="N117" s="73"/>
      <c r="O117" s="73"/>
      <c r="P117" s="73"/>
      <c r="Q117" s="73"/>
      <c r="R117" s="73"/>
    </row>
    <row r="118" spans="1:18" x14ac:dyDescent="0.35">
      <c r="A118" s="73"/>
      <c r="B118" s="73"/>
      <c r="C118" s="73"/>
      <c r="D118" s="73"/>
      <c r="E118" s="73"/>
      <c r="F118" s="73"/>
      <c r="G118" s="73"/>
      <c r="H118" s="73"/>
      <c r="I118" s="73"/>
      <c r="J118" s="73"/>
      <c r="K118" s="73"/>
      <c r="L118" s="73"/>
      <c r="M118" s="73"/>
      <c r="N118" s="73"/>
      <c r="O118" s="73"/>
      <c r="P118" s="73"/>
      <c r="Q118" s="73"/>
      <c r="R118" s="73"/>
    </row>
    <row r="119" spans="1:18" x14ac:dyDescent="0.35">
      <c r="A119" s="73"/>
      <c r="B119" s="73"/>
      <c r="C119" s="73"/>
      <c r="D119" s="73"/>
      <c r="E119" s="73"/>
      <c r="F119" s="73"/>
      <c r="G119" s="73"/>
      <c r="H119" s="73"/>
      <c r="I119" s="73"/>
      <c r="J119" s="73"/>
      <c r="K119" s="73"/>
      <c r="L119" s="73"/>
      <c r="M119" s="73"/>
      <c r="N119" s="73"/>
      <c r="O119" s="73"/>
      <c r="P119" s="73"/>
      <c r="Q119" s="73"/>
      <c r="R119" s="73"/>
    </row>
    <row r="120" spans="1:18" x14ac:dyDescent="0.35">
      <c r="A120" s="73"/>
      <c r="B120" s="73"/>
      <c r="C120" s="73"/>
      <c r="D120" s="73"/>
      <c r="E120" s="73"/>
      <c r="F120" s="73"/>
      <c r="G120" s="73"/>
      <c r="H120" s="73"/>
      <c r="I120" s="73"/>
      <c r="J120" s="73"/>
      <c r="K120" s="73"/>
      <c r="L120" s="73"/>
      <c r="M120" s="73"/>
      <c r="N120" s="73"/>
      <c r="O120" s="73"/>
      <c r="P120" s="73"/>
      <c r="Q120" s="73"/>
      <c r="R120" s="73"/>
    </row>
    <row r="121" spans="1:18" x14ac:dyDescent="0.35">
      <c r="A121" s="73"/>
      <c r="B121" s="73"/>
      <c r="C121" s="73"/>
      <c r="D121" s="73"/>
      <c r="E121" s="73"/>
      <c r="F121" s="73"/>
      <c r="G121" s="73"/>
      <c r="H121" s="73"/>
      <c r="I121" s="73"/>
      <c r="J121" s="73"/>
      <c r="K121" s="73"/>
      <c r="L121" s="73"/>
      <c r="M121" s="73"/>
      <c r="N121" s="73"/>
      <c r="O121" s="73"/>
      <c r="P121" s="73"/>
      <c r="Q121" s="73"/>
      <c r="R121" s="73"/>
    </row>
    <row r="122" spans="1:18" x14ac:dyDescent="0.35">
      <c r="A122" s="73"/>
      <c r="B122" s="73"/>
      <c r="C122" s="73"/>
      <c r="D122" s="73"/>
      <c r="E122" s="73"/>
      <c r="F122" s="73"/>
      <c r="G122" s="73"/>
      <c r="H122" s="73"/>
      <c r="I122" s="73"/>
      <c r="J122" s="73"/>
      <c r="K122" s="73"/>
      <c r="L122" s="73"/>
      <c r="M122" s="73"/>
      <c r="N122" s="73"/>
      <c r="O122" s="73"/>
      <c r="P122" s="73"/>
      <c r="Q122" s="73"/>
      <c r="R122" s="73"/>
    </row>
    <row r="123" spans="1:18" x14ac:dyDescent="0.35">
      <c r="A123" s="73"/>
      <c r="B123" s="73"/>
      <c r="C123" s="73"/>
      <c r="D123" s="73"/>
      <c r="E123" s="73"/>
      <c r="F123" s="73"/>
      <c r="G123" s="73"/>
      <c r="H123" s="73"/>
      <c r="I123" s="73"/>
      <c r="J123" s="73"/>
      <c r="K123" s="73"/>
      <c r="L123" s="73"/>
      <c r="M123" s="73"/>
      <c r="N123" s="73"/>
      <c r="O123" s="73"/>
      <c r="P123" s="73"/>
      <c r="Q123" s="73"/>
      <c r="R123" s="73"/>
    </row>
    <row r="124" spans="1:18" x14ac:dyDescent="0.35">
      <c r="A124" s="73"/>
      <c r="B124" s="73"/>
      <c r="C124" s="73"/>
      <c r="D124" s="73"/>
      <c r="E124" s="73"/>
      <c r="F124" s="73"/>
      <c r="G124" s="73"/>
      <c r="H124" s="73"/>
      <c r="I124" s="73"/>
      <c r="J124" s="73"/>
      <c r="K124" s="73"/>
      <c r="L124" s="73"/>
      <c r="M124" s="73"/>
      <c r="N124" s="73"/>
      <c r="O124" s="73"/>
      <c r="P124" s="73"/>
      <c r="Q124" s="73"/>
      <c r="R124" s="73"/>
    </row>
    <row r="125" spans="1:18" x14ac:dyDescent="0.35">
      <c r="A125" s="73"/>
      <c r="B125" s="73"/>
      <c r="C125" s="73"/>
      <c r="D125" s="73"/>
      <c r="E125" s="73"/>
      <c r="F125" s="73"/>
      <c r="G125" s="73"/>
      <c r="H125" s="73"/>
      <c r="I125" s="73"/>
      <c r="J125" s="73"/>
      <c r="K125" s="73"/>
      <c r="L125" s="73"/>
      <c r="M125" s="73"/>
      <c r="N125" s="73"/>
      <c r="O125" s="73"/>
      <c r="P125" s="73"/>
      <c r="Q125" s="73"/>
      <c r="R125" s="73"/>
    </row>
    <row r="126" spans="1:18" x14ac:dyDescent="0.35">
      <c r="A126" s="73"/>
      <c r="B126" s="73"/>
      <c r="C126" s="73"/>
      <c r="D126" s="73"/>
      <c r="E126" s="73"/>
      <c r="F126" s="73"/>
      <c r="G126" s="73"/>
      <c r="H126" s="73"/>
      <c r="I126" s="73"/>
      <c r="J126" s="73"/>
      <c r="K126" s="73"/>
      <c r="L126" s="73"/>
      <c r="M126" s="73"/>
      <c r="N126" s="73"/>
      <c r="O126" s="73"/>
      <c r="P126" s="73"/>
      <c r="Q126" s="73"/>
      <c r="R126" s="73"/>
    </row>
    <row r="127" spans="1:18" x14ac:dyDescent="0.35">
      <c r="A127" s="73"/>
      <c r="B127" s="73"/>
      <c r="C127" s="73"/>
      <c r="D127" s="73"/>
      <c r="E127" s="73"/>
      <c r="F127" s="73"/>
      <c r="G127" s="73"/>
      <c r="H127" s="73"/>
      <c r="I127" s="73"/>
      <c r="J127" s="73"/>
      <c r="K127" s="73"/>
      <c r="L127" s="73"/>
      <c r="M127" s="73"/>
      <c r="N127" s="73"/>
      <c r="O127" s="73"/>
      <c r="P127" s="73"/>
      <c r="Q127" s="73"/>
      <c r="R127" s="73"/>
    </row>
    <row r="128" spans="1:18" x14ac:dyDescent="0.35">
      <c r="A128" s="73"/>
      <c r="B128" s="73"/>
      <c r="C128" s="73"/>
      <c r="D128" s="73"/>
      <c r="E128" s="73"/>
      <c r="F128" s="73"/>
      <c r="G128" s="73"/>
      <c r="H128" s="73"/>
      <c r="I128" s="73"/>
      <c r="J128" s="73"/>
      <c r="K128" s="73"/>
      <c r="L128" s="73"/>
      <c r="M128" s="73"/>
      <c r="N128" s="73"/>
      <c r="O128" s="73"/>
      <c r="P128" s="73"/>
      <c r="Q128" s="73"/>
      <c r="R128" s="73"/>
    </row>
    <row r="129" spans="1:18" x14ac:dyDescent="0.35">
      <c r="A129" s="185"/>
      <c r="B129" s="172"/>
      <c r="C129" s="172"/>
      <c r="D129" s="172"/>
      <c r="E129" s="172"/>
      <c r="F129" s="172"/>
      <c r="G129" s="172"/>
      <c r="H129" s="172"/>
      <c r="I129" s="172"/>
      <c r="J129" s="172"/>
      <c r="K129" s="172"/>
      <c r="L129" s="73"/>
      <c r="M129" s="73"/>
      <c r="N129" s="73"/>
      <c r="O129" s="73"/>
      <c r="P129" s="73"/>
      <c r="Q129" s="73"/>
      <c r="R129" s="73"/>
    </row>
    <row r="130" spans="1:18" ht="26" x14ac:dyDescent="0.35">
      <c r="A130" s="426"/>
      <c r="B130" s="427"/>
      <c r="C130" s="173" t="s">
        <v>44</v>
      </c>
      <c r="D130" s="187" t="s">
        <v>99</v>
      </c>
      <c r="E130" s="187" t="s">
        <v>100</v>
      </c>
      <c r="F130" s="187" t="s">
        <v>23</v>
      </c>
      <c r="G130" s="187" t="s">
        <v>101</v>
      </c>
      <c r="H130" s="187" t="s">
        <v>215</v>
      </c>
      <c r="I130" s="187" t="s">
        <v>216</v>
      </c>
      <c r="J130" s="187" t="s">
        <v>217</v>
      </c>
      <c r="K130" s="188" t="s">
        <v>218</v>
      </c>
      <c r="L130" s="73"/>
      <c r="M130" s="73"/>
      <c r="N130" s="73"/>
      <c r="O130" s="73"/>
      <c r="P130" s="73"/>
      <c r="Q130" s="73"/>
      <c r="R130" s="73"/>
    </row>
    <row r="131" spans="1:18" x14ac:dyDescent="0.35">
      <c r="A131" s="431" t="str">
        <f>A97</f>
        <v>Payoffs Q3</v>
      </c>
      <c r="B131" s="432" t="str">
        <f>B97</f>
        <v>Let's say implementation of the STATUS QUO IN-SITU PLAN = UNSUCCESSFUL. 
At the end of the planning time horizon, what will be the CHANGE (as a % relative to current population size) in population size IN THE WILD?</v>
      </c>
      <c r="C131" s="174" t="s">
        <v>45</v>
      </c>
      <c r="D131" s="190" t="str">
        <f>IF('4.3 Elicitation data entry'!$C$22="","",'4.3 Elicitation data entry'!$C$22)</f>
        <v/>
      </c>
      <c r="E131" s="190" t="str">
        <f>IF('4.3 Elicitation data entry'!$D$22="","",'4.3 Elicitation data entry'!$D$22)</f>
        <v/>
      </c>
      <c r="F131" s="190" t="str">
        <f>IF('4.3 Elicitation data entry'!$E$22="","",'4.3 Elicitation data entry'!$E$22)</f>
        <v/>
      </c>
      <c r="G131" s="190" t="str">
        <f>IF('4.3 Elicitation data entry'!$F$22="","",'4.3 Elicitation data entry'!$F$22)</f>
        <v/>
      </c>
      <c r="H131" s="190" t="str">
        <f t="shared" ref="H131:H136" si="12">IF($F131="","",F131-J131)</f>
        <v/>
      </c>
      <c r="I131" s="191" t="str">
        <f t="shared" ref="I131:I136" si="13">IF($F131="","",K131-F131)</f>
        <v/>
      </c>
      <c r="J131" s="192" t="str">
        <f t="shared" ref="J131:J136" si="14">IF($F131="","",IF(F131-((F131-D131)/G131)*90&lt;-100,-100,F131-((F131-D131)/G131)*90))</f>
        <v/>
      </c>
      <c r="K131" s="193" t="str">
        <f t="shared" ref="K131:K136" si="15">IF($F131="","",(F131-((F131-E131)/G131)*90))</f>
        <v/>
      </c>
      <c r="L131" s="73"/>
      <c r="M131" s="73"/>
      <c r="N131" s="73"/>
      <c r="O131" s="73"/>
      <c r="P131" s="73"/>
      <c r="Q131" s="73"/>
      <c r="R131" s="73"/>
    </row>
    <row r="132" spans="1:18" x14ac:dyDescent="0.35">
      <c r="A132" s="431"/>
      <c r="B132" s="432"/>
      <c r="C132" s="174" t="s">
        <v>46</v>
      </c>
      <c r="D132" s="190" t="str">
        <f>IF('4.3 Elicitation data entry'!$H$22="","",'4.3 Elicitation data entry'!$H$22)</f>
        <v/>
      </c>
      <c r="E132" s="190" t="str">
        <f>IF('4.3 Elicitation data entry'!$I$22="","",'4.3 Elicitation data entry'!$I$22)</f>
        <v/>
      </c>
      <c r="F132" s="190" t="str">
        <f>IF('4.3 Elicitation data entry'!$J$22="","",'4.3 Elicitation data entry'!$J$22)</f>
        <v/>
      </c>
      <c r="G132" s="190" t="str">
        <f>IF('4.3 Elicitation data entry'!$K$22="","",'4.3 Elicitation data entry'!$K$22)</f>
        <v/>
      </c>
      <c r="H132" s="190" t="str">
        <f t="shared" si="12"/>
        <v/>
      </c>
      <c r="I132" s="191" t="str">
        <f t="shared" si="13"/>
        <v/>
      </c>
      <c r="J132" s="192" t="str">
        <f t="shared" si="14"/>
        <v/>
      </c>
      <c r="K132" s="193" t="str">
        <f t="shared" si="15"/>
        <v/>
      </c>
      <c r="L132" s="73"/>
      <c r="M132" s="73"/>
      <c r="N132" s="73"/>
      <c r="O132" s="73"/>
      <c r="P132" s="73"/>
      <c r="Q132" s="73"/>
      <c r="R132" s="73"/>
    </row>
    <row r="133" spans="1:18" x14ac:dyDescent="0.35">
      <c r="A133" s="431"/>
      <c r="B133" s="432"/>
      <c r="C133" s="174" t="s">
        <v>47</v>
      </c>
      <c r="D133" s="190" t="str">
        <f>IF('4.3 Elicitation data entry'!$M$22="","",'4.3 Elicitation data entry'!$M$22)</f>
        <v/>
      </c>
      <c r="E133" s="190" t="str">
        <f>IF('4.3 Elicitation data entry'!$N$22="","",'4.3 Elicitation data entry'!$N$22)</f>
        <v/>
      </c>
      <c r="F133" s="190" t="str">
        <f>IF('4.3 Elicitation data entry'!$O$22="","",'4.3 Elicitation data entry'!$O$22)</f>
        <v/>
      </c>
      <c r="G133" s="190" t="str">
        <f>IF('4.3 Elicitation data entry'!$P$22="","",'4.3 Elicitation data entry'!$P$22)</f>
        <v/>
      </c>
      <c r="H133" s="190" t="str">
        <f t="shared" si="12"/>
        <v/>
      </c>
      <c r="I133" s="191" t="str">
        <f t="shared" si="13"/>
        <v/>
      </c>
      <c r="J133" s="192" t="str">
        <f t="shared" si="14"/>
        <v/>
      </c>
      <c r="K133" s="193" t="str">
        <f t="shared" si="15"/>
        <v/>
      </c>
      <c r="L133" s="73"/>
      <c r="M133" s="73"/>
      <c r="N133" s="73"/>
      <c r="O133" s="73"/>
      <c r="P133" s="73"/>
      <c r="Q133" s="73"/>
      <c r="R133" s="73"/>
    </row>
    <row r="134" spans="1:18" x14ac:dyDescent="0.35">
      <c r="A134" s="431"/>
      <c r="B134" s="432"/>
      <c r="C134" s="174" t="s">
        <v>48</v>
      </c>
      <c r="D134" s="190" t="str">
        <f>IF('4.3 Elicitation data entry'!$R$22="","",'4.3 Elicitation data entry'!$R$22)</f>
        <v/>
      </c>
      <c r="E134" s="190" t="str">
        <f>IF('4.3 Elicitation data entry'!$S$22="","",'4.3 Elicitation data entry'!$S$22)</f>
        <v/>
      </c>
      <c r="F134" s="190" t="str">
        <f>IF('4.3 Elicitation data entry'!$T$22="","",'4.3 Elicitation data entry'!$T$22)</f>
        <v/>
      </c>
      <c r="G134" s="190" t="str">
        <f>IF('4.3 Elicitation data entry'!$U$22="","",'4.3 Elicitation data entry'!$U$22)</f>
        <v/>
      </c>
      <c r="H134" s="190" t="str">
        <f t="shared" si="12"/>
        <v/>
      </c>
      <c r="I134" s="191" t="str">
        <f t="shared" si="13"/>
        <v/>
      </c>
      <c r="J134" s="192" t="str">
        <f t="shared" si="14"/>
        <v/>
      </c>
      <c r="K134" s="193" t="str">
        <f t="shared" si="15"/>
        <v/>
      </c>
      <c r="L134" s="73"/>
      <c r="M134" s="73"/>
      <c r="N134" s="73"/>
      <c r="O134" s="73"/>
      <c r="P134" s="73"/>
      <c r="Q134" s="73"/>
      <c r="R134" s="73"/>
    </row>
    <row r="135" spans="1:18" x14ac:dyDescent="0.35">
      <c r="A135" s="431"/>
      <c r="B135" s="432"/>
      <c r="C135" s="174" t="s">
        <v>49</v>
      </c>
      <c r="D135" s="190" t="str">
        <f>IF('4.3 Elicitation data entry'!$W$22="","",'4.3 Elicitation data entry'!$W$22)</f>
        <v/>
      </c>
      <c r="E135" s="190" t="str">
        <f>IF('4.3 Elicitation data entry'!$X$22="","",'4.3 Elicitation data entry'!$X$22)</f>
        <v/>
      </c>
      <c r="F135" s="190" t="str">
        <f>IF('4.3 Elicitation data entry'!$Y$22="","",'4.3 Elicitation data entry'!$Y$22)</f>
        <v/>
      </c>
      <c r="G135" s="190" t="str">
        <f>IF('4.3 Elicitation data entry'!$Z$22="","",'4.3 Elicitation data entry'!$Z$22)</f>
        <v/>
      </c>
      <c r="H135" s="190" t="str">
        <f t="shared" si="12"/>
        <v/>
      </c>
      <c r="I135" s="191" t="str">
        <f t="shared" si="13"/>
        <v/>
      </c>
      <c r="J135" s="192" t="str">
        <f t="shared" si="14"/>
        <v/>
      </c>
      <c r="K135" s="193" t="str">
        <f t="shared" si="15"/>
        <v/>
      </c>
      <c r="L135" s="73"/>
      <c r="M135" s="73"/>
      <c r="N135" s="73"/>
      <c r="O135" s="73"/>
      <c r="P135" s="73"/>
      <c r="Q135" s="73"/>
      <c r="R135" s="73"/>
    </row>
    <row r="136" spans="1:18" x14ac:dyDescent="0.35">
      <c r="A136" s="431"/>
      <c r="B136" s="432"/>
      <c r="C136" s="174" t="s">
        <v>50</v>
      </c>
      <c r="D136" s="190" t="str">
        <f>IF('4.3 Elicitation data entry'!$AB$22="","",'4.3 Elicitation data entry'!$AB$22)</f>
        <v/>
      </c>
      <c r="E136" s="190" t="str">
        <f>IF('4.3 Elicitation data entry'!$AC$22="","",'4.3 Elicitation data entry'!$AC$22)</f>
        <v/>
      </c>
      <c r="F136" s="190" t="str">
        <f>IF('4.3 Elicitation data entry'!$AD$22="","",'4.3 Elicitation data entry'!$AD$22)</f>
        <v/>
      </c>
      <c r="G136" s="190" t="str">
        <f>IF('4.3 Elicitation data entry'!$AE$22="","",'4.3 Elicitation data entry'!$AE$22)</f>
        <v/>
      </c>
      <c r="H136" s="190" t="str">
        <f t="shared" si="12"/>
        <v/>
      </c>
      <c r="I136" s="191" t="str">
        <f t="shared" si="13"/>
        <v/>
      </c>
      <c r="J136" s="192" t="str">
        <f t="shared" si="14"/>
        <v/>
      </c>
      <c r="K136" s="193" t="str">
        <f t="shared" si="15"/>
        <v/>
      </c>
      <c r="L136" s="73"/>
      <c r="M136" s="73"/>
      <c r="N136" s="73"/>
      <c r="O136" s="73"/>
      <c r="P136" s="73"/>
      <c r="Q136" s="73"/>
      <c r="R136" s="73"/>
    </row>
    <row r="137" spans="1:18" x14ac:dyDescent="0.35">
      <c r="A137" s="175"/>
      <c r="B137" s="176" t="s">
        <v>51</v>
      </c>
      <c r="C137" s="177" t="s">
        <v>52</v>
      </c>
      <c r="D137" s="190" t="e">
        <f t="shared" ref="D137:I137" si="16">AVERAGE(D131:D136)</f>
        <v>#DIV/0!</v>
      </c>
      <c r="E137" s="194" t="e">
        <f t="shared" si="16"/>
        <v>#DIV/0!</v>
      </c>
      <c r="F137" s="194" t="e">
        <f t="shared" si="16"/>
        <v>#DIV/0!</v>
      </c>
      <c r="G137" s="194" t="e">
        <f t="shared" si="16"/>
        <v>#DIV/0!</v>
      </c>
      <c r="H137" s="190" t="e">
        <f t="shared" si="16"/>
        <v>#DIV/0!</v>
      </c>
      <c r="I137" s="190" t="e">
        <f t="shared" si="16"/>
        <v>#DIV/0!</v>
      </c>
      <c r="J137" s="192" t="e">
        <f>IF((F137-((F137-D137)/G137)*90)&lt;-100,-100,(F137-((F137-D137)/G137)*90))</f>
        <v>#DIV/0!</v>
      </c>
      <c r="K137" s="193" t="e">
        <f>IF((F137-((F137-E137)/G137)*90)&lt;-100,-100,(F137-((F137-E137)/G137)*90))</f>
        <v>#DIV/0!</v>
      </c>
      <c r="L137" s="73"/>
      <c r="M137" s="73"/>
      <c r="N137" s="73"/>
      <c r="O137" s="73"/>
      <c r="P137" s="73"/>
      <c r="Q137" s="73"/>
      <c r="R137" s="73"/>
    </row>
    <row r="138" spans="1:18" x14ac:dyDescent="0.35">
      <c r="A138" s="178"/>
      <c r="B138" s="179"/>
      <c r="C138" s="180" t="s">
        <v>53</v>
      </c>
      <c r="D138" s="196" t="e">
        <f t="shared" ref="D138:K138" si="17">STDEV(D131:D136)/SQRT(COUNT(D131:D136))</f>
        <v>#DIV/0!</v>
      </c>
      <c r="E138" s="196" t="e">
        <f t="shared" si="17"/>
        <v>#DIV/0!</v>
      </c>
      <c r="F138" s="196" t="e">
        <f t="shared" si="17"/>
        <v>#DIV/0!</v>
      </c>
      <c r="G138" s="196" t="e">
        <f t="shared" si="17"/>
        <v>#DIV/0!</v>
      </c>
      <c r="H138" s="197" t="e">
        <f t="shared" si="17"/>
        <v>#DIV/0!</v>
      </c>
      <c r="I138" s="197" t="e">
        <f t="shared" si="17"/>
        <v>#DIV/0!</v>
      </c>
      <c r="J138" s="197" t="e">
        <f t="shared" si="17"/>
        <v>#DIV/0!</v>
      </c>
      <c r="K138" s="198" t="e">
        <f t="shared" si="17"/>
        <v>#DIV/0!</v>
      </c>
      <c r="L138" s="73"/>
      <c r="M138" s="73"/>
      <c r="N138" s="73"/>
      <c r="O138" s="73"/>
      <c r="P138" s="73"/>
      <c r="Q138" s="73"/>
      <c r="R138" s="73"/>
    </row>
    <row r="139" spans="1:18" x14ac:dyDescent="0.35">
      <c r="A139" s="22"/>
      <c r="B139" s="21"/>
      <c r="C139" s="21"/>
      <c r="D139" s="21"/>
      <c r="E139" s="21"/>
      <c r="F139" s="73"/>
      <c r="G139" s="73"/>
      <c r="H139" s="73"/>
      <c r="L139" s="73"/>
      <c r="M139" s="73"/>
      <c r="N139" s="73"/>
      <c r="O139" s="73"/>
      <c r="P139" s="73"/>
      <c r="Q139" s="73"/>
      <c r="R139" s="73"/>
    </row>
    <row r="140" spans="1:18" x14ac:dyDescent="0.35">
      <c r="A140" s="22"/>
      <c r="B140" s="21"/>
      <c r="C140" s="21"/>
      <c r="D140" s="21"/>
      <c r="E140" s="21"/>
      <c r="F140" s="73"/>
      <c r="G140" s="73"/>
      <c r="H140" s="73"/>
      <c r="L140" s="73"/>
      <c r="M140" s="73"/>
      <c r="N140" s="73"/>
      <c r="O140" s="73"/>
      <c r="P140" s="73"/>
      <c r="Q140" s="73"/>
      <c r="R140" s="73"/>
    </row>
    <row r="141" spans="1:18" x14ac:dyDescent="0.35">
      <c r="A141" s="22"/>
      <c r="B141" s="21"/>
      <c r="C141" s="21"/>
      <c r="D141" s="21"/>
      <c r="E141" s="21"/>
      <c r="F141" s="73"/>
      <c r="G141" s="73"/>
      <c r="H141" s="73"/>
      <c r="L141" s="73"/>
      <c r="M141" s="73"/>
      <c r="N141" s="73"/>
      <c r="O141" s="73"/>
      <c r="P141" s="73"/>
      <c r="Q141" s="73"/>
      <c r="R141" s="73"/>
    </row>
    <row r="142" spans="1:18" x14ac:dyDescent="0.35">
      <c r="A142" s="22"/>
      <c r="B142" s="21"/>
      <c r="C142" s="21"/>
      <c r="D142" s="21"/>
      <c r="E142" s="21"/>
      <c r="F142" s="73"/>
      <c r="G142" s="73"/>
      <c r="H142" s="73"/>
      <c r="L142" s="73"/>
      <c r="M142" s="73"/>
      <c r="N142" s="73"/>
      <c r="O142" s="73"/>
      <c r="P142" s="73"/>
      <c r="Q142" s="73"/>
      <c r="R142" s="73"/>
    </row>
    <row r="143" spans="1:18" x14ac:dyDescent="0.35">
      <c r="A143" s="22"/>
      <c r="B143" s="21"/>
      <c r="C143" s="21"/>
      <c r="D143" s="21"/>
      <c r="E143" s="21"/>
      <c r="F143" s="73"/>
      <c r="G143" s="73"/>
      <c r="H143" s="73"/>
      <c r="L143" s="73"/>
      <c r="M143" s="73"/>
      <c r="N143" s="73"/>
      <c r="O143" s="73"/>
      <c r="P143" s="73"/>
      <c r="Q143" s="73"/>
      <c r="R143" s="73"/>
    </row>
    <row r="144" spans="1:18" ht="35.15" customHeight="1" x14ac:dyDescent="0.35">
      <c r="A144" s="164" t="s">
        <v>222</v>
      </c>
      <c r="B144" s="433" t="s">
        <v>123</v>
      </c>
      <c r="C144" s="434"/>
      <c r="D144" s="434"/>
      <c r="E144" s="434"/>
      <c r="F144" s="434"/>
      <c r="G144" s="434"/>
      <c r="H144" s="434"/>
      <c r="I144" s="434"/>
      <c r="J144" s="434"/>
      <c r="K144" s="435"/>
      <c r="L144" s="73"/>
      <c r="M144" s="73"/>
      <c r="N144" s="73"/>
      <c r="O144" s="73"/>
      <c r="P144" s="73"/>
      <c r="Q144" s="73"/>
      <c r="R144" s="73"/>
    </row>
    <row r="145" spans="1:18" x14ac:dyDescent="0.35">
      <c r="A145" s="73"/>
      <c r="B145" s="73"/>
      <c r="C145" s="73"/>
      <c r="D145" s="73"/>
      <c r="E145" s="73"/>
      <c r="F145" s="73"/>
      <c r="G145" s="73"/>
      <c r="H145" s="73"/>
      <c r="I145" s="73"/>
      <c r="J145" s="73"/>
      <c r="K145" s="73"/>
      <c r="L145" s="73"/>
      <c r="M145" s="73"/>
      <c r="N145" s="73"/>
      <c r="O145" s="73"/>
      <c r="P145" s="73"/>
      <c r="Q145" s="73"/>
      <c r="R145" s="73"/>
    </row>
    <row r="146" spans="1:18" x14ac:dyDescent="0.35">
      <c r="A146" s="73"/>
      <c r="B146" s="73"/>
      <c r="C146" s="73"/>
      <c r="D146" s="73"/>
      <c r="E146" s="73"/>
      <c r="F146" s="73"/>
      <c r="G146" s="73"/>
      <c r="H146" s="73"/>
      <c r="I146" s="73"/>
      <c r="J146" s="73"/>
      <c r="K146" s="73"/>
      <c r="L146" s="73"/>
      <c r="M146" s="73"/>
      <c r="N146" s="73"/>
      <c r="O146" s="73"/>
      <c r="P146" s="73"/>
      <c r="Q146" s="73"/>
      <c r="R146" s="73"/>
    </row>
    <row r="147" spans="1:18" x14ac:dyDescent="0.35">
      <c r="A147" s="73"/>
      <c r="B147" s="73"/>
      <c r="C147" s="73"/>
      <c r="D147" s="73"/>
      <c r="E147" s="73"/>
      <c r="F147" s="73"/>
      <c r="G147" s="73"/>
      <c r="H147" s="73"/>
      <c r="I147" s="73"/>
      <c r="J147" s="73"/>
      <c r="K147" s="73"/>
      <c r="L147" s="73"/>
      <c r="M147" s="73"/>
      <c r="N147" s="73"/>
      <c r="O147" s="73"/>
      <c r="P147" s="73"/>
      <c r="Q147" s="73"/>
      <c r="R147" s="73"/>
    </row>
    <row r="148" spans="1:18" x14ac:dyDescent="0.35">
      <c r="A148" s="73"/>
      <c r="B148" s="73"/>
      <c r="C148" s="73"/>
      <c r="D148" s="73"/>
      <c r="E148" s="73"/>
      <c r="F148" s="73"/>
      <c r="G148" s="73"/>
      <c r="H148" s="73"/>
      <c r="I148" s="73"/>
      <c r="J148" s="73"/>
      <c r="K148" s="73"/>
      <c r="L148" s="73"/>
      <c r="M148" s="73"/>
      <c r="N148" s="73"/>
      <c r="O148" s="73"/>
      <c r="P148" s="73"/>
      <c r="Q148" s="73"/>
      <c r="R148" s="73"/>
    </row>
    <row r="149" spans="1:18" x14ac:dyDescent="0.35">
      <c r="A149" s="73"/>
      <c r="B149" s="73"/>
      <c r="C149" s="73"/>
      <c r="D149" s="73"/>
      <c r="E149" s="73"/>
      <c r="F149" s="73"/>
      <c r="G149" s="73"/>
      <c r="H149" s="73"/>
      <c r="I149" s="73"/>
      <c r="J149" s="73"/>
      <c r="K149" s="73"/>
      <c r="L149" s="73"/>
      <c r="M149" s="73"/>
      <c r="N149" s="73"/>
      <c r="O149" s="73"/>
      <c r="P149" s="73"/>
      <c r="Q149" s="73"/>
      <c r="R149" s="73"/>
    </row>
    <row r="150" spans="1:18" x14ac:dyDescent="0.35">
      <c r="A150" s="73"/>
      <c r="B150" s="73"/>
      <c r="C150" s="73"/>
      <c r="D150" s="73"/>
      <c r="E150" s="73"/>
      <c r="F150" s="73"/>
      <c r="G150" s="73"/>
      <c r="H150" s="73"/>
      <c r="I150" s="73"/>
      <c r="J150" s="73"/>
      <c r="K150" s="73"/>
      <c r="L150" s="73"/>
      <c r="M150" s="73"/>
      <c r="N150" s="73"/>
      <c r="O150" s="73"/>
      <c r="P150" s="73"/>
      <c r="Q150" s="73"/>
      <c r="R150" s="73"/>
    </row>
    <row r="151" spans="1:18" x14ac:dyDescent="0.35">
      <c r="A151" s="73"/>
      <c r="B151" s="73"/>
      <c r="C151" s="73"/>
      <c r="D151" s="73"/>
      <c r="E151" s="73"/>
      <c r="F151" s="73"/>
      <c r="G151" s="73"/>
      <c r="H151" s="73"/>
      <c r="I151" s="73"/>
      <c r="J151" s="73"/>
      <c r="K151" s="73"/>
      <c r="L151" s="73"/>
      <c r="M151" s="73"/>
      <c r="N151" s="73"/>
      <c r="O151" s="73"/>
      <c r="P151" s="73"/>
      <c r="Q151" s="73"/>
      <c r="R151" s="73"/>
    </row>
    <row r="152" spans="1:18" x14ac:dyDescent="0.35">
      <c r="A152" s="73"/>
      <c r="B152" s="73"/>
      <c r="C152" s="73"/>
      <c r="D152" s="73"/>
      <c r="E152" s="73"/>
      <c r="F152" s="73"/>
      <c r="G152" s="73"/>
      <c r="H152" s="73"/>
      <c r="I152" s="73"/>
      <c r="J152" s="73"/>
      <c r="K152" s="73"/>
      <c r="L152" s="73"/>
      <c r="M152" s="73"/>
      <c r="N152" s="73"/>
      <c r="O152" s="73"/>
      <c r="P152" s="73"/>
      <c r="Q152" s="73"/>
      <c r="R152" s="73"/>
    </row>
    <row r="153" spans="1:18" x14ac:dyDescent="0.35">
      <c r="A153" s="73"/>
      <c r="B153" s="73"/>
      <c r="C153" s="73"/>
      <c r="D153" s="73"/>
      <c r="E153" s="73"/>
      <c r="F153" s="73"/>
      <c r="G153" s="73"/>
      <c r="H153" s="73"/>
      <c r="I153" s="73"/>
      <c r="J153" s="73"/>
      <c r="K153" s="73"/>
      <c r="L153" s="73"/>
      <c r="M153" s="73"/>
      <c r="N153" s="73"/>
      <c r="O153" s="73"/>
      <c r="P153" s="73"/>
      <c r="Q153" s="73"/>
      <c r="R153" s="73"/>
    </row>
    <row r="154" spans="1:18" x14ac:dyDescent="0.35">
      <c r="A154" s="73"/>
      <c r="B154" s="73"/>
      <c r="C154" s="73"/>
      <c r="D154" s="73"/>
      <c r="E154" s="73"/>
      <c r="F154" s="73"/>
      <c r="G154" s="73"/>
      <c r="H154" s="73"/>
      <c r="I154" s="73"/>
      <c r="J154" s="73"/>
      <c r="K154" s="73"/>
      <c r="L154" s="73"/>
      <c r="M154" s="73"/>
      <c r="N154" s="73"/>
      <c r="O154" s="73"/>
      <c r="P154" s="73"/>
      <c r="Q154" s="73"/>
      <c r="R154" s="73"/>
    </row>
    <row r="155" spans="1:18" x14ac:dyDescent="0.35">
      <c r="A155" s="73"/>
      <c r="B155" s="73"/>
      <c r="C155" s="73"/>
      <c r="D155" s="73"/>
      <c r="E155" s="73"/>
      <c r="F155" s="73"/>
      <c r="G155" s="73"/>
      <c r="H155" s="73"/>
      <c r="I155" s="73"/>
      <c r="J155" s="73"/>
      <c r="K155" s="73"/>
      <c r="L155" s="73"/>
      <c r="M155" s="73"/>
      <c r="N155" s="73"/>
      <c r="O155" s="73"/>
      <c r="P155" s="73"/>
      <c r="Q155" s="73"/>
      <c r="R155" s="73"/>
    </row>
    <row r="156" spans="1:18" x14ac:dyDescent="0.35">
      <c r="A156" s="73"/>
      <c r="B156" s="73"/>
      <c r="C156" s="73"/>
      <c r="D156" s="73"/>
      <c r="E156" s="73"/>
      <c r="F156" s="73"/>
      <c r="G156" s="73"/>
      <c r="H156" s="73"/>
      <c r="I156" s="73"/>
      <c r="J156" s="73"/>
      <c r="K156" s="73"/>
      <c r="L156" s="73"/>
      <c r="M156" s="73"/>
      <c r="N156" s="73"/>
      <c r="O156" s="73"/>
      <c r="P156" s="73"/>
      <c r="Q156" s="73"/>
      <c r="R156" s="73"/>
    </row>
    <row r="157" spans="1:18" x14ac:dyDescent="0.35">
      <c r="A157" s="73"/>
      <c r="B157" s="73"/>
      <c r="C157" s="73"/>
      <c r="D157" s="73"/>
      <c r="E157" s="73"/>
      <c r="F157" s="73"/>
      <c r="G157" s="73"/>
      <c r="H157" s="73"/>
      <c r="I157" s="73"/>
      <c r="J157" s="73"/>
      <c r="K157" s="73"/>
      <c r="L157" s="73"/>
      <c r="M157" s="73"/>
      <c r="N157" s="73"/>
      <c r="O157" s="73"/>
      <c r="P157" s="73"/>
      <c r="Q157" s="73"/>
      <c r="R157" s="73"/>
    </row>
    <row r="158" spans="1:18" x14ac:dyDescent="0.35">
      <c r="A158" s="73"/>
      <c r="B158" s="73"/>
      <c r="C158" s="73"/>
      <c r="D158" s="73"/>
      <c r="E158" s="73"/>
      <c r="F158" s="73"/>
      <c r="G158" s="73"/>
      <c r="H158" s="73"/>
      <c r="I158" s="73"/>
      <c r="J158" s="73"/>
      <c r="K158" s="73"/>
      <c r="L158" s="73"/>
      <c r="M158" s="73"/>
      <c r="N158" s="73"/>
      <c r="O158" s="73"/>
      <c r="P158" s="73"/>
      <c r="Q158" s="73"/>
      <c r="R158" s="73"/>
    </row>
    <row r="159" spans="1:18" x14ac:dyDescent="0.35">
      <c r="A159" s="73"/>
      <c r="B159" s="73"/>
      <c r="C159" s="73"/>
      <c r="D159" s="73"/>
      <c r="E159" s="73"/>
      <c r="F159" s="73"/>
      <c r="G159" s="73"/>
      <c r="H159" s="73"/>
      <c r="I159" s="73"/>
      <c r="J159" s="73"/>
      <c r="K159" s="73"/>
      <c r="L159" s="73"/>
      <c r="M159" s="73"/>
      <c r="N159" s="73"/>
      <c r="O159" s="73"/>
      <c r="P159" s="73"/>
      <c r="Q159" s="73"/>
      <c r="R159" s="73"/>
    </row>
    <row r="160" spans="1:18" x14ac:dyDescent="0.35">
      <c r="A160" s="73"/>
      <c r="B160" s="73"/>
      <c r="C160" s="73"/>
      <c r="D160" s="73"/>
      <c r="E160" s="73"/>
      <c r="F160" s="73"/>
      <c r="G160" s="73"/>
      <c r="H160" s="73"/>
      <c r="I160" s="73"/>
      <c r="J160" s="73"/>
      <c r="K160" s="73"/>
      <c r="L160" s="73"/>
      <c r="M160" s="73"/>
      <c r="N160" s="73"/>
      <c r="O160" s="73"/>
      <c r="P160" s="73"/>
      <c r="Q160" s="73"/>
      <c r="R160" s="73"/>
    </row>
    <row r="161" spans="1:18" x14ac:dyDescent="0.35">
      <c r="A161" s="73"/>
      <c r="B161" s="73"/>
      <c r="C161" s="73"/>
      <c r="D161" s="73"/>
      <c r="E161" s="73"/>
      <c r="F161" s="73"/>
      <c r="G161" s="73"/>
      <c r="H161" s="73"/>
      <c r="I161" s="73"/>
      <c r="J161" s="73"/>
      <c r="K161" s="73"/>
      <c r="L161" s="73"/>
      <c r="M161" s="73"/>
      <c r="N161" s="73"/>
      <c r="O161" s="73"/>
      <c r="P161" s="73"/>
      <c r="Q161" s="73"/>
      <c r="R161" s="73"/>
    </row>
    <row r="162" spans="1:18" x14ac:dyDescent="0.35">
      <c r="A162" s="73"/>
      <c r="B162" s="73"/>
      <c r="C162" s="73"/>
      <c r="D162" s="73"/>
      <c r="E162" s="73"/>
      <c r="F162" s="73"/>
      <c r="G162" s="73"/>
      <c r="H162" s="73"/>
      <c r="I162" s="73"/>
      <c r="J162" s="73"/>
      <c r="K162" s="73"/>
      <c r="L162" s="73"/>
      <c r="M162" s="73"/>
      <c r="N162" s="73"/>
      <c r="O162" s="73"/>
      <c r="P162" s="73"/>
      <c r="Q162" s="73"/>
      <c r="R162" s="73"/>
    </row>
    <row r="163" spans="1:18" x14ac:dyDescent="0.35">
      <c r="A163" s="73"/>
      <c r="B163" s="73"/>
      <c r="C163" s="73"/>
      <c r="D163" s="73"/>
      <c r="E163" s="73"/>
      <c r="F163" s="73"/>
      <c r="G163" s="73"/>
      <c r="H163" s="73"/>
      <c r="I163" s="73"/>
      <c r="J163" s="73"/>
      <c r="K163" s="73"/>
      <c r="L163" s="73"/>
      <c r="M163" s="73"/>
      <c r="N163" s="73"/>
      <c r="O163" s="73"/>
      <c r="P163" s="73"/>
      <c r="Q163" s="73"/>
      <c r="R163" s="73"/>
    </row>
    <row r="164" spans="1:18" x14ac:dyDescent="0.35">
      <c r="A164" s="73"/>
      <c r="B164" s="73"/>
      <c r="C164" s="73"/>
      <c r="D164" s="73"/>
      <c r="E164" s="73"/>
      <c r="F164" s="73"/>
      <c r="G164" s="73"/>
      <c r="H164" s="73"/>
      <c r="I164" s="73"/>
      <c r="J164" s="73"/>
      <c r="K164" s="73"/>
      <c r="L164" s="73"/>
      <c r="M164" s="73"/>
      <c r="N164" s="73"/>
      <c r="O164" s="73"/>
      <c r="P164" s="73"/>
      <c r="Q164" s="73"/>
      <c r="R164" s="73"/>
    </row>
    <row r="165" spans="1:18" x14ac:dyDescent="0.35">
      <c r="A165" s="73"/>
      <c r="B165" s="73"/>
      <c r="C165" s="73"/>
      <c r="D165" s="73"/>
      <c r="E165" s="73"/>
      <c r="F165" s="73"/>
      <c r="G165" s="73"/>
      <c r="H165" s="73"/>
      <c r="I165" s="73"/>
      <c r="J165" s="73"/>
      <c r="K165" s="73"/>
      <c r="L165" s="73"/>
      <c r="M165" s="73"/>
      <c r="N165" s="73"/>
      <c r="O165" s="73"/>
      <c r="P165" s="73"/>
      <c r="Q165" s="73"/>
      <c r="R165" s="73"/>
    </row>
    <row r="166" spans="1:18" x14ac:dyDescent="0.35">
      <c r="A166" s="73"/>
      <c r="B166" s="73"/>
      <c r="C166" s="73"/>
      <c r="D166" s="73"/>
      <c r="E166" s="73"/>
      <c r="F166" s="73"/>
      <c r="G166" s="73"/>
      <c r="H166" s="73"/>
      <c r="I166" s="73"/>
      <c r="J166" s="73"/>
      <c r="K166" s="73"/>
      <c r="L166" s="73"/>
      <c r="M166" s="73"/>
      <c r="N166" s="73"/>
      <c r="O166" s="73"/>
      <c r="P166" s="73"/>
      <c r="Q166" s="73"/>
      <c r="R166" s="73"/>
    </row>
    <row r="167" spans="1:18" x14ac:dyDescent="0.35">
      <c r="A167" s="73"/>
      <c r="B167" s="73"/>
      <c r="C167" s="73"/>
      <c r="D167" s="73"/>
      <c r="E167" s="73"/>
      <c r="F167" s="73"/>
      <c r="G167" s="73"/>
      <c r="H167" s="73"/>
      <c r="I167" s="73"/>
      <c r="J167" s="73"/>
      <c r="K167" s="73"/>
      <c r="L167" s="73"/>
      <c r="M167" s="73"/>
      <c r="N167" s="73"/>
      <c r="O167" s="73"/>
      <c r="P167" s="73"/>
      <c r="Q167" s="73"/>
      <c r="R167" s="73"/>
    </row>
    <row r="168" spans="1:18" x14ac:dyDescent="0.35">
      <c r="A168" s="73"/>
      <c r="B168" s="73"/>
      <c r="C168" s="73"/>
      <c r="D168" s="73"/>
      <c r="E168" s="73"/>
      <c r="F168" s="73"/>
      <c r="G168" s="73"/>
      <c r="H168" s="73"/>
      <c r="I168" s="73"/>
      <c r="J168" s="73"/>
      <c r="K168" s="73"/>
      <c r="L168" s="73"/>
      <c r="M168" s="73"/>
      <c r="N168" s="73"/>
      <c r="O168" s="73"/>
      <c r="P168" s="73"/>
      <c r="Q168" s="73"/>
      <c r="R168" s="73"/>
    </row>
    <row r="169" spans="1:18" x14ac:dyDescent="0.35">
      <c r="A169" s="73"/>
      <c r="B169" s="73"/>
      <c r="C169" s="73"/>
      <c r="D169" s="73"/>
      <c r="E169" s="73"/>
      <c r="F169" s="73"/>
      <c r="G169" s="73"/>
      <c r="H169" s="73"/>
      <c r="I169" s="73"/>
      <c r="J169" s="73"/>
      <c r="K169" s="73"/>
      <c r="L169" s="73"/>
      <c r="M169" s="73"/>
      <c r="N169" s="73"/>
      <c r="O169" s="73"/>
      <c r="P169" s="73"/>
      <c r="Q169" s="73"/>
      <c r="R169" s="73"/>
    </row>
    <row r="170" spans="1:18" x14ac:dyDescent="0.35">
      <c r="A170" s="73"/>
      <c r="B170" s="73"/>
      <c r="C170" s="73"/>
      <c r="D170" s="73"/>
      <c r="E170" s="73"/>
      <c r="F170" s="73"/>
      <c r="G170" s="73"/>
      <c r="H170" s="73"/>
      <c r="I170" s="73"/>
      <c r="J170" s="73"/>
      <c r="K170" s="73"/>
      <c r="L170" s="73"/>
      <c r="M170" s="73"/>
      <c r="N170" s="73"/>
      <c r="O170" s="73"/>
      <c r="P170" s="73"/>
      <c r="Q170" s="73"/>
      <c r="R170" s="73"/>
    </row>
    <row r="171" spans="1:18" x14ac:dyDescent="0.35">
      <c r="A171" s="73"/>
      <c r="B171" s="73"/>
      <c r="C171" s="73"/>
      <c r="D171" s="73"/>
      <c r="E171" s="73"/>
      <c r="F171" s="73"/>
      <c r="G171" s="73"/>
      <c r="H171" s="73"/>
      <c r="I171" s="73"/>
      <c r="J171" s="73"/>
      <c r="K171" s="73"/>
      <c r="L171" s="73"/>
      <c r="M171" s="73"/>
      <c r="N171" s="73"/>
      <c r="O171" s="73"/>
      <c r="P171" s="73"/>
      <c r="Q171" s="73"/>
      <c r="R171" s="73"/>
    </row>
    <row r="172" spans="1:18" x14ac:dyDescent="0.35">
      <c r="A172" s="73"/>
      <c r="B172" s="73"/>
      <c r="C172" s="73"/>
      <c r="D172" s="73"/>
      <c r="E172" s="73"/>
      <c r="F172" s="73"/>
      <c r="G172" s="73"/>
      <c r="H172" s="73"/>
      <c r="I172" s="73"/>
      <c r="J172" s="73"/>
      <c r="K172" s="73"/>
      <c r="L172" s="73"/>
      <c r="M172" s="73"/>
      <c r="N172" s="73"/>
      <c r="O172" s="73"/>
      <c r="P172" s="73"/>
      <c r="Q172" s="73"/>
      <c r="R172" s="73"/>
    </row>
    <row r="173" spans="1:18" x14ac:dyDescent="0.35">
      <c r="A173" s="73"/>
      <c r="B173" s="73"/>
      <c r="C173" s="73"/>
      <c r="D173" s="73"/>
      <c r="E173" s="73"/>
      <c r="F173" s="73"/>
      <c r="G173" s="73"/>
      <c r="H173" s="73"/>
      <c r="I173" s="73"/>
      <c r="J173" s="73"/>
      <c r="K173" s="73"/>
      <c r="L173" s="73"/>
      <c r="M173" s="73"/>
      <c r="N173" s="73"/>
      <c r="O173" s="73"/>
      <c r="P173" s="73"/>
      <c r="Q173" s="73"/>
      <c r="R173" s="73"/>
    </row>
    <row r="174" spans="1:18" x14ac:dyDescent="0.35">
      <c r="A174" s="73"/>
      <c r="B174" s="73"/>
      <c r="C174" s="73"/>
      <c r="D174" s="73"/>
      <c r="E174" s="73"/>
      <c r="F174" s="73"/>
      <c r="G174" s="73"/>
      <c r="H174" s="73"/>
      <c r="I174" s="73"/>
      <c r="J174" s="73"/>
      <c r="K174" s="73"/>
      <c r="L174" s="73"/>
      <c r="M174" s="73"/>
      <c r="N174" s="73"/>
      <c r="O174" s="73"/>
      <c r="P174" s="73"/>
      <c r="Q174" s="73"/>
      <c r="R174" s="73"/>
    </row>
    <row r="175" spans="1:18" x14ac:dyDescent="0.35">
      <c r="A175" s="73"/>
      <c r="B175" s="73"/>
      <c r="C175" s="73"/>
      <c r="D175" s="73"/>
      <c r="E175" s="73"/>
      <c r="F175" s="73"/>
      <c r="G175" s="73"/>
      <c r="H175" s="73"/>
      <c r="I175" s="73"/>
      <c r="J175" s="73"/>
      <c r="K175" s="73"/>
      <c r="L175" s="73"/>
      <c r="M175" s="73"/>
      <c r="N175" s="73"/>
      <c r="O175" s="73"/>
      <c r="P175" s="73"/>
      <c r="Q175" s="73"/>
      <c r="R175" s="73"/>
    </row>
    <row r="176" spans="1:18" x14ac:dyDescent="0.35">
      <c r="A176" s="185"/>
      <c r="B176" s="172"/>
      <c r="C176" s="172"/>
      <c r="D176" s="172"/>
      <c r="E176" s="172"/>
      <c r="F176" s="172"/>
      <c r="G176" s="172"/>
      <c r="H176" s="172"/>
      <c r="I176" s="172"/>
      <c r="J176" s="172"/>
      <c r="K176" s="172"/>
      <c r="L176" s="73"/>
      <c r="M176" s="73"/>
      <c r="N176" s="73"/>
      <c r="O176" s="73"/>
      <c r="P176" s="73"/>
      <c r="Q176" s="73"/>
      <c r="R176" s="73"/>
    </row>
    <row r="177" spans="1:18" ht="26" x14ac:dyDescent="0.35">
      <c r="A177" s="426"/>
      <c r="B177" s="427"/>
      <c r="C177" s="173" t="s">
        <v>44</v>
      </c>
      <c r="D177" s="187" t="s">
        <v>99</v>
      </c>
      <c r="E177" s="187" t="s">
        <v>100</v>
      </c>
      <c r="F177" s="187" t="s">
        <v>23</v>
      </c>
      <c r="G177" s="187" t="s">
        <v>101</v>
      </c>
      <c r="H177" s="187" t="s">
        <v>215</v>
      </c>
      <c r="I177" s="187" t="s">
        <v>216</v>
      </c>
      <c r="J177" s="187" t="s">
        <v>217</v>
      </c>
      <c r="K177" s="188" t="s">
        <v>218</v>
      </c>
      <c r="L177" s="73"/>
      <c r="M177" s="73"/>
      <c r="N177" s="73"/>
      <c r="O177" s="73"/>
      <c r="P177" s="73"/>
      <c r="Q177" s="73"/>
      <c r="R177" s="73"/>
    </row>
    <row r="178" spans="1:18" x14ac:dyDescent="0.35">
      <c r="A178" s="431" t="str">
        <f>A144</f>
        <v>Payoffs Q4</v>
      </c>
      <c r="B178" s="432" t="str">
        <f>B144</f>
        <v>Let's say implementation of the IN-SITU PLUS PLAN = SUCCESSFUL. 
At the end of the planning time horizon, what will be the CHANGE (as a % relative to current population size) in population size IN THE WILD?</v>
      </c>
      <c r="C178" s="174" t="s">
        <v>45</v>
      </c>
      <c r="D178" s="190" t="str">
        <f>IF('4.3 Elicitation data entry'!$C$25="","",'4.3 Elicitation data entry'!$C$25)</f>
        <v/>
      </c>
      <c r="E178" s="190" t="str">
        <f>IF('4.3 Elicitation data entry'!$D$25="","",'4.3 Elicitation data entry'!$D$25)</f>
        <v/>
      </c>
      <c r="F178" s="190" t="str">
        <f>IF('4.3 Elicitation data entry'!$E$25="","",'4.3 Elicitation data entry'!$E$25)</f>
        <v/>
      </c>
      <c r="G178" s="190" t="str">
        <f>IF('4.3 Elicitation data entry'!$F$25="","",'4.3 Elicitation data entry'!$F$25)</f>
        <v/>
      </c>
      <c r="H178" s="190" t="str">
        <f t="shared" ref="H178:H183" si="18">IF($F178="","",F178-J178)</f>
        <v/>
      </c>
      <c r="I178" s="191" t="str">
        <f t="shared" ref="I178:I183" si="19">IF($F178="","",K178-F178)</f>
        <v/>
      </c>
      <c r="J178" s="192" t="str">
        <f t="shared" ref="J178:J183" si="20">IF($F178="","",IF(F178-((F178-D178)/G178)*90&lt;-100,-100,F178-((F178-D178)/G178)*90))</f>
        <v/>
      </c>
      <c r="K178" s="193" t="str">
        <f t="shared" ref="K178:K183" si="21">IF($F178="","",(F178-((F178-E178)/G178)*90))</f>
        <v/>
      </c>
      <c r="L178" s="73"/>
      <c r="M178" s="73"/>
      <c r="N178" s="73"/>
      <c r="O178" s="73"/>
      <c r="P178" s="73"/>
      <c r="Q178" s="73"/>
      <c r="R178" s="73"/>
    </row>
    <row r="179" spans="1:18" x14ac:dyDescent="0.35">
      <c r="A179" s="431"/>
      <c r="B179" s="432"/>
      <c r="C179" s="174" t="s">
        <v>46</v>
      </c>
      <c r="D179" s="190" t="str">
        <f>IF('4.3 Elicitation data entry'!$H$25="","",'4.3 Elicitation data entry'!$H$25)</f>
        <v/>
      </c>
      <c r="E179" s="190" t="str">
        <f>IF('4.3 Elicitation data entry'!$I$25="","",'4.3 Elicitation data entry'!$I$25)</f>
        <v/>
      </c>
      <c r="F179" s="190" t="str">
        <f>IF('4.3 Elicitation data entry'!$J$25="","",'4.3 Elicitation data entry'!$J$25)</f>
        <v/>
      </c>
      <c r="G179" s="190" t="str">
        <f>IF('4.3 Elicitation data entry'!$K$25="","",'4.3 Elicitation data entry'!$K$25)</f>
        <v/>
      </c>
      <c r="H179" s="190" t="str">
        <f t="shared" si="18"/>
        <v/>
      </c>
      <c r="I179" s="191" t="str">
        <f t="shared" si="19"/>
        <v/>
      </c>
      <c r="J179" s="192" t="str">
        <f t="shared" si="20"/>
        <v/>
      </c>
      <c r="K179" s="193" t="str">
        <f t="shared" si="21"/>
        <v/>
      </c>
      <c r="L179" s="73"/>
      <c r="M179" s="73"/>
      <c r="N179" s="73"/>
      <c r="O179" s="73"/>
      <c r="P179" s="73"/>
      <c r="Q179" s="73"/>
      <c r="R179" s="73"/>
    </row>
    <row r="180" spans="1:18" x14ac:dyDescent="0.35">
      <c r="A180" s="431"/>
      <c r="B180" s="432"/>
      <c r="C180" s="174" t="s">
        <v>47</v>
      </c>
      <c r="D180" s="190" t="str">
        <f>IF('4.3 Elicitation data entry'!$M$25="","",'4.3 Elicitation data entry'!$M$25)</f>
        <v/>
      </c>
      <c r="E180" s="190" t="str">
        <f>IF('4.3 Elicitation data entry'!$N$25="","",'4.3 Elicitation data entry'!$N$25)</f>
        <v/>
      </c>
      <c r="F180" s="190" t="str">
        <f>IF('4.3 Elicitation data entry'!$O$25="","",'4.3 Elicitation data entry'!$O$25)</f>
        <v/>
      </c>
      <c r="G180" s="190" t="str">
        <f>IF('4.3 Elicitation data entry'!$P$25="","",'4.3 Elicitation data entry'!$P$25)</f>
        <v/>
      </c>
      <c r="H180" s="190" t="str">
        <f t="shared" si="18"/>
        <v/>
      </c>
      <c r="I180" s="191" t="str">
        <f t="shared" si="19"/>
        <v/>
      </c>
      <c r="J180" s="192" t="str">
        <f t="shared" si="20"/>
        <v/>
      </c>
      <c r="K180" s="193" t="str">
        <f t="shared" si="21"/>
        <v/>
      </c>
      <c r="L180" s="73"/>
      <c r="M180" s="73"/>
      <c r="N180" s="73"/>
      <c r="O180" s="73"/>
      <c r="P180" s="73"/>
      <c r="Q180" s="73"/>
      <c r="R180" s="73"/>
    </row>
    <row r="181" spans="1:18" x14ac:dyDescent="0.35">
      <c r="A181" s="431"/>
      <c r="B181" s="432"/>
      <c r="C181" s="174" t="s">
        <v>48</v>
      </c>
      <c r="D181" s="190" t="str">
        <f>IF('4.3 Elicitation data entry'!$R$25="","",'4.3 Elicitation data entry'!$R$25)</f>
        <v/>
      </c>
      <c r="E181" s="190" t="str">
        <f>IF('4.3 Elicitation data entry'!$S$25="","",'4.3 Elicitation data entry'!$S$25)</f>
        <v/>
      </c>
      <c r="F181" s="190" t="str">
        <f>IF('4.3 Elicitation data entry'!$T$25="","",'4.3 Elicitation data entry'!$T$25)</f>
        <v/>
      </c>
      <c r="G181" s="190" t="str">
        <f>IF('4.3 Elicitation data entry'!$U$25="","",'4.3 Elicitation data entry'!$U$25)</f>
        <v/>
      </c>
      <c r="H181" s="190" t="str">
        <f t="shared" si="18"/>
        <v/>
      </c>
      <c r="I181" s="191" t="str">
        <f t="shared" si="19"/>
        <v/>
      </c>
      <c r="J181" s="192" t="str">
        <f t="shared" si="20"/>
        <v/>
      </c>
      <c r="K181" s="193" t="str">
        <f t="shared" si="21"/>
        <v/>
      </c>
      <c r="L181" s="73"/>
      <c r="M181" s="73"/>
      <c r="N181" s="73"/>
      <c r="O181" s="73"/>
      <c r="P181" s="73"/>
      <c r="Q181" s="73"/>
      <c r="R181" s="73"/>
    </row>
    <row r="182" spans="1:18" x14ac:dyDescent="0.35">
      <c r="A182" s="431"/>
      <c r="B182" s="432"/>
      <c r="C182" s="174" t="s">
        <v>49</v>
      </c>
      <c r="D182" s="190" t="str">
        <f>IF('4.3 Elicitation data entry'!$W$25="","",'4.3 Elicitation data entry'!$W$25)</f>
        <v/>
      </c>
      <c r="E182" s="190" t="str">
        <f>IF('4.3 Elicitation data entry'!$X$25="","",'4.3 Elicitation data entry'!$X$25)</f>
        <v/>
      </c>
      <c r="F182" s="190" t="str">
        <f>IF('4.3 Elicitation data entry'!$Y$25="","",'4.3 Elicitation data entry'!$Y$25)</f>
        <v/>
      </c>
      <c r="G182" s="190" t="str">
        <f>IF('4.3 Elicitation data entry'!$Z$25="","",'4.3 Elicitation data entry'!$Z$25)</f>
        <v/>
      </c>
      <c r="H182" s="190" t="str">
        <f t="shared" si="18"/>
        <v/>
      </c>
      <c r="I182" s="191" t="str">
        <f t="shared" si="19"/>
        <v/>
      </c>
      <c r="J182" s="192" t="str">
        <f t="shared" si="20"/>
        <v/>
      </c>
      <c r="K182" s="193" t="str">
        <f t="shared" si="21"/>
        <v/>
      </c>
      <c r="L182" s="73"/>
      <c r="M182" s="73"/>
      <c r="N182" s="73"/>
      <c r="O182" s="73"/>
      <c r="P182" s="73"/>
      <c r="Q182" s="73"/>
      <c r="R182" s="73"/>
    </row>
    <row r="183" spans="1:18" x14ac:dyDescent="0.35">
      <c r="A183" s="431"/>
      <c r="B183" s="432"/>
      <c r="C183" s="174" t="s">
        <v>50</v>
      </c>
      <c r="D183" s="190" t="str">
        <f>IF('4.3 Elicitation data entry'!$AB$25="","",'4.3 Elicitation data entry'!$AB$25)</f>
        <v/>
      </c>
      <c r="E183" s="190" t="str">
        <f>IF('4.3 Elicitation data entry'!$AC$25="","",'4.3 Elicitation data entry'!$AC$25)</f>
        <v/>
      </c>
      <c r="F183" s="190" t="str">
        <f>IF('4.3 Elicitation data entry'!$AD$25="","",'4.3 Elicitation data entry'!$AD$25)</f>
        <v/>
      </c>
      <c r="G183" s="190" t="str">
        <f>IF('4.3 Elicitation data entry'!$AE$25="","",'4.3 Elicitation data entry'!$AE$25)</f>
        <v/>
      </c>
      <c r="H183" s="190" t="str">
        <f t="shared" si="18"/>
        <v/>
      </c>
      <c r="I183" s="191" t="str">
        <f t="shared" si="19"/>
        <v/>
      </c>
      <c r="J183" s="192" t="str">
        <f t="shared" si="20"/>
        <v/>
      </c>
      <c r="K183" s="193" t="str">
        <f t="shared" si="21"/>
        <v/>
      </c>
      <c r="L183" s="73"/>
      <c r="M183" s="73"/>
      <c r="N183" s="73"/>
      <c r="O183" s="73"/>
      <c r="P183" s="73"/>
      <c r="Q183" s="73"/>
      <c r="R183" s="73"/>
    </row>
    <row r="184" spans="1:18" x14ac:dyDescent="0.35">
      <c r="A184" s="175"/>
      <c r="B184" s="176" t="s">
        <v>51</v>
      </c>
      <c r="C184" s="177" t="s">
        <v>52</v>
      </c>
      <c r="D184" s="190" t="e">
        <f t="shared" ref="D184:I184" si="22">AVERAGE(D178:D183)</f>
        <v>#DIV/0!</v>
      </c>
      <c r="E184" s="194" t="e">
        <f t="shared" si="22"/>
        <v>#DIV/0!</v>
      </c>
      <c r="F184" s="194" t="e">
        <f t="shared" si="22"/>
        <v>#DIV/0!</v>
      </c>
      <c r="G184" s="194" t="e">
        <f t="shared" si="22"/>
        <v>#DIV/0!</v>
      </c>
      <c r="H184" s="190" t="e">
        <f t="shared" si="22"/>
        <v>#DIV/0!</v>
      </c>
      <c r="I184" s="190" t="e">
        <f t="shared" si="22"/>
        <v>#DIV/0!</v>
      </c>
      <c r="J184" s="192" t="e">
        <f>IF((F184-((F184-D184)/G184)*90)&lt;-100,-100,(F184-((F184-D184)/G184)*90))</f>
        <v>#DIV/0!</v>
      </c>
      <c r="K184" s="193" t="e">
        <f>IF((F184-((F184-E184)/G184)*90)&lt;-100,-100,(F184-((F184-E184)/G184)*90))</f>
        <v>#DIV/0!</v>
      </c>
      <c r="L184" s="73"/>
      <c r="M184" s="73"/>
      <c r="N184" s="73"/>
      <c r="O184" s="73"/>
      <c r="P184" s="73"/>
      <c r="Q184" s="73"/>
      <c r="R184" s="73"/>
    </row>
    <row r="185" spans="1:18" x14ac:dyDescent="0.35">
      <c r="A185" s="178"/>
      <c r="B185" s="179"/>
      <c r="C185" s="180" t="s">
        <v>53</v>
      </c>
      <c r="D185" s="196" t="e">
        <f t="shared" ref="D185:K185" si="23">STDEV(D178:D183)/SQRT(COUNT(D178:D183))</f>
        <v>#DIV/0!</v>
      </c>
      <c r="E185" s="196" t="e">
        <f t="shared" si="23"/>
        <v>#DIV/0!</v>
      </c>
      <c r="F185" s="196" t="e">
        <f t="shared" si="23"/>
        <v>#DIV/0!</v>
      </c>
      <c r="G185" s="196" t="e">
        <f t="shared" si="23"/>
        <v>#DIV/0!</v>
      </c>
      <c r="H185" s="197" t="e">
        <f t="shared" si="23"/>
        <v>#DIV/0!</v>
      </c>
      <c r="I185" s="197" t="e">
        <f t="shared" si="23"/>
        <v>#DIV/0!</v>
      </c>
      <c r="J185" s="197" t="e">
        <f t="shared" si="23"/>
        <v>#DIV/0!</v>
      </c>
      <c r="K185" s="198" t="e">
        <f t="shared" si="23"/>
        <v>#DIV/0!</v>
      </c>
      <c r="L185" s="73"/>
      <c r="M185" s="73"/>
      <c r="N185" s="73"/>
      <c r="O185" s="73"/>
      <c r="P185" s="73"/>
      <c r="Q185" s="73"/>
      <c r="R185" s="73"/>
    </row>
    <row r="186" spans="1:18" x14ac:dyDescent="0.35">
      <c r="A186" s="22"/>
      <c r="B186" s="21"/>
      <c r="C186" s="21"/>
      <c r="D186" s="21"/>
      <c r="E186" s="21"/>
      <c r="F186" s="21"/>
      <c r="G186" s="73"/>
      <c r="H186" s="73"/>
      <c r="L186" s="73"/>
      <c r="M186" s="73"/>
      <c r="N186" s="73"/>
      <c r="O186" s="73"/>
      <c r="P186" s="73"/>
      <c r="Q186" s="73"/>
      <c r="R186" s="73"/>
    </row>
    <row r="187" spans="1:18" x14ac:dyDescent="0.35">
      <c r="A187" s="22"/>
      <c r="B187" s="21"/>
      <c r="C187" s="21"/>
      <c r="D187" s="21"/>
      <c r="E187" s="21"/>
      <c r="F187" s="21"/>
      <c r="G187" s="73"/>
      <c r="H187" s="73"/>
      <c r="L187" s="73"/>
      <c r="M187" s="73"/>
      <c r="N187" s="73"/>
      <c r="O187" s="73"/>
      <c r="P187" s="73"/>
      <c r="Q187" s="73"/>
      <c r="R187" s="73"/>
    </row>
    <row r="188" spans="1:18" x14ac:dyDescent="0.35">
      <c r="A188" s="22"/>
      <c r="B188" s="21"/>
      <c r="C188" s="21"/>
      <c r="D188" s="21"/>
      <c r="E188" s="21"/>
      <c r="F188" s="21"/>
      <c r="G188" s="73"/>
      <c r="H188" s="73"/>
      <c r="L188" s="73"/>
      <c r="M188" s="73"/>
      <c r="N188" s="73"/>
      <c r="O188" s="73"/>
      <c r="P188" s="73"/>
      <c r="Q188" s="73"/>
      <c r="R188" s="73"/>
    </row>
    <row r="189" spans="1:18" x14ac:dyDescent="0.35">
      <c r="A189" s="22"/>
      <c r="B189" s="21"/>
      <c r="C189" s="21"/>
      <c r="D189" s="21"/>
      <c r="E189" s="21"/>
      <c r="F189" s="21"/>
      <c r="G189" s="73"/>
      <c r="H189" s="73"/>
      <c r="L189" s="73"/>
      <c r="M189" s="73"/>
      <c r="N189" s="73"/>
      <c r="O189" s="73"/>
      <c r="P189" s="73"/>
      <c r="Q189" s="73"/>
      <c r="R189" s="73"/>
    </row>
    <row r="190" spans="1:18" x14ac:dyDescent="0.35">
      <c r="A190" s="22"/>
      <c r="B190" s="21"/>
      <c r="C190" s="21"/>
      <c r="D190" s="21"/>
      <c r="E190" s="21"/>
      <c r="F190" s="21"/>
      <c r="G190" s="73"/>
      <c r="H190" s="73"/>
      <c r="L190" s="73"/>
      <c r="M190" s="73"/>
      <c r="N190" s="73"/>
      <c r="O190" s="73"/>
      <c r="P190" s="73"/>
      <c r="Q190" s="73"/>
      <c r="R190" s="73"/>
    </row>
    <row r="191" spans="1:18" ht="35.15" customHeight="1" x14ac:dyDescent="0.35">
      <c r="A191" s="164" t="s">
        <v>223</v>
      </c>
      <c r="B191" s="433" t="s">
        <v>124</v>
      </c>
      <c r="C191" s="434"/>
      <c r="D191" s="434"/>
      <c r="E191" s="434"/>
      <c r="F191" s="434"/>
      <c r="G191" s="434"/>
      <c r="H191" s="434"/>
      <c r="I191" s="434"/>
      <c r="J191" s="434"/>
      <c r="K191" s="435"/>
      <c r="L191" s="73"/>
      <c r="M191" s="73"/>
      <c r="N191" s="73"/>
      <c r="O191" s="73"/>
      <c r="P191" s="73"/>
      <c r="Q191" s="73"/>
      <c r="R191" s="73"/>
    </row>
    <row r="192" spans="1:18" x14ac:dyDescent="0.35">
      <c r="A192" s="73"/>
      <c r="B192" s="73"/>
      <c r="C192" s="73"/>
      <c r="D192" s="73"/>
      <c r="E192" s="73"/>
      <c r="F192" s="73"/>
      <c r="G192" s="73"/>
      <c r="H192" s="73"/>
      <c r="I192" s="73"/>
      <c r="J192" s="73"/>
      <c r="K192" s="73"/>
      <c r="L192" s="73"/>
      <c r="M192" s="73"/>
      <c r="N192" s="73"/>
      <c r="O192" s="73"/>
      <c r="P192" s="73"/>
      <c r="Q192" s="73"/>
      <c r="R192" s="73"/>
    </row>
    <row r="193" spans="1:18" x14ac:dyDescent="0.35">
      <c r="A193" s="73"/>
      <c r="B193" s="73"/>
      <c r="C193" s="73"/>
      <c r="D193" s="73"/>
      <c r="E193" s="73"/>
      <c r="F193" s="73"/>
      <c r="G193" s="73"/>
      <c r="H193" s="73"/>
      <c r="I193" s="73"/>
      <c r="J193" s="73"/>
      <c r="K193" s="73"/>
      <c r="L193" s="73"/>
      <c r="M193" s="73"/>
      <c r="N193" s="73"/>
      <c r="O193" s="73"/>
      <c r="P193" s="73"/>
      <c r="Q193" s="73"/>
      <c r="R193" s="73"/>
    </row>
    <row r="194" spans="1:18" x14ac:dyDescent="0.35">
      <c r="A194" s="73"/>
      <c r="B194" s="73"/>
      <c r="C194" s="73"/>
      <c r="D194" s="73"/>
      <c r="E194" s="73"/>
      <c r="F194" s="73"/>
      <c r="G194" s="73"/>
      <c r="H194" s="73"/>
      <c r="I194" s="73"/>
      <c r="J194" s="73"/>
      <c r="K194" s="73"/>
      <c r="L194" s="73"/>
      <c r="M194" s="73"/>
      <c r="N194" s="73"/>
      <c r="O194" s="73"/>
      <c r="P194" s="73"/>
      <c r="Q194" s="73"/>
      <c r="R194" s="73"/>
    </row>
    <row r="195" spans="1:18" x14ac:dyDescent="0.35">
      <c r="A195" s="73"/>
      <c r="B195" s="73"/>
      <c r="C195" s="73"/>
      <c r="D195" s="73"/>
      <c r="E195" s="73"/>
      <c r="F195" s="73"/>
      <c r="G195" s="73"/>
      <c r="H195" s="73"/>
      <c r="I195" s="73"/>
      <c r="J195" s="73"/>
      <c r="K195" s="73"/>
      <c r="L195" s="73"/>
      <c r="M195" s="73"/>
      <c r="N195" s="73"/>
      <c r="O195" s="73"/>
      <c r="P195" s="73"/>
      <c r="Q195" s="73"/>
      <c r="R195" s="73"/>
    </row>
    <row r="196" spans="1:18" x14ac:dyDescent="0.35">
      <c r="A196" s="73"/>
      <c r="B196" s="73"/>
      <c r="C196" s="73"/>
      <c r="D196" s="73"/>
      <c r="E196" s="73"/>
      <c r="F196" s="73"/>
      <c r="G196" s="73"/>
      <c r="H196" s="73"/>
      <c r="I196" s="73"/>
      <c r="J196" s="73"/>
      <c r="K196" s="73"/>
      <c r="L196" s="73"/>
      <c r="M196" s="73"/>
      <c r="N196" s="73"/>
      <c r="O196" s="73"/>
      <c r="P196" s="73"/>
      <c r="Q196" s="73"/>
      <c r="R196" s="73"/>
    </row>
    <row r="197" spans="1:18" x14ac:dyDescent="0.35">
      <c r="A197" s="73"/>
      <c r="B197" s="73"/>
      <c r="C197" s="73"/>
      <c r="D197" s="73"/>
      <c r="E197" s="73"/>
      <c r="F197" s="73"/>
      <c r="G197" s="73"/>
      <c r="H197" s="73"/>
      <c r="I197" s="73"/>
      <c r="J197" s="73"/>
      <c r="K197" s="73"/>
      <c r="L197" s="73"/>
      <c r="M197" s="73"/>
      <c r="N197" s="73"/>
      <c r="O197" s="73"/>
      <c r="P197" s="73"/>
      <c r="Q197" s="73"/>
      <c r="R197" s="73"/>
    </row>
    <row r="198" spans="1:18" x14ac:dyDescent="0.35">
      <c r="A198" s="73"/>
      <c r="B198" s="73"/>
      <c r="C198" s="73"/>
      <c r="D198" s="73"/>
      <c r="E198" s="73"/>
      <c r="F198" s="73"/>
      <c r="G198" s="73"/>
      <c r="H198" s="73"/>
      <c r="I198" s="73"/>
      <c r="J198" s="73"/>
      <c r="K198" s="73"/>
      <c r="L198" s="73"/>
      <c r="M198" s="73"/>
      <c r="N198" s="73"/>
      <c r="O198" s="73"/>
      <c r="P198" s="73"/>
      <c r="Q198" s="73"/>
      <c r="R198" s="73"/>
    </row>
    <row r="199" spans="1:18" x14ac:dyDescent="0.35">
      <c r="A199" s="73"/>
      <c r="B199" s="73"/>
      <c r="C199" s="73"/>
      <c r="D199" s="73"/>
      <c r="E199" s="73"/>
      <c r="F199" s="73"/>
      <c r="G199" s="73"/>
      <c r="H199" s="73"/>
      <c r="I199" s="73"/>
      <c r="J199" s="73"/>
      <c r="K199" s="73"/>
      <c r="L199" s="73"/>
      <c r="M199" s="73"/>
      <c r="N199" s="73"/>
      <c r="O199" s="73"/>
      <c r="P199" s="73"/>
      <c r="Q199" s="73"/>
      <c r="R199" s="73"/>
    </row>
    <row r="200" spans="1:18" x14ac:dyDescent="0.35">
      <c r="A200" s="73"/>
      <c r="B200" s="73"/>
      <c r="C200" s="73"/>
      <c r="D200" s="73"/>
      <c r="E200" s="73"/>
      <c r="F200" s="73"/>
      <c r="G200" s="73"/>
      <c r="H200" s="73"/>
      <c r="I200" s="73"/>
      <c r="J200" s="73"/>
      <c r="K200" s="73"/>
      <c r="L200" s="73"/>
      <c r="M200" s="73"/>
      <c r="N200" s="73"/>
      <c r="O200" s="73"/>
      <c r="P200" s="73"/>
      <c r="Q200" s="73"/>
      <c r="R200" s="73"/>
    </row>
    <row r="201" spans="1:18" x14ac:dyDescent="0.35">
      <c r="A201" s="73"/>
      <c r="B201" s="73"/>
      <c r="C201" s="73"/>
      <c r="D201" s="73"/>
      <c r="E201" s="73"/>
      <c r="F201" s="73"/>
      <c r="G201" s="73"/>
      <c r="H201" s="73"/>
      <c r="I201" s="73"/>
      <c r="J201" s="73"/>
      <c r="K201" s="73"/>
      <c r="L201" s="73"/>
      <c r="M201" s="73"/>
      <c r="N201" s="73"/>
      <c r="O201" s="73"/>
      <c r="P201" s="73"/>
      <c r="Q201" s="73"/>
      <c r="R201" s="73"/>
    </row>
    <row r="202" spans="1:18" x14ac:dyDescent="0.35">
      <c r="A202" s="73"/>
      <c r="B202" s="73"/>
      <c r="C202" s="73"/>
      <c r="D202" s="73"/>
      <c r="E202" s="73"/>
      <c r="F202" s="73"/>
      <c r="G202" s="73"/>
      <c r="H202" s="73"/>
      <c r="I202" s="73"/>
      <c r="J202" s="73"/>
      <c r="K202" s="73"/>
      <c r="L202" s="73"/>
      <c r="M202" s="73"/>
      <c r="N202" s="73"/>
      <c r="O202" s="73"/>
      <c r="P202" s="73"/>
      <c r="Q202" s="73"/>
      <c r="R202" s="73"/>
    </row>
    <row r="203" spans="1:18" x14ac:dyDescent="0.35">
      <c r="A203" s="73"/>
      <c r="B203" s="73"/>
      <c r="C203" s="73"/>
      <c r="D203" s="73"/>
      <c r="E203" s="73"/>
      <c r="F203" s="73"/>
      <c r="G203" s="73"/>
      <c r="H203" s="73"/>
      <c r="I203" s="73"/>
      <c r="J203" s="73"/>
      <c r="K203" s="73"/>
      <c r="L203" s="73"/>
      <c r="M203" s="73"/>
      <c r="N203" s="73"/>
      <c r="O203" s="73"/>
      <c r="P203" s="73"/>
      <c r="Q203" s="73"/>
      <c r="R203" s="73"/>
    </row>
    <row r="204" spans="1:18" x14ac:dyDescent="0.35">
      <c r="A204" s="73"/>
      <c r="B204" s="73"/>
      <c r="C204" s="73"/>
      <c r="D204" s="73"/>
      <c r="E204" s="73"/>
      <c r="F204" s="73"/>
      <c r="G204" s="73"/>
      <c r="H204" s="73"/>
      <c r="I204" s="73"/>
      <c r="J204" s="73"/>
      <c r="K204" s="73"/>
      <c r="L204" s="73"/>
      <c r="M204" s="73"/>
      <c r="N204" s="73"/>
      <c r="O204" s="73"/>
      <c r="P204" s="73"/>
      <c r="Q204" s="73"/>
      <c r="R204" s="73"/>
    </row>
    <row r="205" spans="1:18" x14ac:dyDescent="0.35">
      <c r="A205" s="73"/>
      <c r="B205" s="73"/>
      <c r="C205" s="73"/>
      <c r="D205" s="73"/>
      <c r="E205" s="73"/>
      <c r="F205" s="73"/>
      <c r="G205" s="73"/>
      <c r="H205" s="73"/>
      <c r="I205" s="73"/>
      <c r="J205" s="73"/>
      <c r="K205" s="73"/>
      <c r="L205" s="73"/>
      <c r="M205" s="73"/>
      <c r="N205" s="73"/>
      <c r="O205" s="73"/>
      <c r="P205" s="73"/>
      <c r="Q205" s="73"/>
      <c r="R205" s="73"/>
    </row>
    <row r="206" spans="1:18" x14ac:dyDescent="0.35">
      <c r="A206" s="73"/>
      <c r="B206" s="73"/>
      <c r="C206" s="73"/>
      <c r="D206" s="73"/>
      <c r="E206" s="73"/>
      <c r="F206" s="73"/>
      <c r="G206" s="73"/>
      <c r="H206" s="73"/>
      <c r="I206" s="73"/>
      <c r="J206" s="73"/>
      <c r="K206" s="73"/>
      <c r="L206" s="73"/>
      <c r="M206" s="73"/>
      <c r="N206" s="73"/>
      <c r="O206" s="73"/>
      <c r="P206" s="73"/>
      <c r="Q206" s="73"/>
      <c r="R206" s="73"/>
    </row>
    <row r="207" spans="1:18" x14ac:dyDescent="0.35">
      <c r="A207" s="73"/>
      <c r="B207" s="73"/>
      <c r="C207" s="73"/>
      <c r="D207" s="73"/>
      <c r="E207" s="73"/>
      <c r="F207" s="73"/>
      <c r="G207" s="73"/>
      <c r="H207" s="73"/>
      <c r="I207" s="73"/>
      <c r="J207" s="73"/>
      <c r="K207" s="73"/>
      <c r="L207" s="73"/>
      <c r="M207" s="73"/>
      <c r="N207" s="73"/>
      <c r="O207" s="73"/>
      <c r="P207" s="73"/>
      <c r="Q207" s="73"/>
      <c r="R207" s="73"/>
    </row>
    <row r="208" spans="1:18" x14ac:dyDescent="0.35">
      <c r="A208" s="73"/>
      <c r="B208" s="73"/>
      <c r="C208" s="73"/>
      <c r="D208" s="73"/>
      <c r="E208" s="73"/>
      <c r="F208" s="73"/>
      <c r="G208" s="73"/>
      <c r="H208" s="73"/>
      <c r="I208" s="73"/>
      <c r="J208" s="73"/>
      <c r="K208" s="73"/>
      <c r="L208" s="73"/>
      <c r="M208" s="73"/>
      <c r="N208" s="73"/>
      <c r="O208" s="73"/>
      <c r="P208" s="73"/>
      <c r="Q208" s="73"/>
      <c r="R208" s="73"/>
    </row>
    <row r="209" spans="1:18" x14ac:dyDescent="0.35">
      <c r="A209" s="73"/>
      <c r="B209" s="73"/>
      <c r="C209" s="73"/>
      <c r="D209" s="73"/>
      <c r="E209" s="73"/>
      <c r="F209" s="73"/>
      <c r="G209" s="73"/>
      <c r="H209" s="73"/>
      <c r="I209" s="73"/>
      <c r="J209" s="73"/>
      <c r="K209" s="73"/>
      <c r="L209" s="73"/>
      <c r="M209" s="73"/>
      <c r="N209" s="73"/>
      <c r="O209" s="73"/>
      <c r="P209" s="73"/>
      <c r="Q209" s="73"/>
      <c r="R209" s="73"/>
    </row>
    <row r="210" spans="1:18" x14ac:dyDescent="0.35">
      <c r="A210" s="73"/>
      <c r="B210" s="73"/>
      <c r="C210" s="73"/>
      <c r="D210" s="73"/>
      <c r="E210" s="73"/>
      <c r="F210" s="73"/>
      <c r="G210" s="73"/>
      <c r="H210" s="73"/>
      <c r="I210" s="73"/>
      <c r="J210" s="73"/>
      <c r="K210" s="73"/>
      <c r="L210" s="73"/>
      <c r="M210" s="73"/>
      <c r="N210" s="73"/>
      <c r="O210" s="73"/>
      <c r="P210" s="73"/>
      <c r="Q210" s="73"/>
      <c r="R210" s="73"/>
    </row>
    <row r="211" spans="1:18" x14ac:dyDescent="0.35">
      <c r="A211" s="73"/>
      <c r="B211" s="73"/>
      <c r="C211" s="73"/>
      <c r="D211" s="73"/>
      <c r="E211" s="73"/>
      <c r="F211" s="73"/>
      <c r="G211" s="73"/>
      <c r="H211" s="73"/>
      <c r="I211" s="73"/>
      <c r="J211" s="73"/>
      <c r="K211" s="73"/>
      <c r="L211" s="73"/>
      <c r="M211" s="73"/>
      <c r="N211" s="73"/>
      <c r="O211" s="73"/>
      <c r="P211" s="73"/>
      <c r="Q211" s="73"/>
      <c r="R211" s="73"/>
    </row>
    <row r="212" spans="1:18" x14ac:dyDescent="0.35">
      <c r="A212" s="73"/>
      <c r="B212" s="73"/>
      <c r="C212" s="73"/>
      <c r="D212" s="73"/>
      <c r="E212" s="73"/>
      <c r="F212" s="73"/>
      <c r="G212" s="73"/>
      <c r="H212" s="73"/>
      <c r="I212" s="73"/>
      <c r="J212" s="73"/>
      <c r="K212" s="73"/>
      <c r="L212" s="73"/>
      <c r="M212" s="73"/>
      <c r="N212" s="73"/>
      <c r="O212" s="73"/>
      <c r="P212" s="73"/>
      <c r="Q212" s="73"/>
      <c r="R212" s="73"/>
    </row>
    <row r="213" spans="1:18" x14ac:dyDescent="0.35">
      <c r="A213" s="73"/>
      <c r="B213" s="73"/>
      <c r="C213" s="73"/>
      <c r="D213" s="73"/>
      <c r="E213" s="73"/>
      <c r="F213" s="73"/>
      <c r="G213" s="73"/>
      <c r="H213" s="73"/>
      <c r="I213" s="73"/>
      <c r="J213" s="73"/>
      <c r="K213" s="73"/>
      <c r="L213" s="73"/>
      <c r="M213" s="73"/>
      <c r="N213" s="73"/>
      <c r="O213" s="73"/>
      <c r="P213" s="73"/>
      <c r="Q213" s="73"/>
      <c r="R213" s="73"/>
    </row>
    <row r="214" spans="1:18" x14ac:dyDescent="0.35">
      <c r="A214" s="73"/>
      <c r="B214" s="73"/>
      <c r="C214" s="73"/>
      <c r="D214" s="73"/>
      <c r="E214" s="73"/>
      <c r="F214" s="73"/>
      <c r="G214" s="73"/>
      <c r="H214" s="73"/>
      <c r="I214" s="73"/>
      <c r="J214" s="73"/>
      <c r="K214" s="73"/>
      <c r="L214" s="73"/>
      <c r="M214" s="73"/>
      <c r="N214" s="73"/>
      <c r="O214" s="73"/>
      <c r="P214" s="73"/>
      <c r="Q214" s="73"/>
      <c r="R214" s="73"/>
    </row>
    <row r="215" spans="1:18" x14ac:dyDescent="0.35">
      <c r="A215" s="73"/>
      <c r="B215" s="73"/>
      <c r="C215" s="73"/>
      <c r="D215" s="73"/>
      <c r="E215" s="73"/>
      <c r="F215" s="73"/>
      <c r="G215" s="73"/>
      <c r="H215" s="73"/>
      <c r="I215" s="73"/>
      <c r="J215" s="73"/>
      <c r="K215" s="73"/>
      <c r="L215" s="73"/>
      <c r="M215" s="73"/>
      <c r="N215" s="73"/>
      <c r="O215" s="73"/>
      <c r="P215" s="73"/>
      <c r="Q215" s="73"/>
      <c r="R215" s="73"/>
    </row>
    <row r="216" spans="1:18" x14ac:dyDescent="0.35">
      <c r="A216" s="73"/>
      <c r="B216" s="73"/>
      <c r="C216" s="73"/>
      <c r="D216" s="73"/>
      <c r="E216" s="73"/>
      <c r="F216" s="73"/>
      <c r="G216" s="73"/>
      <c r="H216" s="73"/>
      <c r="I216" s="73"/>
      <c r="J216" s="73"/>
      <c r="K216" s="73"/>
      <c r="L216" s="73"/>
      <c r="M216" s="73"/>
      <c r="N216" s="73"/>
      <c r="O216" s="73"/>
      <c r="P216" s="73"/>
      <c r="Q216" s="73"/>
      <c r="R216" s="73"/>
    </row>
    <row r="217" spans="1:18" x14ac:dyDescent="0.35">
      <c r="A217" s="73"/>
      <c r="B217" s="73"/>
      <c r="C217" s="73"/>
      <c r="D217" s="73"/>
      <c r="E217" s="73"/>
      <c r="F217" s="73"/>
      <c r="G217" s="73"/>
      <c r="H217" s="73"/>
      <c r="I217" s="73"/>
      <c r="J217" s="73"/>
      <c r="K217" s="73"/>
      <c r="L217" s="73"/>
      <c r="M217" s="73"/>
      <c r="N217" s="73"/>
      <c r="O217" s="73"/>
      <c r="P217" s="73"/>
      <c r="Q217" s="73"/>
      <c r="R217" s="73"/>
    </row>
    <row r="218" spans="1:18" x14ac:dyDescent="0.35">
      <c r="A218" s="73"/>
      <c r="B218" s="73"/>
      <c r="C218" s="73"/>
      <c r="D218" s="73"/>
      <c r="E218" s="73"/>
      <c r="F218" s="73"/>
      <c r="G218" s="73"/>
      <c r="H218" s="73"/>
      <c r="I218" s="73"/>
      <c r="J218" s="73"/>
      <c r="K218" s="73"/>
      <c r="L218" s="73"/>
      <c r="M218" s="73"/>
      <c r="N218" s="73"/>
      <c r="O218" s="73"/>
      <c r="P218" s="73"/>
      <c r="Q218" s="73"/>
      <c r="R218" s="73"/>
    </row>
    <row r="219" spans="1:18" x14ac:dyDescent="0.35">
      <c r="A219" s="73"/>
      <c r="B219" s="73"/>
      <c r="C219" s="73"/>
      <c r="D219" s="73"/>
      <c r="E219" s="73"/>
      <c r="F219" s="73"/>
      <c r="G219" s="73"/>
      <c r="H219" s="73"/>
      <c r="I219" s="73"/>
      <c r="J219" s="73"/>
      <c r="K219" s="73"/>
      <c r="L219" s="73"/>
      <c r="M219" s="73"/>
      <c r="N219" s="73"/>
      <c r="O219" s="73"/>
      <c r="P219" s="73"/>
      <c r="Q219" s="73"/>
      <c r="R219" s="73"/>
    </row>
    <row r="220" spans="1:18" x14ac:dyDescent="0.35">
      <c r="A220" s="73"/>
      <c r="B220" s="73"/>
      <c r="C220" s="73"/>
      <c r="D220" s="73"/>
      <c r="E220" s="73"/>
      <c r="F220" s="73"/>
      <c r="G220" s="73"/>
      <c r="H220" s="73"/>
      <c r="I220" s="73"/>
      <c r="J220" s="73"/>
      <c r="K220" s="73"/>
      <c r="L220" s="73"/>
      <c r="M220" s="73"/>
      <c r="N220" s="73"/>
      <c r="O220" s="73"/>
      <c r="P220" s="73"/>
      <c r="Q220" s="73"/>
      <c r="R220" s="73"/>
    </row>
    <row r="221" spans="1:18" x14ac:dyDescent="0.35">
      <c r="A221" s="73"/>
      <c r="B221" s="73"/>
      <c r="C221" s="73"/>
      <c r="D221" s="73"/>
      <c r="E221" s="73"/>
      <c r="F221" s="73"/>
      <c r="G221" s="73"/>
      <c r="H221" s="73"/>
      <c r="I221" s="73"/>
      <c r="J221" s="73"/>
      <c r="K221" s="73"/>
      <c r="L221" s="73"/>
      <c r="M221" s="73"/>
      <c r="N221" s="73"/>
      <c r="O221" s="73"/>
      <c r="P221" s="73"/>
      <c r="Q221" s="73"/>
      <c r="R221" s="73"/>
    </row>
    <row r="222" spans="1:18" x14ac:dyDescent="0.35">
      <c r="A222" s="73"/>
      <c r="B222" s="73"/>
      <c r="C222" s="73"/>
      <c r="D222" s="73"/>
      <c r="E222" s="73"/>
      <c r="F222" s="73"/>
      <c r="G222" s="73"/>
      <c r="H222" s="73"/>
      <c r="I222" s="73"/>
      <c r="J222" s="73"/>
      <c r="K222" s="73"/>
      <c r="L222" s="73"/>
      <c r="M222" s="73"/>
      <c r="N222" s="73"/>
      <c r="O222" s="73"/>
      <c r="P222" s="73"/>
      <c r="Q222" s="73"/>
      <c r="R222" s="73"/>
    </row>
    <row r="223" spans="1:18" x14ac:dyDescent="0.35">
      <c r="A223" s="185"/>
      <c r="B223" s="172"/>
      <c r="C223" s="172"/>
      <c r="D223" s="172"/>
      <c r="E223" s="172"/>
      <c r="F223" s="172"/>
      <c r="G223" s="172"/>
      <c r="H223" s="172"/>
      <c r="I223" s="172"/>
      <c r="J223" s="172"/>
      <c r="K223" s="172"/>
      <c r="L223" s="73"/>
      <c r="M223" s="73"/>
      <c r="N223" s="73"/>
      <c r="O223" s="73"/>
      <c r="P223" s="73"/>
      <c r="Q223" s="73"/>
      <c r="R223" s="73"/>
    </row>
    <row r="224" spans="1:18" ht="26" x14ac:dyDescent="0.35">
      <c r="A224" s="426"/>
      <c r="B224" s="427"/>
      <c r="C224" s="186" t="s">
        <v>44</v>
      </c>
      <c r="D224" s="187" t="s">
        <v>99</v>
      </c>
      <c r="E224" s="187" t="s">
        <v>100</v>
      </c>
      <c r="F224" s="187" t="s">
        <v>23</v>
      </c>
      <c r="G224" s="187" t="s">
        <v>101</v>
      </c>
      <c r="H224" s="187" t="s">
        <v>215</v>
      </c>
      <c r="I224" s="187" t="s">
        <v>216</v>
      </c>
      <c r="J224" s="187" t="s">
        <v>217</v>
      </c>
      <c r="K224" s="188" t="s">
        <v>218</v>
      </c>
      <c r="L224" s="73"/>
      <c r="M224" s="73"/>
      <c r="N224" s="73"/>
      <c r="O224" s="73"/>
      <c r="P224" s="73"/>
      <c r="Q224" s="73"/>
      <c r="R224" s="73"/>
    </row>
    <row r="225" spans="1:18" x14ac:dyDescent="0.35">
      <c r="A225" s="431" t="str">
        <f>A191</f>
        <v>Payoffs Q5</v>
      </c>
      <c r="B225" s="432" t="str">
        <f>B191</f>
        <v>Let's say implementation of the IN-SITU PLUS PLAN = UNSUCCESSFUL. 
At the end of the planning time horizon, what will be the CHANGE (as a % relative to current population size) in population size IN THE WILD?</v>
      </c>
      <c r="C225" s="189" t="s">
        <v>45</v>
      </c>
      <c r="D225" s="190" t="str">
        <f>IF('4.3 Elicitation data entry'!$C$26="","",'4.3 Elicitation data entry'!$C$26)</f>
        <v/>
      </c>
      <c r="E225" s="190" t="str">
        <f>IF('4.3 Elicitation data entry'!$D$26="","",'4.3 Elicitation data entry'!$D$26)</f>
        <v/>
      </c>
      <c r="F225" s="190" t="str">
        <f>IF('4.3 Elicitation data entry'!$E$26="","",'4.3 Elicitation data entry'!$E$26)</f>
        <v/>
      </c>
      <c r="G225" s="190" t="str">
        <f>IF('4.3 Elicitation data entry'!$F$26="","",'4.3 Elicitation data entry'!$F$26)</f>
        <v/>
      </c>
      <c r="H225" s="190" t="str">
        <f t="shared" ref="H225:H230" si="24">IF($F225="","",F225-J225)</f>
        <v/>
      </c>
      <c r="I225" s="191" t="str">
        <f t="shared" ref="I225:I230" si="25">IF($F225="","",K225-F225)</f>
        <v/>
      </c>
      <c r="J225" s="192" t="str">
        <f t="shared" ref="J225:J230" si="26">IF($F225="","",IF(F225-((F225-D225)/G225)*90&lt;-100,-100,F225-((F225-D225)/G225)*90))</f>
        <v/>
      </c>
      <c r="K225" s="193" t="str">
        <f t="shared" ref="K225:K230" si="27">IF($F225="","",(F225-((F225-E225)/G225)*90))</f>
        <v/>
      </c>
      <c r="L225" s="73"/>
      <c r="M225" s="73"/>
      <c r="N225" s="73"/>
      <c r="O225" s="73"/>
      <c r="P225" s="73"/>
      <c r="Q225" s="73"/>
      <c r="R225" s="73"/>
    </row>
    <row r="226" spans="1:18" x14ac:dyDescent="0.35">
      <c r="A226" s="431"/>
      <c r="B226" s="432"/>
      <c r="C226" s="189" t="s">
        <v>46</v>
      </c>
      <c r="D226" s="190" t="str">
        <f>IF('4.3 Elicitation data entry'!$H$26="","",'4.3 Elicitation data entry'!$H$26)</f>
        <v/>
      </c>
      <c r="E226" s="190" t="str">
        <f>IF('4.3 Elicitation data entry'!$I$26="","",'4.3 Elicitation data entry'!$I$26)</f>
        <v/>
      </c>
      <c r="F226" s="190" t="str">
        <f>IF('4.3 Elicitation data entry'!$J$26="","",'4.3 Elicitation data entry'!$J$26)</f>
        <v/>
      </c>
      <c r="G226" s="190" t="str">
        <f>IF('4.3 Elicitation data entry'!$K$26="","",'4.3 Elicitation data entry'!$K$26)</f>
        <v/>
      </c>
      <c r="H226" s="190" t="str">
        <f t="shared" si="24"/>
        <v/>
      </c>
      <c r="I226" s="191" t="str">
        <f t="shared" si="25"/>
        <v/>
      </c>
      <c r="J226" s="192" t="str">
        <f t="shared" si="26"/>
        <v/>
      </c>
      <c r="K226" s="193" t="str">
        <f t="shared" si="27"/>
        <v/>
      </c>
      <c r="L226" s="73"/>
      <c r="M226" s="73"/>
      <c r="N226" s="73"/>
      <c r="O226" s="73"/>
      <c r="P226" s="73"/>
      <c r="Q226" s="73"/>
      <c r="R226" s="73"/>
    </row>
    <row r="227" spans="1:18" x14ac:dyDescent="0.35">
      <c r="A227" s="431"/>
      <c r="B227" s="432"/>
      <c r="C227" s="189" t="s">
        <v>47</v>
      </c>
      <c r="D227" s="190" t="str">
        <f>IF('4.3 Elicitation data entry'!$M$26="","",'4.3 Elicitation data entry'!$M$26)</f>
        <v/>
      </c>
      <c r="E227" s="190" t="str">
        <f>IF('4.3 Elicitation data entry'!$N$26="","",'4.3 Elicitation data entry'!$N$26)</f>
        <v/>
      </c>
      <c r="F227" s="190" t="str">
        <f>IF('4.3 Elicitation data entry'!$O$26="","",'4.3 Elicitation data entry'!$O$26)</f>
        <v/>
      </c>
      <c r="G227" s="190" t="str">
        <f>IF('4.3 Elicitation data entry'!$P$26="","",'4.3 Elicitation data entry'!$P$26)</f>
        <v/>
      </c>
      <c r="H227" s="190" t="str">
        <f t="shared" si="24"/>
        <v/>
      </c>
      <c r="I227" s="191" t="str">
        <f t="shared" si="25"/>
        <v/>
      </c>
      <c r="J227" s="192" t="str">
        <f t="shared" si="26"/>
        <v/>
      </c>
      <c r="K227" s="193" t="str">
        <f t="shared" si="27"/>
        <v/>
      </c>
      <c r="L227" s="73"/>
      <c r="M227" s="73"/>
      <c r="N227" s="73"/>
      <c r="O227" s="73"/>
      <c r="P227" s="73"/>
      <c r="Q227" s="73"/>
      <c r="R227" s="73"/>
    </row>
    <row r="228" spans="1:18" x14ac:dyDescent="0.35">
      <c r="A228" s="431"/>
      <c r="B228" s="432"/>
      <c r="C228" s="189" t="s">
        <v>48</v>
      </c>
      <c r="D228" s="190" t="str">
        <f>IF('4.3 Elicitation data entry'!$R$26="","",'4.3 Elicitation data entry'!$R$26)</f>
        <v/>
      </c>
      <c r="E228" s="190" t="str">
        <f>IF('4.3 Elicitation data entry'!$S$26="","",'4.3 Elicitation data entry'!$S$26)</f>
        <v/>
      </c>
      <c r="F228" s="190" t="str">
        <f>IF('4.3 Elicitation data entry'!$T$26="","",'4.3 Elicitation data entry'!$T$26)</f>
        <v/>
      </c>
      <c r="G228" s="190" t="str">
        <f>IF('4.3 Elicitation data entry'!$U$26="","",'4.3 Elicitation data entry'!$U$26)</f>
        <v/>
      </c>
      <c r="H228" s="190" t="str">
        <f t="shared" si="24"/>
        <v/>
      </c>
      <c r="I228" s="191" t="str">
        <f t="shared" si="25"/>
        <v/>
      </c>
      <c r="J228" s="192" t="str">
        <f t="shared" si="26"/>
        <v/>
      </c>
      <c r="K228" s="193" t="str">
        <f t="shared" si="27"/>
        <v/>
      </c>
      <c r="L228" s="73"/>
      <c r="M228" s="73"/>
      <c r="N228" s="73"/>
      <c r="O228" s="73"/>
      <c r="P228" s="73"/>
      <c r="Q228" s="73"/>
      <c r="R228" s="73"/>
    </row>
    <row r="229" spans="1:18" x14ac:dyDescent="0.35">
      <c r="A229" s="431"/>
      <c r="B229" s="432"/>
      <c r="C229" s="189" t="s">
        <v>49</v>
      </c>
      <c r="D229" s="190" t="str">
        <f>IF('4.3 Elicitation data entry'!$W$26="","",'4.3 Elicitation data entry'!$W$26)</f>
        <v/>
      </c>
      <c r="E229" s="190" t="str">
        <f>IF('4.3 Elicitation data entry'!$X$26="","",'4.3 Elicitation data entry'!$X$26)</f>
        <v/>
      </c>
      <c r="F229" s="190" t="str">
        <f>IF('4.3 Elicitation data entry'!$Y$26="","",'4.3 Elicitation data entry'!$Y$26)</f>
        <v/>
      </c>
      <c r="G229" s="190" t="str">
        <f>IF('4.3 Elicitation data entry'!$Z$26="","",'4.3 Elicitation data entry'!$Z$26)</f>
        <v/>
      </c>
      <c r="H229" s="190" t="str">
        <f t="shared" si="24"/>
        <v/>
      </c>
      <c r="I229" s="191" t="str">
        <f t="shared" si="25"/>
        <v/>
      </c>
      <c r="J229" s="192" t="str">
        <f t="shared" si="26"/>
        <v/>
      </c>
      <c r="K229" s="193" t="str">
        <f t="shared" si="27"/>
        <v/>
      </c>
      <c r="L229" s="73"/>
      <c r="M229" s="73"/>
      <c r="N229" s="73"/>
      <c r="O229" s="73"/>
      <c r="P229" s="73"/>
      <c r="Q229" s="73"/>
      <c r="R229" s="73"/>
    </row>
    <row r="230" spans="1:18" x14ac:dyDescent="0.35">
      <c r="A230" s="431"/>
      <c r="B230" s="432"/>
      <c r="C230" s="189" t="s">
        <v>50</v>
      </c>
      <c r="D230" s="190" t="str">
        <f>IF('4.3 Elicitation data entry'!$AB$26="","",'4.3 Elicitation data entry'!$AB$26)</f>
        <v/>
      </c>
      <c r="E230" s="190" t="str">
        <f>IF('4.3 Elicitation data entry'!$AC$26="","",'4.3 Elicitation data entry'!$AC$26)</f>
        <v/>
      </c>
      <c r="F230" s="190" t="str">
        <f>IF('4.3 Elicitation data entry'!$AD$26="","",'4.3 Elicitation data entry'!$AD$26)</f>
        <v/>
      </c>
      <c r="G230" s="190" t="str">
        <f>IF('4.3 Elicitation data entry'!$AE$26="","",'4.3 Elicitation data entry'!$AE$26)</f>
        <v/>
      </c>
      <c r="H230" s="190" t="str">
        <f t="shared" si="24"/>
        <v/>
      </c>
      <c r="I230" s="191" t="str">
        <f t="shared" si="25"/>
        <v/>
      </c>
      <c r="J230" s="192" t="str">
        <f t="shared" si="26"/>
        <v/>
      </c>
      <c r="K230" s="193" t="str">
        <f t="shared" si="27"/>
        <v/>
      </c>
      <c r="L230" s="73"/>
      <c r="M230" s="73"/>
      <c r="N230" s="73"/>
      <c r="O230" s="73"/>
      <c r="P230" s="73"/>
      <c r="Q230" s="73"/>
      <c r="R230" s="73"/>
    </row>
    <row r="231" spans="1:18" x14ac:dyDescent="0.35">
      <c r="A231" s="175"/>
      <c r="B231" s="176" t="s">
        <v>51</v>
      </c>
      <c r="C231" s="176" t="s">
        <v>52</v>
      </c>
      <c r="D231" s="190" t="e">
        <f t="shared" ref="D231:I231" si="28">AVERAGE(D225:D230)</f>
        <v>#DIV/0!</v>
      </c>
      <c r="E231" s="194" t="e">
        <f t="shared" si="28"/>
        <v>#DIV/0!</v>
      </c>
      <c r="F231" s="194" t="e">
        <f t="shared" si="28"/>
        <v>#DIV/0!</v>
      </c>
      <c r="G231" s="194" t="e">
        <f t="shared" si="28"/>
        <v>#DIV/0!</v>
      </c>
      <c r="H231" s="190" t="e">
        <f t="shared" si="28"/>
        <v>#DIV/0!</v>
      </c>
      <c r="I231" s="190" t="e">
        <f t="shared" si="28"/>
        <v>#DIV/0!</v>
      </c>
      <c r="J231" s="192" t="e">
        <f>IF((F231-((F231-D231)/G231)*90)&lt;-100,-100,(F231-((F231-D231)/G231)*90))</f>
        <v>#DIV/0!</v>
      </c>
      <c r="K231" s="193" t="e">
        <f>IF((F231-((F231-E231)/G231)*90)&lt;-100,-100,(F231-((F231-E231)/G231)*90))</f>
        <v>#DIV/0!</v>
      </c>
      <c r="L231" s="73"/>
      <c r="M231" s="73"/>
      <c r="N231" s="73"/>
      <c r="O231" s="73"/>
      <c r="P231" s="73"/>
      <c r="Q231" s="73"/>
      <c r="R231" s="73"/>
    </row>
    <row r="232" spans="1:18" x14ac:dyDescent="0.35">
      <c r="A232" s="178"/>
      <c r="B232" s="179"/>
      <c r="C232" s="195" t="s">
        <v>53</v>
      </c>
      <c r="D232" s="196" t="e">
        <f t="shared" ref="D232:K232" si="29">STDEV(D225:D230)/SQRT(COUNT(D225:D230))</f>
        <v>#DIV/0!</v>
      </c>
      <c r="E232" s="196" t="e">
        <f t="shared" si="29"/>
        <v>#DIV/0!</v>
      </c>
      <c r="F232" s="196" t="e">
        <f t="shared" si="29"/>
        <v>#DIV/0!</v>
      </c>
      <c r="G232" s="196" t="e">
        <f t="shared" si="29"/>
        <v>#DIV/0!</v>
      </c>
      <c r="H232" s="197" t="e">
        <f t="shared" si="29"/>
        <v>#DIV/0!</v>
      </c>
      <c r="I232" s="197" t="e">
        <f t="shared" si="29"/>
        <v>#DIV/0!</v>
      </c>
      <c r="J232" s="197" t="e">
        <f t="shared" si="29"/>
        <v>#DIV/0!</v>
      </c>
      <c r="K232" s="198" t="e">
        <f t="shared" si="29"/>
        <v>#DIV/0!</v>
      </c>
      <c r="L232" s="73"/>
      <c r="M232" s="73"/>
      <c r="N232" s="73"/>
      <c r="O232" s="73"/>
      <c r="P232" s="73"/>
      <c r="Q232" s="73"/>
      <c r="R232" s="73"/>
    </row>
    <row r="233" spans="1:18" x14ac:dyDescent="0.35">
      <c r="A233" s="199"/>
      <c r="B233" s="73"/>
      <c r="C233" s="73"/>
      <c r="D233" s="73"/>
      <c r="E233" s="73"/>
      <c r="F233" s="73"/>
      <c r="G233" s="73"/>
      <c r="H233" s="73"/>
      <c r="I233" s="73"/>
      <c r="L233" s="73"/>
      <c r="M233" s="73"/>
      <c r="N233" s="73"/>
      <c r="O233" s="73"/>
      <c r="P233" s="73"/>
      <c r="Q233" s="73"/>
      <c r="R233" s="73"/>
    </row>
    <row r="234" spans="1:18" x14ac:dyDescent="0.35">
      <c r="A234" s="199"/>
      <c r="B234" s="73"/>
      <c r="C234" s="73"/>
      <c r="D234" s="73"/>
      <c r="E234" s="73"/>
      <c r="F234" s="73"/>
      <c r="G234" s="73"/>
      <c r="H234" s="73"/>
      <c r="I234" s="73"/>
      <c r="L234" s="73"/>
      <c r="M234" s="73"/>
      <c r="N234" s="73"/>
      <c r="O234" s="73"/>
      <c r="P234" s="73"/>
      <c r="Q234" s="73"/>
      <c r="R234" s="73"/>
    </row>
    <row r="235" spans="1:18" x14ac:dyDescent="0.35">
      <c r="A235" s="199"/>
      <c r="B235" s="73"/>
      <c r="C235" s="73"/>
      <c r="D235" s="73"/>
      <c r="E235" s="73"/>
      <c r="F235" s="73"/>
      <c r="G235" s="73"/>
      <c r="H235" s="73"/>
      <c r="I235" s="73"/>
      <c r="L235" s="73"/>
      <c r="M235" s="73"/>
      <c r="N235" s="73"/>
      <c r="O235" s="73"/>
      <c r="P235" s="73"/>
      <c r="Q235" s="73"/>
      <c r="R235" s="73"/>
    </row>
    <row r="236" spans="1:18" x14ac:dyDescent="0.35">
      <c r="A236" s="199"/>
      <c r="B236" s="73"/>
      <c r="C236" s="73"/>
      <c r="D236" s="73"/>
      <c r="E236" s="73"/>
      <c r="F236" s="73"/>
      <c r="G236" s="73"/>
      <c r="H236" s="73"/>
      <c r="I236" s="73"/>
      <c r="L236" s="73"/>
      <c r="M236" s="73"/>
      <c r="N236" s="73"/>
      <c r="O236" s="73"/>
      <c r="P236" s="73"/>
      <c r="Q236" s="73"/>
      <c r="R236" s="73"/>
    </row>
    <row r="237" spans="1:18" x14ac:dyDescent="0.35">
      <c r="A237" s="199"/>
      <c r="B237" s="73"/>
      <c r="C237" s="73"/>
      <c r="D237" s="73"/>
      <c r="E237" s="73"/>
      <c r="F237" s="73"/>
      <c r="G237" s="73"/>
      <c r="H237" s="73"/>
      <c r="I237" s="73"/>
      <c r="L237" s="73"/>
      <c r="M237" s="73"/>
      <c r="N237" s="73"/>
      <c r="O237" s="73"/>
      <c r="P237" s="73"/>
      <c r="Q237" s="73"/>
      <c r="R237" s="73"/>
    </row>
    <row r="238" spans="1:18" ht="35.15" customHeight="1" x14ac:dyDescent="0.35">
      <c r="A238" s="164" t="s">
        <v>224</v>
      </c>
      <c r="B238" s="433" t="s">
        <v>125</v>
      </c>
      <c r="C238" s="434"/>
      <c r="D238" s="434"/>
      <c r="E238" s="434"/>
      <c r="F238" s="434"/>
      <c r="G238" s="434"/>
      <c r="H238" s="434"/>
      <c r="I238" s="434"/>
      <c r="J238" s="434"/>
      <c r="K238" s="435"/>
      <c r="L238" s="73"/>
      <c r="M238" s="73"/>
      <c r="N238" s="73"/>
      <c r="O238" s="73"/>
      <c r="P238" s="73"/>
      <c r="Q238" s="73"/>
      <c r="R238" s="73"/>
    </row>
    <row r="239" spans="1:18" x14ac:dyDescent="0.35">
      <c r="A239" s="73"/>
      <c r="B239" s="73"/>
      <c r="C239" s="73"/>
      <c r="D239" s="73"/>
      <c r="E239" s="73"/>
      <c r="F239" s="73"/>
      <c r="G239" s="73"/>
      <c r="H239" s="73"/>
      <c r="I239" s="73"/>
      <c r="J239" s="73"/>
      <c r="K239" s="73"/>
      <c r="L239" s="73"/>
      <c r="M239" s="73"/>
      <c r="N239" s="73"/>
      <c r="O239" s="73"/>
      <c r="P239" s="73"/>
      <c r="Q239" s="73"/>
      <c r="R239" s="73"/>
    </row>
    <row r="240" spans="1:18" x14ac:dyDescent="0.35">
      <c r="A240" s="73"/>
      <c r="B240" s="73"/>
      <c r="C240" s="73"/>
      <c r="D240" s="73"/>
      <c r="E240" s="73"/>
      <c r="F240" s="73"/>
      <c r="G240" s="73"/>
      <c r="H240" s="73"/>
      <c r="I240" s="73"/>
      <c r="J240" s="73"/>
      <c r="K240" s="73"/>
      <c r="L240" s="73"/>
      <c r="M240" s="73"/>
      <c r="N240" s="73"/>
      <c r="O240" s="73"/>
      <c r="P240" s="73"/>
      <c r="Q240" s="73"/>
      <c r="R240" s="73"/>
    </row>
    <row r="241" spans="1:18" x14ac:dyDescent="0.35">
      <c r="A241" s="73"/>
      <c r="B241" s="73"/>
      <c r="C241" s="73"/>
      <c r="D241" s="73"/>
      <c r="E241" s="73"/>
      <c r="F241" s="73"/>
      <c r="G241" s="73"/>
      <c r="H241" s="73"/>
      <c r="I241" s="73"/>
      <c r="J241" s="73"/>
      <c r="K241" s="73"/>
      <c r="L241" s="73"/>
      <c r="M241" s="73"/>
      <c r="N241" s="73"/>
      <c r="O241" s="73"/>
      <c r="P241" s="73"/>
      <c r="Q241" s="73"/>
      <c r="R241" s="73"/>
    </row>
    <row r="242" spans="1:18" x14ac:dyDescent="0.35">
      <c r="A242" s="73"/>
      <c r="B242" s="73"/>
      <c r="C242" s="73"/>
      <c r="D242" s="73"/>
      <c r="E242" s="73"/>
      <c r="F242" s="73"/>
      <c r="G242" s="73"/>
      <c r="H242" s="73"/>
      <c r="I242" s="73"/>
      <c r="J242" s="73"/>
      <c r="K242" s="73"/>
      <c r="L242" s="73"/>
      <c r="M242" s="73"/>
      <c r="N242" s="73"/>
      <c r="O242" s="73"/>
      <c r="P242" s="73"/>
      <c r="Q242" s="73"/>
      <c r="R242" s="73"/>
    </row>
    <row r="243" spans="1:18" x14ac:dyDescent="0.35">
      <c r="A243" s="73"/>
      <c r="B243" s="73"/>
      <c r="C243" s="73"/>
      <c r="D243" s="73"/>
      <c r="E243" s="73"/>
      <c r="F243" s="73"/>
      <c r="G243" s="73"/>
      <c r="H243" s="73"/>
      <c r="I243" s="73"/>
      <c r="J243" s="73"/>
      <c r="K243" s="73"/>
      <c r="L243" s="73"/>
      <c r="M243" s="73"/>
      <c r="N243" s="73"/>
      <c r="O243" s="73"/>
      <c r="P243" s="73"/>
      <c r="Q243" s="73"/>
      <c r="R243" s="73"/>
    </row>
    <row r="244" spans="1:18" x14ac:dyDescent="0.35">
      <c r="A244" s="73"/>
      <c r="B244" s="73"/>
      <c r="C244" s="73"/>
      <c r="D244" s="73"/>
      <c r="E244" s="73"/>
      <c r="F244" s="73"/>
      <c r="G244" s="73"/>
      <c r="H244" s="73"/>
      <c r="I244" s="73"/>
      <c r="J244" s="73"/>
      <c r="K244" s="73"/>
      <c r="L244" s="73"/>
      <c r="M244" s="73"/>
      <c r="N244" s="73"/>
      <c r="O244" s="73"/>
      <c r="P244" s="73"/>
      <c r="Q244" s="73"/>
      <c r="R244" s="73"/>
    </row>
    <row r="245" spans="1:18" x14ac:dyDescent="0.35">
      <c r="A245" s="73"/>
      <c r="B245" s="73"/>
      <c r="C245" s="73"/>
      <c r="D245" s="73"/>
      <c r="E245" s="73"/>
      <c r="F245" s="73"/>
      <c r="G245" s="73"/>
      <c r="H245" s="73"/>
      <c r="I245" s="73"/>
      <c r="J245" s="73"/>
      <c r="K245" s="73"/>
      <c r="L245" s="73"/>
      <c r="M245" s="73"/>
      <c r="N245" s="73"/>
      <c r="O245" s="73"/>
      <c r="P245" s="73"/>
      <c r="Q245" s="73"/>
      <c r="R245" s="73"/>
    </row>
    <row r="246" spans="1:18" x14ac:dyDescent="0.35">
      <c r="A246" s="73"/>
      <c r="B246" s="73"/>
      <c r="C246" s="73"/>
      <c r="D246" s="73"/>
      <c r="E246" s="73"/>
      <c r="F246" s="73"/>
      <c r="G246" s="73"/>
      <c r="H246" s="73"/>
      <c r="I246" s="73"/>
      <c r="J246" s="73"/>
      <c r="K246" s="73"/>
      <c r="L246" s="73"/>
      <c r="M246" s="73"/>
      <c r="N246" s="73"/>
      <c r="O246" s="73"/>
      <c r="P246" s="73"/>
      <c r="Q246" s="73"/>
      <c r="R246" s="73"/>
    </row>
    <row r="247" spans="1:18" x14ac:dyDescent="0.35">
      <c r="A247" s="73"/>
      <c r="B247" s="73"/>
      <c r="C247" s="73"/>
      <c r="D247" s="73"/>
      <c r="E247" s="73"/>
      <c r="F247" s="73"/>
      <c r="G247" s="73"/>
      <c r="H247" s="73"/>
      <c r="I247" s="73"/>
      <c r="J247" s="73"/>
      <c r="K247" s="73"/>
      <c r="L247" s="73"/>
      <c r="M247" s="73"/>
      <c r="N247" s="73"/>
      <c r="O247" s="73"/>
      <c r="P247" s="73"/>
      <c r="Q247" s="73"/>
      <c r="R247" s="73"/>
    </row>
    <row r="248" spans="1:18" x14ac:dyDescent="0.35">
      <c r="A248" s="73"/>
      <c r="B248" s="73"/>
      <c r="C248" s="73"/>
      <c r="D248" s="73"/>
      <c r="E248" s="73"/>
      <c r="F248" s="73"/>
      <c r="G248" s="73"/>
      <c r="H248" s="73"/>
      <c r="I248" s="73"/>
      <c r="J248" s="73"/>
      <c r="K248" s="73"/>
      <c r="L248" s="73"/>
      <c r="M248" s="73"/>
      <c r="N248" s="73"/>
      <c r="O248" s="73"/>
      <c r="P248" s="73"/>
      <c r="Q248" s="73"/>
      <c r="R248" s="73"/>
    </row>
    <row r="249" spans="1:18" x14ac:dyDescent="0.35">
      <c r="A249" s="73"/>
      <c r="B249" s="73"/>
      <c r="C249" s="73"/>
      <c r="D249" s="73"/>
      <c r="E249" s="73"/>
      <c r="F249" s="73"/>
      <c r="G249" s="73"/>
      <c r="H249" s="73"/>
      <c r="I249" s="73"/>
      <c r="J249" s="73"/>
      <c r="K249" s="73"/>
      <c r="L249" s="73"/>
      <c r="M249" s="73"/>
      <c r="N249" s="73"/>
      <c r="O249" s="73"/>
      <c r="P249" s="73"/>
      <c r="Q249" s="73"/>
      <c r="R249" s="73"/>
    </row>
    <row r="250" spans="1:18" x14ac:dyDescent="0.35">
      <c r="A250" s="73"/>
      <c r="B250" s="73"/>
      <c r="C250" s="73"/>
      <c r="D250" s="73"/>
      <c r="E250" s="73"/>
      <c r="F250" s="73"/>
      <c r="G250" s="73"/>
      <c r="H250" s="73"/>
      <c r="I250" s="73"/>
      <c r="J250" s="73"/>
      <c r="K250" s="73"/>
      <c r="L250" s="73"/>
      <c r="M250" s="73"/>
      <c r="N250" s="73"/>
      <c r="O250" s="73"/>
      <c r="P250" s="73"/>
      <c r="Q250" s="73"/>
      <c r="R250" s="73"/>
    </row>
    <row r="251" spans="1:18" x14ac:dyDescent="0.35">
      <c r="A251" s="73"/>
      <c r="B251" s="73"/>
      <c r="C251" s="73"/>
      <c r="D251" s="73"/>
      <c r="E251" s="73"/>
      <c r="F251" s="73"/>
      <c r="G251" s="73"/>
      <c r="H251" s="73"/>
      <c r="I251" s="73"/>
      <c r="J251" s="73"/>
      <c r="K251" s="73"/>
      <c r="L251" s="73"/>
      <c r="M251" s="73"/>
      <c r="N251" s="73"/>
      <c r="O251" s="73"/>
      <c r="P251" s="73"/>
      <c r="Q251" s="73"/>
      <c r="R251" s="73"/>
    </row>
    <row r="252" spans="1:18" x14ac:dyDescent="0.35">
      <c r="A252" s="73"/>
      <c r="B252" s="73"/>
      <c r="C252" s="73"/>
      <c r="D252" s="73"/>
      <c r="E252" s="73"/>
      <c r="F252" s="73"/>
      <c r="G252" s="73"/>
      <c r="H252" s="73"/>
      <c r="I252" s="73"/>
      <c r="J252" s="73"/>
      <c r="K252" s="73"/>
      <c r="L252" s="73"/>
      <c r="M252" s="73"/>
      <c r="N252" s="73"/>
      <c r="O252" s="73"/>
      <c r="P252" s="73"/>
      <c r="Q252" s="73"/>
      <c r="R252" s="73"/>
    </row>
    <row r="253" spans="1:18" x14ac:dyDescent="0.35">
      <c r="A253" s="73"/>
      <c r="B253" s="73"/>
      <c r="C253" s="73"/>
      <c r="D253" s="73"/>
      <c r="E253" s="73"/>
      <c r="F253" s="73"/>
      <c r="G253" s="73"/>
      <c r="H253" s="73"/>
      <c r="I253" s="73"/>
      <c r="J253" s="73"/>
      <c r="K253" s="73"/>
      <c r="L253" s="73"/>
      <c r="M253" s="73"/>
      <c r="N253" s="73"/>
      <c r="O253" s="73"/>
      <c r="P253" s="73"/>
      <c r="Q253" s="73"/>
      <c r="R253" s="73"/>
    </row>
    <row r="254" spans="1:18" x14ac:dyDescent="0.35">
      <c r="A254" s="73"/>
      <c r="B254" s="73"/>
      <c r="C254" s="73"/>
      <c r="D254" s="73"/>
      <c r="E254" s="73"/>
      <c r="F254" s="73"/>
      <c r="G254" s="73"/>
      <c r="H254" s="73"/>
      <c r="I254" s="73"/>
      <c r="J254" s="73"/>
      <c r="K254" s="73"/>
      <c r="L254" s="73"/>
      <c r="M254" s="73"/>
      <c r="N254" s="73"/>
      <c r="O254" s="73"/>
      <c r="P254" s="73"/>
      <c r="Q254" s="73"/>
      <c r="R254" s="73"/>
    </row>
    <row r="255" spans="1:18" x14ac:dyDescent="0.35">
      <c r="A255" s="73"/>
      <c r="B255" s="73"/>
      <c r="C255" s="73"/>
      <c r="D255" s="73"/>
      <c r="E255" s="73"/>
      <c r="F255" s="73"/>
      <c r="G255" s="73"/>
      <c r="H255" s="73"/>
      <c r="I255" s="73"/>
      <c r="J255" s="73"/>
      <c r="K255" s="73"/>
      <c r="L255" s="73"/>
      <c r="M255" s="73"/>
      <c r="N255" s="73"/>
      <c r="O255" s="73"/>
      <c r="P255" s="73"/>
      <c r="Q255" s="73"/>
      <c r="R255" s="73"/>
    </row>
    <row r="256" spans="1:18" x14ac:dyDescent="0.35">
      <c r="A256" s="73"/>
      <c r="B256" s="73"/>
      <c r="C256" s="73"/>
      <c r="D256" s="73"/>
      <c r="E256" s="73"/>
      <c r="F256" s="73"/>
      <c r="G256" s="73"/>
      <c r="H256" s="73"/>
      <c r="I256" s="73"/>
      <c r="J256" s="73"/>
      <c r="K256" s="73"/>
      <c r="L256" s="73"/>
      <c r="M256" s="73"/>
      <c r="N256" s="73"/>
      <c r="O256" s="73"/>
      <c r="P256" s="73"/>
      <c r="Q256" s="73"/>
      <c r="R256" s="73"/>
    </row>
    <row r="257" spans="1:18" x14ac:dyDescent="0.35">
      <c r="A257" s="73"/>
      <c r="B257" s="73"/>
      <c r="C257" s="73"/>
      <c r="D257" s="73"/>
      <c r="E257" s="73"/>
      <c r="F257" s="73"/>
      <c r="G257" s="73"/>
      <c r="H257" s="73"/>
      <c r="I257" s="73"/>
      <c r="J257" s="73"/>
      <c r="K257" s="73"/>
      <c r="L257" s="73"/>
      <c r="M257" s="73"/>
      <c r="N257" s="73"/>
      <c r="O257" s="73"/>
      <c r="P257" s="73"/>
      <c r="Q257" s="73"/>
      <c r="R257" s="73"/>
    </row>
    <row r="258" spans="1:18" x14ac:dyDescent="0.35">
      <c r="A258" s="73"/>
      <c r="B258" s="73"/>
      <c r="C258" s="73"/>
      <c r="D258" s="73"/>
      <c r="E258" s="73"/>
      <c r="F258" s="73"/>
      <c r="G258" s="73"/>
      <c r="H258" s="73"/>
      <c r="I258" s="73"/>
      <c r="J258" s="73"/>
      <c r="K258" s="73"/>
      <c r="L258" s="73"/>
      <c r="M258" s="73"/>
      <c r="N258" s="73"/>
      <c r="O258" s="73"/>
      <c r="P258" s="73"/>
      <c r="Q258" s="73"/>
      <c r="R258" s="73"/>
    </row>
    <row r="259" spans="1:18" x14ac:dyDescent="0.35">
      <c r="A259" s="73"/>
      <c r="B259" s="73"/>
      <c r="C259" s="73"/>
      <c r="D259" s="73"/>
      <c r="E259" s="73"/>
      <c r="F259" s="73"/>
      <c r="G259" s="73"/>
      <c r="H259" s="73"/>
      <c r="I259" s="73"/>
      <c r="J259" s="73"/>
      <c r="K259" s="73"/>
      <c r="L259" s="73"/>
      <c r="M259" s="73"/>
      <c r="N259" s="73"/>
      <c r="O259" s="73"/>
      <c r="P259" s="73"/>
      <c r="Q259" s="73"/>
      <c r="R259" s="73"/>
    </row>
    <row r="260" spans="1:18" x14ac:dyDescent="0.35">
      <c r="A260" s="73"/>
      <c r="B260" s="73"/>
      <c r="C260" s="73"/>
      <c r="D260" s="73"/>
      <c r="E260" s="73"/>
      <c r="F260" s="73"/>
      <c r="G260" s="73"/>
      <c r="H260" s="73"/>
      <c r="I260" s="73"/>
      <c r="J260" s="73"/>
      <c r="K260" s="73"/>
      <c r="L260" s="73"/>
      <c r="M260" s="73"/>
      <c r="N260" s="73"/>
      <c r="O260" s="73"/>
      <c r="P260" s="73"/>
      <c r="Q260" s="73"/>
      <c r="R260" s="73"/>
    </row>
    <row r="261" spans="1:18" x14ac:dyDescent="0.35">
      <c r="A261" s="73"/>
      <c r="B261" s="73"/>
      <c r="C261" s="73"/>
      <c r="D261" s="73"/>
      <c r="E261" s="73"/>
      <c r="F261" s="73"/>
      <c r="G261" s="73"/>
      <c r="H261" s="73"/>
      <c r="I261" s="73"/>
      <c r="J261" s="73"/>
      <c r="K261" s="73"/>
      <c r="L261" s="73"/>
      <c r="M261" s="73"/>
      <c r="N261" s="73"/>
      <c r="O261" s="73"/>
      <c r="P261" s="73"/>
      <c r="Q261" s="73"/>
      <c r="R261" s="73"/>
    </row>
    <row r="262" spans="1:18" x14ac:dyDescent="0.35">
      <c r="A262" s="73"/>
      <c r="B262" s="73"/>
      <c r="C262" s="73"/>
      <c r="D262" s="73"/>
      <c r="E262" s="73"/>
      <c r="F262" s="73"/>
      <c r="G262" s="73"/>
      <c r="H262" s="73"/>
      <c r="I262" s="73"/>
      <c r="J262" s="73"/>
      <c r="K262" s="73"/>
      <c r="L262" s="73"/>
      <c r="M262" s="73"/>
      <c r="N262" s="73"/>
      <c r="O262" s="73"/>
      <c r="P262" s="73"/>
      <c r="Q262" s="73"/>
      <c r="R262" s="73"/>
    </row>
    <row r="263" spans="1:18" x14ac:dyDescent="0.35">
      <c r="A263" s="73"/>
      <c r="B263" s="73"/>
      <c r="C263" s="73"/>
      <c r="D263" s="73"/>
      <c r="E263" s="73"/>
      <c r="F263" s="73"/>
      <c r="G263" s="73"/>
      <c r="H263" s="73"/>
      <c r="I263" s="73"/>
      <c r="J263" s="73"/>
      <c r="K263" s="73"/>
      <c r="L263" s="73"/>
      <c r="M263" s="73"/>
      <c r="N263" s="73"/>
      <c r="O263" s="73"/>
      <c r="P263" s="73"/>
      <c r="Q263" s="73"/>
      <c r="R263" s="73"/>
    </row>
    <row r="264" spans="1:18" x14ac:dyDescent="0.35">
      <c r="A264" s="73"/>
      <c r="B264" s="73"/>
      <c r="C264" s="73"/>
      <c r="D264" s="73"/>
      <c r="E264" s="73"/>
      <c r="F264" s="73"/>
      <c r="G264" s="73"/>
      <c r="H264" s="73"/>
      <c r="I264" s="73"/>
      <c r="J264" s="73"/>
      <c r="K264" s="73"/>
      <c r="L264" s="73"/>
      <c r="M264" s="73"/>
      <c r="N264" s="73"/>
      <c r="O264" s="73"/>
      <c r="P264" s="73"/>
      <c r="Q264" s="73"/>
      <c r="R264" s="73"/>
    </row>
    <row r="265" spans="1:18" x14ac:dyDescent="0.35">
      <c r="A265" s="73"/>
      <c r="B265" s="73"/>
      <c r="C265" s="73"/>
      <c r="D265" s="73"/>
      <c r="E265" s="73"/>
      <c r="F265" s="73"/>
      <c r="G265" s="73"/>
      <c r="H265" s="73"/>
      <c r="I265" s="73"/>
      <c r="J265" s="73"/>
      <c r="K265" s="73"/>
      <c r="L265" s="73"/>
      <c r="M265" s="73"/>
      <c r="N265" s="73"/>
      <c r="O265" s="73"/>
      <c r="P265" s="73"/>
      <c r="Q265" s="73"/>
      <c r="R265" s="73"/>
    </row>
    <row r="266" spans="1:18" x14ac:dyDescent="0.35">
      <c r="A266" s="73"/>
      <c r="B266" s="73"/>
      <c r="C266" s="73"/>
      <c r="D266" s="73"/>
      <c r="E266" s="73"/>
      <c r="F266" s="73"/>
      <c r="G266" s="73"/>
      <c r="H266" s="73"/>
      <c r="I266" s="73"/>
      <c r="J266" s="73"/>
      <c r="K266" s="73"/>
      <c r="L266" s="73"/>
      <c r="M266" s="73"/>
      <c r="N266" s="73"/>
      <c r="O266" s="73"/>
      <c r="P266" s="73"/>
      <c r="Q266" s="73"/>
      <c r="R266" s="73"/>
    </row>
    <row r="267" spans="1:18" x14ac:dyDescent="0.35">
      <c r="A267" s="73"/>
      <c r="B267" s="73"/>
      <c r="C267" s="73"/>
      <c r="D267" s="73"/>
      <c r="E267" s="73"/>
      <c r="F267" s="73"/>
      <c r="G267" s="73"/>
      <c r="H267" s="73"/>
      <c r="I267" s="73"/>
      <c r="J267" s="73"/>
      <c r="K267" s="73"/>
      <c r="L267" s="73"/>
      <c r="M267" s="73"/>
      <c r="N267" s="73"/>
      <c r="O267" s="73"/>
      <c r="P267" s="73"/>
      <c r="Q267" s="73"/>
      <c r="R267" s="73"/>
    </row>
    <row r="268" spans="1:18" x14ac:dyDescent="0.35">
      <c r="A268" s="73"/>
      <c r="B268" s="73"/>
      <c r="C268" s="73"/>
      <c r="D268" s="73"/>
      <c r="E268" s="73"/>
      <c r="F268" s="73"/>
      <c r="G268" s="73"/>
      <c r="H268" s="73"/>
      <c r="I268" s="73"/>
      <c r="J268" s="73"/>
      <c r="K268" s="73"/>
      <c r="L268" s="73"/>
      <c r="M268" s="73"/>
      <c r="N268" s="73"/>
      <c r="O268" s="73"/>
      <c r="P268" s="73"/>
      <c r="Q268" s="73"/>
      <c r="R268" s="73"/>
    </row>
    <row r="269" spans="1:18" x14ac:dyDescent="0.35">
      <c r="A269" s="73"/>
      <c r="B269" s="73"/>
      <c r="C269" s="73"/>
      <c r="D269" s="73"/>
      <c r="E269" s="73"/>
      <c r="F269" s="73"/>
      <c r="G269" s="73"/>
      <c r="H269" s="73"/>
      <c r="I269" s="73"/>
      <c r="J269" s="73"/>
      <c r="K269" s="73"/>
      <c r="L269" s="73"/>
      <c r="M269" s="73"/>
      <c r="N269" s="73"/>
      <c r="O269" s="73"/>
      <c r="P269" s="73"/>
      <c r="Q269" s="73"/>
      <c r="R269" s="73"/>
    </row>
    <row r="270" spans="1:18" x14ac:dyDescent="0.35">
      <c r="A270" s="185"/>
      <c r="B270" s="172"/>
      <c r="C270" s="172"/>
      <c r="D270" s="172"/>
      <c r="E270" s="172"/>
      <c r="F270" s="172"/>
      <c r="G270" s="172"/>
      <c r="H270" s="172"/>
      <c r="I270" s="172"/>
      <c r="J270" s="172"/>
      <c r="K270" s="172"/>
      <c r="L270" s="73"/>
      <c r="M270" s="73"/>
      <c r="N270" s="73"/>
      <c r="O270" s="73"/>
      <c r="P270" s="73"/>
      <c r="Q270" s="73"/>
      <c r="R270" s="73"/>
    </row>
    <row r="271" spans="1:18" ht="26" x14ac:dyDescent="0.35">
      <c r="A271" s="426"/>
      <c r="B271" s="427"/>
      <c r="C271" s="173" t="s">
        <v>44</v>
      </c>
      <c r="D271" s="187" t="s">
        <v>99</v>
      </c>
      <c r="E271" s="187" t="s">
        <v>100</v>
      </c>
      <c r="F271" s="187" t="s">
        <v>23</v>
      </c>
      <c r="G271" s="187" t="s">
        <v>101</v>
      </c>
      <c r="H271" s="187" t="s">
        <v>215</v>
      </c>
      <c r="I271" s="187" t="s">
        <v>216</v>
      </c>
      <c r="J271" s="187" t="s">
        <v>217</v>
      </c>
      <c r="K271" s="188" t="s">
        <v>218</v>
      </c>
      <c r="L271" s="73"/>
      <c r="M271" s="73"/>
      <c r="N271" s="73"/>
      <c r="O271" s="73"/>
      <c r="P271" s="73"/>
      <c r="Q271" s="73"/>
      <c r="R271" s="73"/>
    </row>
    <row r="272" spans="1:18" x14ac:dyDescent="0.35">
      <c r="A272" s="431" t="str">
        <f>A238</f>
        <v>Payoffs Q6</v>
      </c>
      <c r="B272" s="432" t="str">
        <f>B238</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272" s="174" t="s">
        <v>45</v>
      </c>
      <c r="D272" s="190" t="str">
        <f>IF('4.3 Elicitation data entry'!$C$29="","",'4.3 Elicitation data entry'!$C$29)</f>
        <v/>
      </c>
      <c r="E272" s="190" t="str">
        <f>IF('4.3 Elicitation data entry'!$D$29="","",'4.3 Elicitation data entry'!$D$29)</f>
        <v/>
      </c>
      <c r="F272" s="190" t="str">
        <f>IF('4.3 Elicitation data entry'!$E$29="","",'4.3 Elicitation data entry'!$E$29)</f>
        <v/>
      </c>
      <c r="G272" s="190" t="str">
        <f>IF('4.3 Elicitation data entry'!$F$29="","",'4.3 Elicitation data entry'!$F$29)</f>
        <v/>
      </c>
      <c r="H272" s="190" t="str">
        <f t="shared" ref="H272:H277" si="30">IF($F272="","",F272-J272)</f>
        <v/>
      </c>
      <c r="I272" s="191" t="str">
        <f t="shared" ref="I272:I277" si="31">IF($F272="","",K272-F272)</f>
        <v/>
      </c>
      <c r="J272" s="192" t="str">
        <f t="shared" ref="J272:J277" si="32">IF($F272="","",IF(F272-((F272-D272)/G272)*90&lt;-100,-100,F272-((F272-D272)/G272)*90))</f>
        <v/>
      </c>
      <c r="K272" s="193" t="str">
        <f t="shared" ref="K272:K277" si="33">IF($F272="","",(F272-((F272-E272)/G272)*90))</f>
        <v/>
      </c>
      <c r="L272" s="73"/>
      <c r="M272" s="73"/>
      <c r="N272" s="73"/>
      <c r="O272" s="73"/>
      <c r="P272" s="73"/>
      <c r="Q272" s="73"/>
      <c r="R272" s="73"/>
    </row>
    <row r="273" spans="1:18" x14ac:dyDescent="0.35">
      <c r="A273" s="431"/>
      <c r="B273" s="432"/>
      <c r="C273" s="174" t="s">
        <v>46</v>
      </c>
      <c r="D273" s="190" t="str">
        <f>IF('4.3 Elicitation data entry'!$H$29="","",'4.3 Elicitation data entry'!$H$29)</f>
        <v/>
      </c>
      <c r="E273" s="190" t="str">
        <f>IF('4.3 Elicitation data entry'!$I$29="","",'4.3 Elicitation data entry'!$I$29)</f>
        <v/>
      </c>
      <c r="F273" s="190" t="str">
        <f>IF('4.3 Elicitation data entry'!$J$29="","",'4.3 Elicitation data entry'!$J$29)</f>
        <v/>
      </c>
      <c r="G273" s="190" t="str">
        <f>IF('4.3 Elicitation data entry'!$K$29="","",'4.3 Elicitation data entry'!$K$29)</f>
        <v/>
      </c>
      <c r="H273" s="190" t="str">
        <f t="shared" si="30"/>
        <v/>
      </c>
      <c r="I273" s="191" t="str">
        <f t="shared" si="31"/>
        <v/>
      </c>
      <c r="J273" s="192" t="str">
        <f t="shared" si="32"/>
        <v/>
      </c>
      <c r="K273" s="193" t="str">
        <f t="shared" si="33"/>
        <v/>
      </c>
      <c r="L273" s="73"/>
      <c r="M273" s="73"/>
      <c r="N273" s="73"/>
      <c r="O273" s="73"/>
      <c r="P273" s="73"/>
      <c r="Q273" s="73"/>
      <c r="R273" s="73"/>
    </row>
    <row r="274" spans="1:18" x14ac:dyDescent="0.35">
      <c r="A274" s="431"/>
      <c r="B274" s="432"/>
      <c r="C274" s="174" t="s">
        <v>47</v>
      </c>
      <c r="D274" s="190" t="str">
        <f>IF('4.3 Elicitation data entry'!$M$29="","",'4.3 Elicitation data entry'!$M$29)</f>
        <v/>
      </c>
      <c r="E274" s="190" t="str">
        <f>IF('4.3 Elicitation data entry'!$N$29="","",'4.3 Elicitation data entry'!$N$29)</f>
        <v/>
      </c>
      <c r="F274" s="190" t="str">
        <f>IF('4.3 Elicitation data entry'!$O$29="","",'4.3 Elicitation data entry'!$O$29)</f>
        <v/>
      </c>
      <c r="G274" s="190" t="str">
        <f>IF('4.3 Elicitation data entry'!$P$29="","",'4.3 Elicitation data entry'!$P$29)</f>
        <v/>
      </c>
      <c r="H274" s="190" t="str">
        <f t="shared" si="30"/>
        <v/>
      </c>
      <c r="I274" s="191" t="str">
        <f t="shared" si="31"/>
        <v/>
      </c>
      <c r="J274" s="192" t="str">
        <f t="shared" si="32"/>
        <v/>
      </c>
      <c r="K274" s="193" t="str">
        <f t="shared" si="33"/>
        <v/>
      </c>
      <c r="L274" s="73"/>
      <c r="M274" s="73"/>
      <c r="N274" s="73"/>
      <c r="O274" s="73"/>
      <c r="P274" s="73"/>
      <c r="Q274" s="73"/>
      <c r="R274" s="73"/>
    </row>
    <row r="275" spans="1:18" x14ac:dyDescent="0.35">
      <c r="A275" s="431"/>
      <c r="B275" s="432"/>
      <c r="C275" s="174" t="s">
        <v>48</v>
      </c>
      <c r="D275" s="190" t="str">
        <f>IF('4.3 Elicitation data entry'!$R$29="","",'4.3 Elicitation data entry'!$R$29)</f>
        <v/>
      </c>
      <c r="E275" s="190" t="str">
        <f>IF('4.3 Elicitation data entry'!$S$29="","",'4.3 Elicitation data entry'!$S$29)</f>
        <v/>
      </c>
      <c r="F275" s="190" t="str">
        <f>IF('4.3 Elicitation data entry'!$T$29="","",'4.3 Elicitation data entry'!$T$29)</f>
        <v/>
      </c>
      <c r="G275" s="190" t="str">
        <f>IF('4.3 Elicitation data entry'!$U$29="","",'4.3 Elicitation data entry'!$U$29)</f>
        <v/>
      </c>
      <c r="H275" s="190" t="str">
        <f t="shared" si="30"/>
        <v/>
      </c>
      <c r="I275" s="191" t="str">
        <f t="shared" si="31"/>
        <v/>
      </c>
      <c r="J275" s="192" t="str">
        <f t="shared" si="32"/>
        <v/>
      </c>
      <c r="K275" s="193" t="str">
        <f t="shared" si="33"/>
        <v/>
      </c>
      <c r="L275" s="73"/>
      <c r="M275" s="73"/>
      <c r="N275" s="73"/>
      <c r="O275" s="73"/>
      <c r="P275" s="73"/>
      <c r="Q275" s="73"/>
      <c r="R275" s="73"/>
    </row>
    <row r="276" spans="1:18" x14ac:dyDescent="0.35">
      <c r="A276" s="431"/>
      <c r="B276" s="432"/>
      <c r="C276" s="174" t="s">
        <v>49</v>
      </c>
      <c r="D276" s="190" t="str">
        <f>IF('4.3 Elicitation data entry'!$W$29="","",'4.3 Elicitation data entry'!$W$29)</f>
        <v/>
      </c>
      <c r="E276" s="190" t="str">
        <f>IF('4.3 Elicitation data entry'!$X$29="","",'4.3 Elicitation data entry'!$X$29)</f>
        <v/>
      </c>
      <c r="F276" s="190" t="str">
        <f>IF('4.3 Elicitation data entry'!$Y$29="","",'4.3 Elicitation data entry'!$Y$29)</f>
        <v/>
      </c>
      <c r="G276" s="190" t="str">
        <f>IF('4.3 Elicitation data entry'!$Z$29="","",'4.3 Elicitation data entry'!$Z$29)</f>
        <v/>
      </c>
      <c r="H276" s="190" t="str">
        <f t="shared" si="30"/>
        <v/>
      </c>
      <c r="I276" s="191" t="str">
        <f t="shared" si="31"/>
        <v/>
      </c>
      <c r="J276" s="192" t="str">
        <f t="shared" si="32"/>
        <v/>
      </c>
      <c r="K276" s="193" t="str">
        <f t="shared" si="33"/>
        <v/>
      </c>
      <c r="L276" s="73"/>
      <c r="M276" s="73"/>
      <c r="N276" s="73"/>
      <c r="O276" s="73"/>
      <c r="P276" s="73"/>
      <c r="Q276" s="73"/>
      <c r="R276" s="73"/>
    </row>
    <row r="277" spans="1:18" x14ac:dyDescent="0.35">
      <c r="A277" s="431"/>
      <c r="B277" s="432"/>
      <c r="C277" s="174" t="s">
        <v>50</v>
      </c>
      <c r="D277" s="190" t="str">
        <f>IF('4.3 Elicitation data entry'!$AB$29="","",'4.3 Elicitation data entry'!$AB$29)</f>
        <v/>
      </c>
      <c r="E277" s="190" t="str">
        <f>IF('4.3 Elicitation data entry'!$AC$29="","",'4.3 Elicitation data entry'!$AC$29)</f>
        <v/>
      </c>
      <c r="F277" s="190" t="str">
        <f>IF('4.3 Elicitation data entry'!$AD$29="","",'4.3 Elicitation data entry'!$AD$29)</f>
        <v/>
      </c>
      <c r="G277" s="190" t="str">
        <f>IF('4.3 Elicitation data entry'!$AE$29="","",'4.3 Elicitation data entry'!$AE$29)</f>
        <v/>
      </c>
      <c r="H277" s="190" t="str">
        <f t="shared" si="30"/>
        <v/>
      </c>
      <c r="I277" s="191" t="str">
        <f t="shared" si="31"/>
        <v/>
      </c>
      <c r="J277" s="192" t="str">
        <f t="shared" si="32"/>
        <v/>
      </c>
      <c r="K277" s="193" t="str">
        <f t="shared" si="33"/>
        <v/>
      </c>
      <c r="L277" s="73"/>
      <c r="M277" s="73"/>
      <c r="N277" s="73"/>
      <c r="O277" s="73"/>
      <c r="P277" s="73"/>
      <c r="Q277" s="73"/>
      <c r="R277" s="73"/>
    </row>
    <row r="278" spans="1:18" x14ac:dyDescent="0.35">
      <c r="A278" s="175"/>
      <c r="B278" s="176" t="s">
        <v>51</v>
      </c>
      <c r="C278" s="177" t="s">
        <v>52</v>
      </c>
      <c r="D278" s="190" t="e">
        <f t="shared" ref="D278:I278" si="34">AVERAGE(D272:D277)</f>
        <v>#DIV/0!</v>
      </c>
      <c r="E278" s="194" t="e">
        <f t="shared" si="34"/>
        <v>#DIV/0!</v>
      </c>
      <c r="F278" s="194" t="e">
        <f t="shared" si="34"/>
        <v>#DIV/0!</v>
      </c>
      <c r="G278" s="194" t="e">
        <f t="shared" si="34"/>
        <v>#DIV/0!</v>
      </c>
      <c r="H278" s="190" t="e">
        <f t="shared" si="34"/>
        <v>#DIV/0!</v>
      </c>
      <c r="I278" s="190" t="e">
        <f t="shared" si="34"/>
        <v>#DIV/0!</v>
      </c>
      <c r="J278" s="192" t="e">
        <f>IF((F278-((F278-D278)/G278)*90)&lt;-100,-100,(F278-((F278-D278)/G278)*90))</f>
        <v>#DIV/0!</v>
      </c>
      <c r="K278" s="193" t="e">
        <f>IF((F278-((F278-E278)/G278)*90)&lt;-100,-100,(F278-((F278-E278)/G278)*90))</f>
        <v>#DIV/0!</v>
      </c>
      <c r="L278" s="73"/>
      <c r="M278" s="73"/>
      <c r="N278" s="73"/>
      <c r="O278" s="73"/>
      <c r="P278" s="73"/>
      <c r="Q278" s="73"/>
      <c r="R278" s="73"/>
    </row>
    <row r="279" spans="1:18" x14ac:dyDescent="0.35">
      <c r="A279" s="178"/>
      <c r="B279" s="179"/>
      <c r="C279" s="180" t="s">
        <v>53</v>
      </c>
      <c r="D279" s="196" t="e">
        <f t="shared" ref="D279:K279" si="35">STDEV(D272:D277)/SQRT(COUNT(D272:D277))</f>
        <v>#DIV/0!</v>
      </c>
      <c r="E279" s="196" t="e">
        <f t="shared" si="35"/>
        <v>#DIV/0!</v>
      </c>
      <c r="F279" s="196" t="e">
        <f t="shared" si="35"/>
        <v>#DIV/0!</v>
      </c>
      <c r="G279" s="196" t="e">
        <f t="shared" si="35"/>
        <v>#DIV/0!</v>
      </c>
      <c r="H279" s="197" t="e">
        <f t="shared" si="35"/>
        <v>#DIV/0!</v>
      </c>
      <c r="I279" s="197" t="e">
        <f t="shared" si="35"/>
        <v>#DIV/0!</v>
      </c>
      <c r="J279" s="197" t="e">
        <f t="shared" si="35"/>
        <v>#DIV/0!</v>
      </c>
      <c r="K279" s="198" t="e">
        <f t="shared" si="35"/>
        <v>#DIV/0!</v>
      </c>
      <c r="L279" s="73"/>
      <c r="M279" s="73"/>
      <c r="N279" s="73"/>
      <c r="O279" s="73"/>
      <c r="P279" s="73"/>
      <c r="Q279" s="73"/>
      <c r="R279" s="73"/>
    </row>
    <row r="280" spans="1:18" x14ac:dyDescent="0.35">
      <c r="A280" s="199"/>
      <c r="B280" s="73"/>
      <c r="C280" s="73"/>
      <c r="D280" s="73"/>
      <c r="E280" s="73"/>
      <c r="F280" s="73"/>
      <c r="G280" s="73"/>
      <c r="H280" s="73"/>
      <c r="L280" s="73"/>
      <c r="M280" s="73"/>
      <c r="N280" s="73"/>
      <c r="O280" s="73"/>
      <c r="P280" s="73"/>
      <c r="Q280" s="73"/>
      <c r="R280" s="73"/>
    </row>
    <row r="281" spans="1:18" x14ac:dyDescent="0.35">
      <c r="A281" s="199"/>
      <c r="B281" s="73"/>
      <c r="C281" s="73"/>
      <c r="D281" s="73"/>
      <c r="E281" s="73"/>
      <c r="F281" s="73"/>
      <c r="G281" s="73"/>
      <c r="H281" s="73"/>
      <c r="L281" s="73"/>
      <c r="M281" s="73"/>
      <c r="N281" s="73"/>
      <c r="O281" s="73"/>
      <c r="P281" s="73"/>
      <c r="Q281" s="73"/>
      <c r="R281" s="73"/>
    </row>
    <row r="282" spans="1:18" x14ac:dyDescent="0.35">
      <c r="A282" s="199"/>
      <c r="B282" s="73"/>
      <c r="C282" s="73"/>
      <c r="D282" s="73"/>
      <c r="E282" s="73"/>
      <c r="F282" s="73"/>
      <c r="G282" s="73"/>
      <c r="H282" s="73"/>
      <c r="L282" s="73"/>
      <c r="M282" s="73"/>
      <c r="N282" s="73"/>
      <c r="O282" s="73"/>
      <c r="P282" s="73"/>
      <c r="Q282" s="73"/>
      <c r="R282" s="73"/>
    </row>
    <row r="283" spans="1:18" x14ac:dyDescent="0.35">
      <c r="A283" s="199"/>
      <c r="B283" s="73"/>
      <c r="C283" s="73"/>
      <c r="D283" s="73"/>
      <c r="E283" s="73"/>
      <c r="F283" s="73"/>
      <c r="G283" s="73"/>
      <c r="H283" s="73"/>
      <c r="L283" s="73"/>
      <c r="M283" s="73"/>
      <c r="N283" s="73"/>
      <c r="O283" s="73"/>
      <c r="P283" s="73"/>
      <c r="Q283" s="73"/>
      <c r="R283" s="73"/>
    </row>
    <row r="284" spans="1:18" x14ac:dyDescent="0.35">
      <c r="A284" s="199"/>
      <c r="B284" s="73"/>
      <c r="C284" s="73"/>
      <c r="D284" s="73"/>
      <c r="E284" s="73"/>
      <c r="F284" s="73"/>
      <c r="G284" s="73"/>
      <c r="H284" s="73"/>
      <c r="L284" s="73"/>
      <c r="M284" s="73"/>
      <c r="N284" s="73"/>
      <c r="O284" s="73"/>
      <c r="P284" s="73"/>
      <c r="Q284" s="73"/>
      <c r="R284" s="73"/>
    </row>
    <row r="285" spans="1:18" ht="35.15" customHeight="1" x14ac:dyDescent="0.35">
      <c r="A285" s="164" t="s">
        <v>225</v>
      </c>
      <c r="B285" s="433" t="s">
        <v>126</v>
      </c>
      <c r="C285" s="434"/>
      <c r="D285" s="434"/>
      <c r="E285" s="434"/>
      <c r="F285" s="434"/>
      <c r="G285" s="434"/>
      <c r="H285" s="434"/>
      <c r="I285" s="434"/>
      <c r="J285" s="434"/>
      <c r="K285" s="435"/>
      <c r="L285" s="73"/>
      <c r="M285" s="73"/>
      <c r="N285" s="73"/>
      <c r="O285" s="73"/>
      <c r="P285" s="73"/>
      <c r="Q285" s="73"/>
      <c r="R285" s="73"/>
    </row>
    <row r="286" spans="1:18" x14ac:dyDescent="0.35">
      <c r="A286" s="73"/>
      <c r="B286" s="73"/>
      <c r="C286" s="73"/>
      <c r="D286" s="73"/>
      <c r="E286" s="73"/>
      <c r="F286" s="73"/>
      <c r="G286" s="73"/>
      <c r="H286" s="73"/>
      <c r="I286" s="73"/>
      <c r="J286" s="73"/>
      <c r="K286" s="73"/>
      <c r="L286" s="73"/>
      <c r="M286" s="73"/>
      <c r="N286" s="73"/>
      <c r="O286" s="73"/>
      <c r="P286" s="73"/>
      <c r="Q286" s="73"/>
      <c r="R286" s="73"/>
    </row>
    <row r="287" spans="1:18" x14ac:dyDescent="0.35">
      <c r="A287" s="73"/>
      <c r="B287" s="73"/>
      <c r="C287" s="73"/>
      <c r="D287" s="73"/>
      <c r="E287" s="73"/>
      <c r="F287" s="73"/>
      <c r="G287" s="73"/>
      <c r="H287" s="73"/>
      <c r="I287" s="73"/>
      <c r="J287" s="73"/>
      <c r="K287" s="73"/>
      <c r="L287" s="73"/>
      <c r="M287" s="73"/>
      <c r="N287" s="73"/>
      <c r="O287" s="73"/>
      <c r="P287" s="73"/>
      <c r="Q287" s="73"/>
      <c r="R287" s="73"/>
    </row>
    <row r="288" spans="1:18" x14ac:dyDescent="0.35">
      <c r="A288" s="73"/>
      <c r="B288" s="73"/>
      <c r="C288" s="73"/>
      <c r="D288" s="73"/>
      <c r="E288" s="73"/>
      <c r="F288" s="73"/>
      <c r="G288" s="73"/>
      <c r="H288" s="73"/>
      <c r="I288" s="73"/>
      <c r="J288" s="73"/>
      <c r="K288" s="73"/>
      <c r="L288" s="73"/>
      <c r="M288" s="73"/>
      <c r="N288" s="73"/>
      <c r="O288" s="73"/>
      <c r="P288" s="73"/>
      <c r="Q288" s="73"/>
      <c r="R288" s="73"/>
    </row>
    <row r="289" spans="1:18" x14ac:dyDescent="0.35">
      <c r="A289" s="73"/>
      <c r="B289" s="73"/>
      <c r="C289" s="73"/>
      <c r="D289" s="73"/>
      <c r="E289" s="73"/>
      <c r="F289" s="73"/>
      <c r="G289" s="73"/>
      <c r="H289" s="73"/>
      <c r="I289" s="73"/>
      <c r="J289" s="73"/>
      <c r="K289" s="73"/>
      <c r="L289" s="73"/>
      <c r="M289" s="73"/>
      <c r="N289" s="73"/>
      <c r="O289" s="73"/>
      <c r="P289" s="73"/>
      <c r="Q289" s="73"/>
      <c r="R289" s="73"/>
    </row>
    <row r="290" spans="1:18" x14ac:dyDescent="0.35">
      <c r="A290" s="73"/>
      <c r="B290" s="73"/>
      <c r="C290" s="73"/>
      <c r="D290" s="73"/>
      <c r="E290" s="73"/>
      <c r="F290" s="73"/>
      <c r="G290" s="73"/>
      <c r="H290" s="73"/>
      <c r="I290" s="73"/>
      <c r="J290" s="73"/>
      <c r="K290" s="73"/>
      <c r="L290" s="73"/>
      <c r="M290" s="73"/>
      <c r="N290" s="73"/>
      <c r="O290" s="73"/>
      <c r="P290" s="73"/>
      <c r="Q290" s="73"/>
      <c r="R290" s="73"/>
    </row>
    <row r="291" spans="1:18" x14ac:dyDescent="0.35">
      <c r="A291" s="73"/>
      <c r="B291" s="73"/>
      <c r="C291" s="73"/>
      <c r="D291" s="73"/>
      <c r="E291" s="73"/>
      <c r="F291" s="73"/>
      <c r="G291" s="73"/>
      <c r="H291" s="73"/>
      <c r="I291" s="73"/>
      <c r="J291" s="73"/>
      <c r="K291" s="73"/>
      <c r="L291" s="73"/>
      <c r="M291" s="73"/>
      <c r="N291" s="73"/>
      <c r="O291" s="73"/>
      <c r="P291" s="73"/>
      <c r="Q291" s="73"/>
      <c r="R291" s="73"/>
    </row>
    <row r="292" spans="1:18" x14ac:dyDescent="0.35">
      <c r="A292" s="73"/>
      <c r="B292" s="73"/>
      <c r="C292" s="73"/>
      <c r="D292" s="73"/>
      <c r="E292" s="73"/>
      <c r="F292" s="73"/>
      <c r="G292" s="73"/>
      <c r="H292" s="73"/>
      <c r="I292" s="73"/>
      <c r="J292" s="73"/>
      <c r="K292" s="73"/>
      <c r="L292" s="73"/>
      <c r="M292" s="73"/>
      <c r="N292" s="73"/>
      <c r="O292" s="73"/>
      <c r="P292" s="73"/>
      <c r="Q292" s="73"/>
      <c r="R292" s="73"/>
    </row>
    <row r="293" spans="1:18" x14ac:dyDescent="0.35">
      <c r="A293" s="73"/>
      <c r="B293" s="73"/>
      <c r="C293" s="73"/>
      <c r="D293" s="73"/>
      <c r="E293" s="73"/>
      <c r="F293" s="73"/>
      <c r="G293" s="73"/>
      <c r="H293" s="73"/>
      <c r="I293" s="73"/>
      <c r="J293" s="73"/>
      <c r="K293" s="73"/>
      <c r="L293" s="73"/>
      <c r="M293" s="73"/>
      <c r="N293" s="73"/>
      <c r="O293" s="73"/>
      <c r="P293" s="73"/>
      <c r="Q293" s="73"/>
      <c r="R293" s="73"/>
    </row>
    <row r="294" spans="1:18" x14ac:dyDescent="0.35">
      <c r="A294" s="73"/>
      <c r="B294" s="73"/>
      <c r="C294" s="73"/>
      <c r="D294" s="73"/>
      <c r="E294" s="73"/>
      <c r="F294" s="73"/>
      <c r="G294" s="73"/>
      <c r="H294" s="73"/>
      <c r="I294" s="73"/>
      <c r="J294" s="73"/>
      <c r="K294" s="73"/>
      <c r="L294" s="73"/>
      <c r="M294" s="73"/>
      <c r="N294" s="73"/>
      <c r="O294" s="73"/>
      <c r="P294" s="73"/>
      <c r="Q294" s="73"/>
      <c r="R294" s="73"/>
    </row>
    <row r="295" spans="1:18" x14ac:dyDescent="0.35">
      <c r="A295" s="73"/>
      <c r="B295" s="73"/>
      <c r="C295" s="73"/>
      <c r="D295" s="73"/>
      <c r="E295" s="73"/>
      <c r="F295" s="73"/>
      <c r="G295" s="73"/>
      <c r="H295" s="73"/>
      <c r="I295" s="73"/>
      <c r="J295" s="73"/>
      <c r="K295" s="73"/>
      <c r="L295" s="73"/>
      <c r="M295" s="73"/>
      <c r="N295" s="73"/>
      <c r="O295" s="73"/>
      <c r="P295" s="73"/>
      <c r="Q295" s="73"/>
      <c r="R295" s="73"/>
    </row>
    <row r="296" spans="1:18" x14ac:dyDescent="0.35">
      <c r="A296" s="73"/>
      <c r="B296" s="73"/>
      <c r="C296" s="73"/>
      <c r="D296" s="73"/>
      <c r="E296" s="73"/>
      <c r="F296" s="73"/>
      <c r="G296" s="73"/>
      <c r="H296" s="73"/>
      <c r="I296" s="73"/>
      <c r="J296" s="73"/>
      <c r="K296" s="73"/>
      <c r="L296" s="73"/>
      <c r="M296" s="73"/>
      <c r="N296" s="73"/>
      <c r="O296" s="73"/>
      <c r="P296" s="73"/>
      <c r="Q296" s="73"/>
      <c r="R296" s="73"/>
    </row>
    <row r="297" spans="1:18" x14ac:dyDescent="0.35">
      <c r="A297" s="73"/>
      <c r="B297" s="73"/>
      <c r="C297" s="73"/>
      <c r="D297" s="73"/>
      <c r="E297" s="73"/>
      <c r="F297" s="73"/>
      <c r="G297" s="73"/>
      <c r="H297" s="73"/>
      <c r="I297" s="73"/>
      <c r="J297" s="73"/>
      <c r="K297" s="73"/>
      <c r="L297" s="73"/>
      <c r="M297" s="73"/>
      <c r="N297" s="73"/>
      <c r="O297" s="73"/>
      <c r="P297" s="73"/>
      <c r="Q297" s="73"/>
      <c r="R297" s="73"/>
    </row>
    <row r="298" spans="1:18" x14ac:dyDescent="0.35">
      <c r="A298" s="73"/>
      <c r="B298" s="73"/>
      <c r="C298" s="73"/>
      <c r="D298" s="73"/>
      <c r="E298" s="73"/>
      <c r="F298" s="73"/>
      <c r="G298" s="73"/>
      <c r="H298" s="73"/>
      <c r="I298" s="73"/>
      <c r="J298" s="73"/>
      <c r="K298" s="73"/>
      <c r="L298" s="73"/>
      <c r="M298" s="73"/>
      <c r="N298" s="73"/>
      <c r="O298" s="73"/>
      <c r="P298" s="73"/>
      <c r="Q298" s="73"/>
      <c r="R298" s="73"/>
    </row>
    <row r="299" spans="1:18" x14ac:dyDescent="0.35">
      <c r="A299" s="73"/>
      <c r="B299" s="73"/>
      <c r="C299" s="73"/>
      <c r="D299" s="73"/>
      <c r="E299" s="73"/>
      <c r="F299" s="73"/>
      <c r="G299" s="73"/>
      <c r="H299" s="73"/>
      <c r="I299" s="73"/>
      <c r="J299" s="73"/>
      <c r="K299" s="73"/>
      <c r="L299" s="73"/>
      <c r="M299" s="73"/>
      <c r="N299" s="73"/>
      <c r="O299" s="73"/>
      <c r="P299" s="73"/>
      <c r="Q299" s="73"/>
      <c r="R299" s="73"/>
    </row>
    <row r="300" spans="1:18" x14ac:dyDescent="0.35">
      <c r="A300" s="73"/>
      <c r="B300" s="73"/>
      <c r="C300" s="73"/>
      <c r="D300" s="73"/>
      <c r="E300" s="73"/>
      <c r="F300" s="73"/>
      <c r="G300" s="73"/>
      <c r="H300" s="73"/>
      <c r="I300" s="73"/>
      <c r="J300" s="73"/>
      <c r="K300" s="73"/>
      <c r="L300" s="73"/>
      <c r="M300" s="73"/>
      <c r="N300" s="73"/>
      <c r="O300" s="73"/>
      <c r="P300" s="73"/>
      <c r="Q300" s="73"/>
      <c r="R300" s="73"/>
    </row>
    <row r="301" spans="1:18" x14ac:dyDescent="0.35">
      <c r="A301" s="73"/>
      <c r="B301" s="73"/>
      <c r="C301" s="73"/>
      <c r="D301" s="73"/>
      <c r="E301" s="73"/>
      <c r="F301" s="73"/>
      <c r="G301" s="73"/>
      <c r="H301" s="73"/>
      <c r="I301" s="73"/>
      <c r="J301" s="73"/>
      <c r="K301" s="73"/>
      <c r="L301" s="73"/>
      <c r="M301" s="73"/>
      <c r="N301" s="73"/>
      <c r="O301" s="73"/>
      <c r="P301" s="73"/>
      <c r="Q301" s="73"/>
      <c r="R301" s="73"/>
    </row>
    <row r="302" spans="1:18" x14ac:dyDescent="0.35">
      <c r="A302" s="73"/>
      <c r="B302" s="73"/>
      <c r="C302" s="73"/>
      <c r="D302" s="73"/>
      <c r="E302" s="73"/>
      <c r="F302" s="73"/>
      <c r="G302" s="73"/>
      <c r="H302" s="73"/>
      <c r="I302" s="73"/>
      <c r="J302" s="73"/>
      <c r="K302" s="73"/>
      <c r="L302" s="73"/>
      <c r="M302" s="73"/>
      <c r="N302" s="73"/>
      <c r="O302" s="73"/>
      <c r="P302" s="73"/>
      <c r="Q302" s="73"/>
      <c r="R302" s="73"/>
    </row>
    <row r="303" spans="1:18" x14ac:dyDescent="0.35">
      <c r="A303" s="73"/>
      <c r="B303" s="73"/>
      <c r="C303" s="73"/>
      <c r="D303" s="73"/>
      <c r="E303" s="73"/>
      <c r="F303" s="73"/>
      <c r="G303" s="73"/>
      <c r="H303" s="73"/>
      <c r="I303" s="73"/>
      <c r="J303" s="73"/>
      <c r="K303" s="73"/>
      <c r="L303" s="73"/>
      <c r="M303" s="73"/>
      <c r="N303" s="73"/>
      <c r="O303" s="73"/>
      <c r="P303" s="73"/>
      <c r="Q303" s="73"/>
      <c r="R303" s="73"/>
    </row>
    <row r="304" spans="1:18" x14ac:dyDescent="0.35">
      <c r="A304" s="73"/>
      <c r="B304" s="73"/>
      <c r="C304" s="73"/>
      <c r="D304" s="73"/>
      <c r="E304" s="73"/>
      <c r="F304" s="73"/>
      <c r="G304" s="73"/>
      <c r="H304" s="73"/>
      <c r="I304" s="73"/>
      <c r="J304" s="73"/>
      <c r="K304" s="73"/>
      <c r="L304" s="73"/>
      <c r="M304" s="73"/>
      <c r="N304" s="73"/>
      <c r="O304" s="73"/>
      <c r="P304" s="73"/>
      <c r="Q304" s="73"/>
      <c r="R304" s="73"/>
    </row>
    <row r="305" spans="1:18" x14ac:dyDescent="0.35">
      <c r="A305" s="73"/>
      <c r="B305" s="73"/>
      <c r="C305" s="73"/>
      <c r="D305" s="73"/>
      <c r="E305" s="73"/>
      <c r="F305" s="73"/>
      <c r="G305" s="73"/>
      <c r="H305" s="73"/>
      <c r="I305" s="73"/>
      <c r="J305" s="73"/>
      <c r="K305" s="73"/>
      <c r="L305" s="73"/>
      <c r="M305" s="73"/>
      <c r="N305" s="73"/>
      <c r="O305" s="73"/>
      <c r="P305" s="73"/>
      <c r="Q305" s="73"/>
      <c r="R305" s="73"/>
    </row>
    <row r="306" spans="1:18" x14ac:dyDescent="0.35">
      <c r="A306" s="73"/>
      <c r="B306" s="73"/>
      <c r="C306" s="73"/>
      <c r="D306" s="73"/>
      <c r="E306" s="73"/>
      <c r="F306" s="73"/>
      <c r="G306" s="73"/>
      <c r="H306" s="73"/>
      <c r="I306" s="73"/>
      <c r="J306" s="73"/>
      <c r="K306" s="73"/>
      <c r="L306" s="73"/>
      <c r="M306" s="73"/>
      <c r="N306" s="73"/>
      <c r="O306" s="73"/>
      <c r="P306" s="73"/>
      <c r="Q306" s="73"/>
      <c r="R306" s="73"/>
    </row>
    <row r="307" spans="1:18" x14ac:dyDescent="0.35">
      <c r="A307" s="73"/>
      <c r="B307" s="73"/>
      <c r="C307" s="73"/>
      <c r="D307" s="73"/>
      <c r="E307" s="73"/>
      <c r="F307" s="73"/>
      <c r="G307" s="73"/>
      <c r="H307" s="73"/>
      <c r="I307" s="73"/>
      <c r="J307" s="73"/>
      <c r="K307" s="73"/>
      <c r="L307" s="73"/>
      <c r="M307" s="73"/>
      <c r="N307" s="73"/>
      <c r="O307" s="73"/>
      <c r="P307" s="73"/>
      <c r="Q307" s="73"/>
      <c r="R307" s="73"/>
    </row>
    <row r="308" spans="1:18" x14ac:dyDescent="0.35">
      <c r="A308" s="73"/>
      <c r="B308" s="73"/>
      <c r="C308" s="73"/>
      <c r="D308" s="73"/>
      <c r="E308" s="73"/>
      <c r="F308" s="73"/>
      <c r="G308" s="73"/>
      <c r="H308" s="73"/>
      <c r="I308" s="73"/>
      <c r="J308" s="73"/>
      <c r="K308" s="73"/>
      <c r="L308" s="73"/>
      <c r="M308" s="73"/>
      <c r="N308" s="73"/>
      <c r="O308" s="73"/>
      <c r="P308" s="73"/>
      <c r="Q308" s="73"/>
      <c r="R308" s="73"/>
    </row>
    <row r="309" spans="1:18" x14ac:dyDescent="0.35">
      <c r="A309" s="73"/>
      <c r="B309" s="73"/>
      <c r="C309" s="73"/>
      <c r="D309" s="73"/>
      <c r="E309" s="73"/>
      <c r="F309" s="73"/>
      <c r="G309" s="73"/>
      <c r="H309" s="73"/>
      <c r="I309" s="73"/>
      <c r="J309" s="73"/>
      <c r="K309" s="73"/>
      <c r="L309" s="73"/>
      <c r="M309" s="73"/>
      <c r="N309" s="73"/>
      <c r="O309" s="73"/>
      <c r="P309" s="73"/>
      <c r="Q309" s="73"/>
      <c r="R309" s="73"/>
    </row>
    <row r="310" spans="1:18" x14ac:dyDescent="0.35">
      <c r="A310" s="73"/>
      <c r="B310" s="73"/>
      <c r="C310" s="73"/>
      <c r="D310" s="73"/>
      <c r="E310" s="73"/>
      <c r="F310" s="73"/>
      <c r="G310" s="73"/>
      <c r="H310" s="73"/>
      <c r="I310" s="73"/>
      <c r="J310" s="73"/>
      <c r="K310" s="73"/>
      <c r="L310" s="73"/>
      <c r="M310" s="73"/>
      <c r="N310" s="73"/>
      <c r="O310" s="73"/>
      <c r="P310" s="73"/>
      <c r="Q310" s="73"/>
      <c r="R310" s="73"/>
    </row>
    <row r="311" spans="1:18" x14ac:dyDescent="0.35">
      <c r="A311" s="73"/>
      <c r="B311" s="73"/>
      <c r="C311" s="73"/>
      <c r="D311" s="73"/>
      <c r="E311" s="73"/>
      <c r="F311" s="73"/>
      <c r="G311" s="73"/>
      <c r="H311" s="73"/>
      <c r="I311" s="73"/>
      <c r="J311" s="73"/>
      <c r="K311" s="73"/>
      <c r="L311" s="73"/>
      <c r="M311" s="73"/>
      <c r="N311" s="73"/>
      <c r="O311" s="73"/>
      <c r="P311" s="73"/>
      <c r="Q311" s="73"/>
      <c r="R311" s="73"/>
    </row>
    <row r="312" spans="1:18" x14ac:dyDescent="0.35">
      <c r="A312" s="73"/>
      <c r="B312" s="73"/>
      <c r="C312" s="73"/>
      <c r="D312" s="73"/>
      <c r="E312" s="73"/>
      <c r="F312" s="73"/>
      <c r="G312" s="73"/>
      <c r="H312" s="73"/>
      <c r="I312" s="73"/>
      <c r="J312" s="73"/>
      <c r="K312" s="73"/>
      <c r="L312" s="73"/>
      <c r="M312" s="73"/>
      <c r="N312" s="73"/>
      <c r="O312" s="73"/>
      <c r="P312" s="73"/>
      <c r="Q312" s="73"/>
      <c r="R312" s="73"/>
    </row>
    <row r="313" spans="1:18" x14ac:dyDescent="0.35">
      <c r="A313" s="73"/>
      <c r="B313" s="73"/>
      <c r="C313" s="73"/>
      <c r="D313" s="73"/>
      <c r="E313" s="73"/>
      <c r="F313" s="73"/>
      <c r="G313" s="73"/>
      <c r="H313" s="73"/>
      <c r="I313" s="73"/>
      <c r="J313" s="73"/>
      <c r="K313" s="73"/>
      <c r="L313" s="73"/>
      <c r="M313" s="73"/>
      <c r="N313" s="73"/>
      <c r="O313" s="73"/>
      <c r="P313" s="73"/>
      <c r="Q313" s="73"/>
      <c r="R313" s="73"/>
    </row>
    <row r="314" spans="1:18" x14ac:dyDescent="0.35">
      <c r="A314" s="73"/>
      <c r="B314" s="73"/>
      <c r="C314" s="73"/>
      <c r="D314" s="73"/>
      <c r="E314" s="73"/>
      <c r="F314" s="73"/>
      <c r="G314" s="73"/>
      <c r="H314" s="73"/>
      <c r="I314" s="73"/>
      <c r="J314" s="73"/>
      <c r="K314" s="73"/>
      <c r="L314" s="73"/>
      <c r="M314" s="73"/>
      <c r="N314" s="73"/>
      <c r="O314" s="73"/>
      <c r="P314" s="73"/>
      <c r="Q314" s="73"/>
      <c r="R314" s="73"/>
    </row>
    <row r="315" spans="1:18" x14ac:dyDescent="0.35">
      <c r="A315" s="73"/>
      <c r="B315" s="73"/>
      <c r="C315" s="73"/>
      <c r="D315" s="73"/>
      <c r="E315" s="73"/>
      <c r="F315" s="73"/>
      <c r="G315" s="73"/>
      <c r="H315" s="73"/>
      <c r="I315" s="73"/>
      <c r="J315" s="73"/>
      <c r="K315" s="73"/>
      <c r="L315" s="73"/>
      <c r="M315" s="73"/>
      <c r="N315" s="73"/>
      <c r="O315" s="73"/>
      <c r="P315" s="73"/>
      <c r="Q315" s="73"/>
      <c r="R315" s="73"/>
    </row>
    <row r="316" spans="1:18" x14ac:dyDescent="0.35">
      <c r="A316" s="73"/>
      <c r="B316" s="73"/>
      <c r="C316" s="73"/>
      <c r="D316" s="73"/>
      <c r="E316" s="73"/>
      <c r="F316" s="73"/>
      <c r="G316" s="73"/>
      <c r="H316" s="73"/>
      <c r="I316" s="73"/>
      <c r="J316" s="73"/>
      <c r="K316" s="73"/>
      <c r="L316" s="73"/>
      <c r="M316" s="73"/>
      <c r="N316" s="73"/>
      <c r="O316" s="73"/>
      <c r="P316" s="73"/>
      <c r="Q316" s="73"/>
      <c r="R316" s="73"/>
    </row>
    <row r="317" spans="1:18" x14ac:dyDescent="0.35">
      <c r="A317" s="185"/>
      <c r="B317" s="172"/>
      <c r="C317" s="172"/>
      <c r="D317" s="172"/>
      <c r="E317" s="172"/>
      <c r="F317" s="172"/>
      <c r="G317" s="172"/>
      <c r="H317" s="172"/>
      <c r="I317" s="172"/>
      <c r="J317" s="172"/>
      <c r="K317" s="172"/>
      <c r="L317" s="73"/>
      <c r="M317" s="73"/>
      <c r="N317" s="73"/>
      <c r="O317" s="73"/>
      <c r="P317" s="73"/>
      <c r="Q317" s="73"/>
      <c r="R317" s="73"/>
    </row>
    <row r="318" spans="1:18" ht="26" x14ac:dyDescent="0.35">
      <c r="A318" s="426"/>
      <c r="B318" s="427"/>
      <c r="C318" s="173" t="s">
        <v>44</v>
      </c>
      <c r="D318" s="187" t="s">
        <v>99</v>
      </c>
      <c r="E318" s="187" t="s">
        <v>100</v>
      </c>
      <c r="F318" s="187" t="s">
        <v>23</v>
      </c>
      <c r="G318" s="187" t="s">
        <v>101</v>
      </c>
      <c r="H318" s="187" t="s">
        <v>215</v>
      </c>
      <c r="I318" s="187" t="s">
        <v>216</v>
      </c>
      <c r="J318" s="187" t="s">
        <v>217</v>
      </c>
      <c r="K318" s="188" t="s">
        <v>218</v>
      </c>
      <c r="L318" s="73"/>
      <c r="M318" s="73"/>
      <c r="N318" s="73"/>
      <c r="O318" s="73"/>
      <c r="P318" s="73"/>
      <c r="Q318" s="73"/>
      <c r="R318" s="73"/>
    </row>
    <row r="319" spans="1:18" x14ac:dyDescent="0.35">
      <c r="A319" s="431" t="str">
        <f>A285</f>
        <v>Payoffs Q7</v>
      </c>
      <c r="B319" s="432" t="str">
        <f>B285</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319" s="174" t="s">
        <v>45</v>
      </c>
      <c r="D319" s="190" t="str">
        <f>IF('4.3 Elicitation data entry'!$C$30="","",'4.3 Elicitation data entry'!$C$30)</f>
        <v/>
      </c>
      <c r="E319" s="190" t="str">
        <f>IF('4.3 Elicitation data entry'!$D$30="","",'4.3 Elicitation data entry'!$D$30)</f>
        <v/>
      </c>
      <c r="F319" s="190" t="str">
        <f>IF('4.3 Elicitation data entry'!$E$30="","",'4.3 Elicitation data entry'!$E$30)</f>
        <v/>
      </c>
      <c r="G319" s="190" t="str">
        <f>IF('4.3 Elicitation data entry'!$F$30="","",'4.3 Elicitation data entry'!$F$30)</f>
        <v/>
      </c>
      <c r="H319" s="190" t="str">
        <f t="shared" ref="H319:H324" si="36">IF($F319="","",F319-J319)</f>
        <v/>
      </c>
      <c r="I319" s="191" t="str">
        <f t="shared" ref="I319:I324" si="37">IF($F319="","",K319-F319)</f>
        <v/>
      </c>
      <c r="J319" s="192" t="str">
        <f t="shared" ref="J319:J324" si="38">IF($F319="","",IF(F319-((F319-D319)/G319)*90&lt;-100,-100,F319-((F319-D319)/G319)*90))</f>
        <v/>
      </c>
      <c r="K319" s="193" t="str">
        <f t="shared" ref="K319:K324" si="39">IF($F319="","",(F319-((F319-E319)/G319)*90))</f>
        <v/>
      </c>
      <c r="L319" s="73"/>
      <c r="M319" s="73"/>
      <c r="N319" s="73"/>
      <c r="O319" s="73"/>
      <c r="P319" s="73"/>
      <c r="Q319" s="73"/>
      <c r="R319" s="73"/>
    </row>
    <row r="320" spans="1:18" x14ac:dyDescent="0.35">
      <c r="A320" s="431"/>
      <c r="B320" s="432"/>
      <c r="C320" s="174" t="s">
        <v>46</v>
      </c>
      <c r="D320" s="190" t="str">
        <f>IF('4.3 Elicitation data entry'!$H$30="","",'4.3 Elicitation data entry'!$H$30)</f>
        <v/>
      </c>
      <c r="E320" s="190" t="str">
        <f>IF('4.3 Elicitation data entry'!$I$30="","",'4.3 Elicitation data entry'!$I$30)</f>
        <v/>
      </c>
      <c r="F320" s="190" t="str">
        <f>IF('4.3 Elicitation data entry'!$J$30="","",'4.3 Elicitation data entry'!$J$30)</f>
        <v/>
      </c>
      <c r="G320" s="190" t="str">
        <f>IF('4.3 Elicitation data entry'!$K$30="","",'4.3 Elicitation data entry'!$K$30)</f>
        <v/>
      </c>
      <c r="H320" s="190" t="str">
        <f t="shared" si="36"/>
        <v/>
      </c>
      <c r="I320" s="191" t="str">
        <f t="shared" si="37"/>
        <v/>
      </c>
      <c r="J320" s="192" t="str">
        <f t="shared" si="38"/>
        <v/>
      </c>
      <c r="K320" s="193" t="str">
        <f t="shared" si="39"/>
        <v/>
      </c>
      <c r="L320" s="73"/>
      <c r="M320" s="73"/>
      <c r="N320" s="73"/>
      <c r="O320" s="73"/>
      <c r="P320" s="73"/>
      <c r="Q320" s="73"/>
      <c r="R320" s="73"/>
    </row>
    <row r="321" spans="1:18" x14ac:dyDescent="0.35">
      <c r="A321" s="431"/>
      <c r="B321" s="432"/>
      <c r="C321" s="174" t="s">
        <v>47</v>
      </c>
      <c r="D321" s="190" t="str">
        <f>IF('4.3 Elicitation data entry'!$M$30="","",'4.3 Elicitation data entry'!$M$30)</f>
        <v/>
      </c>
      <c r="E321" s="190" t="str">
        <f>IF('4.3 Elicitation data entry'!$N$30="","",'4.3 Elicitation data entry'!$N$30)</f>
        <v/>
      </c>
      <c r="F321" s="190" t="str">
        <f>IF('4.3 Elicitation data entry'!$O$30="","",'4.3 Elicitation data entry'!$O$30)</f>
        <v/>
      </c>
      <c r="G321" s="190" t="str">
        <f>IF('4.3 Elicitation data entry'!$P$30="","",'4.3 Elicitation data entry'!$P$30)</f>
        <v/>
      </c>
      <c r="H321" s="190" t="str">
        <f t="shared" si="36"/>
        <v/>
      </c>
      <c r="I321" s="191" t="str">
        <f t="shared" si="37"/>
        <v/>
      </c>
      <c r="J321" s="192" t="str">
        <f t="shared" si="38"/>
        <v/>
      </c>
      <c r="K321" s="193" t="str">
        <f t="shared" si="39"/>
        <v/>
      </c>
      <c r="L321" s="73"/>
      <c r="M321" s="73"/>
      <c r="N321" s="73"/>
      <c r="O321" s="73"/>
      <c r="P321" s="73"/>
      <c r="Q321" s="73"/>
      <c r="R321" s="73"/>
    </row>
    <row r="322" spans="1:18" x14ac:dyDescent="0.35">
      <c r="A322" s="431"/>
      <c r="B322" s="432"/>
      <c r="C322" s="174" t="s">
        <v>48</v>
      </c>
      <c r="D322" s="190" t="str">
        <f>IF('4.3 Elicitation data entry'!$R$30="","",'4.3 Elicitation data entry'!$R$30)</f>
        <v/>
      </c>
      <c r="E322" s="190" t="str">
        <f>IF('4.3 Elicitation data entry'!$S$30="","",'4.3 Elicitation data entry'!$S$30)</f>
        <v/>
      </c>
      <c r="F322" s="190" t="str">
        <f>IF('4.3 Elicitation data entry'!$T$30="","",'4.3 Elicitation data entry'!$T$30)</f>
        <v/>
      </c>
      <c r="G322" s="190" t="str">
        <f>IF('4.3 Elicitation data entry'!$U$30="","",'4.3 Elicitation data entry'!$U$30)</f>
        <v/>
      </c>
      <c r="H322" s="190" t="str">
        <f t="shared" si="36"/>
        <v/>
      </c>
      <c r="I322" s="191" t="str">
        <f t="shared" si="37"/>
        <v/>
      </c>
      <c r="J322" s="192" t="str">
        <f t="shared" si="38"/>
        <v/>
      </c>
      <c r="K322" s="193" t="str">
        <f t="shared" si="39"/>
        <v/>
      </c>
      <c r="L322" s="73"/>
      <c r="M322" s="73"/>
      <c r="N322" s="73"/>
      <c r="O322" s="73"/>
      <c r="P322" s="73"/>
      <c r="Q322" s="73"/>
      <c r="R322" s="73"/>
    </row>
    <row r="323" spans="1:18" x14ac:dyDescent="0.35">
      <c r="A323" s="431"/>
      <c r="B323" s="432"/>
      <c r="C323" s="174" t="s">
        <v>49</v>
      </c>
      <c r="D323" s="190" t="str">
        <f>IF('4.3 Elicitation data entry'!$W$30="","",'4.3 Elicitation data entry'!$W$30)</f>
        <v/>
      </c>
      <c r="E323" s="190" t="str">
        <f>IF('4.3 Elicitation data entry'!$X$30="","",'4.3 Elicitation data entry'!$X$30)</f>
        <v/>
      </c>
      <c r="F323" s="190" t="str">
        <f>IF('4.3 Elicitation data entry'!$Y$30="","",'4.3 Elicitation data entry'!$Y$30)</f>
        <v/>
      </c>
      <c r="G323" s="190" t="str">
        <f>IF('4.3 Elicitation data entry'!$Z$30="","",'4.3 Elicitation data entry'!$Z$30)</f>
        <v/>
      </c>
      <c r="H323" s="190" t="str">
        <f t="shared" si="36"/>
        <v/>
      </c>
      <c r="I323" s="191" t="str">
        <f t="shared" si="37"/>
        <v/>
      </c>
      <c r="J323" s="192" t="str">
        <f t="shared" si="38"/>
        <v/>
      </c>
      <c r="K323" s="193" t="str">
        <f t="shared" si="39"/>
        <v/>
      </c>
      <c r="L323" s="73"/>
      <c r="M323" s="73"/>
      <c r="N323" s="73"/>
      <c r="O323" s="73"/>
      <c r="P323" s="73"/>
      <c r="Q323" s="73"/>
      <c r="R323" s="73"/>
    </row>
    <row r="324" spans="1:18" x14ac:dyDescent="0.35">
      <c r="A324" s="431"/>
      <c r="B324" s="432"/>
      <c r="C324" s="174" t="s">
        <v>50</v>
      </c>
      <c r="D324" s="190" t="str">
        <f>IF('4.3 Elicitation data entry'!$AB$30="","",'4.3 Elicitation data entry'!$AB$30)</f>
        <v/>
      </c>
      <c r="E324" s="190" t="str">
        <f>IF('4.3 Elicitation data entry'!$AC$30="","",'4.3 Elicitation data entry'!$AC$30)</f>
        <v/>
      </c>
      <c r="F324" s="190" t="str">
        <f>IF('4.3 Elicitation data entry'!$AD$30="","",'4.3 Elicitation data entry'!$AD$30)</f>
        <v/>
      </c>
      <c r="G324" s="190" t="str">
        <f>IF('4.3 Elicitation data entry'!$AE$30="","",'4.3 Elicitation data entry'!$AE$30)</f>
        <v/>
      </c>
      <c r="H324" s="190" t="str">
        <f t="shared" si="36"/>
        <v/>
      </c>
      <c r="I324" s="191" t="str">
        <f t="shared" si="37"/>
        <v/>
      </c>
      <c r="J324" s="192" t="str">
        <f t="shared" si="38"/>
        <v/>
      </c>
      <c r="K324" s="193" t="str">
        <f t="shared" si="39"/>
        <v/>
      </c>
      <c r="L324" s="73"/>
      <c r="M324" s="73"/>
      <c r="N324" s="73"/>
      <c r="O324" s="73"/>
      <c r="P324" s="73"/>
      <c r="Q324" s="73"/>
      <c r="R324" s="73"/>
    </row>
    <row r="325" spans="1:18" x14ac:dyDescent="0.35">
      <c r="A325" s="175"/>
      <c r="B325" s="176" t="s">
        <v>51</v>
      </c>
      <c r="C325" s="177" t="s">
        <v>52</v>
      </c>
      <c r="D325" s="190" t="e">
        <f t="shared" ref="D325:I325" si="40">AVERAGE(D319:D324)</f>
        <v>#DIV/0!</v>
      </c>
      <c r="E325" s="194" t="e">
        <f t="shared" si="40"/>
        <v>#DIV/0!</v>
      </c>
      <c r="F325" s="194" t="e">
        <f t="shared" si="40"/>
        <v>#DIV/0!</v>
      </c>
      <c r="G325" s="194" t="e">
        <f t="shared" si="40"/>
        <v>#DIV/0!</v>
      </c>
      <c r="H325" s="190" t="e">
        <f t="shared" si="40"/>
        <v>#DIV/0!</v>
      </c>
      <c r="I325" s="190" t="e">
        <f t="shared" si="40"/>
        <v>#DIV/0!</v>
      </c>
      <c r="J325" s="192" t="e">
        <f>IF((F325-((F325-D325)/G325)*90)&lt;-100,-100,(F325-((F325-D325)/G325)*90))</f>
        <v>#DIV/0!</v>
      </c>
      <c r="K325" s="193" t="e">
        <f>IF((F325-((F325-E325)/G325)*90)&lt;-100,-100,(F325-((F325-E325)/G325)*90))</f>
        <v>#DIV/0!</v>
      </c>
      <c r="L325" s="73"/>
      <c r="M325" s="73"/>
      <c r="N325" s="73"/>
      <c r="O325" s="73"/>
      <c r="P325" s="73"/>
      <c r="Q325" s="73"/>
      <c r="R325" s="73"/>
    </row>
    <row r="326" spans="1:18" x14ac:dyDescent="0.35">
      <c r="A326" s="178"/>
      <c r="B326" s="179"/>
      <c r="C326" s="180" t="s">
        <v>53</v>
      </c>
      <c r="D326" s="196" t="e">
        <f t="shared" ref="D326:K326" si="41">STDEV(D319:D324)/SQRT(COUNT(D319:D324))</f>
        <v>#DIV/0!</v>
      </c>
      <c r="E326" s="196" t="e">
        <f t="shared" si="41"/>
        <v>#DIV/0!</v>
      </c>
      <c r="F326" s="196" t="e">
        <f t="shared" si="41"/>
        <v>#DIV/0!</v>
      </c>
      <c r="G326" s="196" t="e">
        <f t="shared" si="41"/>
        <v>#DIV/0!</v>
      </c>
      <c r="H326" s="197" t="e">
        <f t="shared" si="41"/>
        <v>#DIV/0!</v>
      </c>
      <c r="I326" s="197" t="e">
        <f t="shared" si="41"/>
        <v>#DIV/0!</v>
      </c>
      <c r="J326" s="197" t="e">
        <f t="shared" si="41"/>
        <v>#DIV/0!</v>
      </c>
      <c r="K326" s="198" t="e">
        <f t="shared" si="41"/>
        <v>#DIV/0!</v>
      </c>
      <c r="L326" s="73"/>
      <c r="M326" s="73"/>
      <c r="N326" s="73"/>
      <c r="O326" s="73"/>
      <c r="P326" s="73"/>
      <c r="Q326" s="73"/>
      <c r="R326" s="73"/>
    </row>
    <row r="327" spans="1:18" x14ac:dyDescent="0.35">
      <c r="A327" s="199"/>
      <c r="B327" s="73"/>
      <c r="C327" s="73"/>
      <c r="D327" s="73"/>
      <c r="E327" s="73"/>
      <c r="F327" s="73"/>
      <c r="G327" s="73"/>
      <c r="H327" s="73"/>
      <c r="I327" s="73"/>
      <c r="J327" s="73"/>
      <c r="K327" s="73"/>
      <c r="L327" s="73"/>
      <c r="M327" s="73"/>
      <c r="N327" s="73"/>
      <c r="O327" s="73"/>
      <c r="P327" s="73"/>
      <c r="Q327" s="73"/>
      <c r="R327" s="73"/>
    </row>
    <row r="328" spans="1:18" x14ac:dyDescent="0.35">
      <c r="A328" s="199"/>
      <c r="B328" s="73"/>
      <c r="C328" s="73"/>
      <c r="D328" s="73"/>
      <c r="E328" s="73"/>
      <c r="F328" s="73"/>
      <c r="G328" s="73"/>
      <c r="H328" s="73"/>
      <c r="I328" s="73"/>
      <c r="J328" s="73"/>
      <c r="K328" s="73"/>
      <c r="L328" s="73"/>
      <c r="M328" s="73"/>
      <c r="N328" s="73"/>
      <c r="O328" s="73"/>
      <c r="P328" s="73"/>
      <c r="Q328" s="73"/>
      <c r="R328" s="73"/>
    </row>
    <row r="329" spans="1:18" x14ac:dyDescent="0.35">
      <c r="A329" s="199"/>
      <c r="B329" s="73"/>
      <c r="C329" s="73"/>
      <c r="D329" s="73"/>
      <c r="E329" s="73"/>
      <c r="F329" s="73"/>
      <c r="G329" s="73"/>
      <c r="H329" s="73"/>
      <c r="I329" s="73"/>
      <c r="J329" s="73"/>
      <c r="K329" s="73"/>
      <c r="L329" s="73"/>
      <c r="M329" s="73"/>
      <c r="N329" s="73"/>
      <c r="O329" s="73"/>
      <c r="P329" s="73"/>
      <c r="Q329" s="73"/>
      <c r="R329" s="73"/>
    </row>
    <row r="330" spans="1:18" x14ac:dyDescent="0.35">
      <c r="A330" s="199"/>
      <c r="B330" s="73"/>
      <c r="C330" s="73"/>
      <c r="D330" s="73"/>
      <c r="E330" s="73"/>
      <c r="F330" s="73"/>
      <c r="G330" s="73"/>
      <c r="H330" s="73"/>
      <c r="I330" s="73"/>
      <c r="J330" s="73"/>
      <c r="K330" s="73"/>
      <c r="L330" s="73"/>
      <c r="M330" s="73"/>
      <c r="N330" s="73"/>
      <c r="O330" s="73"/>
      <c r="P330" s="73"/>
      <c r="Q330" s="73"/>
      <c r="R330" s="73"/>
    </row>
    <row r="331" spans="1:18" x14ac:dyDescent="0.35">
      <c r="A331" s="199"/>
      <c r="B331" s="73"/>
      <c r="C331" s="73"/>
      <c r="D331" s="73"/>
      <c r="E331" s="73"/>
      <c r="F331" s="73"/>
      <c r="G331" s="73"/>
      <c r="H331" s="73"/>
      <c r="I331" s="73"/>
      <c r="J331" s="73"/>
      <c r="K331" s="73"/>
      <c r="L331" s="73"/>
      <c r="M331" s="73"/>
      <c r="N331" s="73"/>
      <c r="O331" s="73"/>
      <c r="P331" s="73"/>
      <c r="Q331" s="73"/>
      <c r="R331" s="73"/>
    </row>
    <row r="332" spans="1:18" ht="35.15" customHeight="1" x14ac:dyDescent="0.35">
      <c r="A332" s="164" t="s">
        <v>226</v>
      </c>
      <c r="B332" s="433" t="s">
        <v>127</v>
      </c>
      <c r="C332" s="434"/>
      <c r="D332" s="434"/>
      <c r="E332" s="434"/>
      <c r="F332" s="434"/>
      <c r="G332" s="434"/>
      <c r="H332" s="434"/>
      <c r="I332" s="434"/>
      <c r="J332" s="434"/>
      <c r="K332" s="435"/>
      <c r="L332" s="73"/>
      <c r="M332" s="73"/>
      <c r="N332" s="73"/>
      <c r="O332" s="73"/>
      <c r="P332" s="73"/>
      <c r="Q332" s="73"/>
      <c r="R332" s="73"/>
    </row>
    <row r="333" spans="1:18" x14ac:dyDescent="0.35">
      <c r="A333" s="73"/>
      <c r="B333" s="73"/>
      <c r="C333" s="73"/>
      <c r="D333" s="73"/>
      <c r="E333" s="73"/>
      <c r="F333" s="73"/>
      <c r="G333" s="73"/>
      <c r="H333" s="73"/>
      <c r="I333" s="73"/>
      <c r="J333" s="73"/>
      <c r="K333" s="73"/>
      <c r="L333" s="73"/>
      <c r="M333" s="73"/>
      <c r="N333" s="73"/>
      <c r="O333" s="73"/>
      <c r="P333" s="73"/>
      <c r="Q333" s="73"/>
      <c r="R333" s="73"/>
    </row>
    <row r="334" spans="1:18" x14ac:dyDescent="0.35">
      <c r="A334" s="73"/>
      <c r="B334" s="73"/>
      <c r="C334" s="73"/>
      <c r="D334" s="73"/>
      <c r="E334" s="73"/>
      <c r="F334" s="73"/>
      <c r="G334" s="73"/>
      <c r="H334" s="73"/>
      <c r="I334" s="73"/>
      <c r="J334" s="73"/>
      <c r="K334" s="73"/>
      <c r="L334" s="73"/>
      <c r="M334" s="73"/>
      <c r="N334" s="73"/>
      <c r="O334" s="73"/>
      <c r="P334" s="73"/>
      <c r="Q334" s="73"/>
      <c r="R334" s="73"/>
    </row>
    <row r="335" spans="1:18" x14ac:dyDescent="0.35">
      <c r="A335" s="73"/>
      <c r="B335" s="73"/>
      <c r="C335" s="73"/>
      <c r="D335" s="73"/>
      <c r="E335" s="73"/>
      <c r="F335" s="73"/>
      <c r="G335" s="73"/>
      <c r="H335" s="73"/>
      <c r="I335" s="73"/>
      <c r="J335" s="73"/>
      <c r="K335" s="73"/>
      <c r="L335" s="73"/>
      <c r="M335" s="73"/>
      <c r="N335" s="73"/>
      <c r="O335" s="73"/>
      <c r="P335" s="73"/>
      <c r="Q335" s="73"/>
      <c r="R335" s="73"/>
    </row>
    <row r="336" spans="1:18" x14ac:dyDescent="0.35">
      <c r="A336" s="73"/>
      <c r="B336" s="73"/>
      <c r="C336" s="73"/>
      <c r="D336" s="73"/>
      <c r="E336" s="73"/>
      <c r="F336" s="73"/>
      <c r="G336" s="73"/>
      <c r="H336" s="73"/>
      <c r="I336" s="73"/>
      <c r="J336" s="73"/>
      <c r="K336" s="73"/>
      <c r="L336" s="73"/>
      <c r="M336" s="73"/>
      <c r="N336" s="73"/>
      <c r="O336" s="73"/>
      <c r="P336" s="73"/>
      <c r="Q336" s="73"/>
      <c r="R336" s="73"/>
    </row>
    <row r="337" spans="1:18" x14ac:dyDescent="0.35">
      <c r="A337" s="73"/>
      <c r="B337" s="73"/>
      <c r="C337" s="73"/>
      <c r="D337" s="73"/>
      <c r="E337" s="73"/>
      <c r="F337" s="73"/>
      <c r="G337" s="73"/>
      <c r="H337" s="73"/>
      <c r="I337" s="73"/>
      <c r="J337" s="73"/>
      <c r="K337" s="73"/>
      <c r="L337" s="73"/>
      <c r="M337" s="73"/>
      <c r="N337" s="73"/>
      <c r="O337" s="73"/>
      <c r="P337" s="73"/>
      <c r="Q337" s="73"/>
      <c r="R337" s="73"/>
    </row>
    <row r="338" spans="1:18" x14ac:dyDescent="0.35">
      <c r="A338" s="73"/>
      <c r="B338" s="73"/>
      <c r="C338" s="73"/>
      <c r="D338" s="73"/>
      <c r="E338" s="73"/>
      <c r="F338" s="73"/>
      <c r="G338" s="73"/>
      <c r="H338" s="73"/>
      <c r="I338" s="73"/>
      <c r="J338" s="73"/>
      <c r="K338" s="73"/>
      <c r="L338" s="73"/>
      <c r="M338" s="73"/>
      <c r="N338" s="73"/>
      <c r="O338" s="73"/>
      <c r="P338" s="73"/>
      <c r="Q338" s="73"/>
      <c r="R338" s="73"/>
    </row>
    <row r="339" spans="1:18" x14ac:dyDescent="0.35">
      <c r="A339" s="73"/>
      <c r="B339" s="73"/>
      <c r="C339" s="73"/>
      <c r="D339" s="73"/>
      <c r="E339" s="73"/>
      <c r="F339" s="73"/>
      <c r="G339" s="73"/>
      <c r="H339" s="73"/>
      <c r="I339" s="73"/>
      <c r="J339" s="73"/>
      <c r="K339" s="73"/>
      <c r="L339" s="73"/>
      <c r="M339" s="73"/>
      <c r="N339" s="73"/>
      <c r="O339" s="73"/>
      <c r="P339" s="73"/>
      <c r="Q339" s="73"/>
      <c r="R339" s="73"/>
    </row>
    <row r="340" spans="1:18" x14ac:dyDescent="0.35">
      <c r="A340" s="73"/>
      <c r="B340" s="73"/>
      <c r="C340" s="73"/>
      <c r="D340" s="73"/>
      <c r="E340" s="73"/>
      <c r="F340" s="73"/>
      <c r="G340" s="73"/>
      <c r="H340" s="73"/>
      <c r="I340" s="73"/>
      <c r="J340" s="73"/>
      <c r="K340" s="73"/>
      <c r="L340" s="73"/>
      <c r="M340" s="73"/>
      <c r="N340" s="73"/>
      <c r="O340" s="73"/>
      <c r="P340" s="73"/>
      <c r="Q340" s="73"/>
      <c r="R340" s="73"/>
    </row>
    <row r="341" spans="1:18" x14ac:dyDescent="0.35">
      <c r="A341" s="73"/>
      <c r="B341" s="73"/>
      <c r="C341" s="73"/>
      <c r="D341" s="73"/>
      <c r="E341" s="73"/>
      <c r="F341" s="73"/>
      <c r="G341" s="73"/>
      <c r="H341" s="73"/>
      <c r="I341" s="73"/>
      <c r="J341" s="73"/>
      <c r="K341" s="73"/>
      <c r="L341" s="73"/>
      <c r="M341" s="73"/>
      <c r="N341" s="73"/>
      <c r="O341" s="73"/>
      <c r="P341" s="73"/>
      <c r="Q341" s="73"/>
      <c r="R341" s="73"/>
    </row>
    <row r="342" spans="1:18" x14ac:dyDescent="0.35">
      <c r="A342" s="73"/>
      <c r="B342" s="73"/>
      <c r="C342" s="73"/>
      <c r="D342" s="73"/>
      <c r="E342" s="73"/>
      <c r="F342" s="73"/>
      <c r="G342" s="73"/>
      <c r="H342" s="73"/>
      <c r="I342" s="73"/>
      <c r="J342" s="73"/>
      <c r="K342" s="73"/>
      <c r="L342" s="73"/>
      <c r="M342" s="73"/>
      <c r="N342" s="73"/>
      <c r="O342" s="73"/>
      <c r="P342" s="73"/>
      <c r="Q342" s="73"/>
      <c r="R342" s="73"/>
    </row>
    <row r="343" spans="1:18" x14ac:dyDescent="0.35">
      <c r="A343" s="73"/>
      <c r="B343" s="73"/>
      <c r="C343" s="73"/>
      <c r="D343" s="73"/>
      <c r="E343" s="73"/>
      <c r="F343" s="73"/>
      <c r="G343" s="73"/>
      <c r="H343" s="73"/>
      <c r="I343" s="73"/>
      <c r="J343" s="73"/>
      <c r="K343" s="73"/>
      <c r="L343" s="73"/>
      <c r="M343" s="73"/>
      <c r="N343" s="73"/>
      <c r="O343" s="73"/>
      <c r="P343" s="73"/>
      <c r="Q343" s="73"/>
      <c r="R343" s="73"/>
    </row>
    <row r="344" spans="1:18" x14ac:dyDescent="0.35">
      <c r="A344" s="73"/>
      <c r="B344" s="73"/>
      <c r="C344" s="73"/>
      <c r="D344" s="73"/>
      <c r="E344" s="73"/>
      <c r="F344" s="73"/>
      <c r="G344" s="73"/>
      <c r="H344" s="73"/>
      <c r="I344" s="73"/>
      <c r="J344" s="73"/>
      <c r="K344" s="73"/>
      <c r="L344" s="73"/>
      <c r="M344" s="73"/>
      <c r="N344" s="73"/>
      <c r="O344" s="73"/>
      <c r="P344" s="73"/>
      <c r="Q344" s="73"/>
      <c r="R344" s="73"/>
    </row>
    <row r="345" spans="1:18" x14ac:dyDescent="0.35">
      <c r="A345" s="73"/>
      <c r="B345" s="73"/>
      <c r="C345" s="73"/>
      <c r="D345" s="73"/>
      <c r="E345" s="73"/>
      <c r="F345" s="73"/>
      <c r="G345" s="73"/>
      <c r="H345" s="73"/>
      <c r="I345" s="73"/>
      <c r="J345" s="73"/>
      <c r="K345" s="73"/>
      <c r="L345" s="73"/>
      <c r="M345" s="73"/>
      <c r="N345" s="73"/>
      <c r="O345" s="73"/>
      <c r="P345" s="73"/>
      <c r="Q345" s="73"/>
      <c r="R345" s="73"/>
    </row>
    <row r="346" spans="1:18" x14ac:dyDescent="0.35">
      <c r="A346" s="73"/>
      <c r="B346" s="73"/>
      <c r="C346" s="73"/>
      <c r="D346" s="73"/>
      <c r="E346" s="73"/>
      <c r="F346" s="73"/>
      <c r="G346" s="73"/>
      <c r="H346" s="73"/>
      <c r="I346" s="73"/>
      <c r="J346" s="73"/>
      <c r="K346" s="73"/>
      <c r="L346" s="73"/>
      <c r="M346" s="73"/>
      <c r="N346" s="73"/>
      <c r="O346" s="73"/>
      <c r="P346" s="73"/>
      <c r="Q346" s="73"/>
      <c r="R346" s="73"/>
    </row>
    <row r="347" spans="1:18" x14ac:dyDescent="0.35">
      <c r="A347" s="73"/>
      <c r="B347" s="73"/>
      <c r="C347" s="73"/>
      <c r="D347" s="73"/>
      <c r="E347" s="73"/>
      <c r="F347" s="73"/>
      <c r="G347" s="73"/>
      <c r="H347" s="73"/>
      <c r="I347" s="73"/>
      <c r="J347" s="73"/>
      <c r="K347" s="73"/>
      <c r="L347" s="73"/>
      <c r="M347" s="73"/>
      <c r="N347" s="73"/>
      <c r="O347" s="73"/>
      <c r="P347" s="73"/>
      <c r="Q347" s="73"/>
      <c r="R347" s="73"/>
    </row>
    <row r="348" spans="1:18" x14ac:dyDescent="0.35">
      <c r="A348" s="73"/>
      <c r="B348" s="73"/>
      <c r="C348" s="73"/>
      <c r="D348" s="73"/>
      <c r="E348" s="73"/>
      <c r="F348" s="73"/>
      <c r="G348" s="73"/>
      <c r="H348" s="73"/>
      <c r="I348" s="73"/>
      <c r="J348" s="73"/>
      <c r="K348" s="73"/>
      <c r="L348" s="73"/>
      <c r="M348" s="73"/>
      <c r="N348" s="73"/>
      <c r="O348" s="73"/>
      <c r="P348" s="73"/>
      <c r="Q348" s="73"/>
      <c r="R348" s="73"/>
    </row>
    <row r="349" spans="1:18" x14ac:dyDescent="0.35">
      <c r="A349" s="73"/>
      <c r="B349" s="73"/>
      <c r="C349" s="73"/>
      <c r="D349" s="73"/>
      <c r="E349" s="73"/>
      <c r="F349" s="73"/>
      <c r="G349" s="73"/>
      <c r="H349" s="73"/>
      <c r="I349" s="73"/>
      <c r="J349" s="73"/>
      <c r="K349" s="73"/>
      <c r="L349" s="73"/>
      <c r="M349" s="73"/>
      <c r="N349" s="73"/>
      <c r="O349" s="73"/>
      <c r="P349" s="73"/>
      <c r="Q349" s="73"/>
      <c r="R349" s="73"/>
    </row>
    <row r="350" spans="1:18" x14ac:dyDescent="0.35">
      <c r="A350" s="73"/>
      <c r="B350" s="73"/>
      <c r="C350" s="73"/>
      <c r="D350" s="73"/>
      <c r="E350" s="73"/>
      <c r="F350" s="73"/>
      <c r="G350" s="73"/>
      <c r="H350" s="73"/>
      <c r="I350" s="73"/>
      <c r="J350" s="73"/>
      <c r="K350" s="73"/>
      <c r="L350" s="73"/>
      <c r="M350" s="73"/>
      <c r="N350" s="73"/>
      <c r="O350" s="73"/>
      <c r="P350" s="73"/>
      <c r="Q350" s="73"/>
      <c r="R350" s="73"/>
    </row>
    <row r="351" spans="1:18" x14ac:dyDescent="0.35">
      <c r="A351" s="73"/>
      <c r="B351" s="73"/>
      <c r="C351" s="73"/>
      <c r="D351" s="73"/>
      <c r="E351" s="73"/>
      <c r="F351" s="73"/>
      <c r="G351" s="73"/>
      <c r="H351" s="73"/>
      <c r="I351" s="73"/>
      <c r="J351" s="73"/>
      <c r="K351" s="73"/>
      <c r="L351" s="73"/>
      <c r="M351" s="73"/>
      <c r="N351" s="73"/>
      <c r="O351" s="73"/>
      <c r="P351" s="73"/>
      <c r="Q351" s="73"/>
      <c r="R351" s="73"/>
    </row>
    <row r="352" spans="1:18" x14ac:dyDescent="0.35">
      <c r="A352" s="73"/>
      <c r="B352" s="73"/>
      <c r="C352" s="73"/>
      <c r="D352" s="73"/>
      <c r="E352" s="73"/>
      <c r="F352" s="73"/>
      <c r="G352" s="73"/>
      <c r="H352" s="73"/>
      <c r="I352" s="73"/>
      <c r="J352" s="73"/>
      <c r="K352" s="73"/>
      <c r="L352" s="73"/>
      <c r="M352" s="73"/>
      <c r="N352" s="73"/>
      <c r="O352" s="73"/>
      <c r="P352" s="73"/>
      <c r="Q352" s="73"/>
      <c r="R352" s="73"/>
    </row>
    <row r="353" spans="1:18" x14ac:dyDescent="0.35">
      <c r="A353" s="73"/>
      <c r="B353" s="73"/>
      <c r="C353" s="73"/>
      <c r="D353" s="73"/>
      <c r="E353" s="73"/>
      <c r="F353" s="73"/>
      <c r="G353" s="73"/>
      <c r="H353" s="73"/>
      <c r="I353" s="73"/>
      <c r="J353" s="73"/>
      <c r="K353" s="73"/>
      <c r="L353" s="73"/>
      <c r="M353" s="73"/>
      <c r="N353" s="73"/>
      <c r="O353" s="73"/>
      <c r="P353" s="73"/>
      <c r="Q353" s="73"/>
      <c r="R353" s="73"/>
    </row>
    <row r="354" spans="1:18" x14ac:dyDescent="0.35">
      <c r="A354" s="73"/>
      <c r="B354" s="73"/>
      <c r="C354" s="73"/>
      <c r="D354" s="73"/>
      <c r="E354" s="73"/>
      <c r="F354" s="73"/>
      <c r="G354" s="73"/>
      <c r="H354" s="73"/>
      <c r="I354" s="73"/>
      <c r="J354" s="73"/>
      <c r="K354" s="73"/>
      <c r="L354" s="73"/>
      <c r="M354" s="73"/>
      <c r="N354" s="73"/>
      <c r="O354" s="73"/>
      <c r="P354" s="73"/>
      <c r="Q354" s="73"/>
      <c r="R354" s="73"/>
    </row>
    <row r="355" spans="1:18" x14ac:dyDescent="0.35">
      <c r="A355" s="73"/>
      <c r="B355" s="73"/>
      <c r="C355" s="73"/>
      <c r="D355" s="73"/>
      <c r="E355" s="73"/>
      <c r="F355" s="73"/>
      <c r="G355" s="73"/>
      <c r="H355" s="73"/>
      <c r="I355" s="73"/>
      <c r="J355" s="73"/>
      <c r="K355" s="73"/>
      <c r="L355" s="73"/>
      <c r="M355" s="73"/>
      <c r="N355" s="73"/>
      <c r="O355" s="73"/>
      <c r="P355" s="73"/>
      <c r="Q355" s="73"/>
      <c r="R355" s="73"/>
    </row>
    <row r="356" spans="1:18" x14ac:dyDescent="0.35">
      <c r="A356" s="73"/>
      <c r="B356" s="73"/>
      <c r="C356" s="73"/>
      <c r="D356" s="73"/>
      <c r="E356" s="73"/>
      <c r="F356" s="73"/>
      <c r="G356" s="73"/>
      <c r="H356" s="73"/>
      <c r="I356" s="73"/>
      <c r="J356" s="73"/>
      <c r="K356" s="73"/>
      <c r="L356" s="73"/>
      <c r="M356" s="73"/>
      <c r="N356" s="73"/>
      <c r="O356" s="73"/>
      <c r="P356" s="73"/>
      <c r="Q356" s="73"/>
      <c r="R356" s="73"/>
    </row>
    <row r="357" spans="1:18" x14ac:dyDescent="0.35">
      <c r="A357" s="73"/>
      <c r="B357" s="73"/>
      <c r="C357" s="73"/>
      <c r="D357" s="73"/>
      <c r="E357" s="73"/>
      <c r="F357" s="73"/>
      <c r="G357" s="73"/>
      <c r="H357" s="73"/>
      <c r="I357" s="73"/>
      <c r="J357" s="73"/>
      <c r="K357" s="73"/>
      <c r="L357" s="73"/>
      <c r="M357" s="73"/>
      <c r="N357" s="73"/>
      <c r="O357" s="73"/>
      <c r="P357" s="73"/>
      <c r="Q357" s="73"/>
      <c r="R357" s="73"/>
    </row>
    <row r="358" spans="1:18" x14ac:dyDescent="0.35">
      <c r="A358" s="73"/>
      <c r="B358" s="73"/>
      <c r="C358" s="73"/>
      <c r="D358" s="73"/>
      <c r="E358" s="73"/>
      <c r="F358" s="73"/>
      <c r="G358" s="73"/>
      <c r="H358" s="73"/>
      <c r="I358" s="73"/>
      <c r="J358" s="73"/>
      <c r="K358" s="73"/>
      <c r="L358" s="73"/>
      <c r="M358" s="73"/>
      <c r="N358" s="73"/>
      <c r="O358" s="73"/>
      <c r="P358" s="73"/>
      <c r="Q358" s="73"/>
      <c r="R358" s="73"/>
    </row>
    <row r="359" spans="1:18" x14ac:dyDescent="0.35">
      <c r="A359" s="73"/>
      <c r="B359" s="73"/>
      <c r="C359" s="73"/>
      <c r="D359" s="73"/>
      <c r="E359" s="73"/>
      <c r="F359" s="73"/>
      <c r="G359" s="73"/>
      <c r="H359" s="73"/>
      <c r="I359" s="73"/>
      <c r="J359" s="73"/>
      <c r="K359" s="73"/>
      <c r="L359" s="73"/>
      <c r="M359" s="73"/>
      <c r="N359" s="73"/>
      <c r="O359" s="73"/>
      <c r="P359" s="73"/>
      <c r="Q359" s="73"/>
      <c r="R359" s="73"/>
    </row>
    <row r="360" spans="1:18" x14ac:dyDescent="0.35">
      <c r="A360" s="73"/>
      <c r="B360" s="73"/>
      <c r="C360" s="73"/>
      <c r="D360" s="73"/>
      <c r="E360" s="73"/>
      <c r="F360" s="73"/>
      <c r="G360" s="73"/>
      <c r="H360" s="73"/>
      <c r="I360" s="73"/>
      <c r="J360" s="73"/>
      <c r="K360" s="73"/>
      <c r="L360" s="73"/>
      <c r="M360" s="73"/>
      <c r="N360" s="73"/>
      <c r="O360" s="73"/>
      <c r="P360" s="73"/>
      <c r="Q360" s="73"/>
      <c r="R360" s="73"/>
    </row>
    <row r="361" spans="1:18" x14ac:dyDescent="0.35">
      <c r="A361" s="73"/>
      <c r="B361" s="73"/>
      <c r="C361" s="73"/>
      <c r="D361" s="73"/>
      <c r="E361" s="73"/>
      <c r="F361" s="73"/>
      <c r="G361" s="73"/>
      <c r="H361" s="73"/>
      <c r="I361" s="73"/>
      <c r="J361" s="73"/>
      <c r="K361" s="73"/>
      <c r="L361" s="73"/>
      <c r="M361" s="73"/>
      <c r="N361" s="73"/>
      <c r="O361" s="73"/>
      <c r="P361" s="73"/>
      <c r="Q361" s="73"/>
      <c r="R361" s="73"/>
    </row>
    <row r="362" spans="1:18" x14ac:dyDescent="0.35">
      <c r="A362" s="73"/>
      <c r="B362" s="73"/>
      <c r="C362" s="73"/>
      <c r="D362" s="73"/>
      <c r="E362" s="73"/>
      <c r="F362" s="73"/>
      <c r="G362" s="73"/>
      <c r="H362" s="73"/>
      <c r="I362" s="73"/>
      <c r="J362" s="73"/>
      <c r="K362" s="73"/>
      <c r="L362" s="73"/>
      <c r="M362" s="73"/>
      <c r="N362" s="73"/>
      <c r="O362" s="73"/>
      <c r="P362" s="73"/>
      <c r="Q362" s="73"/>
      <c r="R362" s="73"/>
    </row>
    <row r="363" spans="1:18" x14ac:dyDescent="0.35">
      <c r="A363" s="73"/>
      <c r="B363" s="73"/>
      <c r="C363" s="73"/>
      <c r="D363" s="73"/>
      <c r="E363" s="73"/>
      <c r="F363" s="73"/>
      <c r="G363" s="73"/>
      <c r="H363" s="73"/>
      <c r="I363" s="73"/>
      <c r="J363" s="73"/>
      <c r="K363" s="73"/>
      <c r="L363" s="73"/>
      <c r="M363" s="73"/>
      <c r="N363" s="73"/>
      <c r="O363" s="73"/>
      <c r="P363" s="73"/>
      <c r="Q363" s="73"/>
      <c r="R363" s="73"/>
    </row>
    <row r="364" spans="1:18" x14ac:dyDescent="0.35">
      <c r="A364" s="185"/>
      <c r="B364" s="172"/>
      <c r="C364" s="172"/>
      <c r="D364" s="172"/>
      <c r="E364" s="172"/>
      <c r="F364" s="172"/>
      <c r="G364" s="172"/>
      <c r="H364" s="172"/>
      <c r="I364" s="172"/>
      <c r="J364" s="172"/>
      <c r="K364" s="172"/>
      <c r="L364" s="73"/>
      <c r="M364" s="73"/>
      <c r="N364" s="73"/>
      <c r="O364" s="73"/>
      <c r="P364" s="73"/>
      <c r="Q364" s="73"/>
      <c r="R364" s="73"/>
    </row>
    <row r="365" spans="1:18" ht="26" x14ac:dyDescent="0.35">
      <c r="A365" s="426"/>
      <c r="B365" s="427"/>
      <c r="C365" s="173" t="s">
        <v>44</v>
      </c>
      <c r="D365" s="187" t="s">
        <v>99</v>
      </c>
      <c r="E365" s="187" t="s">
        <v>100</v>
      </c>
      <c r="F365" s="187" t="s">
        <v>23</v>
      </c>
      <c r="G365" s="187" t="s">
        <v>101</v>
      </c>
      <c r="H365" s="187" t="s">
        <v>215</v>
      </c>
      <c r="I365" s="187" t="s">
        <v>216</v>
      </c>
      <c r="J365" s="187" t="s">
        <v>217</v>
      </c>
      <c r="K365" s="188" t="s">
        <v>218</v>
      </c>
      <c r="L365" s="73"/>
      <c r="M365" s="73"/>
      <c r="N365" s="73"/>
      <c r="O365" s="73"/>
      <c r="P365" s="73"/>
      <c r="Q365" s="73"/>
      <c r="R365" s="73"/>
    </row>
    <row r="366" spans="1:18" x14ac:dyDescent="0.35">
      <c r="A366" s="431" t="str">
        <f>A332</f>
        <v>Payoffs Q8</v>
      </c>
      <c r="B366" s="432" t="str">
        <f>B332</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366" s="174" t="s">
        <v>45</v>
      </c>
      <c r="D366" s="190" t="str">
        <f>IF('4.3 Elicitation data entry'!$C$32="","",'4.3 Elicitation data entry'!$C$32)</f>
        <v/>
      </c>
      <c r="E366" s="190" t="str">
        <f>IF('4.3 Elicitation data entry'!$D$32="","",'4.3 Elicitation data entry'!$D$32)</f>
        <v/>
      </c>
      <c r="F366" s="190" t="str">
        <f>IF('4.3 Elicitation data entry'!$E$32="","",'4.3 Elicitation data entry'!$E$32)</f>
        <v/>
      </c>
      <c r="G366" s="190" t="str">
        <f>IF('4.3 Elicitation data entry'!$F$32="","",'4.3 Elicitation data entry'!$F$32)</f>
        <v/>
      </c>
      <c r="H366" s="190" t="str">
        <f t="shared" ref="H366:H371" si="42">IF($F366="","",F366-J366)</f>
        <v/>
      </c>
      <c r="I366" s="191" t="str">
        <f t="shared" ref="I366:I371" si="43">IF($F366="","",K366-F366)</f>
        <v/>
      </c>
      <c r="J366" s="192" t="str">
        <f t="shared" ref="J366:J371" si="44">IF($F366="","",IF(F366-((F366-D366)/G366)*90&lt;-100,-100,F366-((F366-D366)/G366)*90))</f>
        <v/>
      </c>
      <c r="K366" s="193" t="str">
        <f t="shared" ref="K366:K371" si="45">IF($F366="","",(F366-((F366-E366)/G366)*90))</f>
        <v/>
      </c>
      <c r="L366" s="73"/>
      <c r="M366" s="73"/>
      <c r="N366" s="73"/>
      <c r="O366" s="73"/>
      <c r="P366" s="73"/>
      <c r="Q366" s="73"/>
      <c r="R366" s="73"/>
    </row>
    <row r="367" spans="1:18" x14ac:dyDescent="0.35">
      <c r="A367" s="431"/>
      <c r="B367" s="432"/>
      <c r="C367" s="174" t="s">
        <v>46</v>
      </c>
      <c r="D367" s="190" t="str">
        <f>IF('4.3 Elicitation data entry'!$H$32="","",'4.3 Elicitation data entry'!$H$32)</f>
        <v/>
      </c>
      <c r="E367" s="190" t="str">
        <f>IF('4.3 Elicitation data entry'!$I$32="","",'4.3 Elicitation data entry'!$I$32)</f>
        <v/>
      </c>
      <c r="F367" s="190" t="str">
        <f>IF('4.3 Elicitation data entry'!$J$32="","",'4.3 Elicitation data entry'!$J$32)</f>
        <v/>
      </c>
      <c r="G367" s="190" t="str">
        <f>IF('4.3 Elicitation data entry'!$K$32="","",'4.3 Elicitation data entry'!$K$32)</f>
        <v/>
      </c>
      <c r="H367" s="190" t="str">
        <f t="shared" si="42"/>
        <v/>
      </c>
      <c r="I367" s="191" t="str">
        <f t="shared" si="43"/>
        <v/>
      </c>
      <c r="J367" s="192" t="str">
        <f t="shared" si="44"/>
        <v/>
      </c>
      <c r="K367" s="193" t="str">
        <f t="shared" si="45"/>
        <v/>
      </c>
      <c r="L367" s="73"/>
      <c r="M367" s="73"/>
      <c r="N367" s="73"/>
      <c r="O367" s="73"/>
      <c r="P367" s="73"/>
      <c r="Q367" s="73"/>
      <c r="R367" s="73"/>
    </row>
    <row r="368" spans="1:18" x14ac:dyDescent="0.35">
      <c r="A368" s="431"/>
      <c r="B368" s="432"/>
      <c r="C368" s="174" t="s">
        <v>47</v>
      </c>
      <c r="D368" s="190" t="str">
        <f>IF('4.3 Elicitation data entry'!$M$32="","",'4.3 Elicitation data entry'!$M$32)</f>
        <v/>
      </c>
      <c r="E368" s="190" t="str">
        <f>IF('4.3 Elicitation data entry'!$N$32="","",'4.3 Elicitation data entry'!$N$32)</f>
        <v/>
      </c>
      <c r="F368" s="190" t="str">
        <f>IF('4.3 Elicitation data entry'!$O$32="","",'4.3 Elicitation data entry'!$O$32)</f>
        <v/>
      </c>
      <c r="G368" s="190" t="str">
        <f>IF('4.3 Elicitation data entry'!$P$32="","",'4.3 Elicitation data entry'!$P$32)</f>
        <v/>
      </c>
      <c r="H368" s="190" t="str">
        <f t="shared" si="42"/>
        <v/>
      </c>
      <c r="I368" s="191" t="str">
        <f t="shared" si="43"/>
        <v/>
      </c>
      <c r="J368" s="192" t="str">
        <f t="shared" si="44"/>
        <v/>
      </c>
      <c r="K368" s="193" t="str">
        <f t="shared" si="45"/>
        <v/>
      </c>
      <c r="L368" s="73"/>
      <c r="M368" s="73"/>
      <c r="N368" s="73"/>
      <c r="O368" s="73"/>
      <c r="P368" s="73"/>
      <c r="Q368" s="73"/>
      <c r="R368" s="73"/>
    </row>
    <row r="369" spans="1:18" x14ac:dyDescent="0.35">
      <c r="A369" s="431"/>
      <c r="B369" s="432"/>
      <c r="C369" s="174" t="s">
        <v>48</v>
      </c>
      <c r="D369" s="190" t="str">
        <f>IF('4.3 Elicitation data entry'!$R$32="","",'4.3 Elicitation data entry'!$R$32)</f>
        <v/>
      </c>
      <c r="E369" s="190" t="str">
        <f>IF('4.3 Elicitation data entry'!$S$32="","",'4.3 Elicitation data entry'!$S$32)</f>
        <v/>
      </c>
      <c r="F369" s="190" t="str">
        <f>IF('4.3 Elicitation data entry'!$T$32="","",'4.3 Elicitation data entry'!$T$32)</f>
        <v/>
      </c>
      <c r="G369" s="190" t="str">
        <f>IF('4.3 Elicitation data entry'!$U$32="","",'4.3 Elicitation data entry'!$U$32)</f>
        <v/>
      </c>
      <c r="H369" s="190" t="str">
        <f t="shared" si="42"/>
        <v/>
      </c>
      <c r="I369" s="191" t="str">
        <f t="shared" si="43"/>
        <v/>
      </c>
      <c r="J369" s="192" t="str">
        <f t="shared" si="44"/>
        <v/>
      </c>
      <c r="K369" s="193" t="str">
        <f t="shared" si="45"/>
        <v/>
      </c>
      <c r="L369" s="73"/>
      <c r="M369" s="73"/>
      <c r="N369" s="73"/>
      <c r="O369" s="73"/>
      <c r="P369" s="73"/>
      <c r="Q369" s="73"/>
      <c r="R369" s="73"/>
    </row>
    <row r="370" spans="1:18" x14ac:dyDescent="0.35">
      <c r="A370" s="431"/>
      <c r="B370" s="432"/>
      <c r="C370" s="174" t="s">
        <v>49</v>
      </c>
      <c r="D370" s="190" t="str">
        <f>IF('4.3 Elicitation data entry'!$W$32="","",'4.3 Elicitation data entry'!$W$32)</f>
        <v/>
      </c>
      <c r="E370" s="190" t="str">
        <f>IF('4.3 Elicitation data entry'!$X$32="","",'4.3 Elicitation data entry'!$X$32)</f>
        <v/>
      </c>
      <c r="F370" s="190" t="str">
        <f>IF('4.3 Elicitation data entry'!$Y$32="","",'4.3 Elicitation data entry'!$Y$32)</f>
        <v/>
      </c>
      <c r="G370" s="190" t="str">
        <f>IF('4.3 Elicitation data entry'!$Z$32="","",'4.3 Elicitation data entry'!$Z$32)</f>
        <v/>
      </c>
      <c r="H370" s="190" t="str">
        <f t="shared" si="42"/>
        <v/>
      </c>
      <c r="I370" s="191" t="str">
        <f t="shared" si="43"/>
        <v/>
      </c>
      <c r="J370" s="192" t="str">
        <f t="shared" si="44"/>
        <v/>
      </c>
      <c r="K370" s="193" t="str">
        <f t="shared" si="45"/>
        <v/>
      </c>
      <c r="L370" s="73"/>
      <c r="M370" s="73"/>
      <c r="N370" s="73"/>
      <c r="O370" s="73"/>
      <c r="P370" s="73"/>
      <c r="Q370" s="73"/>
      <c r="R370" s="73"/>
    </row>
    <row r="371" spans="1:18" x14ac:dyDescent="0.35">
      <c r="A371" s="431"/>
      <c r="B371" s="432"/>
      <c r="C371" s="174" t="s">
        <v>50</v>
      </c>
      <c r="D371" s="190" t="str">
        <f>IF('4.3 Elicitation data entry'!$AB$32="","",'4.3 Elicitation data entry'!$AB$32)</f>
        <v/>
      </c>
      <c r="E371" s="190" t="str">
        <f>IF('4.3 Elicitation data entry'!$AC$32="","",'4.3 Elicitation data entry'!$AC$32)</f>
        <v/>
      </c>
      <c r="F371" s="190" t="str">
        <f>IF('4.3 Elicitation data entry'!$AD$32="","",'4.3 Elicitation data entry'!$AD$32)</f>
        <v/>
      </c>
      <c r="G371" s="190" t="str">
        <f>IF('4.3 Elicitation data entry'!$AE$32="","",'4.3 Elicitation data entry'!$AE$32)</f>
        <v/>
      </c>
      <c r="H371" s="190" t="str">
        <f t="shared" si="42"/>
        <v/>
      </c>
      <c r="I371" s="191" t="str">
        <f t="shared" si="43"/>
        <v/>
      </c>
      <c r="J371" s="192" t="str">
        <f t="shared" si="44"/>
        <v/>
      </c>
      <c r="K371" s="193" t="str">
        <f t="shared" si="45"/>
        <v/>
      </c>
      <c r="L371" s="73"/>
      <c r="M371" s="73"/>
      <c r="N371" s="73"/>
      <c r="O371" s="73"/>
      <c r="P371" s="73"/>
      <c r="Q371" s="73"/>
      <c r="R371" s="73"/>
    </row>
    <row r="372" spans="1:18" x14ac:dyDescent="0.35">
      <c r="A372" s="175"/>
      <c r="B372" s="176" t="s">
        <v>51</v>
      </c>
      <c r="C372" s="177" t="s">
        <v>52</v>
      </c>
      <c r="D372" s="190" t="e">
        <f t="shared" ref="D372:I372" si="46">AVERAGE(D366:D371)</f>
        <v>#DIV/0!</v>
      </c>
      <c r="E372" s="194" t="e">
        <f t="shared" si="46"/>
        <v>#DIV/0!</v>
      </c>
      <c r="F372" s="194" t="e">
        <f t="shared" si="46"/>
        <v>#DIV/0!</v>
      </c>
      <c r="G372" s="194" t="e">
        <f t="shared" si="46"/>
        <v>#DIV/0!</v>
      </c>
      <c r="H372" s="190" t="e">
        <f t="shared" si="46"/>
        <v>#DIV/0!</v>
      </c>
      <c r="I372" s="190" t="e">
        <f t="shared" si="46"/>
        <v>#DIV/0!</v>
      </c>
      <c r="J372" s="192" t="e">
        <f>IF((F372-((F372-D372)/G372)*90)&lt;-100,-100,(F372-((F372-D372)/G372)*90))</f>
        <v>#DIV/0!</v>
      </c>
      <c r="K372" s="193" t="e">
        <f>IF((F372-((F372-E372)/G372)*90)&lt;-100,-100,(F372-((F372-E372)/G372)*90))</f>
        <v>#DIV/0!</v>
      </c>
      <c r="L372" s="73"/>
      <c r="M372" s="73"/>
      <c r="N372" s="73"/>
      <c r="O372" s="73"/>
      <c r="P372" s="73"/>
      <c r="Q372" s="73"/>
      <c r="R372" s="73"/>
    </row>
    <row r="373" spans="1:18" x14ac:dyDescent="0.35">
      <c r="A373" s="178"/>
      <c r="B373" s="179"/>
      <c r="C373" s="180" t="s">
        <v>53</v>
      </c>
      <c r="D373" s="196" t="e">
        <f t="shared" ref="D373:K373" si="47">STDEV(D366:D371)/SQRT(COUNT(D366:D371))</f>
        <v>#DIV/0!</v>
      </c>
      <c r="E373" s="196" t="e">
        <f t="shared" si="47"/>
        <v>#DIV/0!</v>
      </c>
      <c r="F373" s="196" t="e">
        <f t="shared" si="47"/>
        <v>#DIV/0!</v>
      </c>
      <c r="G373" s="196" t="e">
        <f t="shared" si="47"/>
        <v>#DIV/0!</v>
      </c>
      <c r="H373" s="197" t="e">
        <f t="shared" si="47"/>
        <v>#DIV/0!</v>
      </c>
      <c r="I373" s="197" t="e">
        <f t="shared" si="47"/>
        <v>#DIV/0!</v>
      </c>
      <c r="J373" s="197" t="e">
        <f t="shared" si="47"/>
        <v>#DIV/0!</v>
      </c>
      <c r="K373" s="198" t="e">
        <f t="shared" si="47"/>
        <v>#DIV/0!</v>
      </c>
      <c r="L373" s="73"/>
      <c r="M373" s="73"/>
      <c r="N373" s="73"/>
      <c r="O373" s="73"/>
      <c r="P373" s="73"/>
      <c r="Q373" s="73"/>
      <c r="R373" s="73"/>
    </row>
    <row r="374" spans="1:18" x14ac:dyDescent="0.35">
      <c r="A374" s="199"/>
      <c r="B374" s="73"/>
      <c r="C374" s="73"/>
      <c r="D374" s="73"/>
      <c r="E374" s="73"/>
      <c r="F374" s="73"/>
      <c r="G374" s="73"/>
      <c r="H374" s="73"/>
      <c r="I374" s="73"/>
      <c r="J374" s="73"/>
      <c r="K374" s="73"/>
      <c r="L374" s="73"/>
      <c r="M374" s="73"/>
      <c r="N374" s="73"/>
      <c r="O374" s="73"/>
      <c r="P374" s="73"/>
      <c r="Q374" s="73"/>
      <c r="R374" s="73"/>
    </row>
    <row r="375" spans="1:18" x14ac:dyDescent="0.35">
      <c r="A375" s="199"/>
      <c r="B375" s="73"/>
      <c r="C375" s="73"/>
      <c r="D375" s="73"/>
      <c r="E375" s="73"/>
      <c r="F375" s="73"/>
      <c r="G375" s="73"/>
      <c r="H375" s="73"/>
      <c r="I375" s="73"/>
      <c r="J375" s="73"/>
      <c r="K375" s="73"/>
      <c r="L375" s="73"/>
      <c r="M375" s="73"/>
      <c r="N375" s="73"/>
      <c r="O375" s="73"/>
      <c r="P375" s="73"/>
      <c r="Q375" s="73"/>
      <c r="R375" s="73"/>
    </row>
    <row r="376" spans="1:18" x14ac:dyDescent="0.35">
      <c r="A376" s="199"/>
      <c r="B376" s="73"/>
      <c r="C376" s="73"/>
      <c r="D376" s="73"/>
      <c r="E376" s="73"/>
      <c r="F376" s="73"/>
      <c r="G376" s="73"/>
      <c r="H376" s="73"/>
      <c r="I376" s="73"/>
      <c r="J376" s="73"/>
      <c r="K376" s="73"/>
      <c r="L376" s="73"/>
      <c r="M376" s="73"/>
      <c r="N376" s="73"/>
      <c r="O376" s="73"/>
      <c r="P376" s="73"/>
      <c r="Q376" s="73"/>
      <c r="R376" s="73"/>
    </row>
    <row r="377" spans="1:18" x14ac:dyDescent="0.35">
      <c r="A377" s="199"/>
      <c r="B377" s="73"/>
      <c r="C377" s="73"/>
      <c r="D377" s="73"/>
      <c r="E377" s="73"/>
      <c r="F377" s="73"/>
      <c r="G377" s="73"/>
      <c r="H377" s="73"/>
      <c r="I377" s="73"/>
      <c r="J377" s="73"/>
      <c r="K377" s="73"/>
      <c r="L377" s="73"/>
      <c r="M377" s="73"/>
      <c r="N377" s="73"/>
      <c r="O377" s="73"/>
      <c r="P377" s="73"/>
      <c r="Q377" s="73"/>
      <c r="R377" s="73"/>
    </row>
    <row r="378" spans="1:18" x14ac:dyDescent="0.35">
      <c r="A378" s="199"/>
      <c r="B378" s="73"/>
      <c r="C378" s="73"/>
      <c r="D378" s="73"/>
      <c r="E378" s="73"/>
      <c r="F378" s="73"/>
      <c r="G378" s="73"/>
      <c r="H378" s="73"/>
      <c r="I378" s="73"/>
      <c r="J378" s="73"/>
      <c r="K378" s="73"/>
      <c r="L378" s="73"/>
      <c r="M378" s="73"/>
      <c r="N378" s="73"/>
      <c r="O378" s="73"/>
      <c r="P378" s="73"/>
      <c r="Q378" s="73"/>
      <c r="R378" s="73"/>
    </row>
    <row r="379" spans="1:18" ht="35.15" customHeight="1" x14ac:dyDescent="0.35">
      <c r="A379" s="164" t="s">
        <v>227</v>
      </c>
      <c r="B379" s="433" t="s">
        <v>128</v>
      </c>
      <c r="C379" s="434"/>
      <c r="D379" s="434"/>
      <c r="E379" s="434"/>
      <c r="F379" s="434"/>
      <c r="G379" s="434"/>
      <c r="H379" s="434"/>
      <c r="I379" s="434"/>
      <c r="J379" s="434"/>
      <c r="K379" s="435"/>
      <c r="L379" s="73"/>
      <c r="M379" s="73"/>
      <c r="N379" s="73"/>
      <c r="O379" s="73"/>
      <c r="P379" s="73"/>
      <c r="Q379" s="73"/>
      <c r="R379" s="73"/>
    </row>
    <row r="380" spans="1:18" x14ac:dyDescent="0.35">
      <c r="A380" s="73"/>
      <c r="B380" s="73"/>
      <c r="C380" s="73"/>
      <c r="D380" s="73"/>
      <c r="E380" s="73"/>
      <c r="F380" s="73"/>
      <c r="G380" s="73"/>
      <c r="H380" s="73"/>
      <c r="I380" s="73"/>
      <c r="J380" s="73"/>
      <c r="K380" s="73"/>
      <c r="L380" s="73"/>
      <c r="M380" s="73"/>
      <c r="N380" s="73"/>
      <c r="O380" s="73"/>
      <c r="P380" s="73"/>
      <c r="Q380" s="73"/>
      <c r="R380" s="73"/>
    </row>
    <row r="381" spans="1:18" x14ac:dyDescent="0.35">
      <c r="A381" s="73"/>
      <c r="B381" s="73"/>
      <c r="C381" s="73"/>
      <c r="D381" s="73"/>
      <c r="E381" s="73"/>
      <c r="F381" s="73"/>
      <c r="G381" s="73"/>
      <c r="H381" s="73"/>
      <c r="I381" s="73"/>
      <c r="J381" s="73"/>
      <c r="K381" s="73"/>
      <c r="L381" s="73"/>
      <c r="M381" s="73"/>
      <c r="N381" s="73"/>
      <c r="O381" s="73"/>
      <c r="P381" s="73"/>
      <c r="Q381" s="73"/>
      <c r="R381" s="73"/>
    </row>
    <row r="382" spans="1:18" x14ac:dyDescent="0.35">
      <c r="A382" s="73"/>
      <c r="B382" s="73"/>
      <c r="C382" s="73"/>
      <c r="D382" s="73"/>
      <c r="E382" s="73"/>
      <c r="F382" s="73"/>
      <c r="G382" s="73"/>
      <c r="H382" s="73"/>
      <c r="I382" s="73"/>
      <c r="J382" s="73"/>
      <c r="K382" s="73"/>
      <c r="L382" s="73"/>
      <c r="M382" s="73"/>
      <c r="N382" s="73"/>
      <c r="O382" s="73"/>
      <c r="P382" s="73"/>
      <c r="Q382" s="73"/>
      <c r="R382" s="73"/>
    </row>
    <row r="383" spans="1:18" x14ac:dyDescent="0.35">
      <c r="A383" s="73"/>
      <c r="B383" s="73"/>
      <c r="C383" s="73"/>
      <c r="D383" s="73"/>
      <c r="E383" s="73"/>
      <c r="F383" s="73"/>
      <c r="G383" s="73"/>
      <c r="H383" s="73"/>
      <c r="I383" s="73"/>
      <c r="J383" s="73"/>
      <c r="K383" s="73"/>
      <c r="L383" s="73"/>
      <c r="M383" s="73"/>
      <c r="N383" s="73"/>
      <c r="O383" s="73"/>
      <c r="P383" s="73"/>
      <c r="Q383" s="73"/>
      <c r="R383" s="73"/>
    </row>
    <row r="384" spans="1:18" x14ac:dyDescent="0.35">
      <c r="A384" s="73"/>
      <c r="B384" s="73"/>
      <c r="C384" s="73"/>
      <c r="D384" s="73"/>
      <c r="E384" s="73"/>
      <c r="F384" s="73"/>
      <c r="G384" s="73"/>
      <c r="H384" s="73"/>
      <c r="I384" s="73"/>
      <c r="J384" s="73"/>
      <c r="K384" s="73"/>
      <c r="L384" s="73"/>
      <c r="M384" s="73"/>
      <c r="N384" s="73"/>
      <c r="O384" s="73"/>
      <c r="P384" s="73"/>
      <c r="Q384" s="73"/>
      <c r="R384" s="73"/>
    </row>
    <row r="385" spans="1:18" x14ac:dyDescent="0.35">
      <c r="A385" s="73"/>
      <c r="B385" s="73"/>
      <c r="C385" s="73"/>
      <c r="D385" s="73"/>
      <c r="E385" s="73"/>
      <c r="F385" s="73"/>
      <c r="G385" s="73"/>
      <c r="H385" s="73"/>
      <c r="I385" s="73"/>
      <c r="J385" s="73"/>
      <c r="K385" s="73"/>
      <c r="L385" s="73"/>
      <c r="M385" s="73"/>
      <c r="N385" s="73"/>
      <c r="O385" s="73"/>
      <c r="P385" s="73"/>
      <c r="Q385" s="73"/>
      <c r="R385" s="73"/>
    </row>
    <row r="386" spans="1:18" x14ac:dyDescent="0.35">
      <c r="A386" s="73"/>
      <c r="B386" s="73"/>
      <c r="C386" s="73"/>
      <c r="D386" s="73"/>
      <c r="E386" s="73"/>
      <c r="F386" s="73"/>
      <c r="G386" s="73"/>
      <c r="H386" s="73"/>
      <c r="I386" s="73"/>
      <c r="J386" s="73"/>
      <c r="K386" s="73"/>
      <c r="L386" s="73"/>
      <c r="M386" s="73"/>
      <c r="N386" s="73"/>
      <c r="O386" s="73"/>
      <c r="P386" s="73"/>
      <c r="Q386" s="73"/>
      <c r="R386" s="73"/>
    </row>
    <row r="387" spans="1:18" x14ac:dyDescent="0.35">
      <c r="A387" s="73"/>
      <c r="B387" s="73"/>
      <c r="C387" s="73"/>
      <c r="D387" s="73"/>
      <c r="E387" s="73"/>
      <c r="F387" s="73"/>
      <c r="G387" s="73"/>
      <c r="H387" s="73"/>
      <c r="I387" s="73"/>
      <c r="J387" s="73"/>
      <c r="K387" s="73"/>
      <c r="L387" s="73"/>
      <c r="M387" s="73"/>
      <c r="N387" s="73"/>
      <c r="O387" s="73"/>
      <c r="P387" s="73"/>
      <c r="Q387" s="73"/>
      <c r="R387" s="73"/>
    </row>
    <row r="388" spans="1:18" x14ac:dyDescent="0.35">
      <c r="A388" s="73"/>
      <c r="B388" s="73"/>
      <c r="C388" s="73"/>
      <c r="D388" s="73"/>
      <c r="E388" s="73"/>
      <c r="F388" s="73"/>
      <c r="G388" s="73"/>
      <c r="H388" s="73"/>
      <c r="I388" s="73"/>
      <c r="J388" s="73"/>
      <c r="K388" s="73"/>
      <c r="L388" s="73"/>
      <c r="M388" s="73"/>
      <c r="N388" s="73"/>
      <c r="O388" s="73"/>
      <c r="P388" s="73"/>
      <c r="Q388" s="73"/>
      <c r="R388" s="73"/>
    </row>
    <row r="389" spans="1:18" x14ac:dyDescent="0.35">
      <c r="A389" s="73"/>
      <c r="B389" s="73"/>
      <c r="C389" s="73"/>
      <c r="D389" s="73"/>
      <c r="E389" s="73"/>
      <c r="F389" s="73"/>
      <c r="G389" s="73"/>
      <c r="H389" s="73"/>
      <c r="I389" s="73"/>
      <c r="J389" s="73"/>
      <c r="K389" s="73"/>
      <c r="L389" s="73"/>
      <c r="M389" s="73"/>
      <c r="N389" s="73"/>
      <c r="O389" s="73"/>
      <c r="P389" s="73"/>
      <c r="Q389" s="73"/>
      <c r="R389" s="73"/>
    </row>
    <row r="390" spans="1:18" x14ac:dyDescent="0.35">
      <c r="A390" s="73"/>
      <c r="B390" s="73"/>
      <c r="C390" s="73"/>
      <c r="D390" s="73"/>
      <c r="E390" s="73"/>
      <c r="F390" s="73"/>
      <c r="G390" s="73"/>
      <c r="H390" s="73"/>
      <c r="I390" s="73"/>
      <c r="J390" s="73"/>
      <c r="K390" s="73"/>
      <c r="L390" s="73"/>
      <c r="M390" s="73"/>
      <c r="N390" s="73"/>
      <c r="O390" s="73"/>
      <c r="P390" s="73"/>
      <c r="Q390" s="73"/>
      <c r="R390" s="73"/>
    </row>
    <row r="391" spans="1:18" x14ac:dyDescent="0.35">
      <c r="A391" s="73"/>
      <c r="B391" s="73"/>
      <c r="C391" s="73"/>
      <c r="D391" s="73"/>
      <c r="E391" s="73"/>
      <c r="F391" s="73"/>
      <c r="G391" s="73"/>
      <c r="H391" s="73"/>
      <c r="I391" s="73"/>
      <c r="J391" s="73"/>
      <c r="K391" s="73"/>
      <c r="L391" s="73"/>
      <c r="M391" s="73"/>
      <c r="N391" s="73"/>
      <c r="O391" s="73"/>
      <c r="P391" s="73"/>
      <c r="Q391" s="73"/>
      <c r="R391" s="73"/>
    </row>
    <row r="392" spans="1:18" x14ac:dyDescent="0.35">
      <c r="A392" s="73"/>
      <c r="B392" s="73"/>
      <c r="C392" s="73"/>
      <c r="D392" s="73"/>
      <c r="E392" s="73"/>
      <c r="F392" s="73"/>
      <c r="G392" s="73"/>
      <c r="H392" s="73"/>
      <c r="I392" s="73"/>
      <c r="J392" s="73"/>
      <c r="K392" s="73"/>
      <c r="L392" s="73"/>
      <c r="M392" s="73"/>
      <c r="N392" s="73"/>
      <c r="O392" s="73"/>
      <c r="P392" s="73"/>
      <c r="Q392" s="73"/>
      <c r="R392" s="73"/>
    </row>
    <row r="393" spans="1:18" x14ac:dyDescent="0.35">
      <c r="A393" s="73"/>
      <c r="B393" s="73"/>
      <c r="C393" s="73"/>
      <c r="D393" s="73"/>
      <c r="E393" s="73"/>
      <c r="F393" s="73"/>
      <c r="G393" s="73"/>
      <c r="H393" s="73"/>
      <c r="I393" s="73"/>
      <c r="J393" s="73"/>
      <c r="K393" s="73"/>
      <c r="L393" s="73"/>
      <c r="M393" s="73"/>
      <c r="N393" s="73"/>
      <c r="O393" s="73"/>
      <c r="P393" s="73"/>
      <c r="Q393" s="73"/>
      <c r="R393" s="73"/>
    </row>
    <row r="394" spans="1:18" x14ac:dyDescent="0.35">
      <c r="A394" s="73"/>
      <c r="B394" s="73"/>
      <c r="C394" s="73"/>
      <c r="D394" s="73"/>
      <c r="E394" s="73"/>
      <c r="F394" s="73"/>
      <c r="G394" s="73"/>
      <c r="H394" s="73"/>
      <c r="I394" s="73"/>
      <c r="J394" s="73"/>
      <c r="K394" s="73"/>
      <c r="L394" s="73"/>
      <c r="M394" s="73"/>
      <c r="N394" s="73"/>
      <c r="O394" s="73"/>
      <c r="P394" s="73"/>
      <c r="Q394" s="73"/>
      <c r="R394" s="73"/>
    </row>
    <row r="395" spans="1:18" x14ac:dyDescent="0.35">
      <c r="A395" s="73"/>
      <c r="B395" s="73"/>
      <c r="C395" s="73"/>
      <c r="D395" s="73"/>
      <c r="E395" s="73"/>
      <c r="F395" s="73"/>
      <c r="G395" s="73"/>
      <c r="H395" s="73"/>
      <c r="I395" s="73"/>
      <c r="J395" s="73"/>
      <c r="K395" s="73"/>
      <c r="L395" s="73"/>
      <c r="M395" s="73"/>
      <c r="N395" s="73"/>
      <c r="O395" s="73"/>
      <c r="P395" s="73"/>
      <c r="Q395" s="73"/>
      <c r="R395" s="73"/>
    </row>
    <row r="396" spans="1:18" x14ac:dyDescent="0.35">
      <c r="A396" s="73"/>
      <c r="B396" s="73"/>
      <c r="C396" s="73"/>
      <c r="D396" s="73"/>
      <c r="E396" s="73"/>
      <c r="F396" s="73"/>
      <c r="G396" s="73"/>
      <c r="H396" s="73"/>
      <c r="I396" s="73"/>
      <c r="J396" s="73"/>
      <c r="K396" s="73"/>
      <c r="L396" s="73"/>
      <c r="M396" s="73"/>
      <c r="N396" s="73"/>
      <c r="O396" s="73"/>
      <c r="P396" s="73"/>
      <c r="Q396" s="73"/>
      <c r="R396" s="73"/>
    </row>
    <row r="397" spans="1:18" x14ac:dyDescent="0.35">
      <c r="A397" s="73"/>
      <c r="B397" s="73"/>
      <c r="C397" s="73"/>
      <c r="D397" s="73"/>
      <c r="E397" s="73"/>
      <c r="F397" s="73"/>
      <c r="G397" s="73"/>
      <c r="H397" s="73"/>
      <c r="I397" s="73"/>
      <c r="J397" s="73"/>
      <c r="K397" s="73"/>
      <c r="L397" s="73"/>
      <c r="M397" s="73"/>
      <c r="N397" s="73"/>
      <c r="O397" s="73"/>
      <c r="P397" s="73"/>
      <c r="Q397" s="73"/>
      <c r="R397" s="73"/>
    </row>
    <row r="398" spans="1:18" x14ac:dyDescent="0.35">
      <c r="A398" s="73"/>
      <c r="B398" s="73"/>
      <c r="C398" s="73"/>
      <c r="D398" s="73"/>
      <c r="E398" s="73"/>
      <c r="F398" s="73"/>
      <c r="G398" s="73"/>
      <c r="H398" s="73"/>
      <c r="I398" s="73"/>
      <c r="J398" s="73"/>
      <c r="K398" s="73"/>
      <c r="L398" s="73"/>
      <c r="M398" s="73"/>
      <c r="N398" s="73"/>
      <c r="O398" s="73"/>
      <c r="P398" s="73"/>
      <c r="Q398" s="73"/>
      <c r="R398" s="73"/>
    </row>
    <row r="399" spans="1:18" x14ac:dyDescent="0.35">
      <c r="A399" s="73"/>
      <c r="B399" s="73"/>
      <c r="C399" s="73"/>
      <c r="D399" s="73"/>
      <c r="E399" s="73"/>
      <c r="F399" s="73"/>
      <c r="G399" s="73"/>
      <c r="H399" s="73"/>
      <c r="I399" s="73"/>
      <c r="J399" s="73"/>
      <c r="K399" s="73"/>
      <c r="L399" s="73"/>
      <c r="M399" s="73"/>
      <c r="N399" s="73"/>
      <c r="O399" s="73"/>
      <c r="P399" s="73"/>
      <c r="Q399" s="73"/>
      <c r="R399" s="73"/>
    </row>
    <row r="400" spans="1:18" x14ac:dyDescent="0.35">
      <c r="A400" s="73"/>
      <c r="B400" s="73"/>
      <c r="C400" s="73"/>
      <c r="D400" s="73"/>
      <c r="E400" s="73"/>
      <c r="F400" s="73"/>
      <c r="G400" s="73"/>
      <c r="H400" s="73"/>
      <c r="I400" s="73"/>
      <c r="J400" s="73"/>
      <c r="K400" s="73"/>
      <c r="L400" s="73"/>
      <c r="M400" s="73"/>
      <c r="N400" s="73"/>
      <c r="O400" s="73"/>
      <c r="P400" s="73"/>
      <c r="Q400" s="73"/>
      <c r="R400" s="73"/>
    </row>
    <row r="401" spans="1:18" x14ac:dyDescent="0.35">
      <c r="A401" s="73"/>
      <c r="B401" s="73"/>
      <c r="C401" s="73"/>
      <c r="D401" s="73"/>
      <c r="E401" s="73"/>
      <c r="F401" s="73"/>
      <c r="G401" s="73"/>
      <c r="H401" s="73"/>
      <c r="I401" s="73"/>
      <c r="J401" s="73"/>
      <c r="K401" s="73"/>
      <c r="L401" s="73"/>
      <c r="M401" s="73"/>
      <c r="N401" s="73"/>
      <c r="O401" s="73"/>
      <c r="P401" s="73"/>
      <c r="Q401" s="73"/>
      <c r="R401" s="73"/>
    </row>
    <row r="402" spans="1:18" x14ac:dyDescent="0.35">
      <c r="A402" s="73"/>
      <c r="B402" s="73"/>
      <c r="C402" s="73"/>
      <c r="D402" s="73"/>
      <c r="E402" s="73"/>
      <c r="F402" s="73"/>
      <c r="G402" s="73"/>
      <c r="H402" s="73"/>
      <c r="I402" s="73"/>
      <c r="J402" s="73"/>
      <c r="K402" s="73"/>
      <c r="L402" s="73"/>
      <c r="M402" s="73"/>
      <c r="N402" s="73"/>
      <c r="O402" s="73"/>
      <c r="P402" s="73"/>
      <c r="Q402" s="73"/>
      <c r="R402" s="73"/>
    </row>
    <row r="403" spans="1:18" x14ac:dyDescent="0.35">
      <c r="A403" s="73"/>
      <c r="B403" s="73"/>
      <c r="C403" s="73"/>
      <c r="D403" s="73"/>
      <c r="E403" s="73"/>
      <c r="F403" s="73"/>
      <c r="G403" s="73"/>
      <c r="H403" s="73"/>
      <c r="I403" s="73"/>
      <c r="J403" s="73"/>
      <c r="K403" s="73"/>
      <c r="L403" s="73"/>
      <c r="M403" s="73"/>
      <c r="N403" s="73"/>
      <c r="O403" s="73"/>
      <c r="P403" s="73"/>
      <c r="Q403" s="73"/>
      <c r="R403" s="73"/>
    </row>
    <row r="404" spans="1:18" x14ac:dyDescent="0.35">
      <c r="A404" s="73"/>
      <c r="B404" s="73"/>
      <c r="C404" s="73"/>
      <c r="D404" s="73"/>
      <c r="E404" s="73"/>
      <c r="F404" s="73"/>
      <c r="G404" s="73"/>
      <c r="H404" s="73"/>
      <c r="I404" s="73"/>
      <c r="J404" s="73"/>
      <c r="K404" s="73"/>
      <c r="L404" s="73"/>
      <c r="M404" s="73"/>
      <c r="N404" s="73"/>
      <c r="O404" s="73"/>
      <c r="P404" s="73"/>
      <c r="Q404" s="73"/>
      <c r="R404" s="73"/>
    </row>
    <row r="405" spans="1:18" x14ac:dyDescent="0.35">
      <c r="A405" s="73"/>
      <c r="B405" s="73"/>
      <c r="C405" s="73"/>
      <c r="D405" s="73"/>
      <c r="E405" s="73"/>
      <c r="F405" s="73"/>
      <c r="G405" s="73"/>
      <c r="H405" s="73"/>
      <c r="I405" s="73"/>
      <c r="J405" s="73"/>
      <c r="K405" s="73"/>
      <c r="L405" s="73"/>
      <c r="M405" s="73"/>
      <c r="N405" s="73"/>
      <c r="O405" s="73"/>
      <c r="P405" s="73"/>
      <c r="Q405" s="73"/>
      <c r="R405" s="73"/>
    </row>
    <row r="406" spans="1:18" x14ac:dyDescent="0.35">
      <c r="A406" s="73"/>
      <c r="B406" s="73"/>
      <c r="C406" s="73"/>
      <c r="D406" s="73"/>
      <c r="E406" s="73"/>
      <c r="F406" s="73"/>
      <c r="G406" s="73"/>
      <c r="H406" s="73"/>
      <c r="I406" s="73"/>
      <c r="J406" s="73"/>
      <c r="K406" s="73"/>
      <c r="L406" s="73"/>
      <c r="M406" s="73"/>
      <c r="N406" s="73"/>
      <c r="O406" s="73"/>
      <c r="P406" s="73"/>
      <c r="Q406" s="73"/>
      <c r="R406" s="73"/>
    </row>
    <row r="407" spans="1:18" x14ac:dyDescent="0.35">
      <c r="A407" s="73"/>
      <c r="B407" s="73"/>
      <c r="C407" s="73"/>
      <c r="D407" s="73"/>
      <c r="E407" s="73"/>
      <c r="F407" s="73"/>
      <c r="G407" s="73"/>
      <c r="H407" s="73"/>
      <c r="I407" s="73"/>
      <c r="J407" s="73"/>
      <c r="K407" s="73"/>
      <c r="L407" s="73"/>
      <c r="M407" s="73"/>
      <c r="N407" s="73"/>
      <c r="O407" s="73"/>
      <c r="P407" s="73"/>
      <c r="Q407" s="73"/>
      <c r="R407" s="73"/>
    </row>
    <row r="408" spans="1:18" x14ac:dyDescent="0.35">
      <c r="A408" s="73"/>
      <c r="B408" s="73"/>
      <c r="C408" s="73"/>
      <c r="D408" s="73"/>
      <c r="E408" s="73"/>
      <c r="F408" s="73"/>
      <c r="G408" s="73"/>
      <c r="H408" s="73"/>
      <c r="I408" s="73"/>
      <c r="J408" s="73"/>
      <c r="K408" s="73"/>
      <c r="L408" s="73"/>
      <c r="M408" s="73"/>
      <c r="N408" s="73"/>
      <c r="O408" s="73"/>
      <c r="P408" s="73"/>
      <c r="Q408" s="73"/>
      <c r="R408" s="73"/>
    </row>
    <row r="409" spans="1:18" x14ac:dyDescent="0.35">
      <c r="A409" s="73"/>
      <c r="B409" s="73"/>
      <c r="C409" s="73"/>
      <c r="D409" s="73"/>
      <c r="E409" s="73"/>
      <c r="F409" s="73"/>
      <c r="G409" s="73"/>
      <c r="H409" s="73"/>
      <c r="I409" s="73"/>
      <c r="J409" s="73"/>
      <c r="K409" s="73"/>
      <c r="L409" s="73"/>
      <c r="M409" s="73"/>
      <c r="N409" s="73"/>
      <c r="O409" s="73"/>
      <c r="P409" s="73"/>
      <c r="Q409" s="73"/>
      <c r="R409" s="73"/>
    </row>
    <row r="410" spans="1:18" x14ac:dyDescent="0.35">
      <c r="A410" s="73"/>
      <c r="B410" s="73"/>
      <c r="C410" s="73"/>
      <c r="D410" s="73"/>
      <c r="E410" s="73"/>
      <c r="F410" s="73"/>
      <c r="G410" s="73"/>
      <c r="H410" s="73"/>
      <c r="I410" s="73"/>
      <c r="J410" s="73"/>
      <c r="K410" s="73"/>
      <c r="L410" s="73"/>
      <c r="M410" s="73"/>
      <c r="N410" s="73"/>
      <c r="O410" s="73"/>
      <c r="P410" s="73"/>
      <c r="Q410" s="73"/>
      <c r="R410" s="73"/>
    </row>
    <row r="411" spans="1:18" x14ac:dyDescent="0.35">
      <c r="A411" s="185"/>
      <c r="B411" s="172"/>
      <c r="C411" s="172"/>
      <c r="D411" s="172"/>
      <c r="E411" s="172"/>
      <c r="F411" s="172"/>
      <c r="G411" s="172"/>
      <c r="H411" s="172"/>
      <c r="I411" s="172"/>
      <c r="J411" s="172"/>
      <c r="K411" s="172"/>
      <c r="L411" s="73"/>
      <c r="M411" s="73"/>
      <c r="N411" s="73"/>
      <c r="O411" s="73"/>
      <c r="P411" s="73"/>
      <c r="Q411" s="73"/>
      <c r="R411" s="73"/>
    </row>
    <row r="412" spans="1:18" ht="26" x14ac:dyDescent="0.35">
      <c r="A412" s="426"/>
      <c r="B412" s="427"/>
      <c r="C412" s="173" t="s">
        <v>44</v>
      </c>
      <c r="D412" s="187" t="s">
        <v>99</v>
      </c>
      <c r="E412" s="187" t="s">
        <v>100</v>
      </c>
      <c r="F412" s="187" t="s">
        <v>23</v>
      </c>
      <c r="G412" s="187" t="s">
        <v>101</v>
      </c>
      <c r="H412" s="187" t="s">
        <v>215</v>
      </c>
      <c r="I412" s="187" t="s">
        <v>216</v>
      </c>
      <c r="J412" s="187" t="s">
        <v>217</v>
      </c>
      <c r="K412" s="188" t="s">
        <v>218</v>
      </c>
      <c r="L412" s="73"/>
      <c r="M412" s="73"/>
      <c r="N412" s="73"/>
      <c r="O412" s="73"/>
      <c r="P412" s="73"/>
      <c r="Q412" s="73"/>
      <c r="R412" s="73"/>
    </row>
    <row r="413" spans="1:18" x14ac:dyDescent="0.35">
      <c r="A413" s="431" t="str">
        <f>A379</f>
        <v>Payoffs Q9</v>
      </c>
      <c r="B413" s="432" t="str">
        <f>B379</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413" s="174" t="s">
        <v>45</v>
      </c>
      <c r="D413" s="190" t="str">
        <f>IF('4.3 Elicitation data entry'!$C$33="","",'4.3 Elicitation data entry'!$C$33)</f>
        <v/>
      </c>
      <c r="E413" s="190" t="str">
        <f>IF('4.3 Elicitation data entry'!$D$33="","",'4.3 Elicitation data entry'!$D$33)</f>
        <v/>
      </c>
      <c r="F413" s="190" t="str">
        <f>IF('4.3 Elicitation data entry'!$E$33="","",'4.3 Elicitation data entry'!$E$33)</f>
        <v/>
      </c>
      <c r="G413" s="190" t="str">
        <f>IF('4.3 Elicitation data entry'!$F$33="","",'4.3 Elicitation data entry'!$F$33)</f>
        <v/>
      </c>
      <c r="H413" s="190" t="str">
        <f t="shared" ref="H413:H418" si="48">IF($F413="","",F413-J413)</f>
        <v/>
      </c>
      <c r="I413" s="191" t="str">
        <f t="shared" ref="I413:I418" si="49">IF($F413="","",K413-F413)</f>
        <v/>
      </c>
      <c r="J413" s="192" t="str">
        <f t="shared" ref="J413:J418" si="50">IF($F413="","",IF(F413-((F413-D413)/G413)*90&lt;-100,-100,F413-((F413-D413)/G413)*90))</f>
        <v/>
      </c>
      <c r="K413" s="193" t="str">
        <f t="shared" ref="K413:K418" si="51">IF($F413="","",(F413-((F413-E413)/G413)*90))</f>
        <v/>
      </c>
      <c r="L413" s="73"/>
      <c r="M413" s="73"/>
      <c r="N413" s="73"/>
      <c r="O413" s="73"/>
      <c r="P413" s="73"/>
      <c r="Q413" s="73"/>
      <c r="R413" s="73"/>
    </row>
    <row r="414" spans="1:18" x14ac:dyDescent="0.35">
      <c r="A414" s="431"/>
      <c r="B414" s="432"/>
      <c r="C414" s="174" t="s">
        <v>46</v>
      </c>
      <c r="D414" s="190" t="str">
        <f>IF('4.3 Elicitation data entry'!$H$33="","",'4.3 Elicitation data entry'!$H$33)</f>
        <v/>
      </c>
      <c r="E414" s="190" t="str">
        <f>IF('4.3 Elicitation data entry'!$I$33="","",'4.3 Elicitation data entry'!$I$33)</f>
        <v/>
      </c>
      <c r="F414" s="190" t="str">
        <f>IF('4.3 Elicitation data entry'!$J$33="","",'4.3 Elicitation data entry'!$J$33)</f>
        <v/>
      </c>
      <c r="G414" s="190" t="str">
        <f>IF('4.3 Elicitation data entry'!$K$33="","",'4.3 Elicitation data entry'!$K$33)</f>
        <v/>
      </c>
      <c r="H414" s="190" t="str">
        <f t="shared" si="48"/>
        <v/>
      </c>
      <c r="I414" s="191" t="str">
        <f t="shared" si="49"/>
        <v/>
      </c>
      <c r="J414" s="192" t="str">
        <f t="shared" si="50"/>
        <v/>
      </c>
      <c r="K414" s="193" t="str">
        <f t="shared" si="51"/>
        <v/>
      </c>
      <c r="L414" s="73"/>
      <c r="M414" s="73"/>
      <c r="N414" s="73"/>
      <c r="O414" s="73"/>
      <c r="P414" s="73"/>
      <c r="Q414" s="73"/>
      <c r="R414" s="73"/>
    </row>
    <row r="415" spans="1:18" x14ac:dyDescent="0.35">
      <c r="A415" s="431"/>
      <c r="B415" s="432"/>
      <c r="C415" s="174" t="s">
        <v>47</v>
      </c>
      <c r="D415" s="190" t="str">
        <f>IF('4.3 Elicitation data entry'!$M$33="","",'4.3 Elicitation data entry'!$M$33)</f>
        <v/>
      </c>
      <c r="E415" s="190" t="str">
        <f>IF('4.3 Elicitation data entry'!$N$33="","",'4.3 Elicitation data entry'!$N$33)</f>
        <v/>
      </c>
      <c r="F415" s="190" t="str">
        <f>IF('4.3 Elicitation data entry'!$O$33="","",'4.3 Elicitation data entry'!$O$33)</f>
        <v/>
      </c>
      <c r="G415" s="190" t="str">
        <f>IF('4.3 Elicitation data entry'!$P$33="","",'4.3 Elicitation data entry'!$P$33)</f>
        <v/>
      </c>
      <c r="H415" s="190" t="str">
        <f t="shared" si="48"/>
        <v/>
      </c>
      <c r="I415" s="191" t="str">
        <f t="shared" si="49"/>
        <v/>
      </c>
      <c r="J415" s="192" t="str">
        <f t="shared" si="50"/>
        <v/>
      </c>
      <c r="K415" s="193" t="str">
        <f t="shared" si="51"/>
        <v/>
      </c>
      <c r="L415" s="73"/>
      <c r="M415" s="73"/>
      <c r="N415" s="73"/>
      <c r="O415" s="73"/>
      <c r="P415" s="73"/>
      <c r="Q415" s="73"/>
      <c r="R415" s="73"/>
    </row>
    <row r="416" spans="1:18" x14ac:dyDescent="0.35">
      <c r="A416" s="431"/>
      <c r="B416" s="432"/>
      <c r="C416" s="174" t="s">
        <v>48</v>
      </c>
      <c r="D416" s="190" t="str">
        <f>IF('4.3 Elicitation data entry'!$R$33="","",'4.3 Elicitation data entry'!$R$33)</f>
        <v/>
      </c>
      <c r="E416" s="190" t="str">
        <f>IF('4.3 Elicitation data entry'!$S$33="","",'4.3 Elicitation data entry'!$S$33)</f>
        <v/>
      </c>
      <c r="F416" s="190" t="str">
        <f>IF('4.3 Elicitation data entry'!$T$33="","",'4.3 Elicitation data entry'!$T$33)</f>
        <v/>
      </c>
      <c r="G416" s="190" t="str">
        <f>IF('4.3 Elicitation data entry'!$U$33="","",'4.3 Elicitation data entry'!$U$33)</f>
        <v/>
      </c>
      <c r="H416" s="190" t="str">
        <f t="shared" si="48"/>
        <v/>
      </c>
      <c r="I416" s="191" t="str">
        <f t="shared" si="49"/>
        <v/>
      </c>
      <c r="J416" s="192" t="str">
        <f t="shared" si="50"/>
        <v/>
      </c>
      <c r="K416" s="193" t="str">
        <f t="shared" si="51"/>
        <v/>
      </c>
      <c r="L416" s="73"/>
      <c r="M416" s="73"/>
      <c r="N416" s="73"/>
      <c r="O416" s="73"/>
      <c r="P416" s="73"/>
      <c r="Q416" s="73"/>
      <c r="R416" s="73"/>
    </row>
    <row r="417" spans="1:18" x14ac:dyDescent="0.35">
      <c r="A417" s="431"/>
      <c r="B417" s="432"/>
      <c r="C417" s="174" t="s">
        <v>49</v>
      </c>
      <c r="D417" s="190" t="str">
        <f>IF('4.3 Elicitation data entry'!$W$33="","",'4.3 Elicitation data entry'!$W$33)</f>
        <v/>
      </c>
      <c r="E417" s="190" t="str">
        <f>IF('4.3 Elicitation data entry'!$X$33="","",'4.3 Elicitation data entry'!$X$33)</f>
        <v/>
      </c>
      <c r="F417" s="190" t="str">
        <f>IF('4.3 Elicitation data entry'!$Y$33="","",'4.3 Elicitation data entry'!$Y$33)</f>
        <v/>
      </c>
      <c r="G417" s="190" t="str">
        <f>IF('4.3 Elicitation data entry'!$Z$33="","",'4.3 Elicitation data entry'!$Z$33)</f>
        <v/>
      </c>
      <c r="H417" s="190" t="str">
        <f t="shared" si="48"/>
        <v/>
      </c>
      <c r="I417" s="191" t="str">
        <f t="shared" si="49"/>
        <v/>
      </c>
      <c r="J417" s="192" t="str">
        <f t="shared" si="50"/>
        <v/>
      </c>
      <c r="K417" s="193" t="str">
        <f t="shared" si="51"/>
        <v/>
      </c>
      <c r="L417" s="73"/>
      <c r="M417" s="73"/>
      <c r="N417" s="73"/>
      <c r="O417" s="73"/>
      <c r="P417" s="73"/>
      <c r="Q417" s="73"/>
      <c r="R417" s="73"/>
    </row>
    <row r="418" spans="1:18" x14ac:dyDescent="0.35">
      <c r="A418" s="431"/>
      <c r="B418" s="432"/>
      <c r="C418" s="174" t="s">
        <v>50</v>
      </c>
      <c r="D418" s="190" t="str">
        <f>IF('4.3 Elicitation data entry'!$AB$33="","",'4.3 Elicitation data entry'!$AB$33)</f>
        <v/>
      </c>
      <c r="E418" s="190" t="str">
        <f>IF('4.3 Elicitation data entry'!$AC$33="","",'4.3 Elicitation data entry'!$AC$33)</f>
        <v/>
      </c>
      <c r="F418" s="190" t="str">
        <f>IF('4.3 Elicitation data entry'!$AD$33="","",'4.3 Elicitation data entry'!$AD$33)</f>
        <v/>
      </c>
      <c r="G418" s="190" t="str">
        <f>IF('4.3 Elicitation data entry'!$AE$33="","",'4.3 Elicitation data entry'!$AE$33)</f>
        <v/>
      </c>
      <c r="H418" s="190" t="str">
        <f t="shared" si="48"/>
        <v/>
      </c>
      <c r="I418" s="191" t="str">
        <f t="shared" si="49"/>
        <v/>
      </c>
      <c r="J418" s="192" t="str">
        <f t="shared" si="50"/>
        <v/>
      </c>
      <c r="K418" s="193" t="str">
        <f t="shared" si="51"/>
        <v/>
      </c>
      <c r="L418" s="73"/>
      <c r="M418" s="73"/>
      <c r="N418" s="73"/>
      <c r="O418" s="73"/>
      <c r="P418" s="73"/>
      <c r="Q418" s="73"/>
      <c r="R418" s="73"/>
    </row>
    <row r="419" spans="1:18" x14ac:dyDescent="0.35">
      <c r="A419" s="175"/>
      <c r="B419" s="176" t="s">
        <v>51</v>
      </c>
      <c r="C419" s="177" t="s">
        <v>52</v>
      </c>
      <c r="D419" s="190" t="e">
        <f t="shared" ref="D419:I419" si="52">AVERAGE(D413:D418)</f>
        <v>#DIV/0!</v>
      </c>
      <c r="E419" s="194" t="e">
        <f t="shared" si="52"/>
        <v>#DIV/0!</v>
      </c>
      <c r="F419" s="194" t="e">
        <f t="shared" si="52"/>
        <v>#DIV/0!</v>
      </c>
      <c r="G419" s="194" t="e">
        <f t="shared" si="52"/>
        <v>#DIV/0!</v>
      </c>
      <c r="H419" s="190" t="e">
        <f t="shared" si="52"/>
        <v>#DIV/0!</v>
      </c>
      <c r="I419" s="190" t="e">
        <f t="shared" si="52"/>
        <v>#DIV/0!</v>
      </c>
      <c r="J419" s="192" t="e">
        <f>IF((F419-((F419-D419)/G419)*90)&lt;-100,-100,(F419-((F419-D419)/G419)*90))</f>
        <v>#DIV/0!</v>
      </c>
      <c r="K419" s="193" t="e">
        <f>IF((F419-((F419-E419)/G419)*90)&lt;-100,-100,(F419-((F419-E419)/G419)*90))</f>
        <v>#DIV/0!</v>
      </c>
      <c r="L419" s="73"/>
      <c r="M419" s="73"/>
      <c r="N419" s="73"/>
      <c r="O419" s="73"/>
      <c r="P419" s="73"/>
      <c r="Q419" s="73"/>
      <c r="R419" s="73"/>
    </row>
    <row r="420" spans="1:18" x14ac:dyDescent="0.35">
      <c r="A420" s="178"/>
      <c r="B420" s="179"/>
      <c r="C420" s="180" t="s">
        <v>53</v>
      </c>
      <c r="D420" s="196" t="e">
        <f t="shared" ref="D420:K420" si="53">STDEV(D413:D418)/SQRT(COUNT(D413:D418))</f>
        <v>#DIV/0!</v>
      </c>
      <c r="E420" s="196" t="e">
        <f t="shared" si="53"/>
        <v>#DIV/0!</v>
      </c>
      <c r="F420" s="196" t="e">
        <f t="shared" si="53"/>
        <v>#DIV/0!</v>
      </c>
      <c r="G420" s="196" t="e">
        <f t="shared" si="53"/>
        <v>#DIV/0!</v>
      </c>
      <c r="H420" s="197" t="e">
        <f t="shared" si="53"/>
        <v>#DIV/0!</v>
      </c>
      <c r="I420" s="197" t="e">
        <f t="shared" si="53"/>
        <v>#DIV/0!</v>
      </c>
      <c r="J420" s="197" t="e">
        <f t="shared" si="53"/>
        <v>#DIV/0!</v>
      </c>
      <c r="K420" s="198" t="e">
        <f t="shared" si="53"/>
        <v>#DIV/0!</v>
      </c>
      <c r="L420" s="73"/>
      <c r="M420" s="73"/>
      <c r="N420" s="73"/>
      <c r="O420" s="73"/>
      <c r="P420" s="73"/>
      <c r="Q420" s="73"/>
      <c r="R420" s="73"/>
    </row>
    <row r="421" spans="1:18" x14ac:dyDescent="0.35">
      <c r="A421" s="199"/>
      <c r="B421" s="73"/>
      <c r="C421" s="73"/>
      <c r="D421" s="73"/>
      <c r="E421" s="73"/>
      <c r="F421" s="73"/>
      <c r="G421" s="73"/>
      <c r="H421" s="73"/>
      <c r="I421" s="73"/>
      <c r="J421" s="73"/>
      <c r="K421" s="73"/>
      <c r="L421" s="73"/>
      <c r="M421" s="73"/>
      <c r="N421" s="73"/>
      <c r="O421" s="73"/>
      <c r="P421" s="73"/>
      <c r="Q421" s="73"/>
      <c r="R421" s="73"/>
    </row>
    <row r="422" spans="1:18" x14ac:dyDescent="0.35">
      <c r="A422" s="199"/>
      <c r="B422" s="73"/>
      <c r="C422" s="73"/>
      <c r="D422" s="73"/>
      <c r="E422" s="73"/>
      <c r="F422" s="73"/>
      <c r="G422" s="73"/>
      <c r="H422" s="73"/>
      <c r="I422" s="73"/>
      <c r="J422" s="73"/>
      <c r="K422" s="73"/>
      <c r="L422" s="73"/>
      <c r="M422" s="73"/>
      <c r="N422" s="73"/>
      <c r="O422" s="73"/>
      <c r="P422" s="73"/>
      <c r="Q422" s="73"/>
      <c r="R422" s="73"/>
    </row>
    <row r="423" spans="1:18" x14ac:dyDescent="0.35">
      <c r="A423" s="199"/>
      <c r="B423" s="73"/>
      <c r="C423" s="73"/>
      <c r="D423" s="73"/>
      <c r="E423" s="73"/>
      <c r="F423" s="73"/>
      <c r="G423" s="73"/>
      <c r="H423" s="73"/>
      <c r="I423" s="73"/>
      <c r="J423" s="73"/>
      <c r="K423" s="73"/>
      <c r="L423" s="73"/>
      <c r="M423" s="73"/>
      <c r="N423" s="73"/>
      <c r="O423" s="73"/>
      <c r="P423" s="73"/>
      <c r="Q423" s="73"/>
      <c r="R423" s="73"/>
    </row>
    <row r="424" spans="1:18" x14ac:dyDescent="0.35">
      <c r="A424" s="199"/>
      <c r="B424" s="73"/>
      <c r="C424" s="73"/>
      <c r="D424" s="73"/>
      <c r="E424" s="73"/>
      <c r="F424" s="73"/>
      <c r="G424" s="73"/>
      <c r="H424" s="73"/>
      <c r="I424" s="73"/>
      <c r="J424" s="73"/>
      <c r="K424" s="73"/>
      <c r="L424" s="73"/>
      <c r="M424" s="73"/>
      <c r="N424" s="73"/>
      <c r="O424" s="73"/>
      <c r="P424" s="73"/>
      <c r="Q424" s="73"/>
      <c r="R424" s="73"/>
    </row>
    <row r="425" spans="1:18" x14ac:dyDescent="0.35">
      <c r="A425" s="199"/>
      <c r="B425" s="73"/>
      <c r="C425" s="73"/>
      <c r="D425" s="73"/>
      <c r="E425" s="73"/>
      <c r="F425" s="73"/>
      <c r="G425" s="73"/>
      <c r="H425" s="73"/>
      <c r="I425" s="73"/>
      <c r="J425" s="73"/>
      <c r="K425" s="73"/>
      <c r="L425" s="73"/>
      <c r="M425" s="73"/>
      <c r="N425" s="73"/>
      <c r="O425" s="73"/>
      <c r="P425" s="73"/>
      <c r="Q425" s="73"/>
      <c r="R425" s="73"/>
    </row>
    <row r="426" spans="1:18" ht="35.15" customHeight="1" x14ac:dyDescent="0.35">
      <c r="A426" s="164" t="s">
        <v>228</v>
      </c>
      <c r="B426" s="433" t="s">
        <v>129</v>
      </c>
      <c r="C426" s="434"/>
      <c r="D426" s="434"/>
      <c r="E426" s="434"/>
      <c r="F426" s="434"/>
      <c r="G426" s="434"/>
      <c r="H426" s="434"/>
      <c r="I426" s="434"/>
      <c r="J426" s="434"/>
      <c r="K426" s="435"/>
      <c r="L426" s="73"/>
      <c r="M426" s="73"/>
      <c r="N426" s="73"/>
      <c r="O426" s="73"/>
      <c r="P426" s="73"/>
      <c r="Q426" s="73"/>
      <c r="R426" s="73"/>
    </row>
    <row r="427" spans="1:18" x14ac:dyDescent="0.35">
      <c r="A427" s="73"/>
      <c r="B427" s="73"/>
      <c r="C427" s="73"/>
      <c r="D427" s="73"/>
      <c r="E427" s="73"/>
      <c r="F427" s="73"/>
      <c r="G427" s="73"/>
      <c r="H427" s="73"/>
      <c r="I427" s="73"/>
      <c r="J427" s="73"/>
      <c r="K427" s="73"/>
      <c r="L427" s="73"/>
      <c r="M427" s="73"/>
      <c r="N427" s="73"/>
      <c r="O427" s="73"/>
      <c r="P427" s="73"/>
      <c r="Q427" s="73"/>
      <c r="R427" s="73"/>
    </row>
    <row r="428" spans="1:18" x14ac:dyDescent="0.35">
      <c r="A428" s="73"/>
      <c r="B428" s="73"/>
      <c r="C428" s="73"/>
      <c r="D428" s="73"/>
      <c r="E428" s="73"/>
      <c r="F428" s="73"/>
      <c r="G428" s="73"/>
      <c r="H428" s="73"/>
      <c r="I428" s="73"/>
      <c r="J428" s="73"/>
      <c r="K428" s="73"/>
      <c r="L428" s="73"/>
      <c r="M428" s="73"/>
      <c r="N428" s="73"/>
      <c r="O428" s="73"/>
      <c r="P428" s="73"/>
      <c r="Q428" s="73"/>
      <c r="R428" s="73"/>
    </row>
    <row r="429" spans="1:18" x14ac:dyDescent="0.35">
      <c r="A429" s="73"/>
      <c r="B429" s="73"/>
      <c r="C429" s="73"/>
      <c r="D429" s="73"/>
      <c r="E429" s="73"/>
      <c r="F429" s="73"/>
      <c r="G429" s="73"/>
      <c r="H429" s="73"/>
      <c r="I429" s="73"/>
      <c r="J429" s="73"/>
      <c r="K429" s="73"/>
      <c r="L429" s="73"/>
      <c r="M429" s="73"/>
      <c r="N429" s="73"/>
      <c r="O429" s="73"/>
      <c r="P429" s="73"/>
      <c r="Q429" s="73"/>
      <c r="R429" s="73"/>
    </row>
    <row r="430" spans="1:18" x14ac:dyDescent="0.35">
      <c r="A430" s="73"/>
      <c r="B430" s="73"/>
      <c r="C430" s="73"/>
      <c r="D430" s="73"/>
      <c r="E430" s="73"/>
      <c r="F430" s="73"/>
      <c r="G430" s="73"/>
      <c r="H430" s="73"/>
      <c r="I430" s="73"/>
      <c r="J430" s="73"/>
      <c r="K430" s="73"/>
      <c r="L430" s="73"/>
      <c r="M430" s="73"/>
      <c r="N430" s="73"/>
      <c r="O430" s="73"/>
      <c r="P430" s="73"/>
      <c r="Q430" s="73"/>
      <c r="R430" s="73"/>
    </row>
    <row r="431" spans="1:18" x14ac:dyDescent="0.35">
      <c r="A431" s="73"/>
      <c r="B431" s="73"/>
      <c r="C431" s="73"/>
      <c r="D431" s="73"/>
      <c r="E431" s="73"/>
      <c r="F431" s="73"/>
      <c r="G431" s="73"/>
      <c r="H431" s="73"/>
      <c r="I431" s="73"/>
      <c r="J431" s="73"/>
      <c r="K431" s="73"/>
      <c r="L431" s="73"/>
      <c r="M431" s="73"/>
      <c r="N431" s="73"/>
      <c r="O431" s="73"/>
      <c r="P431" s="73"/>
      <c r="Q431" s="73"/>
      <c r="R431" s="73"/>
    </row>
    <row r="432" spans="1:18" x14ac:dyDescent="0.35">
      <c r="A432" s="73"/>
      <c r="B432" s="73"/>
      <c r="C432" s="73"/>
      <c r="D432" s="73"/>
      <c r="E432" s="73"/>
      <c r="F432" s="73"/>
      <c r="G432" s="73"/>
      <c r="H432" s="73"/>
      <c r="I432" s="73"/>
      <c r="J432" s="73"/>
      <c r="K432" s="73"/>
      <c r="L432" s="73"/>
      <c r="M432" s="73"/>
      <c r="N432" s="73"/>
      <c r="O432" s="73"/>
      <c r="P432" s="73"/>
      <c r="Q432" s="73"/>
      <c r="R432" s="73"/>
    </row>
    <row r="433" spans="1:18" x14ac:dyDescent="0.35">
      <c r="A433" s="73"/>
      <c r="B433" s="73"/>
      <c r="C433" s="73"/>
      <c r="D433" s="73"/>
      <c r="E433" s="73"/>
      <c r="F433" s="73"/>
      <c r="G433" s="73"/>
      <c r="H433" s="73"/>
      <c r="I433" s="73"/>
      <c r="J433" s="73"/>
      <c r="K433" s="73"/>
      <c r="L433" s="73"/>
      <c r="M433" s="73"/>
      <c r="N433" s="73"/>
      <c r="O433" s="73"/>
      <c r="P433" s="73"/>
      <c r="Q433" s="73"/>
      <c r="R433" s="73"/>
    </row>
    <row r="434" spans="1:18" x14ac:dyDescent="0.35">
      <c r="A434" s="73"/>
      <c r="B434" s="73"/>
      <c r="C434" s="73"/>
      <c r="D434" s="73"/>
      <c r="E434" s="73"/>
      <c r="F434" s="73"/>
      <c r="G434" s="73"/>
      <c r="H434" s="73"/>
      <c r="I434" s="73"/>
      <c r="J434" s="73"/>
      <c r="K434" s="73"/>
      <c r="L434" s="73"/>
      <c r="M434" s="73"/>
      <c r="N434" s="73"/>
      <c r="O434" s="73"/>
      <c r="P434" s="73"/>
      <c r="Q434" s="73"/>
      <c r="R434" s="73"/>
    </row>
    <row r="435" spans="1:18" x14ac:dyDescent="0.35">
      <c r="A435" s="73"/>
      <c r="B435" s="73"/>
      <c r="C435" s="73"/>
      <c r="D435" s="73"/>
      <c r="E435" s="73"/>
      <c r="F435" s="73"/>
      <c r="G435" s="73"/>
      <c r="H435" s="73"/>
      <c r="I435" s="73"/>
      <c r="J435" s="73"/>
      <c r="K435" s="73"/>
      <c r="L435" s="73"/>
      <c r="M435" s="73"/>
      <c r="N435" s="73"/>
      <c r="O435" s="73"/>
      <c r="P435" s="73"/>
      <c r="Q435" s="73"/>
      <c r="R435" s="73"/>
    </row>
    <row r="436" spans="1:18" x14ac:dyDescent="0.35">
      <c r="A436" s="73"/>
      <c r="B436" s="73"/>
      <c r="C436" s="73"/>
      <c r="D436" s="73"/>
      <c r="E436" s="73"/>
      <c r="F436" s="73"/>
      <c r="G436" s="73"/>
      <c r="H436" s="73"/>
      <c r="I436" s="73"/>
      <c r="J436" s="73"/>
      <c r="K436" s="73"/>
      <c r="L436" s="73"/>
      <c r="M436" s="73"/>
      <c r="N436" s="73"/>
      <c r="O436" s="73"/>
      <c r="P436" s="73"/>
      <c r="Q436" s="73"/>
      <c r="R436" s="73"/>
    </row>
    <row r="437" spans="1:18" x14ac:dyDescent="0.35">
      <c r="A437" s="73"/>
      <c r="B437" s="73"/>
      <c r="C437" s="73"/>
      <c r="D437" s="73"/>
      <c r="E437" s="73"/>
      <c r="F437" s="73"/>
      <c r="G437" s="73"/>
      <c r="H437" s="73"/>
      <c r="I437" s="73"/>
      <c r="J437" s="73"/>
      <c r="K437" s="73"/>
      <c r="L437" s="73"/>
      <c r="M437" s="73"/>
      <c r="N437" s="73"/>
      <c r="O437" s="73"/>
      <c r="P437" s="73"/>
      <c r="Q437" s="73"/>
      <c r="R437" s="73"/>
    </row>
    <row r="438" spans="1:18" x14ac:dyDescent="0.35">
      <c r="A438" s="73"/>
      <c r="B438" s="73"/>
      <c r="C438" s="73"/>
      <c r="D438" s="73"/>
      <c r="E438" s="73"/>
      <c r="F438" s="73"/>
      <c r="G438" s="73"/>
      <c r="H438" s="73"/>
      <c r="I438" s="73"/>
      <c r="J438" s="73"/>
      <c r="K438" s="73"/>
      <c r="L438" s="73"/>
      <c r="M438" s="73"/>
      <c r="N438" s="73"/>
      <c r="O438" s="73"/>
      <c r="P438" s="73"/>
      <c r="Q438" s="73"/>
      <c r="R438" s="73"/>
    </row>
    <row r="439" spans="1:18" x14ac:dyDescent="0.35">
      <c r="A439" s="73"/>
      <c r="B439" s="73"/>
      <c r="C439" s="73"/>
      <c r="D439" s="73"/>
      <c r="E439" s="73"/>
      <c r="F439" s="73"/>
      <c r="G439" s="73"/>
      <c r="H439" s="73"/>
      <c r="I439" s="73"/>
      <c r="J439" s="73"/>
      <c r="K439" s="73"/>
      <c r="L439" s="73"/>
      <c r="M439" s="73"/>
      <c r="N439" s="73"/>
      <c r="O439" s="73"/>
      <c r="P439" s="73"/>
      <c r="Q439" s="73"/>
      <c r="R439" s="73"/>
    </row>
    <row r="440" spans="1:18" x14ac:dyDescent="0.35">
      <c r="A440" s="73"/>
      <c r="B440" s="73"/>
      <c r="C440" s="73"/>
      <c r="D440" s="73"/>
      <c r="E440" s="73"/>
      <c r="F440" s="73"/>
      <c r="G440" s="73"/>
      <c r="H440" s="73"/>
      <c r="I440" s="73"/>
      <c r="J440" s="73"/>
      <c r="K440" s="73"/>
      <c r="L440" s="73"/>
      <c r="M440" s="73"/>
      <c r="N440" s="73"/>
      <c r="O440" s="73"/>
      <c r="P440" s="73"/>
      <c r="Q440" s="73"/>
      <c r="R440" s="73"/>
    </row>
    <row r="441" spans="1:18" x14ac:dyDescent="0.35">
      <c r="A441" s="73"/>
      <c r="B441" s="73"/>
      <c r="C441" s="73"/>
      <c r="D441" s="73"/>
      <c r="E441" s="73"/>
      <c r="F441" s="73"/>
      <c r="G441" s="73"/>
      <c r="H441" s="73"/>
      <c r="I441" s="73"/>
      <c r="J441" s="73"/>
      <c r="K441" s="73"/>
      <c r="L441" s="73"/>
      <c r="M441" s="73"/>
      <c r="N441" s="73"/>
      <c r="O441" s="73"/>
      <c r="P441" s="73"/>
      <c r="Q441" s="73"/>
      <c r="R441" s="73"/>
    </row>
    <row r="442" spans="1:18" x14ac:dyDescent="0.35">
      <c r="A442" s="73"/>
      <c r="B442" s="73"/>
      <c r="C442" s="73"/>
      <c r="D442" s="73"/>
      <c r="E442" s="73"/>
      <c r="F442" s="73"/>
      <c r="G442" s="73"/>
      <c r="H442" s="73"/>
      <c r="I442" s="73"/>
      <c r="J442" s="73"/>
      <c r="K442" s="73"/>
      <c r="L442" s="73"/>
      <c r="M442" s="73"/>
      <c r="N442" s="73"/>
      <c r="O442" s="73"/>
      <c r="P442" s="73"/>
      <c r="Q442" s="73"/>
      <c r="R442" s="73"/>
    </row>
    <row r="443" spans="1:18" x14ac:dyDescent="0.35">
      <c r="A443" s="73"/>
      <c r="B443" s="73"/>
      <c r="C443" s="73"/>
      <c r="D443" s="73"/>
      <c r="E443" s="73"/>
      <c r="F443" s="73"/>
      <c r="G443" s="73"/>
      <c r="H443" s="73"/>
      <c r="I443" s="73"/>
      <c r="J443" s="73"/>
      <c r="K443" s="73"/>
      <c r="L443" s="73"/>
      <c r="M443" s="73"/>
      <c r="N443" s="73"/>
      <c r="O443" s="73"/>
      <c r="P443" s="73"/>
      <c r="Q443" s="73"/>
      <c r="R443" s="73"/>
    </row>
    <row r="444" spans="1:18" x14ac:dyDescent="0.35">
      <c r="A444" s="73"/>
      <c r="B444" s="73"/>
      <c r="C444" s="73"/>
      <c r="D444" s="73"/>
      <c r="E444" s="73"/>
      <c r="F444" s="73"/>
      <c r="G444" s="73"/>
      <c r="H444" s="73"/>
      <c r="I444" s="73"/>
      <c r="J444" s="73"/>
      <c r="K444" s="73"/>
      <c r="L444" s="73"/>
      <c r="M444" s="73"/>
      <c r="N444" s="73"/>
      <c r="O444" s="73"/>
      <c r="P444" s="73"/>
      <c r="Q444" s="73"/>
      <c r="R444" s="73"/>
    </row>
    <row r="445" spans="1:18" x14ac:dyDescent="0.35">
      <c r="A445" s="73"/>
      <c r="B445" s="73"/>
      <c r="C445" s="73"/>
      <c r="D445" s="73"/>
      <c r="E445" s="73"/>
      <c r="F445" s="73"/>
      <c r="G445" s="73"/>
      <c r="H445" s="73"/>
      <c r="I445" s="73"/>
      <c r="J445" s="73"/>
      <c r="K445" s="73"/>
      <c r="L445" s="73"/>
      <c r="M445" s="73"/>
      <c r="N445" s="73"/>
      <c r="O445" s="73"/>
      <c r="P445" s="73"/>
      <c r="Q445" s="73"/>
      <c r="R445" s="73"/>
    </row>
    <row r="446" spans="1:18" x14ac:dyDescent="0.35">
      <c r="A446" s="73"/>
      <c r="B446" s="73"/>
      <c r="C446" s="73"/>
      <c r="D446" s="73"/>
      <c r="E446" s="73"/>
      <c r="F446" s="73"/>
      <c r="G446" s="73"/>
      <c r="H446" s="73"/>
      <c r="I446" s="73"/>
      <c r="J446" s="73"/>
      <c r="K446" s="73"/>
      <c r="L446" s="73"/>
      <c r="M446" s="73"/>
      <c r="N446" s="73"/>
      <c r="O446" s="73"/>
      <c r="P446" s="73"/>
      <c r="Q446" s="73"/>
      <c r="R446" s="73"/>
    </row>
    <row r="447" spans="1:18" x14ac:dyDescent="0.35">
      <c r="A447" s="73"/>
      <c r="B447" s="73"/>
      <c r="C447" s="73"/>
      <c r="D447" s="73"/>
      <c r="E447" s="73"/>
      <c r="F447" s="73"/>
      <c r="G447" s="73"/>
      <c r="H447" s="73"/>
      <c r="I447" s="73"/>
      <c r="J447" s="73"/>
      <c r="K447" s="73"/>
      <c r="L447" s="73"/>
      <c r="M447" s="73"/>
      <c r="N447" s="73"/>
      <c r="O447" s="73"/>
      <c r="P447" s="73"/>
      <c r="Q447" s="73"/>
      <c r="R447" s="73"/>
    </row>
    <row r="448" spans="1:18" x14ac:dyDescent="0.35">
      <c r="A448" s="73"/>
      <c r="B448" s="73"/>
      <c r="C448" s="73"/>
      <c r="D448" s="73"/>
      <c r="E448" s="73"/>
      <c r="F448" s="73"/>
      <c r="G448" s="73"/>
      <c r="H448" s="73"/>
      <c r="I448" s="73"/>
      <c r="J448" s="73"/>
      <c r="K448" s="73"/>
      <c r="L448" s="73"/>
      <c r="M448" s="73"/>
      <c r="N448" s="73"/>
      <c r="O448" s="73"/>
      <c r="P448" s="73"/>
      <c r="Q448" s="73"/>
      <c r="R448" s="73"/>
    </row>
    <row r="449" spans="1:18" x14ac:dyDescent="0.35">
      <c r="A449" s="73"/>
      <c r="B449" s="73"/>
      <c r="C449" s="73"/>
      <c r="D449" s="73"/>
      <c r="E449" s="73"/>
      <c r="F449" s="73"/>
      <c r="G449" s="73"/>
      <c r="H449" s="73"/>
      <c r="I449" s="73"/>
      <c r="J449" s="73"/>
      <c r="K449" s="73"/>
      <c r="L449" s="73"/>
      <c r="M449" s="73"/>
      <c r="N449" s="73"/>
      <c r="O449" s="73"/>
      <c r="P449" s="73"/>
      <c r="Q449" s="73"/>
      <c r="R449" s="73"/>
    </row>
    <row r="450" spans="1:18" x14ac:dyDescent="0.35">
      <c r="A450" s="73"/>
      <c r="B450" s="73"/>
      <c r="C450" s="73"/>
      <c r="D450" s="73"/>
      <c r="E450" s="73"/>
      <c r="F450" s="73"/>
      <c r="G450" s="73"/>
      <c r="H450" s="73"/>
      <c r="I450" s="73"/>
      <c r="J450" s="73"/>
      <c r="K450" s="73"/>
      <c r="L450" s="73"/>
      <c r="M450" s="73"/>
      <c r="N450" s="73"/>
      <c r="O450" s="73"/>
      <c r="P450" s="73"/>
      <c r="Q450" s="73"/>
      <c r="R450" s="73"/>
    </row>
    <row r="451" spans="1:18" x14ac:dyDescent="0.35">
      <c r="A451" s="73"/>
      <c r="B451" s="73"/>
      <c r="C451" s="73"/>
      <c r="D451" s="73"/>
      <c r="E451" s="73"/>
      <c r="F451" s="73"/>
      <c r="G451" s="73"/>
      <c r="H451" s="73"/>
      <c r="I451" s="73"/>
      <c r="J451" s="73"/>
      <c r="K451" s="73"/>
      <c r="L451" s="73"/>
      <c r="M451" s="73"/>
      <c r="N451" s="73"/>
      <c r="O451" s="73"/>
      <c r="P451" s="73"/>
      <c r="Q451" s="73"/>
      <c r="R451" s="73"/>
    </row>
    <row r="452" spans="1:18" x14ac:dyDescent="0.35">
      <c r="A452" s="73"/>
      <c r="B452" s="73"/>
      <c r="C452" s="73"/>
      <c r="D452" s="73"/>
      <c r="E452" s="73"/>
      <c r="F452" s="73"/>
      <c r="G452" s="73"/>
      <c r="H452" s="73"/>
      <c r="I452" s="73"/>
      <c r="J452" s="73"/>
      <c r="K452" s="73"/>
      <c r="L452" s="73"/>
      <c r="M452" s="73"/>
      <c r="N452" s="73"/>
      <c r="O452" s="73"/>
      <c r="P452" s="73"/>
      <c r="Q452" s="73"/>
      <c r="R452" s="73"/>
    </row>
    <row r="453" spans="1:18" x14ac:dyDescent="0.35">
      <c r="A453" s="73"/>
      <c r="B453" s="73"/>
      <c r="C453" s="73"/>
      <c r="D453" s="73"/>
      <c r="E453" s="73"/>
      <c r="F453" s="73"/>
      <c r="G453" s="73"/>
      <c r="H453" s="73"/>
      <c r="I453" s="73"/>
      <c r="J453" s="73"/>
      <c r="K453" s="73"/>
      <c r="L453" s="73"/>
      <c r="M453" s="73"/>
      <c r="N453" s="73"/>
      <c r="O453" s="73"/>
      <c r="P453" s="73"/>
      <c r="Q453" s="73"/>
      <c r="R453" s="73"/>
    </row>
    <row r="454" spans="1:18" x14ac:dyDescent="0.35">
      <c r="A454" s="73"/>
      <c r="B454" s="73"/>
      <c r="C454" s="73"/>
      <c r="D454" s="73"/>
      <c r="E454" s="73"/>
      <c r="F454" s="73"/>
      <c r="G454" s="73"/>
      <c r="H454" s="73"/>
      <c r="I454" s="73"/>
      <c r="J454" s="73"/>
      <c r="K454" s="73"/>
      <c r="L454" s="73"/>
      <c r="M454" s="73"/>
      <c r="N454" s="73"/>
      <c r="O454" s="73"/>
      <c r="P454" s="73"/>
      <c r="Q454" s="73"/>
      <c r="R454" s="73"/>
    </row>
    <row r="455" spans="1:18" x14ac:dyDescent="0.35">
      <c r="A455" s="73"/>
      <c r="B455" s="73"/>
      <c r="C455" s="73"/>
      <c r="D455" s="73"/>
      <c r="E455" s="73"/>
      <c r="F455" s="73"/>
      <c r="G455" s="73"/>
      <c r="H455" s="73"/>
      <c r="I455" s="73"/>
      <c r="J455" s="73"/>
      <c r="K455" s="73"/>
      <c r="L455" s="73"/>
      <c r="M455" s="73"/>
      <c r="N455" s="73"/>
      <c r="O455" s="73"/>
      <c r="P455" s="73"/>
      <c r="Q455" s="73"/>
      <c r="R455" s="73"/>
    </row>
    <row r="456" spans="1:18" x14ac:dyDescent="0.35">
      <c r="A456" s="73"/>
      <c r="B456" s="73"/>
      <c r="C456" s="73"/>
      <c r="D456" s="73"/>
      <c r="E456" s="73"/>
      <c r="F456" s="73"/>
      <c r="G456" s="73"/>
      <c r="H456" s="73"/>
      <c r="I456" s="73"/>
      <c r="J456" s="73"/>
      <c r="K456" s="73"/>
      <c r="L456" s="73"/>
      <c r="M456" s="73"/>
      <c r="N456" s="73"/>
      <c r="O456" s="73"/>
      <c r="P456" s="73"/>
      <c r="Q456" s="73"/>
      <c r="R456" s="73"/>
    </row>
    <row r="457" spans="1:18" x14ac:dyDescent="0.35">
      <c r="A457" s="73"/>
      <c r="B457" s="73"/>
      <c r="C457" s="73"/>
      <c r="D457" s="73"/>
      <c r="E457" s="73"/>
      <c r="F457" s="73"/>
      <c r="G457" s="73"/>
      <c r="H457" s="73"/>
      <c r="I457" s="73"/>
      <c r="J457" s="73"/>
      <c r="K457" s="73"/>
      <c r="L457" s="73"/>
      <c r="M457" s="73"/>
      <c r="N457" s="73"/>
      <c r="O457" s="73"/>
      <c r="P457" s="73"/>
      <c r="Q457" s="73"/>
      <c r="R457" s="73"/>
    </row>
    <row r="458" spans="1:18" x14ac:dyDescent="0.35">
      <c r="A458" s="185"/>
      <c r="B458" s="172"/>
      <c r="C458" s="172"/>
      <c r="D458" s="172"/>
      <c r="E458" s="172"/>
      <c r="F458" s="172"/>
      <c r="G458" s="172"/>
      <c r="H458" s="172"/>
      <c r="I458" s="172"/>
      <c r="J458" s="172"/>
      <c r="K458" s="172"/>
      <c r="L458" s="73"/>
      <c r="M458" s="73"/>
      <c r="N458" s="73"/>
      <c r="O458" s="73"/>
      <c r="P458" s="73"/>
      <c r="Q458" s="73"/>
      <c r="R458" s="73"/>
    </row>
    <row r="459" spans="1:18" ht="26" x14ac:dyDescent="0.35">
      <c r="A459" s="426"/>
      <c r="B459" s="427"/>
      <c r="C459" s="173" t="s">
        <v>44</v>
      </c>
      <c r="D459" s="187" t="s">
        <v>99</v>
      </c>
      <c r="E459" s="187" t="s">
        <v>100</v>
      </c>
      <c r="F459" s="187" t="s">
        <v>23</v>
      </c>
      <c r="G459" s="187" t="s">
        <v>101</v>
      </c>
      <c r="H459" s="187" t="s">
        <v>215</v>
      </c>
      <c r="I459" s="187" t="s">
        <v>216</v>
      </c>
      <c r="J459" s="187" t="s">
        <v>217</v>
      </c>
      <c r="K459" s="188" t="s">
        <v>218</v>
      </c>
      <c r="L459" s="73"/>
      <c r="M459" s="73"/>
      <c r="N459" s="73"/>
      <c r="O459" s="73"/>
      <c r="P459" s="73"/>
      <c r="Q459" s="73"/>
      <c r="R459" s="73"/>
    </row>
    <row r="460" spans="1:18" x14ac:dyDescent="0.35">
      <c r="A460" s="431" t="str">
        <f>A426</f>
        <v>Payoffs Q10</v>
      </c>
      <c r="B460" s="432" t="str">
        <f>B426</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460" s="174" t="s">
        <v>45</v>
      </c>
      <c r="D460" s="190" t="str">
        <f>IF('4.3 Elicitation data entry'!$C$35="","",'4.3 Elicitation data entry'!$C$35)</f>
        <v/>
      </c>
      <c r="E460" s="190" t="str">
        <f>IF('4.3 Elicitation data entry'!$D$35="","",'4.3 Elicitation data entry'!$D$35)</f>
        <v/>
      </c>
      <c r="F460" s="190" t="str">
        <f>IF('4.3 Elicitation data entry'!$E$35="","",'4.3 Elicitation data entry'!$E$35)</f>
        <v/>
      </c>
      <c r="G460" s="190" t="str">
        <f>IF('4.3 Elicitation data entry'!$F$35="","",'4.3 Elicitation data entry'!$F$35)</f>
        <v/>
      </c>
      <c r="H460" s="190" t="str">
        <f t="shared" ref="H460:H465" si="54">IF($F460="","",F460-J460)</f>
        <v/>
      </c>
      <c r="I460" s="191" t="str">
        <f t="shared" ref="I460:I465" si="55">IF($F460="","",K460-F460)</f>
        <v/>
      </c>
      <c r="J460" s="192" t="str">
        <f t="shared" ref="J460:J465" si="56">IF($F460="","",IF(F460-((F460-D460)/G460)*90&lt;-100,-100,F460-((F460-D460)/G460)*90))</f>
        <v/>
      </c>
      <c r="K460" s="193" t="str">
        <f t="shared" ref="K460:K465" si="57">IF($F460="","",(F460-((F460-E460)/G460)*90))</f>
        <v/>
      </c>
      <c r="L460" s="73"/>
      <c r="M460" s="73"/>
      <c r="N460" s="73"/>
      <c r="O460" s="73"/>
      <c r="P460" s="73"/>
      <c r="Q460" s="73"/>
      <c r="R460" s="73"/>
    </row>
    <row r="461" spans="1:18" x14ac:dyDescent="0.35">
      <c r="A461" s="431"/>
      <c r="B461" s="432"/>
      <c r="C461" s="174" t="s">
        <v>46</v>
      </c>
      <c r="D461" s="190" t="str">
        <f>IF('4.3 Elicitation data entry'!$H$35="","",'4.3 Elicitation data entry'!$H$35)</f>
        <v/>
      </c>
      <c r="E461" s="190" t="str">
        <f>IF('4.3 Elicitation data entry'!$I$35="","",'4.3 Elicitation data entry'!$I$35)</f>
        <v/>
      </c>
      <c r="F461" s="190" t="str">
        <f>IF('4.3 Elicitation data entry'!$J$35="","",'4.3 Elicitation data entry'!$J$35)</f>
        <v/>
      </c>
      <c r="G461" s="190" t="str">
        <f>IF('4.3 Elicitation data entry'!$K$35="","",'4.3 Elicitation data entry'!$K$35)</f>
        <v/>
      </c>
      <c r="H461" s="190" t="str">
        <f t="shared" si="54"/>
        <v/>
      </c>
      <c r="I461" s="191" t="str">
        <f t="shared" si="55"/>
        <v/>
      </c>
      <c r="J461" s="192" t="str">
        <f t="shared" si="56"/>
        <v/>
      </c>
      <c r="K461" s="193" t="str">
        <f t="shared" si="57"/>
        <v/>
      </c>
      <c r="L461" s="73"/>
      <c r="M461" s="73"/>
      <c r="N461" s="73"/>
      <c r="O461" s="73"/>
      <c r="P461" s="73"/>
      <c r="Q461" s="73"/>
      <c r="R461" s="73"/>
    </row>
    <row r="462" spans="1:18" x14ac:dyDescent="0.35">
      <c r="A462" s="431"/>
      <c r="B462" s="432"/>
      <c r="C462" s="174" t="s">
        <v>47</v>
      </c>
      <c r="D462" s="190" t="str">
        <f>IF('4.3 Elicitation data entry'!$M$35="","",'4.3 Elicitation data entry'!$M$35)</f>
        <v/>
      </c>
      <c r="E462" s="190" t="str">
        <f>IF('4.3 Elicitation data entry'!$N$35="","",'4.3 Elicitation data entry'!$N$35)</f>
        <v/>
      </c>
      <c r="F462" s="190" t="str">
        <f>IF('4.3 Elicitation data entry'!$O$35="","",'4.3 Elicitation data entry'!$O$35)</f>
        <v/>
      </c>
      <c r="G462" s="190" t="str">
        <f>IF('4.3 Elicitation data entry'!$P$35="","",'4.3 Elicitation data entry'!$P$35)</f>
        <v/>
      </c>
      <c r="H462" s="190" t="str">
        <f t="shared" si="54"/>
        <v/>
      </c>
      <c r="I462" s="191" t="str">
        <f t="shared" si="55"/>
        <v/>
      </c>
      <c r="J462" s="192" t="str">
        <f t="shared" si="56"/>
        <v/>
      </c>
      <c r="K462" s="193" t="str">
        <f t="shared" si="57"/>
        <v/>
      </c>
      <c r="L462" s="73"/>
      <c r="M462" s="73"/>
      <c r="N462" s="73"/>
      <c r="O462" s="73"/>
      <c r="P462" s="73"/>
      <c r="Q462" s="73"/>
      <c r="R462" s="73"/>
    </row>
    <row r="463" spans="1:18" x14ac:dyDescent="0.35">
      <c r="A463" s="431"/>
      <c r="B463" s="432"/>
      <c r="C463" s="174" t="s">
        <v>48</v>
      </c>
      <c r="D463" s="190" t="str">
        <f>IF('4.3 Elicitation data entry'!$R$35="","",'4.3 Elicitation data entry'!$R$35)</f>
        <v/>
      </c>
      <c r="E463" s="190" t="str">
        <f>IF('4.3 Elicitation data entry'!$S$35="","",'4.3 Elicitation data entry'!$S$35)</f>
        <v/>
      </c>
      <c r="F463" s="190" t="str">
        <f>IF('4.3 Elicitation data entry'!$T$35="","",'4.3 Elicitation data entry'!$T$35)</f>
        <v/>
      </c>
      <c r="G463" s="190" t="str">
        <f>IF('4.3 Elicitation data entry'!$U$35="","",'4.3 Elicitation data entry'!$U$35)</f>
        <v/>
      </c>
      <c r="H463" s="190" t="str">
        <f t="shared" si="54"/>
        <v/>
      </c>
      <c r="I463" s="191" t="str">
        <f t="shared" si="55"/>
        <v/>
      </c>
      <c r="J463" s="192" t="str">
        <f t="shared" si="56"/>
        <v/>
      </c>
      <c r="K463" s="193" t="str">
        <f t="shared" si="57"/>
        <v/>
      </c>
      <c r="L463" s="73"/>
      <c r="M463" s="73"/>
      <c r="N463" s="73"/>
      <c r="O463" s="73"/>
      <c r="P463" s="73"/>
      <c r="Q463" s="73"/>
      <c r="R463" s="73"/>
    </row>
    <row r="464" spans="1:18" x14ac:dyDescent="0.35">
      <c r="A464" s="431"/>
      <c r="B464" s="432"/>
      <c r="C464" s="174" t="s">
        <v>49</v>
      </c>
      <c r="D464" s="190" t="str">
        <f>IF('4.3 Elicitation data entry'!$W$35="","",'4.3 Elicitation data entry'!$W$35)</f>
        <v/>
      </c>
      <c r="E464" s="190" t="str">
        <f>IF('4.3 Elicitation data entry'!$X$35="","",'4.3 Elicitation data entry'!$X$35)</f>
        <v/>
      </c>
      <c r="F464" s="190" t="str">
        <f>IF('4.3 Elicitation data entry'!$Y$35="","",'4.3 Elicitation data entry'!$Y$35)</f>
        <v/>
      </c>
      <c r="G464" s="190" t="str">
        <f>IF('4.3 Elicitation data entry'!$Z$35="","",'4.3 Elicitation data entry'!$Z$35)</f>
        <v/>
      </c>
      <c r="H464" s="190" t="str">
        <f t="shared" si="54"/>
        <v/>
      </c>
      <c r="I464" s="191" t="str">
        <f t="shared" si="55"/>
        <v/>
      </c>
      <c r="J464" s="192" t="str">
        <f t="shared" si="56"/>
        <v/>
      </c>
      <c r="K464" s="193" t="str">
        <f t="shared" si="57"/>
        <v/>
      </c>
      <c r="L464" s="73"/>
      <c r="M464" s="73"/>
      <c r="N464" s="73"/>
      <c r="O464" s="73"/>
      <c r="P464" s="73"/>
      <c r="Q464" s="73"/>
      <c r="R464" s="73"/>
    </row>
    <row r="465" spans="1:18" x14ac:dyDescent="0.35">
      <c r="A465" s="431"/>
      <c r="B465" s="432"/>
      <c r="C465" s="174" t="s">
        <v>50</v>
      </c>
      <c r="D465" s="190" t="str">
        <f>IF('4.3 Elicitation data entry'!$AB$35="","",'4.3 Elicitation data entry'!$AB$35)</f>
        <v/>
      </c>
      <c r="E465" s="190" t="str">
        <f>IF('4.3 Elicitation data entry'!$AC$35="","",'4.3 Elicitation data entry'!$AC$35)</f>
        <v/>
      </c>
      <c r="F465" s="190" t="str">
        <f>IF('4.3 Elicitation data entry'!$AD$35="","",'4.3 Elicitation data entry'!$AD$35)</f>
        <v/>
      </c>
      <c r="G465" s="190" t="str">
        <f>IF('4.3 Elicitation data entry'!$AE$35="","",'4.3 Elicitation data entry'!$AE$35)</f>
        <v/>
      </c>
      <c r="H465" s="190" t="str">
        <f t="shared" si="54"/>
        <v/>
      </c>
      <c r="I465" s="191" t="str">
        <f t="shared" si="55"/>
        <v/>
      </c>
      <c r="J465" s="192" t="str">
        <f t="shared" si="56"/>
        <v/>
      </c>
      <c r="K465" s="193" t="str">
        <f t="shared" si="57"/>
        <v/>
      </c>
      <c r="L465" s="73"/>
      <c r="M465" s="73"/>
      <c r="N465" s="73"/>
      <c r="O465" s="73"/>
      <c r="P465" s="73"/>
      <c r="Q465" s="73"/>
      <c r="R465" s="73"/>
    </row>
    <row r="466" spans="1:18" x14ac:dyDescent="0.35">
      <c r="A466" s="175"/>
      <c r="B466" s="176" t="s">
        <v>51</v>
      </c>
      <c r="C466" s="177" t="s">
        <v>52</v>
      </c>
      <c r="D466" s="190" t="e">
        <f t="shared" ref="D466:I466" si="58">AVERAGE(D460:D465)</f>
        <v>#DIV/0!</v>
      </c>
      <c r="E466" s="194" t="e">
        <f t="shared" si="58"/>
        <v>#DIV/0!</v>
      </c>
      <c r="F466" s="194" t="e">
        <f t="shared" si="58"/>
        <v>#DIV/0!</v>
      </c>
      <c r="G466" s="194" t="e">
        <f t="shared" si="58"/>
        <v>#DIV/0!</v>
      </c>
      <c r="H466" s="190" t="e">
        <f t="shared" si="58"/>
        <v>#DIV/0!</v>
      </c>
      <c r="I466" s="190" t="e">
        <f t="shared" si="58"/>
        <v>#DIV/0!</v>
      </c>
      <c r="J466" s="192" t="e">
        <f>IF((F466-((F466-D466)/G466)*90)&lt;-100,-100,(F466-((F466-D466)/G466)*90))</f>
        <v>#DIV/0!</v>
      </c>
      <c r="K466" s="193" t="e">
        <f>IF((F466-((F466-E466)/G466)*90)&lt;-100,-100,(F466-((F466-E466)/G466)*90))</f>
        <v>#DIV/0!</v>
      </c>
      <c r="L466" s="73"/>
      <c r="M466" s="73"/>
      <c r="N466" s="73"/>
      <c r="O466" s="73"/>
      <c r="P466" s="73"/>
      <c r="Q466" s="73"/>
      <c r="R466" s="73"/>
    </row>
    <row r="467" spans="1:18" x14ac:dyDescent="0.35">
      <c r="A467" s="178"/>
      <c r="B467" s="179"/>
      <c r="C467" s="180" t="s">
        <v>53</v>
      </c>
      <c r="D467" s="196" t="e">
        <f t="shared" ref="D467:K467" si="59">STDEV(D460:D465)/SQRT(COUNT(D460:D465))</f>
        <v>#DIV/0!</v>
      </c>
      <c r="E467" s="196" t="e">
        <f t="shared" si="59"/>
        <v>#DIV/0!</v>
      </c>
      <c r="F467" s="196" t="e">
        <f t="shared" si="59"/>
        <v>#DIV/0!</v>
      </c>
      <c r="G467" s="196" t="e">
        <f t="shared" si="59"/>
        <v>#DIV/0!</v>
      </c>
      <c r="H467" s="197" t="e">
        <f t="shared" si="59"/>
        <v>#DIV/0!</v>
      </c>
      <c r="I467" s="197" t="e">
        <f t="shared" si="59"/>
        <v>#DIV/0!</v>
      </c>
      <c r="J467" s="197" t="e">
        <f t="shared" si="59"/>
        <v>#DIV/0!</v>
      </c>
      <c r="K467" s="198" t="e">
        <f t="shared" si="59"/>
        <v>#DIV/0!</v>
      </c>
      <c r="L467" s="73"/>
      <c r="M467" s="73"/>
      <c r="N467" s="73"/>
      <c r="O467" s="73"/>
      <c r="P467" s="73"/>
      <c r="Q467" s="73"/>
      <c r="R467" s="73"/>
    </row>
    <row r="468" spans="1:18" x14ac:dyDescent="0.35">
      <c r="A468" s="199"/>
      <c r="B468" s="73"/>
      <c r="C468" s="73"/>
      <c r="D468" s="73"/>
      <c r="E468" s="73"/>
      <c r="F468" s="73"/>
      <c r="G468" s="73"/>
      <c r="H468" s="73"/>
      <c r="I468" s="73"/>
      <c r="J468" s="73"/>
      <c r="K468" s="73"/>
      <c r="L468" s="73"/>
      <c r="M468" s="73"/>
      <c r="N468" s="73"/>
      <c r="O468" s="73"/>
      <c r="P468" s="73"/>
      <c r="Q468" s="73"/>
      <c r="R468" s="73"/>
    </row>
    <row r="469" spans="1:18" x14ac:dyDescent="0.35">
      <c r="A469" s="199"/>
      <c r="B469" s="73"/>
      <c r="C469" s="73"/>
      <c r="D469" s="73"/>
      <c r="E469" s="73"/>
      <c r="F469" s="73"/>
      <c r="G469" s="73"/>
      <c r="H469" s="73"/>
      <c r="I469" s="73"/>
      <c r="J469" s="73"/>
      <c r="K469" s="73"/>
      <c r="L469" s="73"/>
      <c r="M469" s="73"/>
      <c r="N469" s="73"/>
      <c r="O469" s="73"/>
      <c r="P469" s="73"/>
      <c r="Q469" s="73"/>
      <c r="R469" s="73"/>
    </row>
    <row r="470" spans="1:18" x14ac:dyDescent="0.35">
      <c r="A470" s="199"/>
      <c r="B470" s="73"/>
      <c r="C470" s="73"/>
      <c r="D470" s="73"/>
      <c r="E470" s="73"/>
      <c r="F470" s="73"/>
      <c r="G470" s="73"/>
      <c r="H470" s="73"/>
      <c r="I470" s="73"/>
      <c r="J470" s="73"/>
      <c r="K470" s="73"/>
      <c r="L470" s="73"/>
      <c r="M470" s="73"/>
      <c r="N470" s="73"/>
      <c r="O470" s="73"/>
      <c r="P470" s="73"/>
      <c r="Q470" s="73"/>
      <c r="R470" s="73"/>
    </row>
    <row r="471" spans="1:18" x14ac:dyDescent="0.35">
      <c r="A471" s="199"/>
      <c r="B471" s="73"/>
      <c r="C471" s="73"/>
      <c r="D471" s="73"/>
      <c r="E471" s="73"/>
      <c r="F471" s="73"/>
      <c r="G471" s="73"/>
      <c r="H471" s="73"/>
      <c r="I471" s="73"/>
      <c r="J471" s="73"/>
      <c r="K471" s="73"/>
      <c r="L471" s="73"/>
      <c r="M471" s="73"/>
      <c r="N471" s="73"/>
      <c r="O471" s="73"/>
      <c r="P471" s="73"/>
      <c r="Q471" s="73"/>
      <c r="R471" s="73"/>
    </row>
    <row r="472" spans="1:18" x14ac:dyDescent="0.35">
      <c r="A472" s="199"/>
      <c r="B472" s="73"/>
      <c r="C472" s="73"/>
      <c r="D472" s="73"/>
      <c r="E472" s="73"/>
      <c r="F472" s="73"/>
      <c r="G472" s="73"/>
      <c r="H472" s="73"/>
      <c r="I472" s="73"/>
      <c r="J472" s="73"/>
      <c r="K472" s="73"/>
      <c r="L472" s="73"/>
      <c r="M472" s="73"/>
      <c r="N472" s="73"/>
      <c r="O472" s="73"/>
      <c r="P472" s="73"/>
      <c r="Q472" s="73"/>
      <c r="R472" s="73"/>
    </row>
    <row r="473" spans="1:18" ht="35.15" customHeight="1" x14ac:dyDescent="0.35">
      <c r="A473" s="164" t="s">
        <v>229</v>
      </c>
      <c r="B473" s="433" t="s">
        <v>130</v>
      </c>
      <c r="C473" s="434"/>
      <c r="D473" s="434"/>
      <c r="E473" s="434"/>
      <c r="F473" s="434"/>
      <c r="G473" s="434"/>
      <c r="H473" s="434"/>
      <c r="I473" s="434"/>
      <c r="J473" s="434"/>
      <c r="K473" s="435"/>
      <c r="L473" s="73"/>
      <c r="M473" s="73"/>
      <c r="N473" s="73"/>
      <c r="O473" s="73"/>
      <c r="P473" s="73"/>
      <c r="Q473" s="73"/>
      <c r="R473" s="73"/>
    </row>
    <row r="474" spans="1:18" x14ac:dyDescent="0.35">
      <c r="A474" s="73"/>
      <c r="B474" s="73"/>
      <c r="C474" s="73"/>
      <c r="D474" s="73"/>
      <c r="E474" s="73"/>
      <c r="F474" s="73"/>
      <c r="G474" s="73"/>
      <c r="H474" s="73"/>
      <c r="I474" s="73"/>
      <c r="J474" s="73"/>
      <c r="K474" s="73"/>
      <c r="L474" s="73"/>
      <c r="M474" s="73"/>
      <c r="N474" s="73"/>
      <c r="O474" s="73"/>
      <c r="P474" s="73"/>
      <c r="Q474" s="73"/>
      <c r="R474" s="73"/>
    </row>
    <row r="475" spans="1:18" x14ac:dyDescent="0.35">
      <c r="A475" s="73"/>
      <c r="B475" s="73"/>
      <c r="C475" s="73"/>
      <c r="D475" s="73"/>
      <c r="E475" s="73"/>
      <c r="F475" s="73"/>
      <c r="G475" s="73"/>
      <c r="H475" s="73"/>
      <c r="I475" s="73"/>
      <c r="J475" s="73"/>
      <c r="K475" s="73"/>
      <c r="L475" s="73"/>
      <c r="M475" s="73"/>
      <c r="N475" s="73"/>
      <c r="O475" s="73"/>
      <c r="P475" s="73"/>
      <c r="Q475" s="73"/>
      <c r="R475" s="73"/>
    </row>
    <row r="476" spans="1:18" x14ac:dyDescent="0.35">
      <c r="A476" s="73"/>
      <c r="B476" s="73"/>
      <c r="C476" s="73"/>
      <c r="D476" s="73"/>
      <c r="E476" s="73"/>
      <c r="F476" s="73"/>
      <c r="G476" s="73"/>
      <c r="H476" s="73"/>
      <c r="I476" s="73"/>
      <c r="J476" s="73"/>
      <c r="K476" s="73"/>
      <c r="L476" s="73"/>
      <c r="M476" s="73"/>
      <c r="N476" s="73"/>
      <c r="O476" s="73"/>
      <c r="P476" s="73"/>
      <c r="Q476" s="73"/>
      <c r="R476" s="73"/>
    </row>
    <row r="477" spans="1:18" x14ac:dyDescent="0.35">
      <c r="A477" s="73"/>
      <c r="B477" s="73"/>
      <c r="C477" s="73"/>
      <c r="D477" s="73"/>
      <c r="E477" s="73"/>
      <c r="F477" s="73"/>
      <c r="G477" s="73"/>
      <c r="H477" s="73"/>
      <c r="I477" s="73"/>
      <c r="J477" s="73"/>
      <c r="K477" s="73"/>
      <c r="L477" s="73"/>
      <c r="M477" s="73"/>
      <c r="N477" s="73"/>
      <c r="O477" s="73"/>
      <c r="P477" s="73"/>
      <c r="Q477" s="73"/>
      <c r="R477" s="73"/>
    </row>
    <row r="478" spans="1:18" x14ac:dyDescent="0.35">
      <c r="A478" s="73"/>
      <c r="B478" s="73"/>
      <c r="C478" s="73"/>
      <c r="D478" s="73"/>
      <c r="E478" s="73"/>
      <c r="F478" s="73"/>
      <c r="G478" s="73"/>
      <c r="H478" s="73"/>
      <c r="I478" s="73"/>
      <c r="J478" s="73"/>
      <c r="K478" s="73"/>
      <c r="L478" s="73"/>
      <c r="M478" s="73"/>
      <c r="N478" s="73"/>
      <c r="O478" s="73"/>
      <c r="P478" s="73"/>
      <c r="Q478" s="73"/>
      <c r="R478" s="73"/>
    </row>
    <row r="479" spans="1:18" x14ac:dyDescent="0.35">
      <c r="A479" s="73"/>
      <c r="B479" s="73"/>
      <c r="C479" s="73"/>
      <c r="D479" s="73"/>
      <c r="E479" s="73"/>
      <c r="F479" s="73"/>
      <c r="G479" s="73"/>
      <c r="H479" s="73"/>
      <c r="I479" s="73"/>
      <c r="J479" s="73"/>
      <c r="K479" s="73"/>
      <c r="L479" s="73"/>
      <c r="M479" s="73"/>
      <c r="N479" s="73"/>
      <c r="O479" s="73"/>
      <c r="P479" s="73"/>
      <c r="Q479" s="73"/>
      <c r="R479" s="73"/>
    </row>
    <row r="480" spans="1:18" x14ac:dyDescent="0.35">
      <c r="A480" s="73"/>
      <c r="B480" s="73"/>
      <c r="C480" s="73"/>
      <c r="D480" s="73"/>
      <c r="E480" s="73"/>
      <c r="F480" s="73"/>
      <c r="G480" s="73"/>
      <c r="H480" s="73"/>
      <c r="I480" s="73"/>
      <c r="J480" s="73"/>
      <c r="K480" s="73"/>
      <c r="L480" s="73"/>
      <c r="M480" s="73"/>
      <c r="N480" s="73"/>
      <c r="O480" s="73"/>
      <c r="P480" s="73"/>
      <c r="Q480" s="73"/>
      <c r="R480" s="73"/>
    </row>
    <row r="481" spans="1:18" x14ac:dyDescent="0.35">
      <c r="A481" s="73"/>
      <c r="B481" s="73"/>
      <c r="C481" s="73"/>
      <c r="D481" s="73"/>
      <c r="E481" s="73"/>
      <c r="F481" s="73"/>
      <c r="G481" s="73"/>
      <c r="H481" s="73"/>
      <c r="I481" s="73"/>
      <c r="J481" s="73"/>
      <c r="K481" s="73"/>
      <c r="L481" s="73"/>
      <c r="M481" s="73"/>
      <c r="N481" s="73"/>
      <c r="O481" s="73"/>
      <c r="P481" s="73"/>
      <c r="Q481" s="73"/>
      <c r="R481" s="73"/>
    </row>
    <row r="482" spans="1:18" x14ac:dyDescent="0.35">
      <c r="A482" s="73"/>
      <c r="B482" s="73"/>
      <c r="C482" s="73"/>
      <c r="D482" s="73"/>
      <c r="E482" s="73"/>
      <c r="F482" s="73"/>
      <c r="G482" s="73"/>
      <c r="H482" s="73"/>
      <c r="I482" s="73"/>
      <c r="J482" s="73"/>
      <c r="K482" s="73"/>
      <c r="L482" s="73"/>
      <c r="M482" s="73"/>
      <c r="N482" s="73"/>
      <c r="O482" s="73"/>
      <c r="P482" s="73"/>
      <c r="Q482" s="73"/>
      <c r="R482" s="73"/>
    </row>
    <row r="483" spans="1:18" x14ac:dyDescent="0.35">
      <c r="A483" s="73"/>
      <c r="B483" s="73"/>
      <c r="C483" s="73"/>
      <c r="D483" s="73"/>
      <c r="E483" s="73"/>
      <c r="F483" s="73"/>
      <c r="G483" s="73"/>
      <c r="H483" s="73"/>
      <c r="I483" s="73"/>
      <c r="J483" s="73"/>
      <c r="K483" s="73"/>
      <c r="L483" s="73"/>
      <c r="M483" s="73"/>
      <c r="N483" s="73"/>
      <c r="O483" s="73"/>
      <c r="P483" s="73"/>
      <c r="Q483" s="73"/>
      <c r="R483" s="73"/>
    </row>
    <row r="484" spans="1:18" x14ac:dyDescent="0.35">
      <c r="A484" s="73"/>
      <c r="B484" s="73"/>
      <c r="C484" s="73"/>
      <c r="D484" s="73"/>
      <c r="E484" s="73"/>
      <c r="F484" s="73"/>
      <c r="G484" s="73"/>
      <c r="H484" s="73"/>
      <c r="I484" s="73"/>
      <c r="J484" s="73"/>
      <c r="K484" s="73"/>
      <c r="L484" s="73"/>
      <c r="M484" s="73"/>
      <c r="N484" s="73"/>
      <c r="O484" s="73"/>
      <c r="P484" s="73"/>
      <c r="Q484" s="73"/>
      <c r="R484" s="73"/>
    </row>
    <row r="485" spans="1:18" x14ac:dyDescent="0.35">
      <c r="A485" s="73"/>
      <c r="B485" s="73"/>
      <c r="C485" s="73"/>
      <c r="D485" s="73"/>
      <c r="E485" s="73"/>
      <c r="F485" s="73"/>
      <c r="G485" s="73"/>
      <c r="H485" s="73"/>
      <c r="I485" s="73"/>
      <c r="J485" s="73"/>
      <c r="K485" s="73"/>
      <c r="L485" s="73"/>
      <c r="M485" s="73"/>
      <c r="N485" s="73"/>
      <c r="O485" s="73"/>
      <c r="P485" s="73"/>
      <c r="Q485" s="73"/>
      <c r="R485" s="73"/>
    </row>
    <row r="486" spans="1:18" x14ac:dyDescent="0.35">
      <c r="A486" s="73"/>
      <c r="B486" s="73"/>
      <c r="C486" s="73"/>
      <c r="D486" s="73"/>
      <c r="E486" s="73"/>
      <c r="F486" s="73"/>
      <c r="G486" s="73"/>
      <c r="H486" s="73"/>
      <c r="I486" s="73"/>
      <c r="J486" s="73"/>
      <c r="K486" s="73"/>
      <c r="L486" s="73"/>
      <c r="M486" s="73"/>
      <c r="N486" s="73"/>
      <c r="O486" s="73"/>
      <c r="P486" s="73"/>
      <c r="Q486" s="73"/>
      <c r="R486" s="73"/>
    </row>
    <row r="487" spans="1:18" x14ac:dyDescent="0.35">
      <c r="A487" s="73"/>
      <c r="B487" s="73"/>
      <c r="C487" s="73"/>
      <c r="D487" s="73"/>
      <c r="E487" s="73"/>
      <c r="F487" s="73"/>
      <c r="G487" s="73"/>
      <c r="H487" s="73"/>
      <c r="I487" s="73"/>
      <c r="J487" s="73"/>
      <c r="K487" s="73"/>
      <c r="L487" s="73"/>
      <c r="M487" s="73"/>
      <c r="N487" s="73"/>
      <c r="O487" s="73"/>
      <c r="P487" s="73"/>
      <c r="Q487" s="73"/>
      <c r="R487" s="73"/>
    </row>
    <row r="488" spans="1:18" x14ac:dyDescent="0.35">
      <c r="A488" s="73"/>
      <c r="B488" s="73"/>
      <c r="C488" s="73"/>
      <c r="D488" s="73"/>
      <c r="E488" s="73"/>
      <c r="F488" s="73"/>
      <c r="G488" s="73"/>
      <c r="H488" s="73"/>
      <c r="I488" s="73"/>
      <c r="J488" s="73"/>
      <c r="K488" s="73"/>
      <c r="L488" s="73"/>
      <c r="M488" s="73"/>
      <c r="N488" s="73"/>
      <c r="O488" s="73"/>
      <c r="P488" s="73"/>
      <c r="Q488" s="73"/>
      <c r="R488" s="73"/>
    </row>
    <row r="489" spans="1:18" x14ac:dyDescent="0.35">
      <c r="A489" s="73"/>
      <c r="B489" s="73"/>
      <c r="C489" s="73"/>
      <c r="D489" s="73"/>
      <c r="E489" s="73"/>
      <c r="F489" s="73"/>
      <c r="G489" s="73"/>
      <c r="H489" s="73"/>
      <c r="I489" s="73"/>
      <c r="J489" s="73"/>
      <c r="K489" s="73"/>
      <c r="L489" s="73"/>
      <c r="M489" s="73"/>
      <c r="N489" s="73"/>
      <c r="O489" s="73"/>
      <c r="P489" s="73"/>
      <c r="Q489" s="73"/>
      <c r="R489" s="73"/>
    </row>
    <row r="490" spans="1:18" x14ac:dyDescent="0.35">
      <c r="A490" s="73"/>
      <c r="B490" s="73"/>
      <c r="C490" s="73"/>
      <c r="D490" s="73"/>
      <c r="E490" s="73"/>
      <c r="F490" s="73"/>
      <c r="G490" s="73"/>
      <c r="H490" s="73"/>
      <c r="I490" s="73"/>
      <c r="J490" s="73"/>
      <c r="K490" s="73"/>
      <c r="L490" s="73"/>
      <c r="M490" s="73"/>
      <c r="N490" s="73"/>
      <c r="O490" s="73"/>
      <c r="P490" s="73"/>
      <c r="Q490" s="73"/>
      <c r="R490" s="73"/>
    </row>
    <row r="491" spans="1:18" x14ac:dyDescent="0.35">
      <c r="A491" s="73"/>
      <c r="B491" s="73"/>
      <c r="C491" s="73"/>
      <c r="D491" s="73"/>
      <c r="E491" s="73"/>
      <c r="F491" s="73"/>
      <c r="G491" s="73"/>
      <c r="H491" s="73"/>
      <c r="I491" s="73"/>
      <c r="J491" s="73"/>
      <c r="K491" s="73"/>
      <c r="L491" s="73"/>
      <c r="M491" s="73"/>
      <c r="N491" s="73"/>
      <c r="O491" s="73"/>
      <c r="P491" s="73"/>
      <c r="Q491" s="73"/>
      <c r="R491" s="73"/>
    </row>
    <row r="492" spans="1:18" x14ac:dyDescent="0.35">
      <c r="A492" s="73"/>
      <c r="B492" s="73"/>
      <c r="C492" s="73"/>
      <c r="D492" s="73"/>
      <c r="E492" s="73"/>
      <c r="F492" s="73"/>
      <c r="G492" s="73"/>
      <c r="H492" s="73"/>
      <c r="I492" s="73"/>
      <c r="J492" s="73"/>
      <c r="K492" s="73"/>
      <c r="L492" s="73"/>
      <c r="M492" s="73"/>
      <c r="N492" s="73"/>
      <c r="O492" s="73"/>
      <c r="P492" s="73"/>
      <c r="Q492" s="73"/>
      <c r="R492" s="73"/>
    </row>
    <row r="493" spans="1:18" x14ac:dyDescent="0.35">
      <c r="A493" s="73"/>
      <c r="B493" s="73"/>
      <c r="C493" s="73"/>
      <c r="D493" s="73"/>
      <c r="E493" s="73"/>
      <c r="F493" s="73"/>
      <c r="G493" s="73"/>
      <c r="H493" s="73"/>
      <c r="I493" s="73"/>
      <c r="J493" s="73"/>
      <c r="K493" s="73"/>
      <c r="L493" s="73"/>
      <c r="M493" s="73"/>
      <c r="N493" s="73"/>
      <c r="O493" s="73"/>
      <c r="P493" s="73"/>
      <c r="Q493" s="73"/>
      <c r="R493" s="73"/>
    </row>
    <row r="494" spans="1:18" x14ac:dyDescent="0.35">
      <c r="A494" s="73"/>
      <c r="B494" s="73"/>
      <c r="C494" s="73"/>
      <c r="D494" s="73"/>
      <c r="E494" s="73"/>
      <c r="F494" s="73"/>
      <c r="G494" s="73"/>
      <c r="H494" s="73"/>
      <c r="I494" s="73"/>
      <c r="J494" s="73"/>
      <c r="K494" s="73"/>
      <c r="L494" s="73"/>
      <c r="M494" s="73"/>
      <c r="N494" s="73"/>
      <c r="O494" s="73"/>
      <c r="P494" s="73"/>
      <c r="Q494" s="73"/>
      <c r="R494" s="73"/>
    </row>
    <row r="495" spans="1:18" x14ac:dyDescent="0.35">
      <c r="A495" s="73"/>
      <c r="B495" s="73"/>
      <c r="C495" s="73"/>
      <c r="D495" s="73"/>
      <c r="E495" s="73"/>
      <c r="F495" s="73"/>
      <c r="G495" s="73"/>
      <c r="H495" s="73"/>
      <c r="I495" s="73"/>
      <c r="J495" s="73"/>
      <c r="K495" s="73"/>
      <c r="L495" s="73"/>
      <c r="M495" s="73"/>
      <c r="N495" s="73"/>
      <c r="O495" s="73"/>
      <c r="P495" s="73"/>
      <c r="Q495" s="73"/>
      <c r="R495" s="73"/>
    </row>
    <row r="496" spans="1:18" x14ac:dyDescent="0.35">
      <c r="A496" s="73"/>
      <c r="B496" s="73"/>
      <c r="C496" s="73"/>
      <c r="D496" s="73"/>
      <c r="E496" s="73"/>
      <c r="F496" s="73"/>
      <c r="G496" s="73"/>
      <c r="H496" s="73"/>
      <c r="I496" s="73"/>
      <c r="J496" s="73"/>
      <c r="K496" s="73"/>
      <c r="L496" s="73"/>
      <c r="M496" s="73"/>
      <c r="N496" s="73"/>
      <c r="O496" s="73"/>
      <c r="P496" s="73"/>
      <c r="Q496" s="73"/>
      <c r="R496" s="73"/>
    </row>
    <row r="497" spans="1:18" x14ac:dyDescent="0.35">
      <c r="A497" s="73"/>
      <c r="B497" s="73"/>
      <c r="C497" s="73"/>
      <c r="D497" s="73"/>
      <c r="E497" s="73"/>
      <c r="F497" s="73"/>
      <c r="G497" s="73"/>
      <c r="H497" s="73"/>
      <c r="I497" s="73"/>
      <c r="J497" s="73"/>
      <c r="K497" s="73"/>
      <c r="L497" s="73"/>
      <c r="M497" s="73"/>
      <c r="N497" s="73"/>
      <c r="O497" s="73"/>
      <c r="P497" s="73"/>
      <c r="Q497" s="73"/>
      <c r="R497" s="73"/>
    </row>
    <row r="498" spans="1:18" x14ac:dyDescent="0.35">
      <c r="A498" s="73"/>
      <c r="B498" s="73"/>
      <c r="C498" s="73"/>
      <c r="D498" s="73"/>
      <c r="E498" s="73"/>
      <c r="F498" s="73"/>
      <c r="G498" s="73"/>
      <c r="H498" s="73"/>
      <c r="I498" s="73"/>
      <c r="J498" s="73"/>
      <c r="K498" s="73"/>
      <c r="L498" s="73"/>
      <c r="M498" s="73"/>
      <c r="N498" s="73"/>
      <c r="O498" s="73"/>
      <c r="P498" s="73"/>
      <c r="Q498" s="73"/>
      <c r="R498" s="73"/>
    </row>
    <row r="499" spans="1:18" x14ac:dyDescent="0.35">
      <c r="A499" s="73"/>
      <c r="B499" s="73"/>
      <c r="C499" s="73"/>
      <c r="D499" s="73"/>
      <c r="E499" s="73"/>
      <c r="F499" s="73"/>
      <c r="G499" s="73"/>
      <c r="H499" s="73"/>
      <c r="I499" s="73"/>
      <c r="J499" s="73"/>
      <c r="K499" s="73"/>
      <c r="L499" s="73"/>
      <c r="M499" s="73"/>
      <c r="N499" s="73"/>
      <c r="O499" s="73"/>
      <c r="P499" s="73"/>
      <c r="Q499" s="73"/>
      <c r="R499" s="73"/>
    </row>
    <row r="500" spans="1:18" x14ac:dyDescent="0.35">
      <c r="A500" s="73"/>
      <c r="B500" s="73"/>
      <c r="C500" s="73"/>
      <c r="D500" s="73"/>
      <c r="E500" s="73"/>
      <c r="F500" s="73"/>
      <c r="G500" s="73"/>
      <c r="H500" s="73"/>
      <c r="I500" s="73"/>
      <c r="J500" s="73"/>
      <c r="K500" s="73"/>
      <c r="L500" s="73"/>
      <c r="M500" s="73"/>
      <c r="N500" s="73"/>
      <c r="O500" s="73"/>
      <c r="P500" s="73"/>
      <c r="Q500" s="73"/>
      <c r="R500" s="73"/>
    </row>
    <row r="501" spans="1:18" x14ac:dyDescent="0.35">
      <c r="A501" s="73"/>
      <c r="B501" s="73"/>
      <c r="C501" s="73"/>
      <c r="D501" s="73"/>
      <c r="E501" s="73"/>
      <c r="F501" s="73"/>
      <c r="G501" s="73"/>
      <c r="H501" s="73"/>
      <c r="I501" s="73"/>
      <c r="J501" s="73"/>
      <c r="K501" s="73"/>
      <c r="L501" s="73"/>
      <c r="M501" s="73"/>
      <c r="N501" s="73"/>
      <c r="O501" s="73"/>
      <c r="P501" s="73"/>
      <c r="Q501" s="73"/>
      <c r="R501" s="73"/>
    </row>
    <row r="502" spans="1:18" x14ac:dyDescent="0.35">
      <c r="A502" s="73"/>
      <c r="B502" s="73"/>
      <c r="C502" s="73"/>
      <c r="D502" s="73"/>
      <c r="E502" s="73"/>
      <c r="F502" s="73"/>
      <c r="G502" s="73"/>
      <c r="H502" s="73"/>
      <c r="I502" s="73"/>
      <c r="J502" s="73"/>
      <c r="K502" s="73"/>
      <c r="L502" s="73"/>
      <c r="M502" s="73"/>
      <c r="N502" s="73"/>
      <c r="O502" s="73"/>
      <c r="P502" s="73"/>
      <c r="Q502" s="73"/>
      <c r="R502" s="73"/>
    </row>
    <row r="503" spans="1:18" x14ac:dyDescent="0.35">
      <c r="A503" s="73"/>
      <c r="B503" s="73"/>
      <c r="C503" s="73"/>
      <c r="D503" s="73"/>
      <c r="E503" s="73"/>
      <c r="F503" s="73"/>
      <c r="G503" s="73"/>
      <c r="H503" s="73"/>
      <c r="I503" s="73"/>
      <c r="J503" s="73"/>
      <c r="K503" s="73"/>
      <c r="L503" s="73"/>
      <c r="M503" s="73"/>
      <c r="N503" s="73"/>
      <c r="O503" s="73"/>
      <c r="P503" s="73"/>
      <c r="Q503" s="73"/>
      <c r="R503" s="73"/>
    </row>
    <row r="504" spans="1:18" x14ac:dyDescent="0.35">
      <c r="A504" s="73"/>
      <c r="B504" s="73"/>
      <c r="C504" s="73"/>
      <c r="D504" s="73"/>
      <c r="E504" s="73"/>
      <c r="F504" s="73"/>
      <c r="G504" s="73"/>
      <c r="H504" s="73"/>
      <c r="I504" s="73"/>
      <c r="J504" s="73"/>
      <c r="K504" s="73"/>
      <c r="L504" s="73"/>
      <c r="M504" s="73"/>
      <c r="N504" s="73"/>
      <c r="O504" s="73"/>
      <c r="P504" s="73"/>
      <c r="Q504" s="73"/>
      <c r="R504" s="73"/>
    </row>
    <row r="505" spans="1:18" x14ac:dyDescent="0.35">
      <c r="A505" s="185"/>
      <c r="B505" s="172"/>
      <c r="C505" s="172"/>
      <c r="D505" s="172"/>
      <c r="E505" s="172"/>
      <c r="F505" s="172"/>
      <c r="G505" s="172"/>
      <c r="H505" s="172"/>
      <c r="I505" s="172"/>
      <c r="J505" s="172"/>
      <c r="K505" s="172"/>
      <c r="L505" s="73"/>
      <c r="M505" s="73"/>
      <c r="N505" s="73"/>
      <c r="O505" s="73"/>
      <c r="P505" s="73"/>
      <c r="Q505" s="73"/>
      <c r="R505" s="73"/>
    </row>
    <row r="506" spans="1:18" ht="26" x14ac:dyDescent="0.35">
      <c r="A506" s="426"/>
      <c r="B506" s="427"/>
      <c r="C506" s="173" t="s">
        <v>44</v>
      </c>
      <c r="D506" s="187" t="s">
        <v>99</v>
      </c>
      <c r="E506" s="187" t="s">
        <v>100</v>
      </c>
      <c r="F506" s="187" t="s">
        <v>23</v>
      </c>
      <c r="G506" s="187" t="s">
        <v>101</v>
      </c>
      <c r="H506" s="187" t="s">
        <v>215</v>
      </c>
      <c r="I506" s="187" t="s">
        <v>216</v>
      </c>
      <c r="J506" s="187" t="s">
        <v>217</v>
      </c>
      <c r="K506" s="188" t="s">
        <v>218</v>
      </c>
      <c r="L506" s="73"/>
      <c r="M506" s="73"/>
      <c r="N506" s="73"/>
      <c r="O506" s="73"/>
      <c r="P506" s="73"/>
      <c r="Q506" s="73"/>
      <c r="R506" s="73"/>
    </row>
    <row r="507" spans="1:18" x14ac:dyDescent="0.35">
      <c r="A507" s="431" t="str">
        <f>A473</f>
        <v>Payoffs Q11</v>
      </c>
      <c r="B507" s="432" t="str">
        <f>B473</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507" s="174" t="s">
        <v>45</v>
      </c>
      <c r="D507" s="190" t="str">
        <f>IF('4.3 Elicitation data entry'!$C$36="","",'4.3 Elicitation data entry'!$C$36)</f>
        <v/>
      </c>
      <c r="E507" s="190" t="str">
        <f>IF('4.3 Elicitation data entry'!$D$36="","",'4.3 Elicitation data entry'!$D$36)</f>
        <v/>
      </c>
      <c r="F507" s="190" t="str">
        <f>IF('4.3 Elicitation data entry'!$E$36="","",'4.3 Elicitation data entry'!$E$36)</f>
        <v/>
      </c>
      <c r="G507" s="190" t="str">
        <f>IF('4.3 Elicitation data entry'!$F$36="","",'4.3 Elicitation data entry'!$F$36)</f>
        <v/>
      </c>
      <c r="H507" s="190" t="str">
        <f t="shared" ref="H507:H512" si="60">IF($F507="","",F507-J507)</f>
        <v/>
      </c>
      <c r="I507" s="191" t="str">
        <f t="shared" ref="I507:I512" si="61">IF($F507="","",K507-F507)</f>
        <v/>
      </c>
      <c r="J507" s="192" t="str">
        <f t="shared" ref="J507:J512" si="62">IF($F507="","",IF(F507-((F507-D507)/G507)*90&lt;-100,-100,F507-((F507-D507)/G507)*90))</f>
        <v/>
      </c>
      <c r="K507" s="193" t="str">
        <f t="shared" ref="K507:K512" si="63">IF($F507="","",(F507-((F507-E507)/G507)*90))</f>
        <v/>
      </c>
      <c r="L507" s="73"/>
      <c r="M507" s="73"/>
      <c r="N507" s="73"/>
      <c r="O507" s="73"/>
      <c r="P507" s="73"/>
      <c r="Q507" s="73"/>
      <c r="R507" s="73"/>
    </row>
    <row r="508" spans="1:18" x14ac:dyDescent="0.35">
      <c r="A508" s="431"/>
      <c r="B508" s="432"/>
      <c r="C508" s="174" t="s">
        <v>46</v>
      </c>
      <c r="D508" s="190" t="str">
        <f>IF('4.3 Elicitation data entry'!$H$36="","",'4.3 Elicitation data entry'!$H$36)</f>
        <v/>
      </c>
      <c r="E508" s="190" t="str">
        <f>IF('4.3 Elicitation data entry'!$I$36="","",'4.3 Elicitation data entry'!$I$36)</f>
        <v/>
      </c>
      <c r="F508" s="190" t="str">
        <f>IF('4.3 Elicitation data entry'!$J$36="","",'4.3 Elicitation data entry'!$J$36)</f>
        <v/>
      </c>
      <c r="G508" s="190" t="str">
        <f>IF('4.3 Elicitation data entry'!$K$36="","",'4.3 Elicitation data entry'!$K$36)</f>
        <v/>
      </c>
      <c r="H508" s="190" t="str">
        <f t="shared" si="60"/>
        <v/>
      </c>
      <c r="I508" s="191" t="str">
        <f t="shared" si="61"/>
        <v/>
      </c>
      <c r="J508" s="192" t="str">
        <f t="shared" si="62"/>
        <v/>
      </c>
      <c r="K508" s="193" t="str">
        <f t="shared" si="63"/>
        <v/>
      </c>
      <c r="L508" s="73"/>
      <c r="M508" s="73"/>
      <c r="N508" s="73"/>
      <c r="O508" s="73"/>
      <c r="P508" s="73"/>
      <c r="Q508" s="73"/>
      <c r="R508" s="73"/>
    </row>
    <row r="509" spans="1:18" x14ac:dyDescent="0.35">
      <c r="A509" s="431"/>
      <c r="B509" s="432"/>
      <c r="C509" s="174" t="s">
        <v>47</v>
      </c>
      <c r="D509" s="190" t="str">
        <f>IF('4.3 Elicitation data entry'!$M$36="","",'4.3 Elicitation data entry'!$M$36)</f>
        <v/>
      </c>
      <c r="E509" s="190" t="str">
        <f>IF('4.3 Elicitation data entry'!$N$36="","",'4.3 Elicitation data entry'!$N$36)</f>
        <v/>
      </c>
      <c r="F509" s="190" t="str">
        <f>IF('4.3 Elicitation data entry'!$O$36="","",'4.3 Elicitation data entry'!$O$36)</f>
        <v/>
      </c>
      <c r="G509" s="190" t="str">
        <f>IF('4.3 Elicitation data entry'!$P$36="","",'4.3 Elicitation data entry'!$P$36)</f>
        <v/>
      </c>
      <c r="H509" s="190" t="str">
        <f t="shared" si="60"/>
        <v/>
      </c>
      <c r="I509" s="191" t="str">
        <f t="shared" si="61"/>
        <v/>
      </c>
      <c r="J509" s="192" t="str">
        <f t="shared" si="62"/>
        <v/>
      </c>
      <c r="K509" s="193" t="str">
        <f t="shared" si="63"/>
        <v/>
      </c>
      <c r="L509" s="73"/>
      <c r="M509" s="73"/>
      <c r="N509" s="73"/>
      <c r="O509" s="73"/>
      <c r="P509" s="73"/>
      <c r="Q509" s="73"/>
      <c r="R509" s="73"/>
    </row>
    <row r="510" spans="1:18" x14ac:dyDescent="0.35">
      <c r="A510" s="431"/>
      <c r="B510" s="432"/>
      <c r="C510" s="174" t="s">
        <v>48</v>
      </c>
      <c r="D510" s="190" t="str">
        <f>IF('4.3 Elicitation data entry'!$R$36="","",'4.3 Elicitation data entry'!$R$36)</f>
        <v/>
      </c>
      <c r="E510" s="190" t="str">
        <f>IF('4.3 Elicitation data entry'!$S$36="","",'4.3 Elicitation data entry'!$S$36)</f>
        <v/>
      </c>
      <c r="F510" s="190" t="str">
        <f>IF('4.3 Elicitation data entry'!$T$36="","",'4.3 Elicitation data entry'!$T$36)</f>
        <v/>
      </c>
      <c r="G510" s="190" t="str">
        <f>IF('4.3 Elicitation data entry'!$U$36="","",'4.3 Elicitation data entry'!$U$36)</f>
        <v/>
      </c>
      <c r="H510" s="190" t="str">
        <f t="shared" si="60"/>
        <v/>
      </c>
      <c r="I510" s="191" t="str">
        <f t="shared" si="61"/>
        <v/>
      </c>
      <c r="J510" s="192" t="str">
        <f t="shared" si="62"/>
        <v/>
      </c>
      <c r="K510" s="193" t="str">
        <f t="shared" si="63"/>
        <v/>
      </c>
      <c r="L510" s="73"/>
      <c r="M510" s="73"/>
      <c r="N510" s="73"/>
      <c r="O510" s="73"/>
      <c r="P510" s="73"/>
      <c r="Q510" s="73"/>
      <c r="R510" s="73"/>
    </row>
    <row r="511" spans="1:18" x14ac:dyDescent="0.35">
      <c r="A511" s="431"/>
      <c r="B511" s="432"/>
      <c r="C511" s="174" t="s">
        <v>49</v>
      </c>
      <c r="D511" s="190" t="str">
        <f>IF('4.3 Elicitation data entry'!$W$36="","",'4.3 Elicitation data entry'!$W$36)</f>
        <v/>
      </c>
      <c r="E511" s="190" t="str">
        <f>IF('4.3 Elicitation data entry'!$X$36="","",'4.3 Elicitation data entry'!$X$36)</f>
        <v/>
      </c>
      <c r="F511" s="190" t="str">
        <f>IF('4.3 Elicitation data entry'!$Y$36="","",'4.3 Elicitation data entry'!$Y$36)</f>
        <v/>
      </c>
      <c r="G511" s="190" t="str">
        <f>IF('4.3 Elicitation data entry'!$Z$36="","",'4.3 Elicitation data entry'!$Z$36)</f>
        <v/>
      </c>
      <c r="H511" s="190" t="str">
        <f t="shared" si="60"/>
        <v/>
      </c>
      <c r="I511" s="191" t="str">
        <f t="shared" si="61"/>
        <v/>
      </c>
      <c r="J511" s="192" t="str">
        <f t="shared" si="62"/>
        <v/>
      </c>
      <c r="K511" s="193" t="str">
        <f t="shared" si="63"/>
        <v/>
      </c>
      <c r="L511" s="73"/>
      <c r="M511" s="73"/>
      <c r="N511" s="73"/>
      <c r="O511" s="73"/>
      <c r="P511" s="73"/>
      <c r="Q511" s="73"/>
      <c r="R511" s="73"/>
    </row>
    <row r="512" spans="1:18" x14ac:dyDescent="0.35">
      <c r="A512" s="431"/>
      <c r="B512" s="432"/>
      <c r="C512" s="174" t="s">
        <v>50</v>
      </c>
      <c r="D512" s="190" t="str">
        <f>IF('4.3 Elicitation data entry'!$AB$36="","",'4.3 Elicitation data entry'!$AB$36)</f>
        <v/>
      </c>
      <c r="E512" s="190" t="str">
        <f>IF('4.3 Elicitation data entry'!$AC$36="","",'4.3 Elicitation data entry'!$AC$36)</f>
        <v/>
      </c>
      <c r="F512" s="190" t="str">
        <f>IF('4.3 Elicitation data entry'!$AD$36="","",'4.3 Elicitation data entry'!$AD$36)</f>
        <v/>
      </c>
      <c r="G512" s="190" t="str">
        <f>IF('4.3 Elicitation data entry'!$AE$36="","",'4.3 Elicitation data entry'!$AE$36)</f>
        <v/>
      </c>
      <c r="H512" s="190" t="str">
        <f t="shared" si="60"/>
        <v/>
      </c>
      <c r="I512" s="191" t="str">
        <f t="shared" si="61"/>
        <v/>
      </c>
      <c r="J512" s="192" t="str">
        <f t="shared" si="62"/>
        <v/>
      </c>
      <c r="K512" s="193" t="str">
        <f t="shared" si="63"/>
        <v/>
      </c>
      <c r="L512" s="73"/>
      <c r="M512" s="73"/>
      <c r="N512" s="73"/>
      <c r="O512" s="73"/>
      <c r="P512" s="73"/>
      <c r="Q512" s="73"/>
      <c r="R512" s="73"/>
    </row>
    <row r="513" spans="1:18" x14ac:dyDescent="0.35">
      <c r="A513" s="175"/>
      <c r="B513" s="176" t="s">
        <v>51</v>
      </c>
      <c r="C513" s="177" t="s">
        <v>52</v>
      </c>
      <c r="D513" s="190" t="e">
        <f t="shared" ref="D513:I513" si="64">AVERAGE(D507:D512)</f>
        <v>#DIV/0!</v>
      </c>
      <c r="E513" s="194" t="e">
        <f t="shared" si="64"/>
        <v>#DIV/0!</v>
      </c>
      <c r="F513" s="194" t="e">
        <f t="shared" si="64"/>
        <v>#DIV/0!</v>
      </c>
      <c r="G513" s="194" t="e">
        <f t="shared" si="64"/>
        <v>#DIV/0!</v>
      </c>
      <c r="H513" s="190" t="e">
        <f t="shared" si="64"/>
        <v>#DIV/0!</v>
      </c>
      <c r="I513" s="190" t="e">
        <f t="shared" si="64"/>
        <v>#DIV/0!</v>
      </c>
      <c r="J513" s="192" t="e">
        <f>IF((F513-((F513-D513)/G513)*90)&lt;-100,-100,(F513-((F513-D513)/G513)*90))</f>
        <v>#DIV/0!</v>
      </c>
      <c r="K513" s="193" t="e">
        <f>IF((F513-((F513-E513)/G513)*90)&lt;-100,-100,(F513-((F513-E513)/G513)*90))</f>
        <v>#DIV/0!</v>
      </c>
      <c r="L513" s="73"/>
      <c r="M513" s="73"/>
      <c r="N513" s="73"/>
      <c r="O513" s="73"/>
      <c r="P513" s="73"/>
      <c r="Q513" s="73"/>
      <c r="R513" s="73"/>
    </row>
    <row r="514" spans="1:18" x14ac:dyDescent="0.35">
      <c r="A514" s="178"/>
      <c r="B514" s="179"/>
      <c r="C514" s="180" t="s">
        <v>53</v>
      </c>
      <c r="D514" s="196" t="e">
        <f t="shared" ref="D514:K514" si="65">STDEV(D507:D512)/SQRT(COUNT(D507:D512))</f>
        <v>#DIV/0!</v>
      </c>
      <c r="E514" s="196" t="e">
        <f t="shared" si="65"/>
        <v>#DIV/0!</v>
      </c>
      <c r="F514" s="196" t="e">
        <f t="shared" si="65"/>
        <v>#DIV/0!</v>
      </c>
      <c r="G514" s="196" t="e">
        <f t="shared" si="65"/>
        <v>#DIV/0!</v>
      </c>
      <c r="H514" s="197" t="e">
        <f t="shared" si="65"/>
        <v>#DIV/0!</v>
      </c>
      <c r="I514" s="197" t="e">
        <f t="shared" si="65"/>
        <v>#DIV/0!</v>
      </c>
      <c r="J514" s="197" t="e">
        <f t="shared" si="65"/>
        <v>#DIV/0!</v>
      </c>
      <c r="K514" s="198" t="e">
        <f t="shared" si="65"/>
        <v>#DIV/0!</v>
      </c>
      <c r="L514" s="73"/>
      <c r="M514" s="73"/>
      <c r="N514" s="73"/>
      <c r="O514" s="73"/>
      <c r="P514" s="73"/>
      <c r="Q514" s="73"/>
      <c r="R514" s="73"/>
    </row>
    <row r="515" spans="1:18" x14ac:dyDescent="0.35">
      <c r="A515" s="199"/>
      <c r="B515" s="73"/>
      <c r="C515" s="73"/>
      <c r="D515" s="73"/>
      <c r="E515" s="73"/>
      <c r="F515" s="73"/>
      <c r="G515" s="73"/>
      <c r="H515" s="73"/>
      <c r="I515" s="73"/>
      <c r="L515" s="73"/>
      <c r="M515" s="73"/>
      <c r="N515" s="73"/>
      <c r="O515" s="73"/>
      <c r="P515" s="73"/>
      <c r="Q515" s="73"/>
      <c r="R515" s="73"/>
    </row>
    <row r="516" spans="1:18" x14ac:dyDescent="0.35">
      <c r="A516" s="199"/>
      <c r="B516" s="73"/>
      <c r="C516" s="73"/>
      <c r="D516" s="73"/>
      <c r="E516" s="73"/>
      <c r="F516" s="73"/>
      <c r="G516" s="73"/>
      <c r="H516" s="73"/>
      <c r="I516" s="73"/>
      <c r="L516" s="73"/>
      <c r="M516" s="73"/>
      <c r="N516" s="73"/>
      <c r="O516" s="73"/>
      <c r="P516" s="73"/>
      <c r="Q516" s="73"/>
      <c r="R516" s="73"/>
    </row>
    <row r="517" spans="1:18" x14ac:dyDescent="0.35">
      <c r="A517" s="199"/>
      <c r="B517" s="73"/>
      <c r="C517" s="73"/>
      <c r="D517" s="73"/>
      <c r="E517" s="73"/>
      <c r="F517" s="73"/>
      <c r="G517" s="73"/>
      <c r="H517" s="73"/>
      <c r="I517" s="73"/>
      <c r="L517" s="73"/>
      <c r="M517" s="73"/>
      <c r="N517" s="73"/>
      <c r="O517" s="73"/>
      <c r="P517" s="73"/>
      <c r="Q517" s="73"/>
      <c r="R517" s="73"/>
    </row>
    <row r="518" spans="1:18" x14ac:dyDescent="0.35">
      <c r="A518" s="199"/>
      <c r="B518" s="73"/>
      <c r="C518" s="73"/>
      <c r="D518" s="73"/>
      <c r="E518" s="73"/>
      <c r="F518" s="73"/>
      <c r="G518" s="73"/>
      <c r="H518" s="73"/>
      <c r="I518" s="73"/>
      <c r="L518" s="73"/>
      <c r="M518" s="73"/>
      <c r="N518" s="73"/>
      <c r="O518" s="73"/>
      <c r="P518" s="73"/>
      <c r="Q518" s="73"/>
      <c r="R518" s="73"/>
    </row>
    <row r="519" spans="1:18" x14ac:dyDescent="0.35">
      <c r="A519" s="199"/>
      <c r="B519" s="73"/>
      <c r="C519" s="73"/>
      <c r="D519" s="73"/>
      <c r="E519" s="73"/>
      <c r="F519" s="73"/>
      <c r="G519" s="73"/>
      <c r="H519" s="73"/>
      <c r="I519" s="73"/>
      <c r="L519" s="73"/>
      <c r="M519" s="73"/>
      <c r="N519" s="73"/>
      <c r="O519" s="73"/>
      <c r="P519" s="73"/>
      <c r="Q519" s="73"/>
      <c r="R519" s="73"/>
    </row>
    <row r="520" spans="1:18" ht="35.15" customHeight="1" x14ac:dyDescent="0.35">
      <c r="A520" s="164" t="s">
        <v>230</v>
      </c>
      <c r="B520" s="433" t="s">
        <v>131</v>
      </c>
      <c r="C520" s="434"/>
      <c r="D520" s="434"/>
      <c r="E520" s="434"/>
      <c r="F520" s="434"/>
      <c r="G520" s="434"/>
      <c r="H520" s="434"/>
      <c r="I520" s="434"/>
      <c r="J520" s="434"/>
      <c r="K520" s="435"/>
      <c r="L520" s="73"/>
      <c r="M520" s="73"/>
      <c r="N520" s="73"/>
      <c r="O520" s="73"/>
      <c r="P520" s="73"/>
      <c r="Q520" s="73"/>
      <c r="R520" s="73"/>
    </row>
    <row r="521" spans="1:18" x14ac:dyDescent="0.35">
      <c r="A521" s="73"/>
      <c r="B521" s="73"/>
      <c r="C521" s="73"/>
      <c r="D521" s="73"/>
      <c r="E521" s="73"/>
      <c r="F521" s="73"/>
      <c r="G521" s="73"/>
      <c r="H521" s="73"/>
      <c r="I521" s="73"/>
      <c r="J521" s="73"/>
      <c r="K521" s="73"/>
      <c r="L521" s="73"/>
      <c r="M521" s="73"/>
      <c r="N521" s="73"/>
      <c r="O521" s="73"/>
      <c r="P521" s="73"/>
      <c r="Q521" s="73"/>
      <c r="R521" s="73"/>
    </row>
    <row r="522" spans="1:18" x14ac:dyDescent="0.35">
      <c r="A522" s="73"/>
      <c r="B522" s="73"/>
      <c r="C522" s="73"/>
      <c r="D522" s="73"/>
      <c r="E522" s="73"/>
      <c r="F522" s="73"/>
      <c r="G522" s="73"/>
      <c r="H522" s="73"/>
      <c r="I522" s="73"/>
      <c r="J522" s="73"/>
      <c r="K522" s="73"/>
      <c r="L522" s="73"/>
      <c r="M522" s="73"/>
      <c r="N522" s="73"/>
      <c r="O522" s="73"/>
      <c r="P522" s="73"/>
      <c r="Q522" s="73"/>
      <c r="R522" s="73"/>
    </row>
    <row r="523" spans="1:18" x14ac:dyDescent="0.35">
      <c r="A523" s="73"/>
      <c r="B523" s="73"/>
      <c r="C523" s="73"/>
      <c r="D523" s="73"/>
      <c r="E523" s="73"/>
      <c r="F523" s="73"/>
      <c r="G523" s="73"/>
      <c r="H523" s="73"/>
      <c r="I523" s="73"/>
      <c r="J523" s="73"/>
      <c r="K523" s="73"/>
      <c r="L523" s="73"/>
      <c r="M523" s="73"/>
      <c r="N523" s="73"/>
      <c r="O523" s="73"/>
      <c r="P523" s="73"/>
      <c r="Q523" s="73"/>
      <c r="R523" s="73"/>
    </row>
    <row r="524" spans="1:18" x14ac:dyDescent="0.35">
      <c r="A524" s="73"/>
      <c r="B524" s="73"/>
      <c r="C524" s="73"/>
      <c r="D524" s="73"/>
      <c r="E524" s="73"/>
      <c r="F524" s="73"/>
      <c r="G524" s="73"/>
      <c r="H524" s="73"/>
      <c r="I524" s="73"/>
      <c r="J524" s="73"/>
      <c r="K524" s="73"/>
      <c r="L524" s="73"/>
      <c r="M524" s="73"/>
      <c r="N524" s="73"/>
      <c r="O524" s="73"/>
      <c r="P524" s="73"/>
      <c r="Q524" s="73"/>
      <c r="R524" s="73"/>
    </row>
    <row r="525" spans="1:18" x14ac:dyDescent="0.35">
      <c r="A525" s="73"/>
      <c r="B525" s="73"/>
      <c r="C525" s="73"/>
      <c r="D525" s="73"/>
      <c r="E525" s="73"/>
      <c r="F525" s="73"/>
      <c r="G525" s="73"/>
      <c r="H525" s="73"/>
      <c r="I525" s="73"/>
      <c r="J525" s="73"/>
      <c r="K525" s="73"/>
      <c r="L525" s="73"/>
      <c r="M525" s="73"/>
      <c r="N525" s="73"/>
      <c r="O525" s="73"/>
      <c r="P525" s="73"/>
      <c r="Q525" s="73"/>
      <c r="R525" s="73"/>
    </row>
    <row r="526" spans="1:18" x14ac:dyDescent="0.35">
      <c r="A526" s="73"/>
      <c r="B526" s="73"/>
      <c r="C526" s="73"/>
      <c r="D526" s="73"/>
      <c r="E526" s="73"/>
      <c r="F526" s="73"/>
      <c r="G526" s="73"/>
      <c r="H526" s="73"/>
      <c r="I526" s="73"/>
      <c r="J526" s="73"/>
      <c r="K526" s="73"/>
      <c r="L526" s="73"/>
      <c r="M526" s="73"/>
      <c r="N526" s="73"/>
      <c r="O526" s="73"/>
      <c r="P526" s="73"/>
      <c r="Q526" s="73"/>
      <c r="R526" s="73"/>
    </row>
    <row r="527" spans="1:18" x14ac:dyDescent="0.35">
      <c r="A527" s="73"/>
      <c r="B527" s="73"/>
      <c r="C527" s="73"/>
      <c r="D527" s="73"/>
      <c r="E527" s="73"/>
      <c r="F527" s="73"/>
      <c r="G527" s="73"/>
      <c r="H527" s="73"/>
      <c r="I527" s="73"/>
      <c r="J527" s="73"/>
      <c r="K527" s="73"/>
      <c r="L527" s="73"/>
      <c r="M527" s="73"/>
      <c r="N527" s="73"/>
      <c r="O527" s="73"/>
      <c r="P527" s="73"/>
      <c r="Q527" s="73"/>
      <c r="R527" s="73"/>
    </row>
    <row r="528" spans="1:18" x14ac:dyDescent="0.35">
      <c r="A528" s="73"/>
      <c r="B528" s="73"/>
      <c r="C528" s="73"/>
      <c r="D528" s="73"/>
      <c r="E528" s="73"/>
      <c r="F528" s="73"/>
      <c r="G528" s="73"/>
      <c r="H528" s="73"/>
      <c r="I528" s="73"/>
      <c r="J528" s="73"/>
      <c r="K528" s="73"/>
      <c r="L528" s="73"/>
      <c r="M528" s="73"/>
      <c r="N528" s="73"/>
      <c r="O528" s="73"/>
      <c r="P528" s="73"/>
      <c r="Q528" s="73"/>
      <c r="R528" s="73"/>
    </row>
    <row r="529" spans="1:18" x14ac:dyDescent="0.35">
      <c r="A529" s="73"/>
      <c r="B529" s="73"/>
      <c r="C529" s="73"/>
      <c r="D529" s="73"/>
      <c r="E529" s="73"/>
      <c r="F529" s="73"/>
      <c r="G529" s="73"/>
      <c r="H529" s="73"/>
      <c r="I529" s="73"/>
      <c r="J529" s="73"/>
      <c r="K529" s="73"/>
      <c r="L529" s="73"/>
      <c r="M529" s="73"/>
      <c r="N529" s="73"/>
      <c r="O529" s="73"/>
      <c r="P529" s="73"/>
      <c r="Q529" s="73"/>
      <c r="R529" s="73"/>
    </row>
    <row r="530" spans="1:18" x14ac:dyDescent="0.35">
      <c r="A530" s="73"/>
      <c r="B530" s="73"/>
      <c r="C530" s="73"/>
      <c r="D530" s="73"/>
      <c r="E530" s="73"/>
      <c r="F530" s="73"/>
      <c r="G530" s="73"/>
      <c r="H530" s="73"/>
      <c r="I530" s="73"/>
      <c r="J530" s="73"/>
      <c r="K530" s="73"/>
      <c r="L530" s="73"/>
      <c r="M530" s="73"/>
      <c r="N530" s="73"/>
      <c r="O530" s="73"/>
      <c r="P530" s="73"/>
      <c r="Q530" s="73"/>
      <c r="R530" s="73"/>
    </row>
    <row r="531" spans="1:18" x14ac:dyDescent="0.35">
      <c r="A531" s="73"/>
      <c r="B531" s="73"/>
      <c r="C531" s="73"/>
      <c r="D531" s="73"/>
      <c r="E531" s="73"/>
      <c r="F531" s="73"/>
      <c r="G531" s="73"/>
      <c r="H531" s="73"/>
      <c r="I531" s="73"/>
      <c r="J531" s="73"/>
      <c r="K531" s="73"/>
      <c r="L531" s="73"/>
      <c r="M531" s="73"/>
      <c r="N531" s="73"/>
      <c r="O531" s="73"/>
      <c r="P531" s="73"/>
      <c r="Q531" s="73"/>
      <c r="R531" s="73"/>
    </row>
    <row r="532" spans="1:18" x14ac:dyDescent="0.35">
      <c r="A532" s="73"/>
      <c r="B532" s="73"/>
      <c r="C532" s="73"/>
      <c r="D532" s="73"/>
      <c r="E532" s="73"/>
      <c r="F532" s="73"/>
      <c r="G532" s="73"/>
      <c r="H532" s="73"/>
      <c r="I532" s="73"/>
      <c r="J532" s="73"/>
      <c r="K532" s="73"/>
      <c r="L532" s="73"/>
      <c r="M532" s="73"/>
      <c r="N532" s="73"/>
      <c r="O532" s="73"/>
      <c r="P532" s="73"/>
      <c r="Q532" s="73"/>
      <c r="R532" s="73"/>
    </row>
    <row r="533" spans="1:18" x14ac:dyDescent="0.35">
      <c r="A533" s="73"/>
      <c r="B533" s="73"/>
      <c r="C533" s="73"/>
      <c r="D533" s="73"/>
      <c r="E533" s="73"/>
      <c r="F533" s="73"/>
      <c r="G533" s="73"/>
      <c r="H533" s="73"/>
      <c r="I533" s="73"/>
      <c r="J533" s="73"/>
      <c r="K533" s="73"/>
      <c r="L533" s="73"/>
      <c r="M533" s="73"/>
      <c r="N533" s="73"/>
      <c r="O533" s="73"/>
      <c r="P533" s="73"/>
      <c r="Q533" s="73"/>
      <c r="R533" s="73"/>
    </row>
    <row r="534" spans="1:18" x14ac:dyDescent="0.35">
      <c r="A534" s="73"/>
      <c r="B534" s="73"/>
      <c r="C534" s="73"/>
      <c r="D534" s="73"/>
      <c r="E534" s="73"/>
      <c r="F534" s="73"/>
      <c r="G534" s="73"/>
      <c r="H534" s="73"/>
      <c r="I534" s="73"/>
      <c r="J534" s="73"/>
      <c r="K534" s="73"/>
      <c r="L534" s="73"/>
      <c r="M534" s="73"/>
      <c r="N534" s="73"/>
      <c r="O534" s="73"/>
      <c r="P534" s="73"/>
      <c r="Q534" s="73"/>
      <c r="R534" s="73"/>
    </row>
    <row r="535" spans="1:18" x14ac:dyDescent="0.35">
      <c r="A535" s="73"/>
      <c r="B535" s="73"/>
      <c r="C535" s="73"/>
      <c r="D535" s="73"/>
      <c r="E535" s="73"/>
      <c r="F535" s="73"/>
      <c r="G535" s="73"/>
      <c r="H535" s="73"/>
      <c r="I535" s="73"/>
      <c r="J535" s="73"/>
      <c r="K535" s="73"/>
      <c r="L535" s="73"/>
      <c r="M535" s="73"/>
      <c r="N535" s="73"/>
      <c r="O535" s="73"/>
      <c r="P535" s="73"/>
      <c r="Q535" s="73"/>
      <c r="R535" s="73"/>
    </row>
    <row r="536" spans="1:18" x14ac:dyDescent="0.35">
      <c r="A536" s="73"/>
      <c r="B536" s="73"/>
      <c r="C536" s="73"/>
      <c r="D536" s="73"/>
      <c r="E536" s="73"/>
      <c r="F536" s="73"/>
      <c r="G536" s="73"/>
      <c r="H536" s="73"/>
      <c r="I536" s="73"/>
      <c r="J536" s="73"/>
      <c r="K536" s="73"/>
      <c r="L536" s="73"/>
      <c r="M536" s="73"/>
      <c r="N536" s="73"/>
      <c r="O536" s="73"/>
      <c r="P536" s="73"/>
      <c r="Q536" s="73"/>
      <c r="R536" s="73"/>
    </row>
    <row r="537" spans="1:18" x14ac:dyDescent="0.35">
      <c r="A537" s="73"/>
      <c r="B537" s="73"/>
      <c r="C537" s="73"/>
      <c r="D537" s="73"/>
      <c r="E537" s="73"/>
      <c r="F537" s="73"/>
      <c r="G537" s="73"/>
      <c r="H537" s="73"/>
      <c r="I537" s="73"/>
      <c r="J537" s="73"/>
      <c r="K537" s="73"/>
      <c r="L537" s="73"/>
      <c r="M537" s="73"/>
      <c r="N537" s="73"/>
      <c r="O537" s="73"/>
      <c r="P537" s="73"/>
      <c r="Q537" s="73"/>
      <c r="R537" s="73"/>
    </row>
    <row r="538" spans="1:18" x14ac:dyDescent="0.35">
      <c r="A538" s="73"/>
      <c r="B538" s="73"/>
      <c r="C538" s="73"/>
      <c r="D538" s="73"/>
      <c r="E538" s="73"/>
      <c r="F538" s="73"/>
      <c r="G538" s="73"/>
      <c r="H538" s="73"/>
      <c r="I538" s="73"/>
      <c r="J538" s="73"/>
      <c r="K538" s="73"/>
      <c r="L538" s="73"/>
      <c r="M538" s="73"/>
      <c r="N538" s="73"/>
      <c r="O538" s="73"/>
      <c r="P538" s="73"/>
      <c r="Q538" s="73"/>
      <c r="R538" s="73"/>
    </row>
    <row r="539" spans="1:18" x14ac:dyDescent="0.35">
      <c r="A539" s="73"/>
      <c r="B539" s="73"/>
      <c r="C539" s="73"/>
      <c r="D539" s="73"/>
      <c r="E539" s="73"/>
      <c r="F539" s="73"/>
      <c r="G539" s="73"/>
      <c r="H539" s="73"/>
      <c r="I539" s="73"/>
      <c r="J539" s="73"/>
      <c r="K539" s="73"/>
      <c r="L539" s="73"/>
      <c r="M539" s="73"/>
      <c r="N539" s="73"/>
      <c r="O539" s="73"/>
      <c r="P539" s="73"/>
      <c r="Q539" s="73"/>
      <c r="R539" s="73"/>
    </row>
    <row r="540" spans="1:18" x14ac:dyDescent="0.35">
      <c r="A540" s="73"/>
      <c r="B540" s="73"/>
      <c r="C540" s="73"/>
      <c r="D540" s="73"/>
      <c r="E540" s="73"/>
      <c r="F540" s="73"/>
      <c r="G540" s="73"/>
      <c r="H540" s="73"/>
      <c r="I540" s="73"/>
      <c r="J540" s="73"/>
      <c r="K540" s="73"/>
      <c r="L540" s="73"/>
      <c r="M540" s="73"/>
      <c r="N540" s="73"/>
      <c r="O540" s="73"/>
      <c r="P540" s="73"/>
      <c r="Q540" s="73"/>
      <c r="R540" s="73"/>
    </row>
    <row r="541" spans="1:18" x14ac:dyDescent="0.35">
      <c r="A541" s="73"/>
      <c r="B541" s="73"/>
      <c r="C541" s="73"/>
      <c r="D541" s="73"/>
      <c r="E541" s="73"/>
      <c r="F541" s="73"/>
      <c r="G541" s="73"/>
      <c r="H541" s="73"/>
      <c r="I541" s="73"/>
      <c r="J541" s="73"/>
      <c r="K541" s="73"/>
      <c r="L541" s="73"/>
      <c r="M541" s="73"/>
      <c r="N541" s="73"/>
      <c r="O541" s="73"/>
      <c r="P541" s="73"/>
      <c r="Q541" s="73"/>
      <c r="R541" s="73"/>
    </row>
    <row r="542" spans="1:18" x14ac:dyDescent="0.35">
      <c r="A542" s="73"/>
      <c r="B542" s="73"/>
      <c r="C542" s="73"/>
      <c r="D542" s="73"/>
      <c r="E542" s="73"/>
      <c r="F542" s="73"/>
      <c r="G542" s="73"/>
      <c r="H542" s="73"/>
      <c r="I542" s="73"/>
      <c r="J542" s="73"/>
      <c r="K542" s="73"/>
      <c r="L542" s="73"/>
      <c r="M542" s="73"/>
      <c r="N542" s="73"/>
      <c r="O542" s="73"/>
      <c r="P542" s="73"/>
      <c r="Q542" s="73"/>
      <c r="R542" s="73"/>
    </row>
    <row r="543" spans="1:18" x14ac:dyDescent="0.35">
      <c r="A543" s="73"/>
      <c r="B543" s="73"/>
      <c r="C543" s="73"/>
      <c r="D543" s="73"/>
      <c r="E543" s="73"/>
      <c r="F543" s="73"/>
      <c r="G543" s="73"/>
      <c r="H543" s="73"/>
      <c r="I543" s="73"/>
      <c r="J543" s="73"/>
      <c r="K543" s="73"/>
      <c r="L543" s="73"/>
      <c r="M543" s="73"/>
      <c r="N543" s="73"/>
      <c r="O543" s="73"/>
      <c r="P543" s="73"/>
      <c r="Q543" s="73"/>
      <c r="R543" s="73"/>
    </row>
    <row r="544" spans="1:18" x14ac:dyDescent="0.35">
      <c r="A544" s="73"/>
      <c r="B544" s="73"/>
      <c r="C544" s="73"/>
      <c r="D544" s="73"/>
      <c r="E544" s="73"/>
      <c r="F544" s="73"/>
      <c r="G544" s="73"/>
      <c r="H544" s="73"/>
      <c r="I544" s="73"/>
      <c r="J544" s="73"/>
      <c r="K544" s="73"/>
      <c r="L544" s="73"/>
      <c r="M544" s="73"/>
      <c r="N544" s="73"/>
      <c r="O544" s="73"/>
      <c r="P544" s="73"/>
      <c r="Q544" s="73"/>
      <c r="R544" s="73"/>
    </row>
    <row r="545" spans="1:18" x14ac:dyDescent="0.35">
      <c r="A545" s="73"/>
      <c r="B545" s="73"/>
      <c r="C545" s="73"/>
      <c r="D545" s="73"/>
      <c r="E545" s="73"/>
      <c r="F545" s="73"/>
      <c r="G545" s="73"/>
      <c r="H545" s="73"/>
      <c r="I545" s="73"/>
      <c r="J545" s="73"/>
      <c r="K545" s="73"/>
      <c r="L545" s="73"/>
      <c r="M545" s="73"/>
      <c r="N545" s="73"/>
      <c r="O545" s="73"/>
      <c r="P545" s="73"/>
      <c r="Q545" s="73"/>
      <c r="R545" s="73"/>
    </row>
    <row r="546" spans="1:18" x14ac:dyDescent="0.35">
      <c r="A546" s="73"/>
      <c r="B546" s="73"/>
      <c r="C546" s="73"/>
      <c r="D546" s="73"/>
      <c r="E546" s="73"/>
      <c r="F546" s="73"/>
      <c r="G546" s="73"/>
      <c r="H546" s="73"/>
      <c r="I546" s="73"/>
      <c r="J546" s="73"/>
      <c r="K546" s="73"/>
      <c r="L546" s="73"/>
      <c r="M546" s="73"/>
      <c r="N546" s="73"/>
      <c r="O546" s="73"/>
      <c r="P546" s="73"/>
      <c r="Q546" s="73"/>
      <c r="R546" s="73"/>
    </row>
    <row r="547" spans="1:18" x14ac:dyDescent="0.35">
      <c r="A547" s="73"/>
      <c r="B547" s="73"/>
      <c r="C547" s="73"/>
      <c r="D547" s="73"/>
      <c r="E547" s="73"/>
      <c r="F547" s="73"/>
      <c r="G547" s="73"/>
      <c r="H547" s="73"/>
      <c r="I547" s="73"/>
      <c r="J547" s="73"/>
      <c r="K547" s="73"/>
      <c r="L547" s="73"/>
      <c r="M547" s="73"/>
      <c r="N547" s="73"/>
      <c r="O547" s="73"/>
      <c r="P547" s="73"/>
      <c r="Q547" s="73"/>
      <c r="R547" s="73"/>
    </row>
    <row r="548" spans="1:18" x14ac:dyDescent="0.35">
      <c r="A548" s="73"/>
      <c r="B548" s="73"/>
      <c r="C548" s="73"/>
      <c r="D548" s="73"/>
      <c r="E548" s="73"/>
      <c r="F548" s="73"/>
      <c r="G548" s="73"/>
      <c r="H548" s="73"/>
      <c r="I548" s="73"/>
      <c r="J548" s="73"/>
      <c r="K548" s="73"/>
      <c r="L548" s="73"/>
      <c r="M548" s="73"/>
      <c r="N548" s="73"/>
      <c r="O548" s="73"/>
      <c r="P548" s="73"/>
      <c r="Q548" s="73"/>
      <c r="R548" s="73"/>
    </row>
    <row r="549" spans="1:18" x14ac:dyDescent="0.35">
      <c r="A549" s="73"/>
      <c r="B549" s="73"/>
      <c r="C549" s="73"/>
      <c r="D549" s="73"/>
      <c r="E549" s="73"/>
      <c r="F549" s="73"/>
      <c r="G549" s="73"/>
      <c r="H549" s="73"/>
      <c r="I549" s="73"/>
      <c r="J549" s="73"/>
      <c r="K549" s="73"/>
      <c r="L549" s="73"/>
      <c r="M549" s="73"/>
      <c r="N549" s="73"/>
      <c r="O549" s="73"/>
      <c r="P549" s="73"/>
      <c r="Q549" s="73"/>
      <c r="R549" s="73"/>
    </row>
    <row r="550" spans="1:18" x14ac:dyDescent="0.35">
      <c r="A550" s="73"/>
      <c r="B550" s="73"/>
      <c r="C550" s="73"/>
      <c r="D550" s="73"/>
      <c r="E550" s="73"/>
      <c r="F550" s="73"/>
      <c r="G550" s="73"/>
      <c r="H550" s="73"/>
      <c r="I550" s="73"/>
      <c r="J550" s="73"/>
      <c r="K550" s="73"/>
      <c r="L550" s="73"/>
      <c r="M550" s="73"/>
      <c r="N550" s="73"/>
      <c r="O550" s="73"/>
      <c r="P550" s="73"/>
      <c r="Q550" s="73"/>
      <c r="R550" s="73"/>
    </row>
    <row r="551" spans="1:18" x14ac:dyDescent="0.35">
      <c r="A551" s="73"/>
      <c r="B551" s="73"/>
      <c r="C551" s="73"/>
      <c r="D551" s="73"/>
      <c r="E551" s="73"/>
      <c r="F551" s="73"/>
      <c r="G551" s="73"/>
      <c r="H551" s="73"/>
      <c r="I551" s="73"/>
      <c r="J551" s="73"/>
      <c r="K551" s="73"/>
      <c r="L551" s="73"/>
      <c r="M551" s="73"/>
      <c r="N551" s="73"/>
      <c r="O551" s="73"/>
      <c r="P551" s="73"/>
      <c r="Q551" s="73"/>
      <c r="R551" s="73"/>
    </row>
    <row r="552" spans="1:18" x14ac:dyDescent="0.35">
      <c r="A552" s="185"/>
      <c r="B552" s="172"/>
      <c r="C552" s="172"/>
      <c r="D552" s="172"/>
      <c r="E552" s="172"/>
      <c r="F552" s="172"/>
      <c r="G552" s="172"/>
      <c r="H552" s="172"/>
      <c r="I552" s="172"/>
      <c r="J552" s="172"/>
      <c r="K552" s="172"/>
      <c r="L552" s="73"/>
      <c r="M552" s="73"/>
      <c r="N552" s="73"/>
      <c r="O552" s="73"/>
      <c r="P552" s="73"/>
      <c r="Q552" s="73"/>
      <c r="R552" s="73"/>
    </row>
    <row r="553" spans="1:18" ht="26" x14ac:dyDescent="0.35">
      <c r="A553" s="426"/>
      <c r="B553" s="427"/>
      <c r="C553" s="173" t="s">
        <v>44</v>
      </c>
      <c r="D553" s="187" t="s">
        <v>99</v>
      </c>
      <c r="E553" s="187" t="s">
        <v>100</v>
      </c>
      <c r="F553" s="187" t="s">
        <v>23</v>
      </c>
      <c r="G553" s="187" t="s">
        <v>101</v>
      </c>
      <c r="H553" s="187" t="s">
        <v>215</v>
      </c>
      <c r="I553" s="187" t="s">
        <v>216</v>
      </c>
      <c r="J553" s="187" t="s">
        <v>217</v>
      </c>
      <c r="K553" s="188" t="s">
        <v>218</v>
      </c>
      <c r="L553" s="73"/>
      <c r="M553" s="73"/>
      <c r="N553" s="73"/>
      <c r="O553" s="73"/>
      <c r="P553" s="73"/>
      <c r="Q553" s="73"/>
      <c r="R553" s="73"/>
    </row>
    <row r="554" spans="1:18" x14ac:dyDescent="0.35">
      <c r="A554" s="431" t="str">
        <f>A520</f>
        <v>Payoffs Q12</v>
      </c>
      <c r="B554" s="432" t="str">
        <f>B520</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554" s="174" t="s">
        <v>45</v>
      </c>
      <c r="D554" s="190" t="str">
        <f>IF('4.3 Elicitation data entry'!$C$38="","",'4.3 Elicitation data entry'!$C$38)</f>
        <v/>
      </c>
      <c r="E554" s="190" t="str">
        <f>IF('4.3 Elicitation data entry'!$D$38="","",'4.3 Elicitation data entry'!$D$38)</f>
        <v/>
      </c>
      <c r="F554" s="190" t="str">
        <f>IF('4.3 Elicitation data entry'!$E$38="","",'4.3 Elicitation data entry'!$E$38)</f>
        <v/>
      </c>
      <c r="G554" s="190" t="str">
        <f>IF('4.3 Elicitation data entry'!$F$38="","",'4.3 Elicitation data entry'!$F$38)</f>
        <v/>
      </c>
      <c r="H554" s="190" t="str">
        <f t="shared" ref="H554:H559" si="66">IF($F554="","",F554-J554)</f>
        <v/>
      </c>
      <c r="I554" s="191" t="str">
        <f t="shared" ref="I554:I559" si="67">IF($F554="","",K554-F554)</f>
        <v/>
      </c>
      <c r="J554" s="192" t="str">
        <f t="shared" ref="J554:J559" si="68">IF($F554="","",IF(F554-((F554-D554)/G554)*90&lt;-100,-100,F554-((F554-D554)/G554)*90))</f>
        <v/>
      </c>
      <c r="K554" s="193" t="str">
        <f t="shared" ref="K554:K559" si="69">IF($F554="","",(F554-((F554-E554)/G554)*90))</f>
        <v/>
      </c>
      <c r="L554" s="73"/>
      <c r="M554" s="73"/>
      <c r="N554" s="73"/>
      <c r="O554" s="73"/>
      <c r="P554" s="73"/>
      <c r="Q554" s="73"/>
      <c r="R554" s="73"/>
    </row>
    <row r="555" spans="1:18" x14ac:dyDescent="0.35">
      <c r="A555" s="431"/>
      <c r="B555" s="432"/>
      <c r="C555" s="174" t="s">
        <v>46</v>
      </c>
      <c r="D555" s="190" t="str">
        <f>IF('4.3 Elicitation data entry'!$H$38="","",'4.3 Elicitation data entry'!$H$38)</f>
        <v/>
      </c>
      <c r="E555" s="190" t="str">
        <f>IF('4.3 Elicitation data entry'!$I$38="","",'4.3 Elicitation data entry'!$I$38)</f>
        <v/>
      </c>
      <c r="F555" s="190" t="str">
        <f>IF('4.3 Elicitation data entry'!$J$38="","",'4.3 Elicitation data entry'!$J$38)</f>
        <v/>
      </c>
      <c r="G555" s="190" t="str">
        <f>IF('4.3 Elicitation data entry'!$K$38="","",'4.3 Elicitation data entry'!$K$38)</f>
        <v/>
      </c>
      <c r="H555" s="190" t="str">
        <f t="shared" si="66"/>
        <v/>
      </c>
      <c r="I555" s="191" t="str">
        <f t="shared" si="67"/>
        <v/>
      </c>
      <c r="J555" s="192" t="str">
        <f t="shared" si="68"/>
        <v/>
      </c>
      <c r="K555" s="193" t="str">
        <f t="shared" si="69"/>
        <v/>
      </c>
      <c r="L555" s="73"/>
      <c r="M555" s="73"/>
      <c r="N555" s="73"/>
      <c r="O555" s="73"/>
      <c r="P555" s="73"/>
      <c r="Q555" s="73"/>
      <c r="R555" s="73"/>
    </row>
    <row r="556" spans="1:18" x14ac:dyDescent="0.35">
      <c r="A556" s="431"/>
      <c r="B556" s="432"/>
      <c r="C556" s="174" t="s">
        <v>47</v>
      </c>
      <c r="D556" s="190" t="str">
        <f>IF('4.3 Elicitation data entry'!$M$38="","",'4.3 Elicitation data entry'!$M$38)</f>
        <v/>
      </c>
      <c r="E556" s="190" t="str">
        <f>IF('4.3 Elicitation data entry'!$N$38="","",'4.3 Elicitation data entry'!$N$38)</f>
        <v/>
      </c>
      <c r="F556" s="190" t="str">
        <f>IF('4.3 Elicitation data entry'!$O$38="","",'4.3 Elicitation data entry'!$O$38)</f>
        <v/>
      </c>
      <c r="G556" s="190" t="str">
        <f>IF('4.3 Elicitation data entry'!$P$38="","",'4.3 Elicitation data entry'!$P$38)</f>
        <v/>
      </c>
      <c r="H556" s="190" t="str">
        <f t="shared" si="66"/>
        <v/>
      </c>
      <c r="I556" s="191" t="str">
        <f t="shared" si="67"/>
        <v/>
      </c>
      <c r="J556" s="192" t="str">
        <f t="shared" si="68"/>
        <v/>
      </c>
      <c r="K556" s="193" t="str">
        <f t="shared" si="69"/>
        <v/>
      </c>
      <c r="L556" s="73"/>
      <c r="M556" s="73"/>
      <c r="N556" s="73"/>
      <c r="O556" s="73"/>
      <c r="P556" s="73"/>
      <c r="Q556" s="73"/>
      <c r="R556" s="73"/>
    </row>
    <row r="557" spans="1:18" x14ac:dyDescent="0.35">
      <c r="A557" s="431"/>
      <c r="B557" s="432"/>
      <c r="C557" s="174" t="s">
        <v>48</v>
      </c>
      <c r="D557" s="190" t="str">
        <f>IF('4.3 Elicitation data entry'!$R$38="","",'4.3 Elicitation data entry'!$R$38)</f>
        <v/>
      </c>
      <c r="E557" s="190" t="str">
        <f>IF('4.3 Elicitation data entry'!$S$38="","",'4.3 Elicitation data entry'!$S$38)</f>
        <v/>
      </c>
      <c r="F557" s="190" t="str">
        <f>IF('4.3 Elicitation data entry'!$T$38="","",'4.3 Elicitation data entry'!$T$38)</f>
        <v/>
      </c>
      <c r="G557" s="190" t="str">
        <f>IF('4.3 Elicitation data entry'!$U$38="","",'4.3 Elicitation data entry'!$U$38)</f>
        <v/>
      </c>
      <c r="H557" s="190" t="str">
        <f t="shared" si="66"/>
        <v/>
      </c>
      <c r="I557" s="191" t="str">
        <f t="shared" si="67"/>
        <v/>
      </c>
      <c r="J557" s="192" t="str">
        <f t="shared" si="68"/>
        <v/>
      </c>
      <c r="K557" s="193" t="str">
        <f t="shared" si="69"/>
        <v/>
      </c>
      <c r="L557" s="73"/>
      <c r="M557" s="73"/>
      <c r="N557" s="73"/>
      <c r="O557" s="73"/>
      <c r="P557" s="73"/>
      <c r="Q557" s="73"/>
      <c r="R557" s="73"/>
    </row>
    <row r="558" spans="1:18" x14ac:dyDescent="0.35">
      <c r="A558" s="431"/>
      <c r="B558" s="432"/>
      <c r="C558" s="174" t="s">
        <v>49</v>
      </c>
      <c r="D558" s="190" t="str">
        <f>IF('4.3 Elicitation data entry'!$W$38="","",'4.3 Elicitation data entry'!$W$38)</f>
        <v/>
      </c>
      <c r="E558" s="190" t="str">
        <f>IF('4.3 Elicitation data entry'!$X$38="","",'4.3 Elicitation data entry'!$X$38)</f>
        <v/>
      </c>
      <c r="F558" s="190" t="str">
        <f>IF('4.3 Elicitation data entry'!$Y$38="","",'4.3 Elicitation data entry'!$Y$38)</f>
        <v/>
      </c>
      <c r="G558" s="190" t="str">
        <f>IF('4.3 Elicitation data entry'!$Z$38="","",'4.3 Elicitation data entry'!$Z$38)</f>
        <v/>
      </c>
      <c r="H558" s="190" t="str">
        <f t="shared" si="66"/>
        <v/>
      </c>
      <c r="I558" s="191" t="str">
        <f t="shared" si="67"/>
        <v/>
      </c>
      <c r="J558" s="192" t="str">
        <f t="shared" si="68"/>
        <v/>
      </c>
      <c r="K558" s="193" t="str">
        <f t="shared" si="69"/>
        <v/>
      </c>
      <c r="L558" s="73"/>
      <c r="M558" s="73"/>
      <c r="N558" s="73"/>
      <c r="O558" s="73"/>
      <c r="P558" s="73"/>
      <c r="Q558" s="73"/>
      <c r="R558" s="73"/>
    </row>
    <row r="559" spans="1:18" x14ac:dyDescent="0.35">
      <c r="A559" s="431"/>
      <c r="B559" s="432"/>
      <c r="C559" s="174" t="s">
        <v>50</v>
      </c>
      <c r="D559" s="190" t="str">
        <f>IF('4.3 Elicitation data entry'!$AB$38="","",'4.3 Elicitation data entry'!$AB$38)</f>
        <v/>
      </c>
      <c r="E559" s="190" t="str">
        <f>IF('4.3 Elicitation data entry'!$AC$38="","",'4.3 Elicitation data entry'!$AC$38)</f>
        <v/>
      </c>
      <c r="F559" s="190" t="str">
        <f>IF('4.3 Elicitation data entry'!$AD$38="","",'4.3 Elicitation data entry'!$AD$38)</f>
        <v/>
      </c>
      <c r="G559" s="190" t="str">
        <f>IF('4.3 Elicitation data entry'!$AE$38="","",'4.3 Elicitation data entry'!$AE$38)</f>
        <v/>
      </c>
      <c r="H559" s="190" t="str">
        <f t="shared" si="66"/>
        <v/>
      </c>
      <c r="I559" s="191" t="str">
        <f t="shared" si="67"/>
        <v/>
      </c>
      <c r="J559" s="192" t="str">
        <f t="shared" si="68"/>
        <v/>
      </c>
      <c r="K559" s="193" t="str">
        <f t="shared" si="69"/>
        <v/>
      </c>
      <c r="L559" s="73"/>
      <c r="M559" s="73"/>
      <c r="N559" s="73"/>
      <c r="O559" s="73"/>
      <c r="P559" s="73"/>
      <c r="Q559" s="73"/>
      <c r="R559" s="73"/>
    </row>
    <row r="560" spans="1:18" x14ac:dyDescent="0.35">
      <c r="A560" s="175"/>
      <c r="B560" s="176" t="s">
        <v>51</v>
      </c>
      <c r="C560" s="177" t="s">
        <v>52</v>
      </c>
      <c r="D560" s="190" t="e">
        <f t="shared" ref="D560:I560" si="70">AVERAGE(D554:D559)</f>
        <v>#DIV/0!</v>
      </c>
      <c r="E560" s="194" t="e">
        <f t="shared" si="70"/>
        <v>#DIV/0!</v>
      </c>
      <c r="F560" s="194" t="e">
        <f t="shared" si="70"/>
        <v>#DIV/0!</v>
      </c>
      <c r="G560" s="194" t="e">
        <f t="shared" si="70"/>
        <v>#DIV/0!</v>
      </c>
      <c r="H560" s="190" t="e">
        <f t="shared" si="70"/>
        <v>#DIV/0!</v>
      </c>
      <c r="I560" s="190" t="e">
        <f t="shared" si="70"/>
        <v>#DIV/0!</v>
      </c>
      <c r="J560" s="192" t="e">
        <f>IF((F560-((F560-D560)/G560)*90)&lt;-100,-100,(F560-((F560-D560)/G560)*90))</f>
        <v>#DIV/0!</v>
      </c>
      <c r="K560" s="193" t="e">
        <f>IF((F560-((F560-E560)/G560)*90)&lt;-100,-100,(F560-((F560-E560)/G560)*90))</f>
        <v>#DIV/0!</v>
      </c>
      <c r="L560" s="73"/>
      <c r="M560" s="73"/>
      <c r="N560" s="73"/>
      <c r="O560" s="73"/>
      <c r="P560" s="73"/>
      <c r="Q560" s="73"/>
      <c r="R560" s="73"/>
    </row>
    <row r="561" spans="1:18" x14ac:dyDescent="0.35">
      <c r="A561" s="178"/>
      <c r="B561" s="179"/>
      <c r="C561" s="180" t="s">
        <v>53</v>
      </c>
      <c r="D561" s="196" t="e">
        <f t="shared" ref="D561:K561" si="71">STDEV(D554:D559)/SQRT(COUNT(D554:D559))</f>
        <v>#DIV/0!</v>
      </c>
      <c r="E561" s="196" t="e">
        <f t="shared" si="71"/>
        <v>#DIV/0!</v>
      </c>
      <c r="F561" s="196" t="e">
        <f t="shared" si="71"/>
        <v>#DIV/0!</v>
      </c>
      <c r="G561" s="196" t="e">
        <f t="shared" si="71"/>
        <v>#DIV/0!</v>
      </c>
      <c r="H561" s="197" t="e">
        <f t="shared" si="71"/>
        <v>#DIV/0!</v>
      </c>
      <c r="I561" s="197" t="e">
        <f t="shared" si="71"/>
        <v>#DIV/0!</v>
      </c>
      <c r="J561" s="197" t="e">
        <f t="shared" si="71"/>
        <v>#DIV/0!</v>
      </c>
      <c r="K561" s="198" t="e">
        <f t="shared" si="71"/>
        <v>#DIV/0!</v>
      </c>
      <c r="L561" s="73"/>
      <c r="M561" s="73"/>
      <c r="N561" s="73"/>
      <c r="O561" s="73"/>
      <c r="P561" s="73"/>
      <c r="Q561" s="73"/>
      <c r="R561" s="73"/>
    </row>
    <row r="562" spans="1:18" x14ac:dyDescent="0.35">
      <c r="A562" s="199"/>
      <c r="B562" s="73"/>
      <c r="C562" s="73"/>
      <c r="D562" s="73"/>
      <c r="E562" s="73"/>
      <c r="F562" s="73"/>
      <c r="G562" s="73"/>
      <c r="H562" s="73"/>
      <c r="I562" s="73"/>
      <c r="J562" s="73"/>
      <c r="L562" s="73"/>
      <c r="M562" s="73"/>
      <c r="N562" s="73"/>
      <c r="O562" s="73"/>
      <c r="P562" s="73"/>
      <c r="Q562" s="73"/>
      <c r="R562" s="73"/>
    </row>
    <row r="563" spans="1:18" x14ac:dyDescent="0.35">
      <c r="A563" s="199"/>
      <c r="B563" s="73"/>
      <c r="C563" s="73"/>
      <c r="D563" s="73"/>
      <c r="E563" s="73"/>
      <c r="F563" s="73"/>
      <c r="G563" s="73"/>
      <c r="H563" s="73"/>
      <c r="I563" s="73"/>
      <c r="J563" s="73"/>
      <c r="L563" s="73"/>
      <c r="M563" s="73"/>
      <c r="N563" s="73"/>
      <c r="O563" s="73"/>
      <c r="P563" s="73"/>
      <c r="Q563" s="73"/>
      <c r="R563" s="73"/>
    </row>
    <row r="564" spans="1:18" x14ac:dyDescent="0.35">
      <c r="A564" s="199"/>
      <c r="B564" s="73"/>
      <c r="C564" s="73"/>
      <c r="D564" s="73"/>
      <c r="E564" s="73"/>
      <c r="F564" s="73"/>
      <c r="G564" s="73"/>
      <c r="H564" s="73"/>
      <c r="I564" s="73"/>
      <c r="J564" s="73"/>
      <c r="L564" s="73"/>
      <c r="M564" s="73"/>
      <c r="N564" s="73"/>
      <c r="O564" s="73"/>
      <c r="P564" s="73"/>
      <c r="Q564" s="73"/>
      <c r="R564" s="73"/>
    </row>
    <row r="565" spans="1:18" x14ac:dyDescent="0.35">
      <c r="A565" s="199"/>
      <c r="B565" s="73"/>
      <c r="C565" s="73"/>
      <c r="D565" s="73"/>
      <c r="E565" s="73"/>
      <c r="F565" s="73"/>
      <c r="G565" s="73"/>
      <c r="H565" s="73"/>
      <c r="I565" s="73"/>
      <c r="J565" s="73"/>
      <c r="L565" s="73"/>
      <c r="M565" s="73"/>
      <c r="N565" s="73"/>
      <c r="O565" s="73"/>
      <c r="P565" s="73"/>
      <c r="Q565" s="73"/>
      <c r="R565" s="73"/>
    </row>
    <row r="566" spans="1:18" x14ac:dyDescent="0.35">
      <c r="A566" s="199"/>
      <c r="B566" s="73"/>
      <c r="C566" s="73"/>
      <c r="D566" s="73"/>
      <c r="E566" s="73"/>
      <c r="F566" s="73"/>
      <c r="G566" s="73"/>
      <c r="H566" s="73"/>
      <c r="I566" s="73"/>
      <c r="J566" s="73"/>
      <c r="L566" s="73"/>
      <c r="M566" s="73"/>
      <c r="N566" s="73"/>
      <c r="O566" s="73"/>
      <c r="P566" s="73"/>
      <c r="Q566" s="73"/>
      <c r="R566" s="73"/>
    </row>
    <row r="567" spans="1:18" ht="35.15" customHeight="1" x14ac:dyDescent="0.35">
      <c r="A567" s="164" t="s">
        <v>231</v>
      </c>
      <c r="B567" s="433" t="s">
        <v>132</v>
      </c>
      <c r="C567" s="434"/>
      <c r="D567" s="434"/>
      <c r="E567" s="434"/>
      <c r="F567" s="434"/>
      <c r="G567" s="434"/>
      <c r="H567" s="434"/>
      <c r="I567" s="434"/>
      <c r="J567" s="434"/>
      <c r="K567" s="435"/>
      <c r="L567" s="73"/>
      <c r="M567" s="73"/>
      <c r="N567" s="73"/>
      <c r="O567" s="73"/>
      <c r="P567" s="73"/>
      <c r="Q567" s="73"/>
      <c r="R567" s="73"/>
    </row>
    <row r="568" spans="1:18" x14ac:dyDescent="0.35">
      <c r="A568" s="73"/>
      <c r="B568" s="73"/>
      <c r="C568" s="73"/>
      <c r="D568" s="73"/>
      <c r="E568" s="73"/>
      <c r="F568" s="73"/>
      <c r="G568" s="73"/>
      <c r="H568" s="73"/>
      <c r="I568" s="73"/>
      <c r="J568" s="73"/>
      <c r="K568" s="73"/>
      <c r="L568" s="73"/>
      <c r="M568" s="73"/>
      <c r="N568" s="73"/>
      <c r="O568" s="73"/>
      <c r="P568" s="73"/>
      <c r="Q568" s="73"/>
      <c r="R568" s="73"/>
    </row>
    <row r="569" spans="1:18" x14ac:dyDescent="0.35">
      <c r="A569" s="73"/>
      <c r="B569" s="73"/>
      <c r="C569" s="73"/>
      <c r="D569" s="73"/>
      <c r="E569" s="73"/>
      <c r="F569" s="73"/>
      <c r="G569" s="73"/>
      <c r="H569" s="73"/>
      <c r="I569" s="73"/>
      <c r="J569" s="73"/>
      <c r="K569" s="73"/>
      <c r="L569" s="73"/>
      <c r="M569" s="73"/>
      <c r="N569" s="73"/>
      <c r="O569" s="73"/>
      <c r="P569" s="73"/>
      <c r="Q569" s="73"/>
      <c r="R569" s="73"/>
    </row>
    <row r="570" spans="1:18" x14ac:dyDescent="0.35">
      <c r="A570" s="73"/>
      <c r="B570" s="73"/>
      <c r="C570" s="73"/>
      <c r="D570" s="73"/>
      <c r="E570" s="73"/>
      <c r="F570" s="73"/>
      <c r="G570" s="73"/>
      <c r="H570" s="73"/>
      <c r="I570" s="73"/>
      <c r="J570" s="73"/>
      <c r="K570" s="73"/>
      <c r="L570" s="73"/>
      <c r="M570" s="73"/>
      <c r="N570" s="73"/>
      <c r="O570" s="73"/>
      <c r="P570" s="73"/>
      <c r="Q570" s="73"/>
      <c r="R570" s="73"/>
    </row>
    <row r="571" spans="1:18" x14ac:dyDescent="0.35">
      <c r="A571" s="73"/>
      <c r="B571" s="73"/>
      <c r="C571" s="73"/>
      <c r="D571" s="73"/>
      <c r="E571" s="73"/>
      <c r="F571" s="73"/>
      <c r="G571" s="73"/>
      <c r="H571" s="73"/>
      <c r="I571" s="73"/>
      <c r="J571" s="73"/>
      <c r="K571" s="73"/>
      <c r="L571" s="73"/>
      <c r="M571" s="73"/>
      <c r="N571" s="73"/>
      <c r="O571" s="73"/>
      <c r="P571" s="73"/>
      <c r="Q571" s="73"/>
      <c r="R571" s="73"/>
    </row>
    <row r="572" spans="1:18" x14ac:dyDescent="0.35">
      <c r="A572" s="73"/>
      <c r="B572" s="73"/>
      <c r="C572" s="73"/>
      <c r="D572" s="73"/>
      <c r="E572" s="73"/>
      <c r="F572" s="73"/>
      <c r="G572" s="73"/>
      <c r="H572" s="73"/>
      <c r="I572" s="73"/>
      <c r="J572" s="73"/>
      <c r="K572" s="73"/>
      <c r="L572" s="73"/>
      <c r="M572" s="73"/>
      <c r="N572" s="73"/>
      <c r="O572" s="73"/>
      <c r="P572" s="73"/>
      <c r="Q572" s="73"/>
      <c r="R572" s="73"/>
    </row>
    <row r="573" spans="1:18" x14ac:dyDescent="0.35">
      <c r="A573" s="73"/>
      <c r="B573" s="73"/>
      <c r="C573" s="73"/>
      <c r="D573" s="73"/>
      <c r="E573" s="73"/>
      <c r="F573" s="73"/>
      <c r="G573" s="73"/>
      <c r="H573" s="73"/>
      <c r="I573" s="73"/>
      <c r="J573" s="73"/>
      <c r="K573" s="73"/>
      <c r="L573" s="73"/>
      <c r="M573" s="73"/>
      <c r="N573" s="73"/>
      <c r="O573" s="73"/>
      <c r="P573" s="73"/>
      <c r="Q573" s="73"/>
      <c r="R573" s="73"/>
    </row>
    <row r="574" spans="1:18" x14ac:dyDescent="0.35">
      <c r="A574" s="73"/>
      <c r="B574" s="73"/>
      <c r="C574" s="73"/>
      <c r="D574" s="73"/>
      <c r="E574" s="73"/>
      <c r="F574" s="73"/>
      <c r="G574" s="73"/>
      <c r="H574" s="73"/>
      <c r="I574" s="73"/>
      <c r="J574" s="73"/>
      <c r="K574" s="73"/>
      <c r="L574" s="73"/>
      <c r="M574" s="73"/>
      <c r="N574" s="73"/>
      <c r="O574" s="73"/>
      <c r="P574" s="73"/>
      <c r="Q574" s="73"/>
      <c r="R574" s="73"/>
    </row>
    <row r="575" spans="1:18" x14ac:dyDescent="0.35">
      <c r="A575" s="73"/>
      <c r="B575" s="73"/>
      <c r="C575" s="73"/>
      <c r="D575" s="73"/>
      <c r="E575" s="73"/>
      <c r="F575" s="73"/>
      <c r="G575" s="73"/>
      <c r="H575" s="73"/>
      <c r="I575" s="73"/>
      <c r="J575" s="73"/>
      <c r="K575" s="73"/>
      <c r="L575" s="73"/>
      <c r="M575" s="73"/>
      <c r="N575" s="73"/>
      <c r="O575" s="73"/>
      <c r="P575" s="73"/>
      <c r="Q575" s="73"/>
      <c r="R575" s="73"/>
    </row>
    <row r="576" spans="1:18" x14ac:dyDescent="0.35">
      <c r="A576" s="73"/>
      <c r="B576" s="73"/>
      <c r="C576" s="73"/>
      <c r="D576" s="73"/>
      <c r="E576" s="73"/>
      <c r="F576" s="73"/>
      <c r="G576" s="73"/>
      <c r="H576" s="73"/>
      <c r="I576" s="73"/>
      <c r="J576" s="73"/>
      <c r="K576" s="73"/>
      <c r="L576" s="73"/>
      <c r="M576" s="73"/>
      <c r="N576" s="73"/>
      <c r="O576" s="73"/>
      <c r="P576" s="73"/>
      <c r="Q576" s="73"/>
      <c r="R576" s="73"/>
    </row>
    <row r="577" spans="1:18" x14ac:dyDescent="0.35">
      <c r="A577" s="73"/>
      <c r="B577" s="73"/>
      <c r="C577" s="73"/>
      <c r="D577" s="73"/>
      <c r="E577" s="73"/>
      <c r="F577" s="73"/>
      <c r="G577" s="73"/>
      <c r="H577" s="73"/>
      <c r="I577" s="73"/>
      <c r="J577" s="73"/>
      <c r="K577" s="73"/>
      <c r="L577" s="73"/>
      <c r="M577" s="73"/>
      <c r="N577" s="73"/>
      <c r="O577" s="73"/>
      <c r="P577" s="73"/>
      <c r="Q577" s="73"/>
      <c r="R577" s="73"/>
    </row>
    <row r="578" spans="1:18" x14ac:dyDescent="0.35">
      <c r="A578" s="73"/>
      <c r="B578" s="73"/>
      <c r="C578" s="73"/>
      <c r="D578" s="73"/>
      <c r="E578" s="73"/>
      <c r="F578" s="73"/>
      <c r="G578" s="73"/>
      <c r="H578" s="73"/>
      <c r="I578" s="73"/>
      <c r="J578" s="73"/>
      <c r="K578" s="73"/>
      <c r="L578" s="73"/>
      <c r="M578" s="73"/>
      <c r="N578" s="73"/>
      <c r="O578" s="73"/>
      <c r="P578" s="73"/>
      <c r="Q578" s="73"/>
      <c r="R578" s="73"/>
    </row>
    <row r="579" spans="1:18" x14ac:dyDescent="0.35">
      <c r="A579" s="73"/>
      <c r="B579" s="73"/>
      <c r="C579" s="73"/>
      <c r="D579" s="73"/>
      <c r="E579" s="73"/>
      <c r="F579" s="73"/>
      <c r="G579" s="73"/>
      <c r="H579" s="73"/>
      <c r="I579" s="73"/>
      <c r="J579" s="73"/>
      <c r="K579" s="73"/>
      <c r="L579" s="73"/>
      <c r="M579" s="73"/>
      <c r="N579" s="73"/>
      <c r="O579" s="73"/>
      <c r="P579" s="73"/>
      <c r="Q579" s="73"/>
      <c r="R579" s="73"/>
    </row>
    <row r="580" spans="1:18" x14ac:dyDescent="0.35">
      <c r="A580" s="73"/>
      <c r="B580" s="73"/>
      <c r="C580" s="73"/>
      <c r="D580" s="73"/>
      <c r="E580" s="73"/>
      <c r="F580" s="73"/>
      <c r="G580" s="73"/>
      <c r="H580" s="73"/>
      <c r="I580" s="73"/>
      <c r="J580" s="73"/>
      <c r="K580" s="73"/>
      <c r="L580" s="73"/>
      <c r="M580" s="73"/>
      <c r="N580" s="73"/>
      <c r="O580" s="73"/>
      <c r="P580" s="73"/>
      <c r="Q580" s="73"/>
      <c r="R580" s="73"/>
    </row>
    <row r="581" spans="1:18" x14ac:dyDescent="0.35">
      <c r="A581" s="73"/>
      <c r="B581" s="73"/>
      <c r="C581" s="73"/>
      <c r="D581" s="73"/>
      <c r="E581" s="73"/>
      <c r="F581" s="73"/>
      <c r="G581" s="73"/>
      <c r="H581" s="73"/>
      <c r="I581" s="73"/>
      <c r="J581" s="73"/>
      <c r="K581" s="73"/>
      <c r="L581" s="73"/>
      <c r="M581" s="73"/>
      <c r="N581" s="73"/>
      <c r="O581" s="73"/>
      <c r="P581" s="73"/>
      <c r="Q581" s="73"/>
      <c r="R581" s="73"/>
    </row>
    <row r="582" spans="1:18" x14ac:dyDescent="0.35">
      <c r="A582" s="73"/>
      <c r="B582" s="73"/>
      <c r="C582" s="73"/>
      <c r="D582" s="73"/>
      <c r="E582" s="73"/>
      <c r="F582" s="73"/>
      <c r="G582" s="73"/>
      <c r="H582" s="73"/>
      <c r="I582" s="73"/>
      <c r="J582" s="73"/>
      <c r="K582" s="73"/>
      <c r="L582" s="73"/>
      <c r="M582" s="73"/>
      <c r="N582" s="73"/>
      <c r="O582" s="73"/>
      <c r="P582" s="73"/>
      <c r="Q582" s="73"/>
      <c r="R582" s="73"/>
    </row>
    <row r="583" spans="1:18" x14ac:dyDescent="0.35">
      <c r="A583" s="73"/>
      <c r="B583" s="73"/>
      <c r="C583" s="73"/>
      <c r="D583" s="73"/>
      <c r="E583" s="73"/>
      <c r="F583" s="73"/>
      <c r="G583" s="73"/>
      <c r="H583" s="73"/>
      <c r="I583" s="73"/>
      <c r="J583" s="73"/>
      <c r="K583" s="73"/>
      <c r="L583" s="73"/>
      <c r="M583" s="73"/>
      <c r="N583" s="73"/>
      <c r="O583" s="73"/>
      <c r="P583" s="73"/>
      <c r="Q583" s="73"/>
      <c r="R583" s="73"/>
    </row>
    <row r="584" spans="1:18" x14ac:dyDescent="0.35">
      <c r="A584" s="73"/>
      <c r="B584" s="73"/>
      <c r="C584" s="73"/>
      <c r="D584" s="73"/>
      <c r="E584" s="73"/>
      <c r="F584" s="73"/>
      <c r="G584" s="73"/>
      <c r="H584" s="73"/>
      <c r="I584" s="73"/>
      <c r="J584" s="73"/>
      <c r="K584" s="73"/>
      <c r="L584" s="73"/>
      <c r="M584" s="73"/>
      <c r="N584" s="73"/>
      <c r="O584" s="73"/>
      <c r="P584" s="73"/>
      <c r="Q584" s="73"/>
      <c r="R584" s="73"/>
    </row>
    <row r="585" spans="1:18" x14ac:dyDescent="0.35">
      <c r="A585" s="73"/>
      <c r="B585" s="73"/>
      <c r="C585" s="73"/>
      <c r="D585" s="73"/>
      <c r="E585" s="73"/>
      <c r="F585" s="73"/>
      <c r="G585" s="73"/>
      <c r="H585" s="73"/>
      <c r="I585" s="73"/>
      <c r="J585" s="73"/>
      <c r="K585" s="73"/>
      <c r="L585" s="73"/>
      <c r="M585" s="73"/>
      <c r="N585" s="73"/>
      <c r="O585" s="73"/>
      <c r="P585" s="73"/>
      <c r="Q585" s="73"/>
      <c r="R585" s="73"/>
    </row>
    <row r="586" spans="1:18" x14ac:dyDescent="0.35">
      <c r="A586" s="73"/>
      <c r="B586" s="73"/>
      <c r="C586" s="73"/>
      <c r="D586" s="73"/>
      <c r="E586" s="73"/>
      <c r="F586" s="73"/>
      <c r="G586" s="73"/>
      <c r="H586" s="73"/>
      <c r="I586" s="73"/>
      <c r="J586" s="73"/>
      <c r="K586" s="73"/>
      <c r="L586" s="73"/>
      <c r="M586" s="73"/>
      <c r="N586" s="73"/>
      <c r="O586" s="73"/>
      <c r="P586" s="73"/>
      <c r="Q586" s="73"/>
      <c r="R586" s="73"/>
    </row>
    <row r="587" spans="1:18" x14ac:dyDescent="0.35">
      <c r="A587" s="73"/>
      <c r="B587" s="73"/>
      <c r="C587" s="73"/>
      <c r="D587" s="73"/>
      <c r="E587" s="73"/>
      <c r="F587" s="73"/>
      <c r="G587" s="73"/>
      <c r="H587" s="73"/>
      <c r="I587" s="73"/>
      <c r="J587" s="73"/>
      <c r="K587" s="73"/>
      <c r="L587" s="73"/>
      <c r="M587" s="73"/>
      <c r="N587" s="73"/>
      <c r="O587" s="73"/>
      <c r="P587" s="73"/>
      <c r="Q587" s="73"/>
      <c r="R587" s="73"/>
    </row>
    <row r="588" spans="1:18" x14ac:dyDescent="0.35">
      <c r="A588" s="73"/>
      <c r="B588" s="73"/>
      <c r="C588" s="73"/>
      <c r="D588" s="73"/>
      <c r="E588" s="73"/>
      <c r="F588" s="73"/>
      <c r="G588" s="73"/>
      <c r="H588" s="73"/>
      <c r="I588" s="73"/>
      <c r="J588" s="73"/>
      <c r="K588" s="73"/>
      <c r="L588" s="73"/>
      <c r="M588" s="73"/>
      <c r="N588" s="73"/>
      <c r="O588" s="73"/>
      <c r="P588" s="73"/>
      <c r="Q588" s="73"/>
      <c r="R588" s="73"/>
    </row>
    <row r="589" spans="1:18" x14ac:dyDescent="0.35">
      <c r="A589" s="73"/>
      <c r="B589" s="73"/>
      <c r="C589" s="73"/>
      <c r="D589" s="73"/>
      <c r="E589" s="73"/>
      <c r="F589" s="73"/>
      <c r="G589" s="73"/>
      <c r="H589" s="73"/>
      <c r="I589" s="73"/>
      <c r="J589" s="73"/>
      <c r="K589" s="73"/>
      <c r="L589" s="73"/>
      <c r="M589" s="73"/>
      <c r="N589" s="73"/>
      <c r="O589" s="73"/>
      <c r="P589" s="73"/>
      <c r="Q589" s="73"/>
      <c r="R589" s="73"/>
    </row>
    <row r="590" spans="1:18" x14ac:dyDescent="0.35">
      <c r="A590" s="73"/>
      <c r="B590" s="73"/>
      <c r="C590" s="73"/>
      <c r="D590" s="73"/>
      <c r="E590" s="73"/>
      <c r="F590" s="73"/>
      <c r="G590" s="73"/>
      <c r="H590" s="73"/>
      <c r="I590" s="73"/>
      <c r="J590" s="73"/>
      <c r="K590" s="73"/>
      <c r="L590" s="73"/>
      <c r="M590" s="73"/>
      <c r="N590" s="73"/>
      <c r="O590" s="73"/>
      <c r="P590" s="73"/>
      <c r="Q590" s="73"/>
      <c r="R590" s="73"/>
    </row>
    <row r="591" spans="1:18" x14ac:dyDescent="0.35">
      <c r="A591" s="73"/>
      <c r="B591" s="73"/>
      <c r="C591" s="73"/>
      <c r="D591" s="73"/>
      <c r="E591" s="73"/>
      <c r="F591" s="73"/>
      <c r="G591" s="73"/>
      <c r="H591" s="73"/>
      <c r="I591" s="73"/>
      <c r="J591" s="73"/>
      <c r="K591" s="73"/>
      <c r="L591" s="73"/>
      <c r="M591" s="73"/>
      <c r="N591" s="73"/>
      <c r="O591" s="73"/>
      <c r="P591" s="73"/>
      <c r="Q591" s="73"/>
      <c r="R591" s="73"/>
    </row>
    <row r="592" spans="1:18" x14ac:dyDescent="0.35">
      <c r="A592" s="73"/>
      <c r="B592" s="73"/>
      <c r="C592" s="73"/>
      <c r="D592" s="73"/>
      <c r="E592" s="73"/>
      <c r="F592" s="73"/>
      <c r="G592" s="73"/>
      <c r="H592" s="73"/>
      <c r="I592" s="73"/>
      <c r="J592" s="73"/>
      <c r="K592" s="73"/>
      <c r="L592" s="73"/>
      <c r="M592" s="73"/>
      <c r="N592" s="73"/>
      <c r="O592" s="73"/>
      <c r="P592" s="73"/>
      <c r="Q592" s="73"/>
      <c r="R592" s="73"/>
    </row>
    <row r="593" spans="1:18" x14ac:dyDescent="0.35">
      <c r="A593" s="73"/>
      <c r="B593" s="73"/>
      <c r="C593" s="73"/>
      <c r="D593" s="73"/>
      <c r="E593" s="73"/>
      <c r="F593" s="73"/>
      <c r="G593" s="73"/>
      <c r="H593" s="73"/>
      <c r="I593" s="73"/>
      <c r="J593" s="73"/>
      <c r="K593" s="73"/>
      <c r="L593" s="73"/>
      <c r="M593" s="73"/>
      <c r="N593" s="73"/>
      <c r="O593" s="73"/>
      <c r="P593" s="73"/>
      <c r="Q593" s="73"/>
      <c r="R593" s="73"/>
    </row>
    <row r="594" spans="1:18" x14ac:dyDescent="0.35">
      <c r="A594" s="73"/>
      <c r="B594" s="73"/>
      <c r="C594" s="73"/>
      <c r="D594" s="73"/>
      <c r="E594" s="73"/>
      <c r="F594" s="73"/>
      <c r="G594" s="73"/>
      <c r="H594" s="73"/>
      <c r="I594" s="73"/>
      <c r="J594" s="73"/>
      <c r="K594" s="73"/>
      <c r="L594" s="73"/>
      <c r="M594" s="73"/>
      <c r="N594" s="73"/>
      <c r="O594" s="73"/>
      <c r="P594" s="73"/>
      <c r="Q594" s="73"/>
      <c r="R594" s="73"/>
    </row>
    <row r="595" spans="1:18" x14ac:dyDescent="0.35">
      <c r="A595" s="73"/>
      <c r="B595" s="73"/>
      <c r="C595" s="73"/>
      <c r="D595" s="73"/>
      <c r="E595" s="73"/>
      <c r="F595" s="73"/>
      <c r="G595" s="73"/>
      <c r="H595" s="73"/>
      <c r="I595" s="73"/>
      <c r="J595" s="73"/>
      <c r="K595" s="73"/>
      <c r="L595" s="73"/>
      <c r="M595" s="73"/>
      <c r="N595" s="73"/>
      <c r="O595" s="73"/>
      <c r="P595" s="73"/>
      <c r="Q595" s="73"/>
      <c r="R595" s="73"/>
    </row>
    <row r="596" spans="1:18" x14ac:dyDescent="0.35">
      <c r="A596" s="73"/>
      <c r="B596" s="73"/>
      <c r="C596" s="73"/>
      <c r="D596" s="73"/>
      <c r="E596" s="73"/>
      <c r="F596" s="73"/>
      <c r="G596" s="73"/>
      <c r="H596" s="73"/>
      <c r="I596" s="73"/>
      <c r="J596" s="73"/>
      <c r="K596" s="73"/>
      <c r="L596" s="73"/>
      <c r="M596" s="73"/>
      <c r="N596" s="73"/>
      <c r="O596" s="73"/>
      <c r="P596" s="73"/>
      <c r="Q596" s="73"/>
      <c r="R596" s="73"/>
    </row>
    <row r="597" spans="1:18" x14ac:dyDescent="0.35">
      <c r="A597" s="73"/>
      <c r="B597" s="73"/>
      <c r="C597" s="73"/>
      <c r="D597" s="73"/>
      <c r="E597" s="73"/>
      <c r="F597" s="73"/>
      <c r="G597" s="73"/>
      <c r="H597" s="73"/>
      <c r="I597" s="73"/>
      <c r="J597" s="73"/>
      <c r="K597" s="73"/>
      <c r="L597" s="73"/>
      <c r="M597" s="73"/>
      <c r="N597" s="73"/>
      <c r="O597" s="73"/>
      <c r="P597" s="73"/>
      <c r="Q597" s="73"/>
      <c r="R597" s="73"/>
    </row>
    <row r="598" spans="1:18" x14ac:dyDescent="0.35">
      <c r="A598" s="73"/>
      <c r="B598" s="73"/>
      <c r="C598" s="73"/>
      <c r="D598" s="73"/>
      <c r="E598" s="73"/>
      <c r="F598" s="73"/>
      <c r="G598" s="73"/>
      <c r="H598" s="73"/>
      <c r="I598" s="73"/>
      <c r="J598" s="73"/>
      <c r="K598" s="73"/>
      <c r="L598" s="73"/>
      <c r="M598" s="73"/>
      <c r="N598" s="73"/>
      <c r="O598" s="73"/>
      <c r="P598" s="73"/>
      <c r="Q598" s="73"/>
      <c r="R598" s="73"/>
    </row>
    <row r="599" spans="1:18" x14ac:dyDescent="0.35">
      <c r="A599" s="185"/>
      <c r="B599" s="172"/>
      <c r="C599" s="172"/>
      <c r="D599" s="172"/>
      <c r="E599" s="172"/>
      <c r="F599" s="172"/>
      <c r="G599" s="172"/>
      <c r="H599" s="172"/>
      <c r="I599" s="172"/>
      <c r="J599" s="172"/>
      <c r="K599" s="172"/>
      <c r="L599" s="73"/>
      <c r="M599" s="73"/>
      <c r="N599" s="73"/>
      <c r="O599" s="73"/>
      <c r="P599" s="73"/>
      <c r="Q599" s="73"/>
      <c r="R599" s="73"/>
    </row>
    <row r="600" spans="1:18" ht="26" x14ac:dyDescent="0.35">
      <c r="A600" s="426"/>
      <c r="B600" s="427"/>
      <c r="C600" s="173" t="s">
        <v>44</v>
      </c>
      <c r="D600" s="187" t="s">
        <v>99</v>
      </c>
      <c r="E600" s="187" t="s">
        <v>100</v>
      </c>
      <c r="F600" s="187" t="s">
        <v>23</v>
      </c>
      <c r="G600" s="187" t="s">
        <v>101</v>
      </c>
      <c r="H600" s="187" t="s">
        <v>215</v>
      </c>
      <c r="I600" s="187" t="s">
        <v>216</v>
      </c>
      <c r="J600" s="187" t="s">
        <v>217</v>
      </c>
      <c r="K600" s="188" t="s">
        <v>218</v>
      </c>
      <c r="L600" s="73"/>
      <c r="M600" s="73"/>
      <c r="N600" s="73"/>
      <c r="O600" s="73"/>
      <c r="P600" s="73"/>
      <c r="Q600" s="73"/>
      <c r="R600" s="73"/>
    </row>
    <row r="601" spans="1:18" x14ac:dyDescent="0.35">
      <c r="A601" s="431" t="str">
        <f>A567</f>
        <v>Payoffs Q13</v>
      </c>
      <c r="B601" s="432" t="str">
        <f>B567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601" s="174" t="s">
        <v>45</v>
      </c>
      <c r="D601" s="190" t="str">
        <f>IF('4.3 Elicitation data entry'!$C$39="","",'4.3 Elicitation data entry'!$C$39)</f>
        <v/>
      </c>
      <c r="E601" s="190" t="str">
        <f>IF('4.3 Elicitation data entry'!$D$39="","",'4.3 Elicitation data entry'!$D$39)</f>
        <v/>
      </c>
      <c r="F601" s="190" t="str">
        <f>IF('4.3 Elicitation data entry'!$E$39="","",'4.3 Elicitation data entry'!$E$39)</f>
        <v/>
      </c>
      <c r="G601" s="190" t="str">
        <f>IF('4.3 Elicitation data entry'!$F$39="","",'4.3 Elicitation data entry'!$F$39)</f>
        <v/>
      </c>
      <c r="H601" s="190" t="str">
        <f t="shared" ref="H601:H606" si="72">IF($F601="","",F601-J601)</f>
        <v/>
      </c>
      <c r="I601" s="191" t="str">
        <f t="shared" ref="I601:I606" si="73">IF($F601="","",K601-F601)</f>
        <v/>
      </c>
      <c r="J601" s="192" t="str">
        <f t="shared" ref="J601:J606" si="74">IF($F601="","",IF(F601-((F601-D601)/G601)*90&lt;-100,-100,F601-((F601-D601)/G601)*90))</f>
        <v/>
      </c>
      <c r="K601" s="193" t="str">
        <f t="shared" ref="K601:K606" si="75">IF($F601="","",(F601-((F601-E601)/G601)*90))</f>
        <v/>
      </c>
      <c r="L601" s="73"/>
      <c r="M601" s="73"/>
      <c r="N601" s="73"/>
      <c r="O601" s="73"/>
      <c r="P601" s="73"/>
      <c r="Q601" s="73"/>
      <c r="R601" s="73"/>
    </row>
    <row r="602" spans="1:18" x14ac:dyDescent="0.35">
      <c r="A602" s="431"/>
      <c r="B602" s="432"/>
      <c r="C602" s="174" t="s">
        <v>46</v>
      </c>
      <c r="D602" s="190" t="str">
        <f>IF('4.3 Elicitation data entry'!$H$39="","",'4.3 Elicitation data entry'!$H$39)</f>
        <v/>
      </c>
      <c r="E602" s="190" t="str">
        <f>IF('4.3 Elicitation data entry'!$I$39="","",'4.3 Elicitation data entry'!$I$39)</f>
        <v/>
      </c>
      <c r="F602" s="190" t="str">
        <f>IF('4.3 Elicitation data entry'!$J$39="","",'4.3 Elicitation data entry'!$J$39)</f>
        <v/>
      </c>
      <c r="G602" s="190" t="str">
        <f>IF('4.3 Elicitation data entry'!$K$39="","",'4.3 Elicitation data entry'!$K$39)</f>
        <v/>
      </c>
      <c r="H602" s="190" t="str">
        <f t="shared" si="72"/>
        <v/>
      </c>
      <c r="I602" s="191" t="str">
        <f t="shared" si="73"/>
        <v/>
      </c>
      <c r="J602" s="192" t="str">
        <f t="shared" si="74"/>
        <v/>
      </c>
      <c r="K602" s="193" t="str">
        <f t="shared" si="75"/>
        <v/>
      </c>
      <c r="L602" s="73"/>
      <c r="M602" s="73"/>
      <c r="N602" s="73"/>
      <c r="O602" s="73"/>
      <c r="P602" s="73"/>
      <c r="Q602" s="73"/>
      <c r="R602" s="73"/>
    </row>
    <row r="603" spans="1:18" x14ac:dyDescent="0.35">
      <c r="A603" s="431"/>
      <c r="B603" s="432"/>
      <c r="C603" s="174" t="s">
        <v>47</v>
      </c>
      <c r="D603" s="190" t="str">
        <f>IF('4.3 Elicitation data entry'!$M$39="","",'4.3 Elicitation data entry'!$M$39)</f>
        <v/>
      </c>
      <c r="E603" s="190" t="str">
        <f>IF('4.3 Elicitation data entry'!$N$39="","",'4.3 Elicitation data entry'!$N$39)</f>
        <v/>
      </c>
      <c r="F603" s="190" t="str">
        <f>IF('4.3 Elicitation data entry'!$O$39="","",'4.3 Elicitation data entry'!$O$39)</f>
        <v/>
      </c>
      <c r="G603" s="190" t="str">
        <f>IF('4.3 Elicitation data entry'!$P$39="","",'4.3 Elicitation data entry'!$P$39)</f>
        <v/>
      </c>
      <c r="H603" s="190" t="str">
        <f t="shared" si="72"/>
        <v/>
      </c>
      <c r="I603" s="191" t="str">
        <f t="shared" si="73"/>
        <v/>
      </c>
      <c r="J603" s="192" t="str">
        <f t="shared" si="74"/>
        <v/>
      </c>
      <c r="K603" s="193" t="str">
        <f t="shared" si="75"/>
        <v/>
      </c>
      <c r="L603" s="73"/>
      <c r="M603" s="73"/>
      <c r="N603" s="73"/>
      <c r="O603" s="73"/>
      <c r="P603" s="73"/>
      <c r="Q603" s="73"/>
      <c r="R603" s="73"/>
    </row>
    <row r="604" spans="1:18" x14ac:dyDescent="0.35">
      <c r="A604" s="431"/>
      <c r="B604" s="432"/>
      <c r="C604" s="174" t="s">
        <v>48</v>
      </c>
      <c r="D604" s="190" t="str">
        <f>IF('4.3 Elicitation data entry'!$R$39="","",'4.3 Elicitation data entry'!$R$39)</f>
        <v/>
      </c>
      <c r="E604" s="190" t="str">
        <f>IF('4.3 Elicitation data entry'!$S$39="","",'4.3 Elicitation data entry'!$S$39)</f>
        <v/>
      </c>
      <c r="F604" s="190" t="str">
        <f>IF('4.3 Elicitation data entry'!$T$39="","",'4.3 Elicitation data entry'!$T$39)</f>
        <v/>
      </c>
      <c r="G604" s="190" t="str">
        <f>IF('4.3 Elicitation data entry'!$U$39="","",'4.3 Elicitation data entry'!$U$39)</f>
        <v/>
      </c>
      <c r="H604" s="190" t="str">
        <f t="shared" si="72"/>
        <v/>
      </c>
      <c r="I604" s="191" t="str">
        <f t="shared" si="73"/>
        <v/>
      </c>
      <c r="J604" s="192" t="str">
        <f t="shared" si="74"/>
        <v/>
      </c>
      <c r="K604" s="193" t="str">
        <f t="shared" si="75"/>
        <v/>
      </c>
      <c r="L604" s="73"/>
      <c r="M604" s="73"/>
      <c r="N604" s="73"/>
      <c r="O604" s="73"/>
      <c r="P604" s="73"/>
      <c r="Q604" s="73"/>
      <c r="R604" s="73"/>
    </row>
    <row r="605" spans="1:18" x14ac:dyDescent="0.35">
      <c r="A605" s="431"/>
      <c r="B605" s="432"/>
      <c r="C605" s="174" t="s">
        <v>49</v>
      </c>
      <c r="D605" s="190" t="str">
        <f>IF('4.3 Elicitation data entry'!$W$39="","",'4.3 Elicitation data entry'!$W$39)</f>
        <v/>
      </c>
      <c r="E605" s="190" t="str">
        <f>IF('4.3 Elicitation data entry'!$X$39="","",'4.3 Elicitation data entry'!$X$39)</f>
        <v/>
      </c>
      <c r="F605" s="190" t="str">
        <f>IF('4.3 Elicitation data entry'!$Y$39="","",'4.3 Elicitation data entry'!$Y$39)</f>
        <v/>
      </c>
      <c r="G605" s="190" t="str">
        <f>IF('4.3 Elicitation data entry'!$Z$39="","",'4.3 Elicitation data entry'!$Z$39)</f>
        <v/>
      </c>
      <c r="H605" s="190" t="str">
        <f t="shared" si="72"/>
        <v/>
      </c>
      <c r="I605" s="191" t="str">
        <f t="shared" si="73"/>
        <v/>
      </c>
      <c r="J605" s="192" t="str">
        <f t="shared" si="74"/>
        <v/>
      </c>
      <c r="K605" s="193" t="str">
        <f t="shared" si="75"/>
        <v/>
      </c>
      <c r="L605" s="73"/>
      <c r="M605" s="73"/>
      <c r="N605" s="73"/>
      <c r="O605" s="73"/>
      <c r="P605" s="73"/>
      <c r="Q605" s="73"/>
      <c r="R605" s="73"/>
    </row>
    <row r="606" spans="1:18" x14ac:dyDescent="0.35">
      <c r="A606" s="431"/>
      <c r="B606" s="432"/>
      <c r="C606" s="174" t="s">
        <v>50</v>
      </c>
      <c r="D606" s="190" t="str">
        <f>IF('4.3 Elicitation data entry'!$AB$39="","",'4.3 Elicitation data entry'!$AB$39)</f>
        <v/>
      </c>
      <c r="E606" s="190" t="str">
        <f>IF('4.3 Elicitation data entry'!$AC$39="","",'4.3 Elicitation data entry'!$AC$39)</f>
        <v/>
      </c>
      <c r="F606" s="190" t="str">
        <f>IF('4.3 Elicitation data entry'!$AD$39="","",'4.3 Elicitation data entry'!$AD$39)</f>
        <v/>
      </c>
      <c r="G606" s="190" t="str">
        <f>IF('4.3 Elicitation data entry'!$AE$39="","",'4.3 Elicitation data entry'!$AE$39)</f>
        <v/>
      </c>
      <c r="H606" s="190" t="str">
        <f t="shared" si="72"/>
        <v/>
      </c>
      <c r="I606" s="191" t="str">
        <f t="shared" si="73"/>
        <v/>
      </c>
      <c r="J606" s="192" t="str">
        <f t="shared" si="74"/>
        <v/>
      </c>
      <c r="K606" s="193" t="str">
        <f t="shared" si="75"/>
        <v/>
      </c>
      <c r="L606" s="73"/>
      <c r="M606" s="73"/>
      <c r="N606" s="73"/>
      <c r="O606" s="73"/>
      <c r="P606" s="73"/>
      <c r="Q606" s="73"/>
      <c r="R606" s="73"/>
    </row>
    <row r="607" spans="1:18" x14ac:dyDescent="0.35">
      <c r="A607" s="175"/>
      <c r="B607" s="176" t="s">
        <v>51</v>
      </c>
      <c r="C607" s="177" t="s">
        <v>52</v>
      </c>
      <c r="D607" s="190" t="e">
        <f t="shared" ref="D607:I607" si="76">AVERAGE(D601:D606)</f>
        <v>#DIV/0!</v>
      </c>
      <c r="E607" s="194" t="e">
        <f t="shared" si="76"/>
        <v>#DIV/0!</v>
      </c>
      <c r="F607" s="194" t="e">
        <f t="shared" si="76"/>
        <v>#DIV/0!</v>
      </c>
      <c r="G607" s="194" t="e">
        <f t="shared" si="76"/>
        <v>#DIV/0!</v>
      </c>
      <c r="H607" s="190" t="e">
        <f t="shared" si="76"/>
        <v>#DIV/0!</v>
      </c>
      <c r="I607" s="190" t="e">
        <f t="shared" si="76"/>
        <v>#DIV/0!</v>
      </c>
      <c r="J607" s="192" t="e">
        <f>IF((F607-((F607-D607)/G607)*90)&lt;-100,-100,(F607-((F607-D607)/G607)*90))</f>
        <v>#DIV/0!</v>
      </c>
      <c r="K607" s="193" t="e">
        <f>IF((F607-((F607-E607)/G607)*90)&lt;-100,-100,(F607-((F607-E607)/G607)*90))</f>
        <v>#DIV/0!</v>
      </c>
      <c r="L607" s="73"/>
      <c r="M607" s="73"/>
      <c r="N607" s="73"/>
      <c r="O607" s="73"/>
      <c r="P607" s="73"/>
      <c r="Q607" s="73"/>
      <c r="R607" s="73"/>
    </row>
    <row r="608" spans="1:18" x14ac:dyDescent="0.35">
      <c r="A608" s="178"/>
      <c r="B608" s="179"/>
      <c r="C608" s="180" t="s">
        <v>53</v>
      </c>
      <c r="D608" s="196" t="e">
        <f t="shared" ref="D608:K608" si="77">STDEV(D601:D606)/SQRT(COUNT(D601:D606))</f>
        <v>#DIV/0!</v>
      </c>
      <c r="E608" s="196" t="e">
        <f t="shared" si="77"/>
        <v>#DIV/0!</v>
      </c>
      <c r="F608" s="196" t="e">
        <f t="shared" si="77"/>
        <v>#DIV/0!</v>
      </c>
      <c r="G608" s="196" t="e">
        <f t="shared" si="77"/>
        <v>#DIV/0!</v>
      </c>
      <c r="H608" s="197" t="e">
        <f t="shared" si="77"/>
        <v>#DIV/0!</v>
      </c>
      <c r="I608" s="197" t="e">
        <f t="shared" si="77"/>
        <v>#DIV/0!</v>
      </c>
      <c r="J608" s="197" t="e">
        <f t="shared" si="77"/>
        <v>#DIV/0!</v>
      </c>
      <c r="K608" s="198" t="e">
        <f t="shared" si="77"/>
        <v>#DIV/0!</v>
      </c>
      <c r="L608" s="73"/>
      <c r="M608" s="73"/>
      <c r="N608" s="73"/>
      <c r="O608" s="73"/>
      <c r="P608" s="73"/>
      <c r="Q608" s="73"/>
      <c r="R608" s="73"/>
    </row>
    <row r="609" spans="1:18" x14ac:dyDescent="0.35">
      <c r="A609" s="199"/>
      <c r="B609" s="73"/>
      <c r="C609" s="73"/>
      <c r="D609" s="73"/>
      <c r="E609" s="73"/>
      <c r="F609" s="73"/>
      <c r="G609" s="73"/>
      <c r="H609" s="73"/>
      <c r="L609" s="73"/>
      <c r="M609" s="73"/>
      <c r="N609" s="73"/>
      <c r="O609" s="73"/>
      <c r="P609" s="73"/>
      <c r="Q609" s="73"/>
      <c r="R609" s="73"/>
    </row>
    <row r="610" spans="1:18" x14ac:dyDescent="0.35">
      <c r="A610" s="199"/>
      <c r="B610" s="73"/>
      <c r="C610" s="73"/>
      <c r="D610" s="73"/>
      <c r="E610" s="73"/>
      <c r="F610" s="73"/>
      <c r="G610" s="73"/>
      <c r="H610" s="73"/>
      <c r="L610" s="73"/>
      <c r="M610" s="73"/>
      <c r="N610" s="73"/>
      <c r="O610" s="73"/>
      <c r="P610" s="73"/>
      <c r="Q610" s="73"/>
      <c r="R610" s="73"/>
    </row>
    <row r="611" spans="1:18" x14ac:dyDescent="0.35">
      <c r="A611" s="199"/>
      <c r="B611" s="73"/>
      <c r="C611" s="73"/>
      <c r="D611" s="73"/>
      <c r="E611" s="73"/>
      <c r="F611" s="73"/>
      <c r="G611" s="73"/>
      <c r="H611" s="73"/>
      <c r="L611" s="73"/>
      <c r="M611" s="73"/>
      <c r="N611" s="73"/>
      <c r="O611" s="73"/>
      <c r="P611" s="73"/>
      <c r="Q611" s="73"/>
      <c r="R611" s="73"/>
    </row>
    <row r="612" spans="1:18" x14ac:dyDescent="0.35">
      <c r="A612" s="199"/>
      <c r="B612" s="73"/>
      <c r="C612" s="73"/>
      <c r="D612" s="73"/>
      <c r="E612" s="73"/>
      <c r="F612" s="73"/>
      <c r="G612" s="73"/>
      <c r="H612" s="73"/>
      <c r="L612" s="73"/>
      <c r="M612" s="73"/>
      <c r="N612" s="73"/>
      <c r="O612" s="73"/>
      <c r="P612" s="73"/>
      <c r="Q612" s="73"/>
      <c r="R612" s="73"/>
    </row>
    <row r="613" spans="1:18" x14ac:dyDescent="0.35">
      <c r="A613" s="199"/>
      <c r="B613" s="73"/>
      <c r="C613" s="73"/>
      <c r="D613" s="73"/>
      <c r="E613" s="73"/>
      <c r="F613" s="73"/>
      <c r="G613" s="73"/>
      <c r="H613" s="73"/>
      <c r="L613" s="73"/>
      <c r="M613" s="73"/>
      <c r="N613" s="73"/>
      <c r="O613" s="73"/>
      <c r="P613" s="73"/>
      <c r="Q613" s="73"/>
      <c r="R613" s="73"/>
    </row>
    <row r="614" spans="1:18" x14ac:dyDescent="0.35">
      <c r="A614" s="199"/>
      <c r="B614" s="73"/>
      <c r="C614" s="73"/>
      <c r="D614" s="73"/>
      <c r="E614" s="73"/>
      <c r="F614" s="73"/>
      <c r="G614" s="73"/>
      <c r="H614" s="73"/>
      <c r="L614" s="73"/>
      <c r="M614" s="73"/>
      <c r="N614" s="73"/>
      <c r="O614" s="73"/>
      <c r="P614" s="73"/>
      <c r="Q614" s="73"/>
      <c r="R614" s="73"/>
    </row>
    <row r="615" spans="1:18" x14ac:dyDescent="0.35">
      <c r="A615" s="199"/>
      <c r="B615" s="73"/>
      <c r="C615" s="73"/>
      <c r="D615" s="73"/>
      <c r="E615" s="73"/>
      <c r="F615" s="73"/>
      <c r="G615" s="73"/>
      <c r="H615" s="73"/>
      <c r="L615" s="73"/>
      <c r="M615" s="73"/>
      <c r="N615" s="73"/>
      <c r="O615" s="73"/>
      <c r="P615" s="73"/>
      <c r="Q615" s="73"/>
      <c r="R615" s="73"/>
    </row>
    <row r="616" spans="1:18" x14ac:dyDescent="0.35">
      <c r="A616" s="199"/>
      <c r="B616" s="73"/>
      <c r="C616" s="73"/>
      <c r="D616" s="73"/>
      <c r="E616" s="73"/>
      <c r="F616" s="73"/>
      <c r="G616" s="73"/>
      <c r="H616" s="73"/>
      <c r="L616" s="73"/>
      <c r="M616" s="73"/>
      <c r="N616" s="73"/>
      <c r="O616" s="73"/>
      <c r="P616" s="73"/>
      <c r="Q616" s="73"/>
      <c r="R616" s="73"/>
    </row>
    <row r="617" spans="1:18" x14ac:dyDescent="0.35">
      <c r="A617" s="199"/>
      <c r="B617" s="73"/>
      <c r="C617" s="73"/>
      <c r="D617" s="73"/>
      <c r="E617" s="73"/>
      <c r="F617" s="73"/>
      <c r="G617" s="73"/>
      <c r="H617" s="73"/>
      <c r="L617" s="73"/>
      <c r="M617" s="73"/>
      <c r="N617" s="73"/>
      <c r="O617" s="73"/>
      <c r="P617" s="73"/>
      <c r="Q617" s="73"/>
      <c r="R617" s="73"/>
    </row>
    <row r="618" spans="1:18" x14ac:dyDescent="0.35">
      <c r="A618" s="199"/>
      <c r="B618" s="73"/>
      <c r="C618" s="73"/>
      <c r="D618" s="73"/>
      <c r="E618" s="73"/>
      <c r="F618" s="73"/>
      <c r="G618" s="73"/>
      <c r="H618" s="73"/>
      <c r="L618" s="73"/>
      <c r="M618" s="73"/>
      <c r="N618" s="73"/>
      <c r="O618" s="73"/>
      <c r="P618" s="73"/>
      <c r="Q618" s="73"/>
      <c r="R618" s="73"/>
    </row>
    <row r="619" spans="1:18" x14ac:dyDescent="0.35">
      <c r="A619" s="199"/>
      <c r="B619" s="73"/>
      <c r="C619" s="73"/>
      <c r="D619" s="73"/>
      <c r="E619" s="73"/>
      <c r="F619" s="73"/>
      <c r="G619" s="73"/>
      <c r="H619" s="73"/>
      <c r="L619" s="73"/>
      <c r="M619" s="73"/>
      <c r="N619" s="73"/>
      <c r="O619" s="73"/>
      <c r="P619" s="73"/>
      <c r="Q619" s="73"/>
      <c r="R619" s="73"/>
    </row>
    <row r="620" spans="1:18" x14ac:dyDescent="0.35">
      <c r="A620" s="199"/>
      <c r="B620" s="73"/>
      <c r="C620" s="73"/>
      <c r="D620" s="73"/>
      <c r="E620" s="73"/>
      <c r="F620" s="73"/>
      <c r="G620" s="73"/>
      <c r="H620" s="73"/>
      <c r="L620" s="73"/>
      <c r="M620" s="73"/>
      <c r="N620" s="73"/>
      <c r="O620" s="73"/>
      <c r="P620" s="73"/>
      <c r="Q620" s="73"/>
      <c r="R620" s="73"/>
    </row>
    <row r="621" spans="1:18" x14ac:dyDescent="0.35">
      <c r="A621" s="199"/>
      <c r="B621" s="73"/>
      <c r="C621" s="73"/>
      <c r="D621" s="73"/>
      <c r="E621" s="73"/>
      <c r="F621" s="73"/>
      <c r="G621" s="73"/>
      <c r="H621" s="73"/>
      <c r="L621" s="73"/>
      <c r="M621" s="73"/>
      <c r="N621" s="73"/>
      <c r="O621" s="73"/>
      <c r="P621" s="73"/>
      <c r="Q621" s="73"/>
      <c r="R621" s="73"/>
    </row>
    <row r="622" spans="1:18" x14ac:dyDescent="0.35">
      <c r="A622" s="199"/>
      <c r="B622" s="73"/>
      <c r="C622" s="73"/>
      <c r="D622" s="73"/>
      <c r="E622" s="73"/>
      <c r="F622" s="73"/>
      <c r="G622" s="73"/>
      <c r="H622" s="73"/>
      <c r="L622" s="73"/>
      <c r="M622" s="73"/>
      <c r="N622" s="73"/>
      <c r="O622" s="73"/>
      <c r="P622" s="73"/>
      <c r="Q622" s="73"/>
      <c r="R622" s="73"/>
    </row>
  </sheetData>
  <mergeCells count="52">
    <mergeCell ref="B567:K567"/>
    <mergeCell ref="A600:B600"/>
    <mergeCell ref="A601:A606"/>
    <mergeCell ref="B601:B606"/>
    <mergeCell ref="A507:A512"/>
    <mergeCell ref="B507:B512"/>
    <mergeCell ref="B520:K520"/>
    <mergeCell ref="A553:B553"/>
    <mergeCell ref="A554:A559"/>
    <mergeCell ref="B554:B559"/>
    <mergeCell ref="A459:B459"/>
    <mergeCell ref="A460:A465"/>
    <mergeCell ref="B460:B465"/>
    <mergeCell ref="B473:K473"/>
    <mergeCell ref="A506:B506"/>
    <mergeCell ref="B379:K379"/>
    <mergeCell ref="A412:B412"/>
    <mergeCell ref="A413:A418"/>
    <mergeCell ref="B413:B418"/>
    <mergeCell ref="B426:K426"/>
    <mergeCell ref="A319:A324"/>
    <mergeCell ref="B319:B324"/>
    <mergeCell ref="B332:K332"/>
    <mergeCell ref="A365:B365"/>
    <mergeCell ref="A366:A371"/>
    <mergeCell ref="B366:B371"/>
    <mergeCell ref="A271:B271"/>
    <mergeCell ref="A272:A277"/>
    <mergeCell ref="B272:B277"/>
    <mergeCell ref="B285:K285"/>
    <mergeCell ref="A318:B318"/>
    <mergeCell ref="B191:K191"/>
    <mergeCell ref="A224:B224"/>
    <mergeCell ref="A225:A230"/>
    <mergeCell ref="B225:B230"/>
    <mergeCell ref="B238:K238"/>
    <mergeCell ref="A131:A136"/>
    <mergeCell ref="B131:B136"/>
    <mergeCell ref="B144:K144"/>
    <mergeCell ref="A177:B177"/>
    <mergeCell ref="A178:A183"/>
    <mergeCell ref="B178:B183"/>
    <mergeCell ref="A83:B83"/>
    <mergeCell ref="A84:A89"/>
    <mergeCell ref="B84:B89"/>
    <mergeCell ref="B97:K97"/>
    <mergeCell ref="A130:B130"/>
    <mergeCell ref="B3:K3"/>
    <mergeCell ref="A36:B36"/>
    <mergeCell ref="A37:A42"/>
    <mergeCell ref="B37:B42"/>
    <mergeCell ref="B50:K5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Y110"/>
  <sheetViews>
    <sheetView tabSelected="1" zoomScaleNormal="100" workbookViewId="0">
      <selection activeCell="B19" sqref="B19:B24"/>
    </sheetView>
  </sheetViews>
  <sheetFormatPr defaultRowHeight="14.5" x14ac:dyDescent="0.35"/>
  <cols>
    <col min="1" max="1" width="3.54296875" customWidth="1"/>
    <col min="2" max="2" width="85.453125" customWidth="1"/>
    <col min="3" max="5" width="10.453125" customWidth="1"/>
    <col min="8" max="14" width="9.1796875" style="2"/>
    <col min="15" max="15" width="12.453125" style="2" customWidth="1"/>
    <col min="16" max="17" width="9.1796875" style="2"/>
    <col min="18" max="18" width="12.7265625" style="2" customWidth="1"/>
    <col min="19" max="19" width="9.1796875" style="2"/>
    <col min="20" max="20" width="6.54296875" style="2" customWidth="1"/>
    <col min="21" max="21" width="10.7265625" style="2" customWidth="1"/>
    <col min="22" max="22" width="3.81640625" customWidth="1"/>
    <col min="49" max="49" width="13.7265625" customWidth="1"/>
    <col min="50" max="50" width="10.54296875" bestFit="1" customWidth="1"/>
  </cols>
  <sheetData>
    <row r="1" spans="1:51" ht="18.5" x14ac:dyDescent="0.45">
      <c r="A1" s="73"/>
      <c r="B1" s="265" t="s">
        <v>284</v>
      </c>
      <c r="C1" s="73"/>
      <c r="D1" s="73"/>
      <c r="E1" s="73"/>
      <c r="F1" s="73"/>
      <c r="G1" s="73"/>
      <c r="H1" s="207"/>
      <c r="I1" s="207"/>
      <c r="J1" s="207"/>
      <c r="K1" s="207"/>
      <c r="L1" s="207"/>
      <c r="M1" s="207"/>
      <c r="N1" s="207"/>
      <c r="O1" s="207"/>
      <c r="P1" s="207"/>
      <c r="Q1" s="207"/>
      <c r="R1" s="207"/>
      <c r="S1" s="207"/>
      <c r="T1" s="207"/>
      <c r="U1" s="207"/>
      <c r="V1" s="73"/>
      <c r="W1" s="73"/>
      <c r="X1" s="73"/>
      <c r="Y1" s="73"/>
      <c r="Z1" s="73"/>
      <c r="AA1" s="73"/>
      <c r="AB1" s="73"/>
      <c r="AC1" s="73"/>
      <c r="AD1" s="73"/>
      <c r="AE1" s="73"/>
      <c r="AF1" s="73"/>
      <c r="AG1" s="73"/>
      <c r="AH1" s="73"/>
      <c r="AI1" s="73"/>
      <c r="AJ1" s="73"/>
      <c r="AK1" s="73"/>
      <c r="AL1" s="73"/>
    </row>
    <row r="2" spans="1:51" ht="14.15" customHeight="1" x14ac:dyDescent="0.45">
      <c r="A2" s="73"/>
      <c r="B2" s="265"/>
      <c r="C2" s="73"/>
      <c r="D2" s="73"/>
      <c r="E2" s="73"/>
      <c r="F2" s="73"/>
      <c r="G2" s="73"/>
      <c r="H2" s="207"/>
      <c r="I2" s="207"/>
      <c r="J2" s="207"/>
      <c r="K2" s="207"/>
      <c r="L2" s="207"/>
      <c r="M2" s="207"/>
      <c r="N2" s="207"/>
      <c r="O2" s="207"/>
      <c r="P2" s="207"/>
      <c r="Q2" s="207"/>
      <c r="R2" s="207"/>
      <c r="S2" s="207"/>
      <c r="T2" s="207"/>
      <c r="U2" s="207"/>
      <c r="V2" s="73"/>
      <c r="W2" s="73"/>
      <c r="X2" s="73"/>
      <c r="Y2" s="73"/>
      <c r="Z2" s="73"/>
      <c r="AA2" s="73"/>
      <c r="AB2" s="73"/>
      <c r="AC2" s="73"/>
      <c r="AD2" s="73"/>
      <c r="AE2" s="73"/>
      <c r="AF2" s="73"/>
      <c r="AG2" s="73"/>
      <c r="AH2" s="73"/>
      <c r="AI2" s="73"/>
      <c r="AJ2" s="73"/>
      <c r="AK2" s="73"/>
      <c r="AL2" s="73"/>
    </row>
    <row r="3" spans="1:51" ht="14.15" customHeight="1" x14ac:dyDescent="0.45">
      <c r="A3" s="73"/>
      <c r="B3" s="265"/>
      <c r="C3" s="73"/>
      <c r="D3" s="73"/>
      <c r="E3" s="73"/>
      <c r="F3" s="73"/>
      <c r="G3" s="73"/>
      <c r="H3" s="207"/>
      <c r="I3" s="207"/>
      <c r="J3" s="207"/>
      <c r="K3" s="207"/>
      <c r="L3" s="207"/>
      <c r="M3" s="207"/>
      <c r="N3" s="207"/>
      <c r="O3" s="207"/>
      <c r="P3" s="207"/>
      <c r="Q3" s="207"/>
      <c r="R3" s="207"/>
      <c r="S3" s="207"/>
      <c r="T3" s="207"/>
      <c r="U3" s="207"/>
      <c r="V3" s="73"/>
      <c r="W3" s="73"/>
      <c r="X3" s="73"/>
      <c r="Y3" s="73"/>
      <c r="Z3" s="73"/>
      <c r="AA3" s="73"/>
      <c r="AB3" s="73"/>
      <c r="AC3" s="73"/>
      <c r="AD3" s="73"/>
      <c r="AE3" s="73"/>
      <c r="AF3" s="73"/>
      <c r="AG3" s="73"/>
      <c r="AH3" s="73"/>
      <c r="AI3" s="73"/>
      <c r="AJ3" s="73"/>
      <c r="AK3" s="73"/>
      <c r="AL3" s="73"/>
    </row>
    <row r="4" spans="1:51" ht="14.15" customHeight="1" x14ac:dyDescent="0.45">
      <c r="A4" s="73"/>
      <c r="B4" s="265"/>
      <c r="C4" s="73"/>
      <c r="D4" s="73"/>
      <c r="E4" s="73"/>
      <c r="F4" s="73"/>
      <c r="G4" s="73"/>
      <c r="H4" s="207"/>
      <c r="I4" s="207"/>
      <c r="J4" s="207"/>
      <c r="K4" s="207"/>
      <c r="L4" s="207"/>
      <c r="M4" s="207"/>
      <c r="N4" s="207"/>
      <c r="O4" s="207"/>
      <c r="P4" s="207"/>
      <c r="Q4" s="207"/>
      <c r="R4" s="207"/>
      <c r="S4" s="207"/>
      <c r="T4" s="207"/>
      <c r="U4" s="207"/>
      <c r="V4" s="73"/>
      <c r="W4" s="73"/>
      <c r="X4" s="73"/>
      <c r="Y4" s="73"/>
      <c r="Z4" s="73"/>
      <c r="AA4" s="73"/>
      <c r="AB4" s="73"/>
      <c r="AC4" s="73"/>
      <c r="AD4" s="73"/>
      <c r="AE4" s="73"/>
      <c r="AF4" s="73"/>
      <c r="AG4" s="73"/>
      <c r="AH4" s="73"/>
      <c r="AI4" s="73"/>
      <c r="AJ4" s="73"/>
      <c r="AK4" s="73"/>
      <c r="AL4" s="73"/>
    </row>
    <row r="5" spans="1:51" ht="14.15" customHeight="1" x14ac:dyDescent="0.45">
      <c r="A5" s="73"/>
      <c r="B5" s="265"/>
      <c r="C5" s="73"/>
      <c r="D5" s="73"/>
      <c r="E5" s="73"/>
      <c r="F5" s="73"/>
      <c r="G5" s="73"/>
      <c r="H5" s="207"/>
      <c r="I5" s="207"/>
      <c r="J5" s="207"/>
      <c r="K5" s="207"/>
      <c r="L5" s="207"/>
      <c r="M5" s="207"/>
      <c r="N5" s="207"/>
      <c r="O5" s="207"/>
      <c r="P5" s="207"/>
      <c r="Q5" s="207"/>
      <c r="R5" s="207"/>
      <c r="S5" s="207"/>
      <c r="T5" s="207"/>
      <c r="U5" s="207"/>
      <c r="V5" s="73"/>
      <c r="W5" s="73"/>
      <c r="X5" s="73"/>
      <c r="Y5" s="73"/>
      <c r="Z5" s="73"/>
      <c r="AA5" s="73"/>
      <c r="AB5" s="73"/>
      <c r="AC5" s="73"/>
      <c r="AD5" s="73"/>
      <c r="AE5" s="73"/>
      <c r="AF5" s="73"/>
      <c r="AG5" s="73"/>
      <c r="AH5" s="73"/>
      <c r="AI5" s="73"/>
      <c r="AJ5" s="73"/>
      <c r="AK5" s="73"/>
      <c r="AL5" s="73"/>
    </row>
    <row r="6" spans="1:51" ht="14.15" customHeight="1" x14ac:dyDescent="0.45">
      <c r="A6" s="73"/>
      <c r="B6" s="265"/>
      <c r="C6" s="73"/>
      <c r="D6" s="73"/>
      <c r="E6" s="73"/>
      <c r="F6" s="73"/>
      <c r="G6" s="73"/>
      <c r="H6" s="207"/>
      <c r="I6" s="207"/>
      <c r="J6" s="207"/>
      <c r="K6" s="207"/>
      <c r="L6" s="207"/>
      <c r="M6" s="207"/>
      <c r="N6" s="207"/>
      <c r="O6" s="207"/>
      <c r="P6" s="207"/>
      <c r="Q6" s="207"/>
      <c r="R6" s="207"/>
      <c r="S6" s="207"/>
      <c r="T6" s="207"/>
      <c r="U6" s="207"/>
      <c r="V6" s="73"/>
      <c r="W6" s="73"/>
      <c r="X6" s="73"/>
      <c r="Y6" s="73"/>
      <c r="Z6" s="73"/>
      <c r="AA6" s="73"/>
      <c r="AB6" s="73"/>
      <c r="AC6" s="73"/>
      <c r="AD6" s="73"/>
      <c r="AE6" s="73"/>
      <c r="AF6" s="73"/>
      <c r="AG6" s="73"/>
      <c r="AH6" s="73"/>
      <c r="AI6" s="73"/>
      <c r="AJ6" s="73"/>
      <c r="AK6" s="73"/>
      <c r="AL6" s="73"/>
    </row>
    <row r="7" spans="1:51" ht="14.15" customHeight="1" x14ac:dyDescent="0.45">
      <c r="A7" s="73"/>
      <c r="B7" s="265"/>
      <c r="C7" s="73"/>
      <c r="D7" s="73"/>
      <c r="E7" s="73"/>
      <c r="F7" s="73"/>
      <c r="G7" s="73"/>
      <c r="H7" s="207"/>
      <c r="I7" s="207"/>
      <c r="J7" s="207"/>
      <c r="K7" s="207"/>
      <c r="L7" s="207"/>
      <c r="M7" s="207"/>
      <c r="N7" s="207"/>
      <c r="O7" s="207"/>
      <c r="P7" s="207"/>
      <c r="Q7" s="207"/>
      <c r="R7" s="207"/>
      <c r="S7" s="207"/>
      <c r="T7" s="207"/>
      <c r="U7" s="207"/>
      <c r="V7" s="73"/>
      <c r="W7" s="73"/>
      <c r="X7" s="73"/>
      <c r="Y7" s="73"/>
      <c r="Z7" s="73"/>
      <c r="AA7" s="73"/>
      <c r="AB7" s="73"/>
      <c r="AC7" s="73"/>
      <c r="AD7" s="73"/>
      <c r="AE7" s="73"/>
      <c r="AF7" s="73"/>
      <c r="AG7" s="73"/>
      <c r="AH7" s="73"/>
      <c r="AI7" s="73"/>
      <c r="AJ7" s="73"/>
      <c r="AK7" s="73"/>
      <c r="AL7" s="73"/>
    </row>
    <row r="8" spans="1:51" x14ac:dyDescent="0.35">
      <c r="A8" s="73"/>
      <c r="B8" s="73"/>
      <c r="C8" s="73"/>
      <c r="D8" s="73"/>
      <c r="E8" s="73"/>
      <c r="F8" s="73"/>
      <c r="G8" s="73"/>
      <c r="H8" s="207"/>
      <c r="I8" s="207"/>
      <c r="J8" s="207"/>
      <c r="K8" s="207"/>
      <c r="L8" s="207"/>
      <c r="M8" s="207"/>
      <c r="N8" s="207"/>
      <c r="O8" s="207"/>
      <c r="P8" s="207"/>
      <c r="Q8" s="207"/>
      <c r="R8" s="207"/>
      <c r="S8" s="207"/>
      <c r="T8" s="207"/>
      <c r="U8" s="207"/>
      <c r="V8" s="73"/>
      <c r="W8" s="73"/>
      <c r="X8" s="73"/>
      <c r="Y8" s="73"/>
      <c r="Z8" s="73"/>
      <c r="AA8" s="73"/>
      <c r="AB8" s="73"/>
      <c r="AC8" s="73"/>
      <c r="AD8" s="73"/>
      <c r="AE8" s="73"/>
      <c r="AF8" s="73"/>
      <c r="AG8" s="73"/>
      <c r="AH8" s="73"/>
      <c r="AI8" s="73"/>
      <c r="AJ8" s="73"/>
      <c r="AK8" s="73"/>
      <c r="AL8" s="73"/>
    </row>
    <row r="9" spans="1:51" x14ac:dyDescent="0.35">
      <c r="A9" s="73"/>
      <c r="B9" s="73"/>
      <c r="C9" s="73"/>
      <c r="D9" s="73"/>
      <c r="E9" s="73"/>
      <c r="F9" s="73"/>
      <c r="G9" s="73"/>
      <c r="H9" s="207"/>
      <c r="I9" s="207"/>
      <c r="J9" s="207"/>
      <c r="K9" s="207"/>
      <c r="L9" s="207"/>
      <c r="M9" s="207"/>
      <c r="N9" s="207"/>
      <c r="O9" s="207"/>
      <c r="P9" s="207"/>
      <c r="Q9" s="207"/>
      <c r="R9" s="207"/>
      <c r="S9" s="207"/>
      <c r="T9" s="207"/>
      <c r="U9" s="207"/>
      <c r="V9" s="73"/>
      <c r="W9" s="73"/>
      <c r="X9" s="73"/>
      <c r="Y9" s="73"/>
      <c r="Z9" s="73"/>
      <c r="AA9" s="73"/>
      <c r="AB9" s="73"/>
      <c r="AC9" s="73"/>
      <c r="AD9" s="73"/>
      <c r="AE9" s="73"/>
      <c r="AF9" s="73"/>
      <c r="AG9" s="73"/>
      <c r="AH9" s="73"/>
      <c r="AI9" s="73"/>
      <c r="AJ9" s="73"/>
      <c r="AK9" s="73"/>
      <c r="AL9" s="73"/>
    </row>
    <row r="10" spans="1:51" x14ac:dyDescent="0.35">
      <c r="A10" s="73"/>
      <c r="B10" s="73"/>
      <c r="C10" s="73"/>
      <c r="D10" s="73"/>
      <c r="E10" s="73"/>
      <c r="F10" s="73"/>
      <c r="G10" s="73"/>
      <c r="H10" s="207"/>
      <c r="I10" s="207"/>
      <c r="J10" s="207"/>
      <c r="K10" s="207"/>
      <c r="L10" s="207"/>
      <c r="M10" s="207"/>
      <c r="N10" s="207"/>
      <c r="O10" s="207"/>
      <c r="P10" s="207"/>
      <c r="Q10" s="207"/>
      <c r="R10" s="207"/>
      <c r="S10" s="207"/>
      <c r="T10" s="207"/>
      <c r="U10" s="207"/>
      <c r="V10" s="73"/>
      <c r="W10" s="73"/>
      <c r="X10" s="73"/>
      <c r="Y10" s="73"/>
      <c r="Z10" s="73"/>
      <c r="AA10" s="73"/>
      <c r="AB10" s="73"/>
      <c r="AC10" s="73"/>
      <c r="AD10" s="73"/>
      <c r="AE10" s="73"/>
      <c r="AF10" s="73"/>
      <c r="AG10" s="73"/>
      <c r="AH10" s="73"/>
      <c r="AI10" s="73"/>
      <c r="AJ10" s="73"/>
      <c r="AK10" s="73"/>
      <c r="AL10" s="73"/>
    </row>
    <row r="11" spans="1:51" x14ac:dyDescent="0.35">
      <c r="A11" s="73"/>
      <c r="B11" s="73"/>
      <c r="C11" s="73"/>
      <c r="D11" s="73"/>
      <c r="E11" s="73"/>
      <c r="F11" s="73"/>
      <c r="G11" s="73"/>
      <c r="H11" s="207"/>
      <c r="I11" s="207"/>
      <c r="J11" s="207"/>
      <c r="K11" s="207"/>
      <c r="L11" s="207"/>
      <c r="M11" s="207"/>
      <c r="N11" s="207"/>
      <c r="O11" s="207"/>
      <c r="P11" s="207"/>
      <c r="Q11" s="207"/>
      <c r="R11" s="207"/>
      <c r="S11" s="207"/>
      <c r="T11" s="207"/>
      <c r="U11" s="207"/>
      <c r="V11" s="73"/>
      <c r="W11" s="73"/>
      <c r="X11" s="73"/>
      <c r="Y11" s="73"/>
      <c r="Z11" s="73"/>
      <c r="AA11" s="73"/>
      <c r="AB11" s="73"/>
      <c r="AC11" s="73"/>
      <c r="AD11" s="73"/>
      <c r="AE11" s="73"/>
      <c r="AF11" s="73"/>
      <c r="AG11" s="73"/>
      <c r="AH11" s="73"/>
      <c r="AI11" s="73"/>
      <c r="AJ11" s="73"/>
      <c r="AK11" s="73"/>
      <c r="AL11" s="73"/>
    </row>
    <row r="12" spans="1:51" x14ac:dyDescent="0.35">
      <c r="A12" s="73"/>
      <c r="B12" s="73"/>
      <c r="C12" s="73"/>
      <c r="D12" s="73"/>
      <c r="E12" s="73"/>
      <c r="F12" s="73"/>
      <c r="G12" s="73"/>
      <c r="H12" s="207"/>
      <c r="I12" s="207"/>
      <c r="J12" s="207"/>
      <c r="K12" s="207"/>
      <c r="L12" s="207"/>
      <c r="M12" s="207"/>
      <c r="N12" s="207"/>
      <c r="O12" s="207"/>
      <c r="P12" s="207"/>
      <c r="Q12" s="207"/>
      <c r="R12" s="207"/>
      <c r="S12" s="207"/>
      <c r="T12" s="207"/>
      <c r="U12" s="207"/>
      <c r="V12" s="73"/>
      <c r="W12" s="73"/>
      <c r="X12" s="73"/>
      <c r="Y12" s="73"/>
      <c r="Z12" s="73"/>
      <c r="AA12" s="73"/>
      <c r="AB12" s="73"/>
      <c r="AC12" s="73"/>
      <c r="AD12" s="73"/>
      <c r="AE12" s="73"/>
      <c r="AF12" s="73"/>
      <c r="AG12" s="73"/>
      <c r="AH12" s="73"/>
      <c r="AI12" s="73"/>
      <c r="AJ12" s="73"/>
      <c r="AK12" s="73"/>
      <c r="AL12" s="73"/>
    </row>
    <row r="13" spans="1:51" x14ac:dyDescent="0.35">
      <c r="A13" s="73"/>
      <c r="B13" s="73"/>
      <c r="C13" s="73"/>
      <c r="D13" s="73"/>
      <c r="E13" s="73"/>
      <c r="F13" s="73"/>
      <c r="G13" s="73"/>
      <c r="H13" s="207"/>
      <c r="I13" s="207"/>
      <c r="J13" s="207"/>
      <c r="K13" s="207"/>
      <c r="L13" s="207"/>
      <c r="M13" s="207"/>
      <c r="N13" s="207"/>
      <c r="O13" s="207"/>
      <c r="P13" s="207"/>
      <c r="Q13" s="207"/>
      <c r="R13" s="207"/>
      <c r="S13" s="207"/>
      <c r="T13" s="207"/>
      <c r="U13" s="207"/>
      <c r="V13" s="73"/>
      <c r="W13" s="73"/>
      <c r="X13" s="73"/>
      <c r="Y13" s="73"/>
      <c r="Z13" s="73"/>
      <c r="AA13" s="73"/>
      <c r="AB13" s="73"/>
      <c r="AC13" s="73"/>
      <c r="AD13" s="73"/>
      <c r="AE13" s="73"/>
      <c r="AF13" s="73"/>
      <c r="AG13" s="73"/>
      <c r="AH13" s="73"/>
      <c r="AI13" s="73"/>
      <c r="AJ13" s="73"/>
      <c r="AK13" s="73"/>
      <c r="AL13" s="73"/>
    </row>
    <row r="14" spans="1:51" ht="15.5" x14ac:dyDescent="0.35">
      <c r="A14" s="73"/>
      <c r="B14" s="226" t="s">
        <v>0</v>
      </c>
      <c r="C14" s="224"/>
      <c r="D14" s="224"/>
      <c r="E14" s="224"/>
      <c r="F14" s="73"/>
      <c r="G14" s="73"/>
      <c r="H14" s="207"/>
      <c r="I14" s="207"/>
      <c r="J14" s="207"/>
      <c r="K14" s="207"/>
      <c r="L14" s="207"/>
      <c r="M14" s="207"/>
      <c r="N14" s="207"/>
      <c r="O14" s="207"/>
      <c r="P14" s="207"/>
      <c r="Q14" s="207"/>
      <c r="R14" s="207"/>
      <c r="S14" s="207"/>
      <c r="T14" s="207"/>
      <c r="U14" s="207"/>
      <c r="V14" s="73"/>
      <c r="W14" s="73"/>
      <c r="X14" s="73"/>
      <c r="Y14" s="73"/>
      <c r="Z14" s="73"/>
      <c r="AA14" s="73"/>
      <c r="AB14" s="73"/>
      <c r="AC14" s="73"/>
      <c r="AD14" s="73"/>
      <c r="AE14" s="73"/>
      <c r="AF14" s="73"/>
      <c r="AG14" s="73"/>
      <c r="AH14" s="73"/>
      <c r="AI14" s="73"/>
      <c r="AJ14" s="73"/>
      <c r="AK14" s="73"/>
      <c r="AL14" s="73"/>
    </row>
    <row r="15" spans="1:51" x14ac:dyDescent="0.35">
      <c r="A15" s="73"/>
      <c r="B15" s="483" t="str">
        <f>CONCATENATE("Probability that the 'in-situ status quo' plan for the ",'Initial information'!C7," will be ",'1. In-situ status quo plan'!$C$38,"% implemented in ",'1. In-situ status quo plan'!$C$35," years from now")</f>
        <v>Probability that the 'in-situ status quo' plan for the  will be % implemented in  years from now</v>
      </c>
      <c r="C15" s="485" t="e">
        <f>'4.4 Group results Events'!D43</f>
        <v>#DIV/0!</v>
      </c>
      <c r="D15" s="73"/>
      <c r="E15" s="73"/>
      <c r="F15" s="73"/>
      <c r="G15" s="73"/>
      <c r="H15" s="207"/>
      <c r="I15" s="207"/>
      <c r="J15" s="207"/>
      <c r="K15" s="207"/>
      <c r="L15" s="207"/>
      <c r="M15" s="207"/>
      <c r="N15" s="207"/>
      <c r="O15" s="125" t="s">
        <v>12</v>
      </c>
      <c r="P15" s="207"/>
      <c r="Q15" s="207"/>
      <c r="R15" s="207"/>
      <c r="S15" s="207"/>
      <c r="T15" s="207"/>
      <c r="U15" s="436" t="e">
        <f>C51</f>
        <v>#DIV/0!</v>
      </c>
      <c r="V15" s="73"/>
      <c r="W15" s="73"/>
      <c r="X15" s="73"/>
      <c r="Y15" s="73"/>
      <c r="Z15" s="73"/>
      <c r="AA15" s="73"/>
      <c r="AB15" s="73"/>
      <c r="AC15" s="73"/>
      <c r="AD15" s="73"/>
      <c r="AE15" s="73"/>
      <c r="AF15" s="73"/>
      <c r="AG15" s="73"/>
      <c r="AH15" s="73"/>
      <c r="AI15" s="73"/>
      <c r="AJ15" s="73"/>
      <c r="AK15" s="73"/>
      <c r="AL15" s="73"/>
      <c r="AW15" t="s">
        <v>23</v>
      </c>
      <c r="AX15" s="7" t="s">
        <v>10</v>
      </c>
      <c r="AY15" s="7" t="s">
        <v>11</v>
      </c>
    </row>
    <row r="16" spans="1:51" x14ac:dyDescent="0.35">
      <c r="A16" s="73"/>
      <c r="B16" s="484"/>
      <c r="C16" s="475"/>
      <c r="D16" s="73"/>
      <c r="E16" s="73"/>
      <c r="F16" s="73"/>
      <c r="G16" s="73"/>
      <c r="H16" s="207"/>
      <c r="I16" s="207"/>
      <c r="J16" s="207"/>
      <c r="K16" s="207"/>
      <c r="L16" s="207"/>
      <c r="M16" s="207"/>
      <c r="N16" s="207"/>
      <c r="O16" s="246" t="e">
        <f>C15</f>
        <v>#DIV/0!</v>
      </c>
      <c r="P16" s="207"/>
      <c r="Q16" s="207"/>
      <c r="R16" s="207"/>
      <c r="S16" s="207"/>
      <c r="T16" s="207"/>
      <c r="U16" s="437"/>
      <c r="V16" s="73"/>
      <c r="W16" s="73"/>
      <c r="X16" s="73"/>
      <c r="Y16" s="73"/>
      <c r="Z16" s="73"/>
      <c r="AA16" s="73"/>
      <c r="AB16" s="73"/>
      <c r="AC16" s="73"/>
      <c r="AD16" s="73"/>
      <c r="AE16" s="73"/>
      <c r="AF16" s="73"/>
      <c r="AG16" s="73"/>
      <c r="AH16" s="73"/>
      <c r="AI16" s="73"/>
      <c r="AJ16" s="73"/>
      <c r="AK16" s="73"/>
      <c r="AL16" s="73"/>
      <c r="AV16" s="7" t="s">
        <v>114</v>
      </c>
      <c r="AW16" s="19" t="e">
        <f>C47</f>
        <v>#DIV/0!</v>
      </c>
      <c r="AX16" s="19">
        <f>D47</f>
        <v>0</v>
      </c>
      <c r="AY16" s="25">
        <f>E47</f>
        <v>0</v>
      </c>
    </row>
    <row r="17" spans="1:51" x14ac:dyDescent="0.35">
      <c r="A17" s="73"/>
      <c r="B17" s="228"/>
      <c r="C17" s="134"/>
      <c r="D17" s="73"/>
      <c r="E17" s="73"/>
      <c r="F17" s="73"/>
      <c r="G17" s="73"/>
      <c r="H17" s="207"/>
      <c r="I17" s="207" t="s">
        <v>5</v>
      </c>
      <c r="J17" s="207"/>
      <c r="K17" s="207"/>
      <c r="L17" s="207"/>
      <c r="M17" s="207"/>
      <c r="N17" s="207"/>
      <c r="O17" s="207"/>
      <c r="P17" s="207"/>
      <c r="Q17" s="207"/>
      <c r="R17" s="207"/>
      <c r="S17" s="207"/>
      <c r="T17" s="207"/>
      <c r="U17" s="207"/>
      <c r="V17" s="73"/>
      <c r="W17" s="73"/>
      <c r="X17" s="73"/>
      <c r="Y17" s="73"/>
      <c r="Z17" s="73"/>
      <c r="AA17" s="73"/>
      <c r="AB17" s="73"/>
      <c r="AC17" s="73"/>
      <c r="AD17" s="73"/>
      <c r="AE17" s="73"/>
      <c r="AF17" s="73"/>
      <c r="AG17" s="73"/>
      <c r="AH17" s="73"/>
      <c r="AI17" s="73"/>
      <c r="AJ17" s="73"/>
      <c r="AK17" s="73"/>
      <c r="AL17" s="73"/>
      <c r="AV17" s="6" t="s">
        <v>14</v>
      </c>
      <c r="AW17" s="18" t="e">
        <f>$C15*C51+(1-$C15)*C54</f>
        <v>#DIV/0!</v>
      </c>
      <c r="AX17" s="18" t="e">
        <f>$C15*D51+(1-$C15)*D54</f>
        <v>#DIV/0!</v>
      </c>
      <c r="AY17" s="18" t="e">
        <f>$C15*E51+(1-$C15)*E54</f>
        <v>#DIV/0!</v>
      </c>
    </row>
    <row r="18" spans="1:51" x14ac:dyDescent="0.35">
      <c r="A18" s="73"/>
      <c r="B18" s="223" t="s">
        <v>233</v>
      </c>
      <c r="C18" s="230"/>
      <c r="D18" s="73"/>
      <c r="E18" s="73"/>
      <c r="F18" s="73"/>
      <c r="G18" s="73"/>
      <c r="H18" s="207"/>
      <c r="I18" s="207"/>
      <c r="J18" s="207"/>
      <c r="K18" s="207"/>
      <c r="L18" s="207"/>
      <c r="M18" s="207"/>
      <c r="N18" s="207"/>
      <c r="O18" s="207"/>
      <c r="P18" s="207"/>
      <c r="Q18" s="207"/>
      <c r="R18" s="207"/>
      <c r="S18" s="207"/>
      <c r="T18" s="207"/>
      <c r="U18" s="207"/>
      <c r="V18" s="73"/>
      <c r="W18" s="73"/>
      <c r="X18" s="73"/>
      <c r="Y18" s="73"/>
      <c r="Z18" s="73"/>
      <c r="AA18" s="73"/>
      <c r="AB18" s="73"/>
      <c r="AC18" s="73"/>
      <c r="AD18" s="73"/>
      <c r="AE18" s="73"/>
      <c r="AF18" s="73"/>
      <c r="AG18" s="73"/>
      <c r="AH18" s="73"/>
      <c r="AI18" s="73"/>
      <c r="AJ18" s="73"/>
      <c r="AK18" s="73"/>
      <c r="AL18" s="73"/>
      <c r="AV18" s="6" t="s">
        <v>15</v>
      </c>
      <c r="AW18" s="18" t="e">
        <f>$C27*C58+(1-$C27)*C61</f>
        <v>#DIV/0!</v>
      </c>
      <c r="AX18" s="18" t="e">
        <f>$C27*D58+(1-$C27)*D61</f>
        <v>#DIV/0!</v>
      </c>
      <c r="AY18" s="18" t="e">
        <f>$C27*E58+(1-$C27)*E61</f>
        <v>#DIV/0!</v>
      </c>
    </row>
    <row r="19" spans="1:51" x14ac:dyDescent="0.35">
      <c r="A19" s="73"/>
      <c r="B19" s="229"/>
      <c r="C19" s="230"/>
      <c r="D19" s="73"/>
      <c r="E19" s="73"/>
      <c r="F19" s="73"/>
      <c r="G19" s="73"/>
      <c r="H19" s="207"/>
      <c r="I19" s="207"/>
      <c r="J19" s="207"/>
      <c r="K19" s="207"/>
      <c r="L19" s="207"/>
      <c r="M19" s="207"/>
      <c r="N19" s="207"/>
      <c r="O19" s="2" t="s">
        <v>13</v>
      </c>
      <c r="P19" s="207"/>
      <c r="Q19" s="207"/>
      <c r="R19" s="207"/>
      <c r="S19" s="207"/>
      <c r="T19" s="207"/>
      <c r="U19" s="436" t="e">
        <f>C54</f>
        <v>#DIV/0!</v>
      </c>
      <c r="V19" s="73"/>
      <c r="W19" s="73"/>
      <c r="X19" s="73"/>
      <c r="Y19" s="73"/>
      <c r="Z19" s="73"/>
      <c r="AA19" s="73"/>
      <c r="AB19" s="73"/>
      <c r="AC19" s="73"/>
      <c r="AD19" s="73"/>
      <c r="AE19" s="73"/>
      <c r="AF19" s="73"/>
      <c r="AG19" s="73"/>
      <c r="AH19" s="73"/>
      <c r="AI19" s="73"/>
      <c r="AJ19" s="73"/>
      <c r="AK19" s="73"/>
      <c r="AL19" s="73"/>
      <c r="AV19" s="6" t="s">
        <v>24</v>
      </c>
      <c r="AW19" s="18" t="e">
        <f>$C34*$C36*$C42*C65+$C34*$C36*(1-$C42)*C69+$C34*(1-$C36)*$C42*C74+$C34*(1-$C36)*(1-$C42)*C78+(1-$C34)*$C36*$C42*C83+(1-$C34)*$C36*(1-$C42)*C87+(1-$C34)*(1-$C36)*$C42*C92+(1-$C34)*(1-$C36)*(1-$C42)*C96</f>
        <v>#DIV/0!</v>
      </c>
      <c r="AX19" s="18" t="e">
        <f>$C34*$C36*$C42*D65+$C34*$C36*(1-$C42)*D69+$C34*(1-$C36)*$C42*D74+$C34*(1-$C36)*(1-$C42)*D78+(1-$C34)*$C36*$C42*D83+(1-$C34)*$C36*(1-$C42)*D87+(1-$C34)*(1-$C36)*$C42*D92+(1-$C34)*(1-$C36)*(1-$C42)*D96</f>
        <v>#DIV/0!</v>
      </c>
      <c r="AY19" s="18" t="e">
        <f>$C34*$C36*$C42*E65+$C34*$C36*(1-$C42)*E69+$C34*(1-$C36)*$C42*E74+$C34*(1-$C36)*(1-$C42)*E78+(1-$C34)*$C36*$C42*E83+(1-$C34)*$C36*(1-$C42)*E87+(1-$C34)*(1-$C36)*$C42*E92+(1-$C34)*(1-$C36)*(1-$C42)*E96</f>
        <v>#DIV/0!</v>
      </c>
    </row>
    <row r="20" spans="1:51" x14ac:dyDescent="0.35">
      <c r="A20" s="73"/>
      <c r="B20" s="221"/>
      <c r="C20" s="230"/>
      <c r="D20" s="73"/>
      <c r="E20" s="73"/>
      <c r="F20" s="73"/>
      <c r="G20" s="73"/>
      <c r="H20" s="207"/>
      <c r="I20" s="207"/>
      <c r="J20" s="207"/>
      <c r="K20" s="207"/>
      <c r="L20" s="207"/>
      <c r="M20" s="207"/>
      <c r="N20" s="207"/>
      <c r="O20" s="246" t="e">
        <f>1-C15</f>
        <v>#DIV/0!</v>
      </c>
      <c r="P20" s="207"/>
      <c r="Q20" s="207"/>
      <c r="R20" s="207"/>
      <c r="S20" s="207"/>
      <c r="T20" s="207"/>
      <c r="U20" s="437"/>
      <c r="V20" s="73"/>
      <c r="W20" s="73"/>
      <c r="X20" s="73"/>
      <c r="Y20" s="73"/>
      <c r="Z20" s="73"/>
      <c r="AA20" s="73"/>
      <c r="AB20" s="73"/>
      <c r="AC20" s="73"/>
      <c r="AD20" s="73"/>
      <c r="AE20" s="73"/>
      <c r="AF20" s="73"/>
      <c r="AG20" s="73"/>
      <c r="AH20" s="73"/>
      <c r="AI20" s="73"/>
      <c r="AJ20" s="73"/>
      <c r="AK20" s="73"/>
      <c r="AL20" s="73"/>
    </row>
    <row r="21" spans="1:51" x14ac:dyDescent="0.35">
      <c r="A21" s="73"/>
      <c r="B21" s="221"/>
      <c r="C21" s="230"/>
      <c r="D21" s="73"/>
      <c r="E21" s="73"/>
      <c r="F21" s="73"/>
      <c r="G21" s="73"/>
      <c r="H21" s="207"/>
      <c r="I21" s="207"/>
      <c r="J21" s="207"/>
      <c r="K21" s="207"/>
      <c r="L21" s="207"/>
      <c r="M21" s="207"/>
      <c r="N21" s="207"/>
      <c r="O21" s="207"/>
      <c r="P21" s="207"/>
      <c r="Q21" s="207"/>
      <c r="R21" s="207"/>
      <c r="S21" s="207"/>
      <c r="T21" s="207"/>
      <c r="U21" s="207"/>
      <c r="V21" s="73"/>
      <c r="W21" s="73"/>
      <c r="X21" s="73"/>
      <c r="Y21" s="73"/>
      <c r="Z21" s="73"/>
      <c r="AA21" s="73"/>
      <c r="AB21" s="73"/>
      <c r="AC21" s="73"/>
      <c r="AD21" s="73"/>
      <c r="AE21" s="73"/>
      <c r="AF21" s="73"/>
      <c r="AG21" s="73"/>
      <c r="AH21" s="73"/>
      <c r="AI21" s="73"/>
      <c r="AJ21" s="73"/>
      <c r="AK21" s="73"/>
      <c r="AL21" s="73"/>
      <c r="AV21" s="6" t="s">
        <v>114</v>
      </c>
      <c r="AX21" s="19" t="e">
        <f>AW16-$AX16</f>
        <v>#DIV/0!</v>
      </c>
      <c r="AY21" s="19" t="e">
        <f>AY16-$AW16</f>
        <v>#DIV/0!</v>
      </c>
    </row>
    <row r="22" spans="1:51" x14ac:dyDescent="0.35">
      <c r="A22" s="73"/>
      <c r="B22" s="221"/>
      <c r="C22" s="230"/>
      <c r="D22" s="73"/>
      <c r="E22" s="73"/>
      <c r="F22" s="73"/>
      <c r="G22" s="73"/>
      <c r="H22" s="207"/>
      <c r="I22" s="207"/>
      <c r="J22" s="207"/>
      <c r="K22" s="207"/>
      <c r="L22" s="207"/>
      <c r="M22" s="207"/>
      <c r="N22" s="207"/>
      <c r="O22" s="2" t="s">
        <v>12</v>
      </c>
      <c r="P22" s="207"/>
      <c r="Q22" s="207"/>
      <c r="R22" s="207"/>
      <c r="S22" s="207"/>
      <c r="T22" s="207"/>
      <c r="U22" s="436" t="e">
        <f>C58</f>
        <v>#DIV/0!</v>
      </c>
      <c r="V22" s="73"/>
      <c r="W22" s="73"/>
      <c r="X22" s="73"/>
      <c r="Y22" s="73"/>
      <c r="Z22" s="73"/>
      <c r="AA22" s="73"/>
      <c r="AB22" s="73"/>
      <c r="AC22" s="73"/>
      <c r="AD22" s="73"/>
      <c r="AE22" s="73"/>
      <c r="AF22" s="73"/>
      <c r="AG22" s="73"/>
      <c r="AH22" s="73"/>
      <c r="AI22" s="73"/>
      <c r="AJ22" s="73"/>
      <c r="AK22" s="73"/>
      <c r="AL22" s="73"/>
      <c r="AV22" s="6" t="s">
        <v>14</v>
      </c>
      <c r="AX22" s="19" t="e">
        <f>AW17-$AX17</f>
        <v>#DIV/0!</v>
      </c>
      <c r="AY22" s="19" t="e">
        <f>AY17-$AW17</f>
        <v>#DIV/0!</v>
      </c>
    </row>
    <row r="23" spans="1:51" x14ac:dyDescent="0.35">
      <c r="A23" s="73"/>
      <c r="B23" s="221"/>
      <c r="C23" s="230"/>
      <c r="D23" s="73"/>
      <c r="E23" s="73"/>
      <c r="F23" s="73"/>
      <c r="G23" s="73"/>
      <c r="H23" s="207"/>
      <c r="I23" s="207"/>
      <c r="J23" s="207"/>
      <c r="K23" s="207"/>
      <c r="L23" s="207"/>
      <c r="M23" s="207"/>
      <c r="N23" s="207"/>
      <c r="O23" s="246" t="e">
        <f>C27</f>
        <v>#DIV/0!</v>
      </c>
      <c r="P23" s="207"/>
      <c r="Q23" s="207"/>
      <c r="R23" s="207"/>
      <c r="S23" s="207"/>
      <c r="T23" s="207"/>
      <c r="U23" s="437"/>
      <c r="V23" s="73"/>
      <c r="W23" s="73"/>
      <c r="X23" s="73"/>
      <c r="Y23" s="73"/>
      <c r="Z23" s="73"/>
      <c r="AA23" s="73"/>
      <c r="AB23" s="73"/>
      <c r="AC23" s="73"/>
      <c r="AD23" s="73"/>
      <c r="AE23" s="73"/>
      <c r="AF23" s="73"/>
      <c r="AG23" s="73"/>
      <c r="AH23" s="73"/>
      <c r="AI23" s="73"/>
      <c r="AJ23" s="73"/>
      <c r="AK23" s="73"/>
      <c r="AL23" s="73"/>
      <c r="AV23" s="6" t="s">
        <v>15</v>
      </c>
      <c r="AX23" s="19" t="e">
        <f t="shared" ref="AX23:AX24" si="0">AW18-$AX18</f>
        <v>#DIV/0!</v>
      </c>
      <c r="AY23" s="19" t="e">
        <f>AY18-$AW18</f>
        <v>#DIV/0!</v>
      </c>
    </row>
    <row r="24" spans="1:51" x14ac:dyDescent="0.35">
      <c r="A24" s="73"/>
      <c r="B24" s="222"/>
      <c r="C24" s="230"/>
      <c r="D24" s="73"/>
      <c r="E24" s="73"/>
      <c r="F24" s="73"/>
      <c r="G24" s="73"/>
      <c r="H24" s="207"/>
      <c r="I24" s="207" t="s">
        <v>6</v>
      </c>
      <c r="J24" s="207"/>
      <c r="K24" s="207"/>
      <c r="L24" s="207"/>
      <c r="M24" s="207"/>
      <c r="N24" s="207"/>
      <c r="O24" s="207"/>
      <c r="P24" s="207"/>
      <c r="Q24" s="207"/>
      <c r="R24" s="207"/>
      <c r="S24" s="207"/>
      <c r="T24" s="207"/>
      <c r="U24" s="207"/>
      <c r="V24" s="73"/>
      <c r="W24" s="73"/>
      <c r="X24" s="73"/>
      <c r="Y24" s="73"/>
      <c r="Z24" s="251"/>
      <c r="AA24" s="73"/>
      <c r="AB24" s="73"/>
      <c r="AC24" s="73"/>
      <c r="AD24" s="73"/>
      <c r="AE24" s="73"/>
      <c r="AF24" s="73"/>
      <c r="AG24" s="73"/>
      <c r="AH24" s="73"/>
      <c r="AI24" s="73"/>
      <c r="AJ24" s="73"/>
      <c r="AK24" s="73"/>
      <c r="AL24" s="73"/>
      <c r="AV24" s="6" t="s">
        <v>24</v>
      </c>
      <c r="AX24" s="19" t="e">
        <f t="shared" si="0"/>
        <v>#DIV/0!</v>
      </c>
      <c r="AY24" s="19" t="e">
        <f>AY19-$AW19</f>
        <v>#DIV/0!</v>
      </c>
    </row>
    <row r="25" spans="1:51" x14ac:dyDescent="0.35">
      <c r="A25" s="73"/>
      <c r="B25" s="231"/>
      <c r="C25" s="73"/>
      <c r="D25" s="73"/>
      <c r="E25" s="73"/>
      <c r="F25" s="73"/>
      <c r="G25" s="73"/>
      <c r="H25" s="207"/>
      <c r="I25" s="207"/>
      <c r="J25" s="207"/>
      <c r="K25" s="207"/>
      <c r="L25" s="207"/>
      <c r="M25" s="207"/>
      <c r="N25" s="207"/>
      <c r="O25" s="207"/>
      <c r="P25" s="207"/>
      <c r="Q25" s="207"/>
      <c r="R25" s="207"/>
      <c r="S25" s="207"/>
      <c r="T25" s="207"/>
      <c r="U25" s="207"/>
      <c r="V25" s="73"/>
      <c r="W25" s="73"/>
      <c r="X25" s="73"/>
      <c r="Y25" s="73"/>
      <c r="Z25" s="73"/>
      <c r="AA25" s="73"/>
      <c r="AB25" s="73"/>
      <c r="AC25" s="73"/>
      <c r="AD25" s="73"/>
      <c r="AE25" s="73"/>
      <c r="AF25" s="73"/>
      <c r="AG25" s="73"/>
      <c r="AH25" s="73"/>
      <c r="AI25" s="73"/>
      <c r="AJ25" s="73"/>
      <c r="AK25" s="73"/>
      <c r="AL25" s="73"/>
    </row>
    <row r="26" spans="1:51" ht="15.5" x14ac:dyDescent="0.35">
      <c r="A26" s="73"/>
      <c r="B26" s="227" t="s">
        <v>1</v>
      </c>
      <c r="C26" s="225"/>
      <c r="D26" s="224"/>
      <c r="E26" s="224"/>
      <c r="F26" s="73"/>
      <c r="G26" s="73"/>
      <c r="H26" s="207"/>
      <c r="I26" s="207"/>
      <c r="J26" s="207"/>
      <c r="K26" s="207"/>
      <c r="L26" s="207"/>
      <c r="M26" s="207"/>
      <c r="N26" s="207"/>
      <c r="O26" s="2" t="s">
        <v>13</v>
      </c>
      <c r="P26" s="207"/>
      <c r="Q26" s="207"/>
      <c r="R26" s="207"/>
      <c r="S26" s="207"/>
      <c r="T26" s="207"/>
      <c r="U26" s="436" t="e">
        <f>C61</f>
        <v>#DIV/0!</v>
      </c>
      <c r="V26" s="73"/>
      <c r="W26" s="73"/>
      <c r="X26" s="73"/>
      <c r="Y26" s="73"/>
      <c r="Z26" s="76"/>
      <c r="AA26" s="252"/>
      <c r="AB26" s="73"/>
      <c r="AC26" s="73"/>
      <c r="AD26" s="73"/>
      <c r="AE26" s="73"/>
      <c r="AF26" s="73"/>
      <c r="AG26" s="73"/>
      <c r="AH26" s="73"/>
      <c r="AI26" s="73"/>
      <c r="AJ26" s="73"/>
      <c r="AK26" s="73"/>
      <c r="AL26" s="73"/>
    </row>
    <row r="27" spans="1:51" x14ac:dyDescent="0.35">
      <c r="A27" s="73"/>
      <c r="B27" s="486" t="str">
        <f>CONCATENATE("Probability that the 'in situ plus' plan for the ",'Initial information'!C7," will be ", '3. In-situ plus plan'!$D$41,"% implemented in ",'3. In-situ plus plan'!$D$38," years from now")</f>
        <v>Probability that the 'in situ plus' plan for the  will be % implemented in  years from now</v>
      </c>
      <c r="C27" s="485" t="e">
        <f>'4.4 Group results Events'!D88</f>
        <v>#DIV/0!</v>
      </c>
      <c r="D27" s="73"/>
      <c r="E27" s="73"/>
      <c r="F27" s="73"/>
      <c r="G27" s="73"/>
      <c r="H27" s="207"/>
      <c r="I27" s="207"/>
      <c r="J27" s="207"/>
      <c r="K27" s="207"/>
      <c r="L27" s="207"/>
      <c r="M27" s="207"/>
      <c r="N27" s="207"/>
      <c r="O27" s="246" t="e">
        <f>1-C27</f>
        <v>#DIV/0!</v>
      </c>
      <c r="P27" s="207"/>
      <c r="Q27" s="207"/>
      <c r="R27" s="207"/>
      <c r="S27" s="207"/>
      <c r="T27" s="207"/>
      <c r="U27" s="437"/>
      <c r="V27" s="73"/>
      <c r="W27" s="73"/>
      <c r="X27" s="73"/>
      <c r="Y27" s="73"/>
      <c r="Z27" s="76"/>
      <c r="AA27" s="252"/>
      <c r="AB27" s="73"/>
      <c r="AC27" s="73"/>
      <c r="AD27" s="73"/>
      <c r="AE27" s="73"/>
      <c r="AF27" s="73"/>
      <c r="AG27" s="73"/>
      <c r="AH27" s="73"/>
      <c r="AI27" s="73"/>
      <c r="AJ27" s="73"/>
      <c r="AK27" s="73"/>
      <c r="AL27" s="73"/>
    </row>
    <row r="28" spans="1:51" x14ac:dyDescent="0.35">
      <c r="A28" s="73"/>
      <c r="B28" s="474"/>
      <c r="C28" s="475"/>
      <c r="D28" s="73"/>
      <c r="E28" s="73"/>
      <c r="F28" s="73"/>
      <c r="G28" s="73"/>
      <c r="H28" s="207"/>
      <c r="I28" s="207"/>
      <c r="J28" s="207"/>
      <c r="K28" s="207"/>
      <c r="L28" s="207"/>
      <c r="M28" s="207"/>
      <c r="N28" s="207"/>
      <c r="O28" s="207"/>
      <c r="P28" s="207"/>
      <c r="Q28" s="207"/>
      <c r="R28" s="207"/>
      <c r="S28" s="207"/>
      <c r="T28" s="207"/>
      <c r="U28" s="207"/>
      <c r="V28" s="73"/>
      <c r="W28" s="73"/>
      <c r="X28" s="73"/>
      <c r="Y28" s="73"/>
      <c r="Z28" s="76"/>
      <c r="AA28" s="252"/>
      <c r="AB28" s="73"/>
      <c r="AC28" s="73"/>
      <c r="AD28" s="73"/>
      <c r="AE28" s="73"/>
      <c r="AF28" s="73"/>
      <c r="AG28" s="73"/>
      <c r="AH28" s="73"/>
      <c r="AI28" s="73"/>
      <c r="AJ28" s="73"/>
      <c r="AK28" s="73"/>
      <c r="AL28" s="73"/>
    </row>
    <row r="29" spans="1:51" x14ac:dyDescent="0.35">
      <c r="A29" s="73"/>
      <c r="B29" s="232"/>
      <c r="C29" s="73"/>
      <c r="D29" s="73"/>
      <c r="E29" s="73"/>
      <c r="F29" s="73"/>
      <c r="G29" s="73"/>
      <c r="H29" s="207"/>
      <c r="I29" s="207"/>
      <c r="J29" s="207"/>
      <c r="K29" s="207"/>
      <c r="L29" s="207"/>
      <c r="M29" s="207"/>
      <c r="N29" s="207"/>
      <c r="O29" s="207"/>
      <c r="P29" s="207"/>
      <c r="Q29" s="207"/>
      <c r="R29" s="207" t="s">
        <v>106</v>
      </c>
      <c r="S29" s="207"/>
      <c r="T29" s="207"/>
      <c r="U29" s="207"/>
      <c r="V29" s="73"/>
      <c r="W29" s="73"/>
      <c r="X29" s="73"/>
      <c r="Y29" s="73"/>
      <c r="Z29" s="73"/>
      <c r="AA29" s="73"/>
      <c r="AB29" s="73"/>
      <c r="AC29" s="73"/>
      <c r="AD29" s="73"/>
      <c r="AE29" s="73"/>
      <c r="AF29" s="73"/>
      <c r="AG29" s="73"/>
      <c r="AH29" s="73"/>
      <c r="AI29" s="73"/>
      <c r="AJ29" s="73"/>
      <c r="AK29" s="73"/>
      <c r="AL29" s="73"/>
    </row>
    <row r="30" spans="1:51" ht="15.5" x14ac:dyDescent="0.35">
      <c r="A30" s="73"/>
      <c r="B30" s="227" t="s">
        <v>2</v>
      </c>
      <c r="C30" s="224"/>
      <c r="D30" s="224"/>
      <c r="E30" s="224"/>
      <c r="F30" s="73"/>
      <c r="G30" s="73"/>
      <c r="H30" s="207"/>
      <c r="I30" s="207"/>
      <c r="J30" s="207"/>
      <c r="K30" s="207"/>
      <c r="L30" s="207"/>
      <c r="M30" s="207"/>
      <c r="N30" s="207"/>
      <c r="O30" s="207"/>
      <c r="P30" s="207"/>
      <c r="Q30" s="207"/>
      <c r="R30" s="207" t="s">
        <v>107</v>
      </c>
      <c r="S30" s="207"/>
      <c r="T30" s="207"/>
      <c r="U30" s="436" t="e">
        <f>C65</f>
        <v>#DIV/0!</v>
      </c>
      <c r="V30" s="73"/>
      <c r="W30" s="73"/>
      <c r="X30" s="73"/>
      <c r="Y30" s="73"/>
      <c r="Z30" s="73"/>
      <c r="AA30" s="73"/>
      <c r="AB30" s="73"/>
      <c r="AC30" s="73"/>
      <c r="AD30" s="73"/>
      <c r="AE30" s="73"/>
      <c r="AF30" s="73"/>
      <c r="AG30" s="73"/>
      <c r="AH30" s="73"/>
      <c r="AI30" s="73"/>
      <c r="AJ30" s="73"/>
      <c r="AK30" s="73"/>
      <c r="AL30" s="73"/>
    </row>
    <row r="31" spans="1:51" x14ac:dyDescent="0.35">
      <c r="A31" s="73"/>
      <c r="B31" s="234" t="s">
        <v>3</v>
      </c>
      <c r="C31" s="239">
        <f>'2. Ex-situ plan'!C15</f>
        <v>0</v>
      </c>
      <c r="D31" s="73"/>
      <c r="E31" s="73"/>
      <c r="F31" s="73"/>
      <c r="G31" s="73"/>
      <c r="H31" s="207"/>
      <c r="I31" s="207"/>
      <c r="J31" s="207"/>
      <c r="K31" s="207"/>
      <c r="L31" s="207"/>
      <c r="M31" s="207"/>
      <c r="N31" s="207"/>
      <c r="O31" s="207" t="s">
        <v>118</v>
      </c>
      <c r="P31" s="207"/>
      <c r="Q31" s="207"/>
      <c r="R31" s="246" t="e">
        <f>C42</f>
        <v>#DIV/0!</v>
      </c>
      <c r="S31" s="207"/>
      <c r="T31" s="207"/>
      <c r="U31" s="437"/>
      <c r="V31" s="73"/>
      <c r="W31" s="73"/>
      <c r="X31" s="73"/>
      <c r="Y31" s="73"/>
      <c r="Z31" s="73"/>
      <c r="AA31" s="73"/>
      <c r="AB31" s="73"/>
      <c r="AC31" s="73"/>
      <c r="AD31" s="73"/>
      <c r="AE31" s="73"/>
      <c r="AF31" s="73"/>
      <c r="AG31" s="73"/>
      <c r="AH31" s="73"/>
      <c r="AI31" s="73"/>
      <c r="AJ31" s="73"/>
      <c r="AK31" s="73"/>
      <c r="AL31" s="73"/>
    </row>
    <row r="32" spans="1:51" x14ac:dyDescent="0.35">
      <c r="A32" s="73"/>
      <c r="B32" s="235"/>
      <c r="C32" s="236"/>
      <c r="D32" s="73"/>
      <c r="E32" s="73"/>
      <c r="F32" s="73"/>
      <c r="G32" s="73"/>
      <c r="H32" s="207"/>
      <c r="I32" s="207"/>
      <c r="J32" s="207"/>
      <c r="K32" s="207"/>
      <c r="L32" s="207"/>
      <c r="M32" s="207"/>
      <c r="N32" s="207"/>
      <c r="O32" s="207" t="s">
        <v>8</v>
      </c>
      <c r="P32" s="207"/>
      <c r="Q32" s="207"/>
      <c r="R32" s="207"/>
      <c r="S32" s="207"/>
      <c r="T32" s="207"/>
      <c r="U32" s="207"/>
      <c r="V32" s="73"/>
      <c r="W32" s="73"/>
      <c r="X32" s="73"/>
      <c r="Y32" s="73"/>
      <c r="Z32" s="73"/>
      <c r="AA32" s="73"/>
      <c r="AB32" s="73"/>
      <c r="AC32" s="73"/>
      <c r="AD32" s="73"/>
      <c r="AE32" s="73"/>
      <c r="AF32" s="73"/>
      <c r="AG32" s="73"/>
      <c r="AH32" s="73"/>
      <c r="AI32" s="73"/>
      <c r="AJ32" s="73"/>
      <c r="AK32" s="73"/>
      <c r="AL32" s="73"/>
    </row>
    <row r="33" spans="1:38" x14ac:dyDescent="0.35">
      <c r="A33" s="73"/>
      <c r="B33" s="233" t="s">
        <v>234</v>
      </c>
      <c r="C33" s="237"/>
      <c r="D33" s="73"/>
      <c r="E33" s="73"/>
      <c r="F33" s="73"/>
      <c r="G33" s="73"/>
      <c r="H33" s="207"/>
      <c r="I33" s="207"/>
      <c r="J33" s="207"/>
      <c r="K33" s="207"/>
      <c r="L33" s="207"/>
      <c r="M33" s="207"/>
      <c r="N33" s="207"/>
      <c r="O33" s="246" t="e">
        <f>C36</f>
        <v>#DIV/0!</v>
      </c>
      <c r="P33" s="207"/>
      <c r="Q33" s="207"/>
      <c r="R33" s="207" t="s">
        <v>108</v>
      </c>
      <c r="S33" s="207"/>
      <c r="T33" s="207"/>
      <c r="U33" s="207"/>
      <c r="V33" s="73"/>
      <c r="W33" s="73"/>
      <c r="X33" s="73"/>
      <c r="Y33" s="73"/>
      <c r="Z33" s="253"/>
      <c r="AA33" s="73"/>
      <c r="AB33" s="73"/>
      <c r="AC33" s="73"/>
      <c r="AD33" s="73"/>
      <c r="AE33" s="73"/>
      <c r="AF33" s="73"/>
      <c r="AG33" s="73"/>
      <c r="AH33" s="73"/>
      <c r="AI33" s="73"/>
      <c r="AJ33" s="73"/>
      <c r="AK33" s="73"/>
      <c r="AL33" s="73"/>
    </row>
    <row r="34" spans="1:38" x14ac:dyDescent="0.35">
      <c r="A34" s="73"/>
      <c r="B34" s="486" t="str">
        <f>CONCATENATE("Probability that the in-situ component of the ex-situ plan for the ",'Initial information'!C7," will be ",'1. In-situ status quo plan'!$C$38,"% implemented in ",'1. In-situ status quo plan'!$C$35," years from now")</f>
        <v>Probability that the in-situ component of the ex-situ plan for the  will be % implemented in  years from now</v>
      </c>
      <c r="C34" s="485" t="e">
        <f>C15</f>
        <v>#DIV/0!</v>
      </c>
      <c r="D34" s="73"/>
      <c r="E34" s="73"/>
      <c r="F34" s="73"/>
      <c r="G34" s="73"/>
      <c r="H34" s="207"/>
      <c r="I34" s="207"/>
      <c r="J34" s="207"/>
      <c r="K34" s="207"/>
      <c r="L34" s="207"/>
      <c r="M34" s="207"/>
      <c r="N34" s="207"/>
      <c r="O34" s="207"/>
      <c r="P34" s="207"/>
      <c r="Q34" s="207"/>
      <c r="R34" s="207" t="s">
        <v>109</v>
      </c>
      <c r="S34" s="207"/>
      <c r="T34" s="207"/>
      <c r="U34" s="436" t="e">
        <f>C69</f>
        <v>#DIV/0!</v>
      </c>
      <c r="V34" s="73"/>
      <c r="W34" s="73"/>
      <c r="X34" s="73"/>
      <c r="Y34" s="73"/>
      <c r="Z34" s="205"/>
      <c r="AA34" s="205"/>
      <c r="AB34" s="205"/>
      <c r="AC34" s="205"/>
      <c r="AD34" s="73"/>
      <c r="AE34" s="73"/>
      <c r="AF34" s="73"/>
      <c r="AG34" s="73"/>
      <c r="AH34" s="73"/>
      <c r="AI34" s="73"/>
      <c r="AJ34" s="73"/>
      <c r="AK34" s="73"/>
      <c r="AL34" s="73"/>
    </row>
    <row r="35" spans="1:38" x14ac:dyDescent="0.35">
      <c r="A35" s="73"/>
      <c r="B35" s="471"/>
      <c r="C35" s="473"/>
      <c r="D35" s="75"/>
      <c r="E35" s="75"/>
      <c r="F35" s="73"/>
      <c r="G35" s="73"/>
      <c r="H35" s="207"/>
      <c r="I35" s="207"/>
      <c r="J35" s="207"/>
      <c r="K35" s="207"/>
      <c r="L35" s="207" t="s">
        <v>110</v>
      </c>
      <c r="M35" s="207"/>
      <c r="N35" s="207"/>
      <c r="O35" s="207"/>
      <c r="P35" s="207"/>
      <c r="Q35" s="207"/>
      <c r="R35" s="246" t="e">
        <f>1-C42</f>
        <v>#DIV/0!</v>
      </c>
      <c r="S35" s="207"/>
      <c r="T35" s="207"/>
      <c r="U35" s="437"/>
      <c r="V35" s="73"/>
      <c r="W35" s="73"/>
      <c r="X35" s="76"/>
      <c r="Y35" s="252"/>
      <c r="Z35" s="254"/>
      <c r="AA35" s="254"/>
      <c r="AB35" s="254"/>
      <c r="AC35" s="73"/>
      <c r="AD35" s="73"/>
      <c r="AE35" s="73"/>
      <c r="AF35" s="73"/>
      <c r="AG35" s="73"/>
      <c r="AH35" s="73"/>
      <c r="AI35" s="73"/>
      <c r="AJ35" s="73"/>
      <c r="AK35" s="73"/>
      <c r="AL35" s="73"/>
    </row>
    <row r="36" spans="1:38" x14ac:dyDescent="0.35">
      <c r="A36" s="73"/>
      <c r="B36" s="470" t="str">
        <f>CONCATENATE("Probability that the ex-situ plan will have a TRIVIAL impact on the wild source population, i.e. a take of ", '2. Ex-situ plan'!C15*'2. Ex-situ plan'!C16, " individuals will not threaten the viability of wild source population(s)")</f>
        <v>Probability that the ex-situ plan will have a TRIVIAL impact on the wild source population, i.e. a take of 0 individuals will not threaten the viability of wild source population(s)</v>
      </c>
      <c r="C36" s="472" t="e">
        <f>'4.4 Group results Events'!D133</f>
        <v>#DIV/0!</v>
      </c>
      <c r="D36" s="73"/>
      <c r="E36" s="73"/>
      <c r="F36" s="73"/>
      <c r="G36" s="73"/>
      <c r="H36" s="207"/>
      <c r="I36" s="207"/>
      <c r="J36" s="207"/>
      <c r="K36" s="207"/>
      <c r="L36" s="207" t="s">
        <v>111</v>
      </c>
      <c r="M36" s="207"/>
      <c r="N36" s="207"/>
      <c r="O36" s="207"/>
      <c r="P36" s="207"/>
      <c r="Q36" s="207"/>
      <c r="R36" s="207"/>
      <c r="S36" s="207"/>
      <c r="T36" s="207"/>
      <c r="U36" s="207"/>
      <c r="V36" s="73"/>
      <c r="W36" s="73"/>
      <c r="X36" s="76"/>
      <c r="Y36" s="252"/>
      <c r="Z36" s="254"/>
      <c r="AA36" s="254"/>
      <c r="AB36" s="254"/>
      <c r="AC36" s="73"/>
      <c r="AD36" s="73"/>
      <c r="AE36" s="73"/>
      <c r="AF36" s="73"/>
      <c r="AG36" s="73"/>
      <c r="AH36" s="73"/>
      <c r="AI36" s="73"/>
      <c r="AJ36" s="73"/>
      <c r="AK36" s="73"/>
      <c r="AL36" s="73"/>
    </row>
    <row r="37" spans="1:38" x14ac:dyDescent="0.35">
      <c r="A37" s="73"/>
      <c r="B37" s="471"/>
      <c r="C37" s="473"/>
      <c r="D37" s="73"/>
      <c r="E37" s="73"/>
      <c r="F37" s="73"/>
      <c r="G37" s="73"/>
      <c r="H37" s="207"/>
      <c r="I37" s="207"/>
      <c r="J37" s="207"/>
      <c r="K37" s="207"/>
      <c r="L37" s="246" t="e">
        <f>C34</f>
        <v>#DIV/0!</v>
      </c>
      <c r="M37" s="207"/>
      <c r="N37" s="207"/>
      <c r="O37" s="207"/>
      <c r="P37" s="207"/>
      <c r="Q37" s="207"/>
      <c r="R37" s="207" t="s">
        <v>106</v>
      </c>
      <c r="S37" s="207"/>
      <c r="T37" s="207"/>
      <c r="U37" s="207"/>
      <c r="V37" s="73"/>
      <c r="W37" s="73"/>
      <c r="X37" s="76"/>
      <c r="Y37" s="252"/>
      <c r="Z37" s="254"/>
      <c r="AA37" s="254"/>
      <c r="AB37" s="254"/>
      <c r="AC37" s="73"/>
      <c r="AD37" s="73"/>
      <c r="AE37" s="73"/>
      <c r="AF37" s="73"/>
      <c r="AG37" s="73"/>
      <c r="AH37" s="73"/>
      <c r="AI37" s="73"/>
      <c r="AJ37" s="73"/>
      <c r="AK37" s="73"/>
      <c r="AL37" s="73"/>
    </row>
    <row r="38" spans="1:38" x14ac:dyDescent="0.35">
      <c r="A38" s="73"/>
      <c r="B38" s="470" t="str">
        <f>CONCATENATE("Probability that the captive breeding component of the ex situ plan will be successful, i.e. ≥ ",'2. Ex-situ plan'!$C$23,"% of offspring born in year ",'2. Ex-situ plan'!$C$21," of the ex-situ breeding program will survive to ",'2. Ex-situ plan'!$C$22," months")</f>
        <v>Probability that the captive breeding component of the ex situ plan will be successful, i.e. ≥ % of offspring born in year  of the ex-situ breeding program will survive to  months</v>
      </c>
      <c r="C38" s="472" t="e">
        <f>'4.4 Group results Events'!D178</f>
        <v>#DIV/0!</v>
      </c>
      <c r="D38" s="73"/>
      <c r="E38" s="73"/>
      <c r="F38" s="73"/>
      <c r="G38" s="73"/>
      <c r="H38" s="207"/>
      <c r="I38" s="207"/>
      <c r="J38" s="207"/>
      <c r="K38" s="207"/>
      <c r="L38" s="207"/>
      <c r="M38" s="207"/>
      <c r="N38" s="207"/>
      <c r="O38" s="207"/>
      <c r="P38" s="207"/>
      <c r="Q38" s="207"/>
      <c r="R38" s="207" t="s">
        <v>107</v>
      </c>
      <c r="S38" s="207"/>
      <c r="T38" s="207"/>
      <c r="U38" s="436" t="e">
        <f>C74</f>
        <v>#DIV/0!</v>
      </c>
      <c r="V38" s="73"/>
      <c r="W38" s="73"/>
      <c r="X38" s="73"/>
      <c r="Y38" s="73"/>
      <c r="Z38" s="73"/>
      <c r="AA38" s="73"/>
      <c r="AB38" s="73"/>
      <c r="AC38" s="73"/>
      <c r="AD38" s="73"/>
      <c r="AE38" s="73"/>
      <c r="AF38" s="73"/>
      <c r="AG38" s="73"/>
      <c r="AH38" s="73"/>
      <c r="AI38" s="73"/>
      <c r="AJ38" s="73"/>
      <c r="AK38" s="73"/>
      <c r="AL38" s="73"/>
    </row>
    <row r="39" spans="1:38" x14ac:dyDescent="0.35">
      <c r="A39" s="73"/>
      <c r="B39" s="471"/>
      <c r="C39" s="473"/>
      <c r="D39" s="73"/>
      <c r="E39" s="73"/>
      <c r="F39" s="73"/>
      <c r="G39" s="73"/>
      <c r="H39" s="207"/>
      <c r="I39" s="207"/>
      <c r="J39" s="207"/>
      <c r="K39" s="207"/>
      <c r="L39" s="207"/>
      <c r="M39" s="207"/>
      <c r="N39" s="207"/>
      <c r="O39" s="207" t="s">
        <v>119</v>
      </c>
      <c r="P39" s="207"/>
      <c r="Q39" s="207"/>
      <c r="R39" s="246" t="e">
        <f>C42</f>
        <v>#DIV/0!</v>
      </c>
      <c r="S39" s="207"/>
      <c r="T39" s="207"/>
      <c r="U39" s="437"/>
      <c r="V39" s="73"/>
      <c r="W39" s="73"/>
      <c r="X39" s="73"/>
      <c r="Y39" s="73"/>
      <c r="Z39" s="78"/>
      <c r="AA39" s="78"/>
      <c r="AB39" s="78"/>
      <c r="AC39" s="78"/>
      <c r="AD39" s="73"/>
      <c r="AE39" s="73"/>
      <c r="AF39" s="73"/>
      <c r="AG39" s="73"/>
      <c r="AH39" s="73"/>
      <c r="AI39" s="73"/>
      <c r="AJ39" s="73"/>
      <c r="AK39" s="73"/>
      <c r="AL39" s="73"/>
    </row>
    <row r="40" spans="1:38" x14ac:dyDescent="0.35">
      <c r="A40" s="73"/>
      <c r="B40" s="470" t="str">
        <f>CONCATENATE("Probability that captive individuals will be successfully released into the wild, i.e. ≥ ",'2. Ex-situ plan'!$C$29,"% of released individuals survive in the wild ",'2. Ex-situ plan'!$C$28," months after release")</f>
        <v>Probability that captive individuals will be successfully released into the wild, i.e. ≥ % of released individuals survive in the wild  months after release</v>
      </c>
      <c r="C40" s="472" t="e">
        <f>'4.4 Group results Events'!D223</f>
        <v>#DIV/0!</v>
      </c>
      <c r="D40" s="73"/>
      <c r="E40" s="73"/>
      <c r="F40" s="73"/>
      <c r="G40" s="73"/>
      <c r="H40" s="207"/>
      <c r="I40" s="207"/>
      <c r="J40" s="207"/>
      <c r="K40" s="207"/>
      <c r="L40" s="207"/>
      <c r="M40" s="207"/>
      <c r="N40" s="207"/>
      <c r="O40" s="207" t="s">
        <v>8</v>
      </c>
      <c r="P40" s="207"/>
      <c r="Q40" s="207"/>
      <c r="R40" s="207"/>
      <c r="S40" s="207"/>
      <c r="T40" s="207"/>
      <c r="U40" s="207"/>
      <c r="V40" s="73"/>
      <c r="W40" s="73"/>
      <c r="X40" s="73"/>
      <c r="Y40" s="73"/>
      <c r="Z40" s="73"/>
      <c r="AA40" s="73"/>
      <c r="AB40" s="73"/>
      <c r="AC40" s="73"/>
      <c r="AD40" s="73"/>
      <c r="AE40" s="73"/>
      <c r="AF40" s="73"/>
      <c r="AG40" s="73"/>
      <c r="AH40" s="73"/>
      <c r="AI40" s="73"/>
      <c r="AJ40" s="73"/>
      <c r="AK40" s="73"/>
      <c r="AL40" s="73"/>
    </row>
    <row r="41" spans="1:38" x14ac:dyDescent="0.35">
      <c r="A41" s="73"/>
      <c r="B41" s="471"/>
      <c r="C41" s="473"/>
      <c r="D41" s="73"/>
      <c r="E41" s="73"/>
      <c r="F41" s="73"/>
      <c r="G41" s="73"/>
      <c r="H41" s="207"/>
      <c r="I41" s="207"/>
      <c r="J41" s="207"/>
      <c r="K41" s="207"/>
      <c r="L41" s="207"/>
      <c r="M41" s="207"/>
      <c r="N41" s="207"/>
      <c r="O41" s="246" t="e">
        <f>1-C36</f>
        <v>#DIV/0!</v>
      </c>
      <c r="P41" s="207"/>
      <c r="Q41" s="207"/>
      <c r="R41" s="207" t="s">
        <v>108</v>
      </c>
      <c r="S41" s="207"/>
      <c r="T41" s="207"/>
      <c r="U41" s="207"/>
      <c r="V41" s="73"/>
      <c r="W41" s="73"/>
      <c r="X41" s="73"/>
      <c r="Y41" s="73"/>
      <c r="Z41" s="73"/>
      <c r="AA41" s="73"/>
      <c r="AB41" s="73"/>
      <c r="AC41" s="73"/>
      <c r="AD41" s="73"/>
      <c r="AE41" s="73"/>
      <c r="AF41" s="73"/>
      <c r="AG41" s="73"/>
      <c r="AH41" s="73"/>
      <c r="AI41" s="73"/>
      <c r="AJ41" s="73"/>
      <c r="AK41" s="73"/>
      <c r="AL41" s="73"/>
    </row>
    <row r="42" spans="1:38" x14ac:dyDescent="0.35">
      <c r="A42" s="73"/>
      <c r="B42" s="470" t="s">
        <v>116</v>
      </c>
      <c r="C42" s="472" t="e">
        <f>C38*C40</f>
        <v>#DIV/0!</v>
      </c>
      <c r="D42" s="73"/>
      <c r="E42" s="73"/>
      <c r="F42" s="73"/>
      <c r="G42" s="73"/>
      <c r="H42" s="207"/>
      <c r="I42" s="207"/>
      <c r="J42" s="207"/>
      <c r="K42" s="207"/>
      <c r="L42" s="207"/>
      <c r="M42" s="207"/>
      <c r="N42" s="207"/>
      <c r="O42" s="207"/>
      <c r="P42" s="207"/>
      <c r="Q42" s="207"/>
      <c r="R42" s="207" t="s">
        <v>109</v>
      </c>
      <c r="S42" s="207"/>
      <c r="T42" s="207"/>
      <c r="U42" s="436" t="e">
        <f>C78</f>
        <v>#DIV/0!</v>
      </c>
      <c r="V42" s="73"/>
      <c r="W42" s="73"/>
      <c r="X42" s="73"/>
      <c r="Y42" s="73"/>
      <c r="Z42" s="73"/>
      <c r="AA42" s="73"/>
      <c r="AB42" s="73"/>
      <c r="AC42" s="73"/>
      <c r="AD42" s="73"/>
      <c r="AE42" s="73"/>
      <c r="AF42" s="73"/>
      <c r="AG42" s="73"/>
      <c r="AH42" s="73"/>
      <c r="AI42" s="73"/>
      <c r="AJ42" s="73"/>
      <c r="AK42" s="73"/>
      <c r="AL42" s="73"/>
    </row>
    <row r="43" spans="1:38" x14ac:dyDescent="0.35">
      <c r="A43" s="73"/>
      <c r="B43" s="474"/>
      <c r="C43" s="475"/>
      <c r="D43" s="73"/>
      <c r="E43" s="73"/>
      <c r="F43" s="73"/>
      <c r="G43" s="73"/>
      <c r="H43" s="207"/>
      <c r="I43" s="207" t="s">
        <v>7</v>
      </c>
      <c r="J43" s="207"/>
      <c r="K43" s="207"/>
      <c r="L43" s="207"/>
      <c r="M43" s="207"/>
      <c r="N43" s="207"/>
      <c r="O43" s="207"/>
      <c r="P43" s="207"/>
      <c r="Q43" s="207"/>
      <c r="R43" s="246" t="e">
        <f>1-C42</f>
        <v>#DIV/0!</v>
      </c>
      <c r="S43" s="207"/>
      <c r="T43" s="207"/>
      <c r="U43" s="437"/>
      <c r="V43" s="73"/>
      <c r="W43" s="73"/>
      <c r="X43" s="73"/>
      <c r="Y43" s="73"/>
      <c r="Z43" s="73"/>
      <c r="AA43" s="73"/>
      <c r="AB43" s="73"/>
      <c r="AC43" s="73"/>
      <c r="AD43" s="73"/>
      <c r="AE43" s="73"/>
      <c r="AF43" s="73"/>
      <c r="AG43" s="73"/>
      <c r="AH43" s="73"/>
      <c r="AI43" s="73"/>
      <c r="AJ43" s="73"/>
      <c r="AK43" s="73"/>
      <c r="AL43" s="73"/>
    </row>
    <row r="44" spans="1:38" x14ac:dyDescent="0.35">
      <c r="A44" s="73"/>
      <c r="B44" s="232"/>
      <c r="C44" s="73"/>
      <c r="D44" s="73"/>
      <c r="E44" s="73"/>
      <c r="F44" s="73"/>
      <c r="G44" s="73"/>
      <c r="H44" s="207"/>
      <c r="I44" s="207"/>
      <c r="J44" s="207"/>
      <c r="K44" s="207"/>
      <c r="L44" s="207"/>
      <c r="M44" s="207"/>
      <c r="N44" s="207"/>
      <c r="O44" s="207"/>
      <c r="P44" s="207"/>
      <c r="Q44" s="207"/>
      <c r="R44" s="73"/>
      <c r="S44" s="73"/>
      <c r="T44" s="73"/>
      <c r="U44" s="73"/>
      <c r="V44" s="73"/>
      <c r="W44" s="73"/>
      <c r="X44" s="73"/>
      <c r="Y44" s="73"/>
      <c r="Z44" s="73"/>
      <c r="AA44" s="73"/>
      <c r="AB44" s="73"/>
      <c r="AC44" s="73"/>
      <c r="AD44" s="73"/>
      <c r="AE44" s="73"/>
      <c r="AF44" s="73"/>
      <c r="AG44" s="73"/>
      <c r="AH44" s="73"/>
      <c r="AI44" s="73"/>
      <c r="AJ44" s="73"/>
      <c r="AK44" s="73"/>
      <c r="AL44" s="73"/>
    </row>
    <row r="45" spans="1:38" x14ac:dyDescent="0.35">
      <c r="A45" s="73"/>
      <c r="B45" s="232"/>
      <c r="C45" s="398"/>
      <c r="D45" s="398"/>
      <c r="E45" s="398" t="s">
        <v>281</v>
      </c>
      <c r="F45" s="73"/>
      <c r="G45" s="73"/>
      <c r="H45" s="207"/>
      <c r="I45" s="247"/>
      <c r="J45" s="207"/>
      <c r="K45" s="207"/>
      <c r="L45" s="207"/>
      <c r="M45" s="207"/>
      <c r="N45" s="207"/>
      <c r="O45" s="207"/>
      <c r="P45" s="207"/>
      <c r="Q45" s="207"/>
      <c r="R45" s="207" t="s">
        <v>106</v>
      </c>
      <c r="S45" s="207"/>
      <c r="T45" s="207"/>
      <c r="U45" s="207"/>
      <c r="V45" s="73"/>
      <c r="W45" s="73"/>
      <c r="X45" s="73"/>
      <c r="Y45" s="73"/>
      <c r="Z45" s="73"/>
      <c r="AA45" s="73"/>
      <c r="AB45" s="73"/>
      <c r="AC45" s="73"/>
      <c r="AD45" s="73"/>
      <c r="AE45" s="73"/>
      <c r="AF45" s="73"/>
      <c r="AG45" s="73"/>
      <c r="AH45" s="73"/>
      <c r="AI45" s="73"/>
      <c r="AJ45" s="73"/>
      <c r="AK45" s="73"/>
      <c r="AL45" s="73"/>
    </row>
    <row r="46" spans="1:38" x14ac:dyDescent="0.35">
      <c r="A46" s="73"/>
      <c r="B46" s="242" t="s">
        <v>235</v>
      </c>
      <c r="C46" s="214" t="s">
        <v>9</v>
      </c>
      <c r="D46" s="214" t="s">
        <v>10</v>
      </c>
      <c r="E46" s="214" t="s">
        <v>11</v>
      </c>
      <c r="F46" s="73"/>
      <c r="G46" s="73"/>
      <c r="H46" s="207"/>
      <c r="I46" s="207"/>
      <c r="J46" s="207"/>
      <c r="K46" s="207"/>
      <c r="L46" s="207"/>
      <c r="M46" s="207"/>
      <c r="N46" s="207"/>
      <c r="O46" s="207"/>
      <c r="P46" s="207"/>
      <c r="Q46" s="207"/>
      <c r="R46" s="207" t="s">
        <v>107</v>
      </c>
      <c r="S46" s="207"/>
      <c r="T46" s="207"/>
      <c r="U46" s="436" t="e">
        <f>C83</f>
        <v>#DIV/0!</v>
      </c>
      <c r="V46" s="73"/>
      <c r="W46" s="73"/>
      <c r="X46" s="73"/>
      <c r="Y46" s="73"/>
      <c r="Z46" s="73"/>
      <c r="AA46" s="73"/>
      <c r="AB46" s="73"/>
      <c r="AC46" s="73"/>
      <c r="AD46" s="73"/>
      <c r="AE46" s="73"/>
      <c r="AF46" s="73"/>
      <c r="AG46" s="73"/>
      <c r="AH46" s="73"/>
      <c r="AI46" s="73"/>
      <c r="AJ46" s="73"/>
      <c r="AK46" s="73"/>
      <c r="AL46" s="73"/>
    </row>
    <row r="47" spans="1:38" x14ac:dyDescent="0.35">
      <c r="A47" s="73"/>
      <c r="B47" s="476" t="str">
        <f>'4.2 Elicitation form 2 Payoffs'!B31</f>
        <v>Let's say we DO NOTHING. 
At the end of the planning time horizon, what will be the CHANGE (as a % relative to current population size) in population size IN THE WILD?</v>
      </c>
      <c r="C47" s="477" t="e">
        <f>'4.5 Group results Payoffs'!F43</f>
        <v>#DIV/0!</v>
      </c>
      <c r="D47" s="480">
        <f>IFERROR('4.5 Group results Payoffs'!J43,0)</f>
        <v>0</v>
      </c>
      <c r="E47" s="467">
        <f>IFERROR('4.5 Group results Payoffs'!K43,0)</f>
        <v>0</v>
      </c>
      <c r="F47" s="73"/>
      <c r="G47" s="73"/>
      <c r="H47" s="207"/>
      <c r="I47" s="207"/>
      <c r="J47" s="207"/>
      <c r="K47" s="207"/>
      <c r="L47" s="207"/>
      <c r="M47" s="207"/>
      <c r="N47" s="207"/>
      <c r="O47" s="207" t="s">
        <v>118</v>
      </c>
      <c r="P47" s="207"/>
      <c r="Q47" s="207"/>
      <c r="R47" s="246" t="e">
        <f>C42</f>
        <v>#DIV/0!</v>
      </c>
      <c r="S47" s="207"/>
      <c r="T47" s="207"/>
      <c r="U47" s="437"/>
      <c r="V47" s="73"/>
      <c r="W47" s="73"/>
      <c r="X47" s="73"/>
      <c r="Y47" s="73"/>
      <c r="Z47" s="73"/>
      <c r="AA47" s="73"/>
      <c r="AB47" s="73"/>
      <c r="AC47" s="73"/>
      <c r="AD47" s="73"/>
      <c r="AE47" s="73"/>
      <c r="AF47" s="73"/>
      <c r="AG47" s="73"/>
      <c r="AH47" s="73"/>
      <c r="AI47" s="73"/>
      <c r="AJ47" s="73"/>
      <c r="AK47" s="73"/>
      <c r="AL47" s="73"/>
    </row>
    <row r="48" spans="1:38" x14ac:dyDescent="0.35">
      <c r="A48" s="73"/>
      <c r="B48" s="471"/>
      <c r="C48" s="478"/>
      <c r="D48" s="481"/>
      <c r="E48" s="468"/>
      <c r="F48" s="73"/>
      <c r="G48" s="73"/>
      <c r="H48" s="207"/>
      <c r="I48" s="207"/>
      <c r="J48" s="207"/>
      <c r="K48" s="207"/>
      <c r="L48" s="207"/>
      <c r="M48" s="207"/>
      <c r="N48" s="207"/>
      <c r="O48" s="207" t="s">
        <v>8</v>
      </c>
      <c r="P48" s="207"/>
      <c r="Q48" s="207"/>
      <c r="R48" s="207"/>
      <c r="S48" s="207"/>
      <c r="T48" s="207"/>
      <c r="U48" s="207"/>
      <c r="V48" s="73"/>
      <c r="W48" s="73"/>
      <c r="X48" s="73"/>
      <c r="Y48" s="73"/>
      <c r="Z48" s="73"/>
      <c r="AA48" s="73"/>
      <c r="AB48" s="73"/>
      <c r="AC48" s="73"/>
      <c r="AD48" s="73"/>
      <c r="AE48" s="73"/>
      <c r="AF48" s="73"/>
      <c r="AG48" s="73"/>
      <c r="AH48" s="73"/>
      <c r="AI48" s="73"/>
      <c r="AJ48" s="73"/>
      <c r="AK48" s="73"/>
      <c r="AL48" s="73"/>
    </row>
    <row r="49" spans="1:38" x14ac:dyDescent="0.35">
      <c r="A49" s="73"/>
      <c r="B49" s="474"/>
      <c r="C49" s="479"/>
      <c r="D49" s="482"/>
      <c r="E49" s="469"/>
      <c r="F49" s="73"/>
      <c r="G49" s="73"/>
      <c r="H49" s="207"/>
      <c r="I49" s="207"/>
      <c r="J49" s="207"/>
      <c r="K49" s="207"/>
      <c r="L49" s="207"/>
      <c r="M49" s="207"/>
      <c r="N49" s="207"/>
      <c r="O49" s="246" t="e">
        <f>C36</f>
        <v>#DIV/0!</v>
      </c>
      <c r="P49" s="207"/>
      <c r="Q49" s="207"/>
      <c r="R49" s="207" t="s">
        <v>108</v>
      </c>
      <c r="S49" s="207"/>
      <c r="T49" s="207"/>
      <c r="U49" s="207"/>
      <c r="V49" s="73"/>
      <c r="W49" s="73"/>
      <c r="X49" s="73"/>
      <c r="Y49" s="73"/>
      <c r="Z49" s="73"/>
      <c r="AA49" s="73"/>
      <c r="AB49" s="73"/>
      <c r="AC49" s="73"/>
      <c r="AD49" s="73"/>
      <c r="AE49" s="73"/>
      <c r="AF49" s="73"/>
      <c r="AG49" s="73"/>
      <c r="AH49" s="73"/>
      <c r="AI49" s="73"/>
      <c r="AJ49" s="73"/>
      <c r="AK49" s="73"/>
      <c r="AL49" s="73"/>
    </row>
    <row r="50" spans="1:38" x14ac:dyDescent="0.35">
      <c r="A50" s="73"/>
      <c r="B50" s="240"/>
      <c r="C50" s="241"/>
      <c r="D50" s="241"/>
      <c r="E50" s="241"/>
      <c r="F50" s="73"/>
      <c r="G50" s="73"/>
      <c r="H50" s="207"/>
      <c r="I50" s="207"/>
      <c r="J50" s="207"/>
      <c r="K50" s="207"/>
      <c r="L50" s="207"/>
      <c r="M50" s="207"/>
      <c r="N50" s="207"/>
      <c r="O50" s="207"/>
      <c r="P50" s="207"/>
      <c r="Q50" s="207"/>
      <c r="R50" s="207" t="s">
        <v>109</v>
      </c>
      <c r="S50" s="207"/>
      <c r="T50" s="207"/>
      <c r="U50" s="436" t="e">
        <f>C87</f>
        <v>#DIV/0!</v>
      </c>
      <c r="V50" s="73"/>
      <c r="W50" s="73"/>
      <c r="X50" s="73"/>
      <c r="Y50" s="73"/>
      <c r="Z50" s="73"/>
      <c r="AA50" s="73"/>
      <c r="AB50" s="73"/>
      <c r="AC50" s="73"/>
      <c r="AD50" s="73"/>
      <c r="AE50" s="73"/>
      <c r="AF50" s="73"/>
      <c r="AG50" s="73"/>
      <c r="AH50" s="73"/>
      <c r="AI50" s="73"/>
      <c r="AJ50" s="73"/>
      <c r="AK50" s="73"/>
      <c r="AL50" s="73"/>
    </row>
    <row r="51" spans="1:38" x14ac:dyDescent="0.35">
      <c r="A51" s="73"/>
      <c r="B51" s="457" t="str">
        <f>'4.2 Elicitation form 2 Payoffs'!B35</f>
        <v>Let's say implementation of the STATUS QUO IN-SITU PLAN = SUCCESSFUL. 
At the end of the planning time horizon, what will be the CHANGE (as a % relative to current population size) in population size IN THE WILD?</v>
      </c>
      <c r="C51" s="459" t="e">
        <f>'4.5 Group results Payoffs'!F90</f>
        <v>#DIV/0!</v>
      </c>
      <c r="D51" s="459">
        <f>IFERROR('4.5 Group results Payoffs'!J90,0)</f>
        <v>0</v>
      </c>
      <c r="E51" s="461">
        <f>IFERROR('4.5 Group results Payoffs'!K90,0)</f>
        <v>0</v>
      </c>
      <c r="F51" s="73"/>
      <c r="G51" s="73"/>
      <c r="H51" s="207"/>
      <c r="I51" s="207"/>
      <c r="J51" s="207"/>
      <c r="K51" s="207"/>
      <c r="L51" s="207" t="s">
        <v>112</v>
      </c>
      <c r="M51" s="207"/>
      <c r="N51" s="207"/>
      <c r="O51" s="207"/>
      <c r="P51" s="207"/>
      <c r="Q51" s="207"/>
      <c r="R51" s="246" t="e">
        <f>1-C42</f>
        <v>#DIV/0!</v>
      </c>
      <c r="S51" s="207"/>
      <c r="T51" s="207"/>
      <c r="U51" s="437"/>
      <c r="V51" s="73"/>
      <c r="W51" s="73"/>
      <c r="X51" s="73"/>
      <c r="Y51" s="73"/>
      <c r="Z51" s="73"/>
      <c r="AA51" s="73"/>
      <c r="AB51" s="73"/>
      <c r="AC51" s="78"/>
      <c r="AD51" s="78"/>
      <c r="AE51" s="73"/>
      <c r="AF51" s="73"/>
      <c r="AG51" s="73"/>
      <c r="AH51" s="73"/>
      <c r="AI51" s="73"/>
      <c r="AJ51" s="73"/>
      <c r="AK51" s="73"/>
      <c r="AL51" s="73"/>
    </row>
    <row r="52" spans="1:38" x14ac:dyDescent="0.35">
      <c r="A52" s="73"/>
      <c r="B52" s="458"/>
      <c r="C52" s="460"/>
      <c r="D52" s="460"/>
      <c r="E52" s="462"/>
      <c r="F52" s="73"/>
      <c r="G52" s="73"/>
      <c r="H52" s="207"/>
      <c r="I52" s="207"/>
      <c r="J52" s="207"/>
      <c r="K52" s="207"/>
      <c r="L52" s="207" t="s">
        <v>113</v>
      </c>
      <c r="M52" s="207"/>
      <c r="N52" s="207"/>
      <c r="O52" s="207"/>
      <c r="P52" s="207"/>
      <c r="Q52" s="207"/>
      <c r="R52" s="207"/>
      <c r="S52" s="207"/>
      <c r="T52" s="207"/>
      <c r="U52" s="207"/>
      <c r="V52" s="73"/>
      <c r="W52" s="73"/>
      <c r="X52" s="73"/>
      <c r="Y52" s="73"/>
      <c r="Z52" s="73"/>
      <c r="AA52" s="73"/>
      <c r="AB52" s="73"/>
      <c r="AC52" s="73"/>
      <c r="AD52" s="73"/>
      <c r="AE52" s="73"/>
      <c r="AF52" s="73"/>
      <c r="AG52" s="73"/>
      <c r="AH52" s="73"/>
      <c r="AI52" s="73"/>
      <c r="AJ52" s="73"/>
      <c r="AK52" s="73"/>
      <c r="AL52" s="73"/>
    </row>
    <row r="53" spans="1:38" x14ac:dyDescent="0.35">
      <c r="A53" s="73"/>
      <c r="B53" s="458"/>
      <c r="C53" s="460"/>
      <c r="D53" s="460"/>
      <c r="E53" s="462"/>
      <c r="F53" s="73"/>
      <c r="G53" s="73"/>
      <c r="H53" s="207"/>
      <c r="I53" s="207"/>
      <c r="J53" s="207"/>
      <c r="K53" s="207"/>
      <c r="L53" s="246" t="e">
        <f>1-C34</f>
        <v>#DIV/0!</v>
      </c>
      <c r="M53" s="207"/>
      <c r="N53" s="207"/>
      <c r="O53" s="207"/>
      <c r="P53" s="207"/>
      <c r="Q53" s="207"/>
      <c r="R53" s="207" t="s">
        <v>106</v>
      </c>
      <c r="S53" s="207"/>
      <c r="T53" s="207"/>
      <c r="U53" s="207"/>
      <c r="V53" s="73"/>
      <c r="W53" s="73"/>
      <c r="X53" s="73"/>
      <c r="Y53" s="73"/>
      <c r="Z53" s="73"/>
      <c r="AA53" s="73"/>
      <c r="AB53" s="73"/>
      <c r="AC53" s="73"/>
      <c r="AD53" s="73"/>
      <c r="AE53" s="73"/>
      <c r="AF53" s="73"/>
      <c r="AG53" s="73"/>
      <c r="AH53" s="73"/>
      <c r="AI53" s="73"/>
      <c r="AJ53" s="73"/>
      <c r="AK53" s="73"/>
      <c r="AL53" s="73"/>
    </row>
    <row r="54" spans="1:38" x14ac:dyDescent="0.35">
      <c r="A54" s="73"/>
      <c r="B54" s="458" t="str">
        <f>'4.2 Elicitation form 2 Payoffs'!B36</f>
        <v>Let's say implementation of the STATUS QUO IN-SITU PLAN = UNSUCCESSFUL. 
At the end of the planning time horizon, what will be the CHANGE (as a % relative to current population size) in population size IN THE WILD?</v>
      </c>
      <c r="C54" s="464" t="e">
        <f>'4.5 Group results Payoffs'!F137</f>
        <v>#DIV/0!</v>
      </c>
      <c r="D54" s="464">
        <f>IFERROR('4.5 Group results Payoffs'!J137,0)</f>
        <v>0</v>
      </c>
      <c r="E54" s="446">
        <f>IFERROR('4.5 Group results Payoffs'!K137,0)</f>
        <v>0</v>
      </c>
      <c r="F54" s="73"/>
      <c r="G54" s="73"/>
      <c r="H54" s="207"/>
      <c r="I54" s="207"/>
      <c r="J54" s="207"/>
      <c r="K54" s="207"/>
      <c r="L54" s="207"/>
      <c r="M54" s="207"/>
      <c r="N54" s="207"/>
      <c r="O54" s="207"/>
      <c r="P54" s="207"/>
      <c r="Q54" s="207"/>
      <c r="R54" s="207" t="s">
        <v>107</v>
      </c>
      <c r="S54" s="207"/>
      <c r="T54" s="207"/>
      <c r="U54" s="436" t="e">
        <f>C92</f>
        <v>#DIV/0!</v>
      </c>
      <c r="V54" s="73"/>
      <c r="W54" s="73"/>
      <c r="X54" s="73"/>
      <c r="Y54" s="73"/>
      <c r="Z54" s="73"/>
      <c r="AA54" s="73"/>
      <c r="AB54" s="73"/>
      <c r="AC54" s="73"/>
      <c r="AD54" s="73"/>
      <c r="AE54" s="73"/>
      <c r="AF54" s="73"/>
      <c r="AG54" s="73"/>
      <c r="AH54" s="73"/>
      <c r="AI54" s="73"/>
      <c r="AJ54" s="73"/>
      <c r="AK54" s="73"/>
      <c r="AL54" s="73"/>
    </row>
    <row r="55" spans="1:38" x14ac:dyDescent="0.35">
      <c r="A55" s="73"/>
      <c r="B55" s="458"/>
      <c r="C55" s="460"/>
      <c r="D55" s="460"/>
      <c r="E55" s="462"/>
      <c r="F55" s="73"/>
      <c r="G55" s="73"/>
      <c r="H55" s="207"/>
      <c r="I55" s="207"/>
      <c r="J55" s="207"/>
      <c r="K55" s="207"/>
      <c r="L55" s="207"/>
      <c r="M55" s="207"/>
      <c r="N55" s="207"/>
      <c r="O55" s="207" t="s">
        <v>119</v>
      </c>
      <c r="P55" s="207"/>
      <c r="Q55" s="207"/>
      <c r="R55" s="246" t="e">
        <f>C42</f>
        <v>#DIV/0!</v>
      </c>
      <c r="S55" s="207"/>
      <c r="T55" s="207"/>
      <c r="U55" s="437"/>
      <c r="V55" s="73"/>
      <c r="W55" s="73"/>
      <c r="X55" s="73"/>
      <c r="Y55" s="73"/>
      <c r="Z55" s="73"/>
      <c r="AA55" s="73"/>
      <c r="AB55" s="73"/>
      <c r="AC55" s="73"/>
      <c r="AD55" s="73"/>
      <c r="AE55" s="73"/>
      <c r="AF55" s="73"/>
      <c r="AG55" s="73"/>
      <c r="AH55" s="73"/>
      <c r="AI55" s="73"/>
      <c r="AJ55" s="73"/>
      <c r="AK55" s="73"/>
      <c r="AL55" s="73"/>
    </row>
    <row r="56" spans="1:38" x14ac:dyDescent="0.35">
      <c r="A56" s="73"/>
      <c r="B56" s="463"/>
      <c r="C56" s="465"/>
      <c r="D56" s="465"/>
      <c r="E56" s="466"/>
      <c r="F56" s="73"/>
      <c r="G56" s="73"/>
      <c r="H56" s="207"/>
      <c r="I56" s="207"/>
      <c r="J56" s="207"/>
      <c r="K56" s="207"/>
      <c r="L56" s="207"/>
      <c r="M56" s="207"/>
      <c r="N56" s="207"/>
      <c r="O56" s="207" t="s">
        <v>8</v>
      </c>
      <c r="P56" s="207"/>
      <c r="Q56" s="207"/>
      <c r="R56" s="207"/>
      <c r="S56" s="207"/>
      <c r="T56" s="207"/>
      <c r="U56" s="207"/>
      <c r="V56" s="73"/>
      <c r="W56" s="73"/>
      <c r="X56" s="73"/>
      <c r="Y56" s="73"/>
      <c r="Z56" s="73"/>
      <c r="AA56" s="73"/>
      <c r="AB56" s="73"/>
      <c r="AC56" s="73"/>
      <c r="AD56" s="73"/>
      <c r="AE56" s="73"/>
      <c r="AF56" s="73"/>
      <c r="AG56" s="73"/>
      <c r="AH56" s="73"/>
      <c r="AI56" s="73"/>
      <c r="AJ56" s="73"/>
      <c r="AK56" s="73"/>
      <c r="AL56" s="73"/>
    </row>
    <row r="57" spans="1:38" x14ac:dyDescent="0.35">
      <c r="A57" s="73"/>
      <c r="B57" s="232"/>
      <c r="C57" s="243"/>
      <c r="D57" s="243"/>
      <c r="E57" s="243"/>
      <c r="F57" s="73"/>
      <c r="G57" s="73"/>
      <c r="H57" s="207"/>
      <c r="I57" s="207"/>
      <c r="J57" s="207"/>
      <c r="K57" s="207"/>
      <c r="L57" s="207"/>
      <c r="M57" s="207"/>
      <c r="N57" s="207"/>
      <c r="O57" s="246" t="e">
        <f>1-C36</f>
        <v>#DIV/0!</v>
      </c>
      <c r="P57" s="207"/>
      <c r="Q57" s="207"/>
      <c r="R57" s="207" t="s">
        <v>108</v>
      </c>
      <c r="S57" s="207"/>
      <c r="T57" s="207"/>
      <c r="U57" s="207"/>
      <c r="V57" s="73"/>
      <c r="W57" s="73"/>
      <c r="X57" s="73"/>
      <c r="Y57" s="73"/>
      <c r="Z57" s="73"/>
      <c r="AA57" s="73"/>
      <c r="AB57" s="73"/>
      <c r="AC57" s="73"/>
      <c r="AD57" s="73"/>
      <c r="AE57" s="73"/>
      <c r="AF57" s="73"/>
      <c r="AG57" s="73"/>
      <c r="AH57" s="73"/>
      <c r="AI57" s="73"/>
      <c r="AJ57" s="73"/>
      <c r="AK57" s="73"/>
      <c r="AL57" s="73"/>
    </row>
    <row r="58" spans="1:38" x14ac:dyDescent="0.35">
      <c r="A58" s="73"/>
      <c r="B58" s="457" t="str">
        <f>'4.2 Elicitation form 2 Payoffs'!B41</f>
        <v>Let's say implementation of the IN-SITU PLUS PLAN = SUCCESSFUL. 
At the end of the planning time horizon, what will be the CHANGE (as a % relative to current population size) in population size IN THE WILD?</v>
      </c>
      <c r="C58" s="459" t="e">
        <f>'4.5 Group results Payoffs'!F184</f>
        <v>#DIV/0!</v>
      </c>
      <c r="D58" s="459">
        <f>IFERROR('4.5 Group results Payoffs'!J184,0)</f>
        <v>0</v>
      </c>
      <c r="E58" s="461">
        <f>IFERROR('4.5 Group results Payoffs'!K184,0)</f>
        <v>0</v>
      </c>
      <c r="F58" s="73"/>
      <c r="G58" s="73"/>
      <c r="H58" s="207"/>
      <c r="I58" s="207"/>
      <c r="J58" s="207"/>
      <c r="K58" s="207"/>
      <c r="L58" s="207"/>
      <c r="M58" s="207"/>
      <c r="N58" s="207"/>
      <c r="O58" s="207"/>
      <c r="P58" s="207"/>
      <c r="Q58" s="207"/>
      <c r="R58" s="207" t="s">
        <v>109</v>
      </c>
      <c r="S58" s="207"/>
      <c r="T58" s="207"/>
      <c r="U58" s="436" t="e">
        <f>C96</f>
        <v>#DIV/0!</v>
      </c>
      <c r="V58" s="73"/>
      <c r="W58" s="73"/>
      <c r="X58" s="73"/>
      <c r="Y58" s="73"/>
      <c r="Z58" s="73"/>
      <c r="AA58" s="73"/>
      <c r="AB58" s="73"/>
      <c r="AC58" s="73"/>
      <c r="AD58" s="73"/>
      <c r="AE58" s="73"/>
      <c r="AF58" s="73"/>
      <c r="AG58" s="73"/>
      <c r="AH58" s="73"/>
      <c r="AI58" s="73"/>
      <c r="AJ58" s="73"/>
      <c r="AK58" s="73"/>
      <c r="AL58" s="73"/>
    </row>
    <row r="59" spans="1:38" x14ac:dyDescent="0.35">
      <c r="A59" s="73"/>
      <c r="B59" s="458"/>
      <c r="C59" s="460"/>
      <c r="D59" s="460"/>
      <c r="E59" s="462"/>
      <c r="F59" s="73"/>
      <c r="G59" s="73"/>
      <c r="H59" s="207"/>
      <c r="I59" s="207"/>
      <c r="J59" s="207"/>
      <c r="K59" s="207"/>
      <c r="L59" s="207"/>
      <c r="M59" s="207"/>
      <c r="N59" s="207"/>
      <c r="O59" s="207"/>
      <c r="P59" s="207"/>
      <c r="Q59" s="207"/>
      <c r="R59" s="246" t="e">
        <f>1-C42</f>
        <v>#DIV/0!</v>
      </c>
      <c r="S59" s="207"/>
      <c r="T59" s="207"/>
      <c r="U59" s="437"/>
      <c r="V59" s="73"/>
      <c r="W59" s="73"/>
      <c r="X59" s="73"/>
      <c r="Y59" s="73"/>
      <c r="Z59" s="73"/>
      <c r="AA59" s="73"/>
      <c r="AB59" s="73"/>
      <c r="AC59" s="73"/>
      <c r="AD59" s="73"/>
      <c r="AE59" s="73"/>
      <c r="AF59" s="73"/>
      <c r="AG59" s="73"/>
      <c r="AH59" s="73"/>
      <c r="AI59" s="73"/>
      <c r="AJ59" s="73"/>
      <c r="AK59" s="73"/>
      <c r="AL59" s="73"/>
    </row>
    <row r="60" spans="1:38" x14ac:dyDescent="0.35">
      <c r="A60" s="73"/>
      <c r="B60" s="458"/>
      <c r="C60" s="460"/>
      <c r="D60" s="460"/>
      <c r="E60" s="462"/>
      <c r="F60" s="73"/>
      <c r="G60" s="73"/>
      <c r="H60" s="207"/>
      <c r="I60" s="207"/>
      <c r="J60" s="207"/>
      <c r="K60" s="207"/>
      <c r="L60" s="207"/>
      <c r="M60" s="207"/>
      <c r="N60" s="207"/>
      <c r="O60" s="207"/>
      <c r="P60" s="207"/>
      <c r="Q60" s="207"/>
      <c r="R60" s="207"/>
      <c r="S60" s="207"/>
      <c r="T60" s="207"/>
      <c r="U60" s="207"/>
      <c r="V60" s="73"/>
      <c r="W60" s="73"/>
      <c r="X60" s="73"/>
      <c r="Y60" s="73"/>
      <c r="Z60" s="73"/>
      <c r="AA60" s="73"/>
      <c r="AB60" s="73"/>
      <c r="AC60" s="73"/>
      <c r="AD60" s="73"/>
      <c r="AE60" s="73"/>
      <c r="AF60" s="73"/>
      <c r="AG60" s="73"/>
      <c r="AH60" s="73"/>
      <c r="AI60" s="73"/>
      <c r="AJ60" s="73"/>
      <c r="AK60" s="73"/>
      <c r="AL60" s="73"/>
    </row>
    <row r="61" spans="1:38" ht="15" thickBot="1" x14ac:dyDescent="0.4">
      <c r="A61" s="73"/>
      <c r="B61" s="458" t="str">
        <f>'4.2 Elicitation form 2 Payoffs'!B42</f>
        <v>Let's say implementation of the IN-SITU PLUS PLAN = UNSUCCESSFUL. 
At the end of the planning time horizon, what will be the CHANGE (as a % relative to current population size) in population size IN THE WILD?</v>
      </c>
      <c r="C61" s="464" t="e">
        <f>'4.5 Group results Payoffs'!F231</f>
        <v>#DIV/0!</v>
      </c>
      <c r="D61" s="464">
        <f>IFERROR('4.5 Group results Payoffs'!J231,0)</f>
        <v>0</v>
      </c>
      <c r="E61" s="446">
        <f>IFERROR('4.5 Group results Payoffs'!K231,0)</f>
        <v>0</v>
      </c>
      <c r="F61" s="73"/>
      <c r="G61" s="73"/>
      <c r="H61" s="207"/>
      <c r="I61" s="207"/>
      <c r="J61" s="207"/>
      <c r="K61" s="258"/>
      <c r="L61" s="258"/>
      <c r="M61" s="258"/>
      <c r="N61" s="248"/>
      <c r="O61" s="248"/>
      <c r="P61" s="248"/>
      <c r="Q61" s="249"/>
      <c r="R61" s="249"/>
      <c r="S61" s="249"/>
      <c r="T61" s="207"/>
      <c r="U61" s="207"/>
      <c r="V61" s="73"/>
      <c r="W61" s="73"/>
      <c r="X61" s="73"/>
      <c r="Y61" s="73"/>
      <c r="Z61" s="73"/>
      <c r="AA61" s="73"/>
      <c r="AB61" s="73"/>
      <c r="AC61" s="73"/>
      <c r="AD61" s="73"/>
      <c r="AE61" s="73"/>
      <c r="AF61" s="73"/>
      <c r="AG61" s="73"/>
      <c r="AH61" s="73"/>
      <c r="AI61" s="73"/>
      <c r="AJ61" s="73"/>
      <c r="AK61" s="73"/>
      <c r="AL61" s="73"/>
    </row>
    <row r="62" spans="1:38" ht="15" thickTop="1" x14ac:dyDescent="0.35">
      <c r="A62" s="73"/>
      <c r="B62" s="458"/>
      <c r="C62" s="460"/>
      <c r="D62" s="460"/>
      <c r="E62" s="462"/>
      <c r="F62" s="73"/>
      <c r="G62" s="73"/>
      <c r="H62" s="207"/>
      <c r="I62" s="207"/>
      <c r="J62" s="207"/>
      <c r="K62" s="259"/>
      <c r="L62" s="259" t="s">
        <v>105</v>
      </c>
      <c r="M62" s="259"/>
      <c r="N62" s="207"/>
      <c r="O62" s="207" t="s">
        <v>4</v>
      </c>
      <c r="P62" s="207"/>
      <c r="Q62" s="207"/>
      <c r="R62" s="207" t="s">
        <v>253</v>
      </c>
      <c r="S62" s="207"/>
      <c r="T62" s="207"/>
      <c r="U62" s="207"/>
      <c r="V62" s="73"/>
      <c r="W62" s="73"/>
      <c r="X62" s="73"/>
      <c r="Y62" s="73"/>
      <c r="Z62" s="73"/>
      <c r="AA62" s="73"/>
      <c r="AB62" s="73"/>
      <c r="AC62" s="73"/>
      <c r="AD62" s="73"/>
      <c r="AE62" s="73"/>
      <c r="AF62" s="73"/>
      <c r="AG62" s="73"/>
      <c r="AH62" s="73"/>
      <c r="AI62" s="73"/>
      <c r="AJ62" s="73"/>
      <c r="AK62" s="73"/>
      <c r="AL62" s="73"/>
    </row>
    <row r="63" spans="1:38" x14ac:dyDescent="0.35">
      <c r="A63" s="73"/>
      <c r="B63" s="463"/>
      <c r="C63" s="465"/>
      <c r="D63" s="465"/>
      <c r="E63" s="466"/>
      <c r="F63" s="73"/>
      <c r="G63" s="73"/>
      <c r="H63" s="207"/>
      <c r="I63" s="207"/>
      <c r="J63" s="207"/>
      <c r="K63" s="207"/>
      <c r="L63" s="207"/>
      <c r="M63" s="207"/>
      <c r="N63" s="207"/>
      <c r="P63" s="207"/>
      <c r="Q63" s="207"/>
      <c r="R63" s="207"/>
      <c r="S63" s="207"/>
      <c r="T63" s="207"/>
      <c r="U63" s="207"/>
      <c r="V63" s="73"/>
      <c r="W63" s="73"/>
      <c r="X63" s="73"/>
      <c r="Y63" s="73"/>
      <c r="Z63" s="73"/>
      <c r="AA63" s="73"/>
      <c r="AB63" s="73"/>
      <c r="AC63" s="73"/>
      <c r="AD63" s="73"/>
      <c r="AE63" s="73"/>
      <c r="AF63" s="73"/>
      <c r="AG63" s="73"/>
      <c r="AH63" s="73"/>
      <c r="AI63" s="73"/>
      <c r="AJ63" s="73"/>
      <c r="AK63" s="73"/>
      <c r="AL63" s="73"/>
    </row>
    <row r="64" spans="1:38" x14ac:dyDescent="0.35">
      <c r="A64" s="73"/>
      <c r="B64" s="238"/>
      <c r="C64" s="244"/>
      <c r="D64" s="244"/>
      <c r="E64" s="244"/>
      <c r="F64" s="73"/>
      <c r="G64" s="73"/>
      <c r="H64" s="207"/>
      <c r="I64" s="207"/>
      <c r="J64" s="207"/>
      <c r="K64" s="207"/>
      <c r="L64" s="207"/>
      <c r="M64" s="207"/>
      <c r="N64" s="250"/>
      <c r="O64" s="207"/>
      <c r="P64" s="207"/>
      <c r="Q64" s="207"/>
      <c r="R64" s="207"/>
      <c r="S64" s="207"/>
      <c r="T64" s="207"/>
      <c r="U64" s="207"/>
      <c r="V64" s="73"/>
      <c r="W64" s="73"/>
      <c r="X64" s="73"/>
      <c r="Y64" s="73"/>
      <c r="Z64" s="73"/>
      <c r="AA64" s="73"/>
      <c r="AB64" s="73"/>
      <c r="AC64" s="73"/>
      <c r="AD64" s="73"/>
      <c r="AE64" s="73"/>
      <c r="AF64" s="73"/>
      <c r="AG64" s="73"/>
      <c r="AH64" s="73"/>
      <c r="AI64" s="73"/>
      <c r="AJ64" s="73"/>
      <c r="AK64" s="73"/>
      <c r="AL64" s="73"/>
    </row>
    <row r="65" spans="1:38" x14ac:dyDescent="0.35">
      <c r="A65" s="73"/>
      <c r="B65" s="457" t="str">
        <f>'4.2 Elicitation form 2 Payoffs'!B47</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65" s="459" t="e">
        <f>'4.5 Group results Payoffs'!F278</f>
        <v>#DIV/0!</v>
      </c>
      <c r="D65" s="459">
        <f>IFERROR('4.5 Group results Payoffs'!J278,0)</f>
        <v>0</v>
      </c>
      <c r="E65" s="461">
        <f>IFERROR('4.5 Group results Payoffs'!K278,0)</f>
        <v>0</v>
      </c>
      <c r="F65" s="73"/>
      <c r="G65" s="73"/>
      <c r="H65" s="207"/>
      <c r="I65" s="207"/>
      <c r="J65" s="207"/>
      <c r="K65" s="207"/>
      <c r="L65" s="207"/>
      <c r="M65" s="207"/>
      <c r="N65" s="207"/>
      <c r="O65" s="207"/>
      <c r="P65" s="207"/>
      <c r="Q65" s="207"/>
      <c r="R65" s="207"/>
      <c r="S65" s="207"/>
      <c r="T65" s="207"/>
      <c r="U65" s="207"/>
      <c r="V65" s="73"/>
      <c r="W65" s="73"/>
      <c r="X65" s="73"/>
      <c r="Y65" s="73"/>
      <c r="Z65" s="73"/>
      <c r="AA65" s="73"/>
      <c r="AB65" s="73"/>
      <c r="AC65" s="73"/>
      <c r="AD65" s="73"/>
      <c r="AE65" s="73"/>
      <c r="AF65" s="73"/>
      <c r="AG65" s="73"/>
      <c r="AH65" s="73"/>
      <c r="AI65" s="73"/>
      <c r="AJ65" s="73"/>
      <c r="AK65" s="73"/>
      <c r="AL65" s="73"/>
    </row>
    <row r="66" spans="1:38" x14ac:dyDescent="0.35">
      <c r="A66" s="73"/>
      <c r="B66" s="458"/>
      <c r="C66" s="460"/>
      <c r="D66" s="460"/>
      <c r="E66" s="462"/>
      <c r="F66" s="73"/>
      <c r="G66" s="73"/>
      <c r="H66" s="207"/>
      <c r="I66" s="207"/>
      <c r="J66" s="207"/>
      <c r="K66" s="207"/>
      <c r="L66" s="207"/>
      <c r="M66" s="207"/>
      <c r="N66" s="207"/>
      <c r="O66" s="207"/>
      <c r="P66" s="207"/>
      <c r="Q66" s="207"/>
      <c r="R66" s="207"/>
      <c r="S66" s="207"/>
      <c r="T66" s="207"/>
      <c r="U66" s="207"/>
      <c r="V66" s="73"/>
      <c r="W66" s="73"/>
      <c r="X66" s="73"/>
      <c r="Y66" s="73"/>
      <c r="Z66" s="73"/>
      <c r="AA66" s="73"/>
      <c r="AB66" s="73"/>
      <c r="AC66" s="73"/>
      <c r="AD66" s="73"/>
      <c r="AE66" s="73"/>
      <c r="AF66" s="73"/>
      <c r="AG66" s="73"/>
      <c r="AH66" s="73"/>
      <c r="AI66" s="73"/>
      <c r="AJ66" s="73"/>
      <c r="AK66" s="73"/>
      <c r="AL66" s="73"/>
    </row>
    <row r="67" spans="1:38" x14ac:dyDescent="0.35">
      <c r="A67" s="73"/>
      <c r="B67" s="458"/>
      <c r="C67" s="460"/>
      <c r="D67" s="460"/>
      <c r="E67" s="462"/>
      <c r="F67" s="73"/>
      <c r="G67" s="73"/>
      <c r="H67" s="207"/>
      <c r="I67" s="207"/>
      <c r="J67" s="207"/>
      <c r="K67" s="207"/>
      <c r="L67" s="207"/>
      <c r="M67" s="207"/>
      <c r="N67" s="207"/>
      <c r="O67" s="207"/>
      <c r="P67" s="207"/>
      <c r="Q67" s="207"/>
      <c r="R67" s="207"/>
      <c r="S67" s="207"/>
      <c r="T67" s="207"/>
      <c r="U67" s="207"/>
      <c r="V67" s="73"/>
      <c r="W67" s="73"/>
      <c r="X67" s="73"/>
      <c r="Y67" s="73"/>
      <c r="Z67" s="73"/>
      <c r="AA67" s="73"/>
      <c r="AB67" s="73"/>
      <c r="AC67" s="73"/>
      <c r="AD67" s="73"/>
      <c r="AE67" s="73"/>
      <c r="AF67" s="73"/>
      <c r="AG67" s="73"/>
      <c r="AH67" s="73"/>
      <c r="AI67" s="73"/>
      <c r="AJ67" s="73"/>
      <c r="AK67" s="73"/>
      <c r="AL67" s="73"/>
    </row>
    <row r="68" spans="1:38" x14ac:dyDescent="0.35">
      <c r="A68" s="73"/>
      <c r="B68" s="458"/>
      <c r="C68" s="460"/>
      <c r="D68" s="460"/>
      <c r="E68" s="462"/>
      <c r="F68" s="73"/>
      <c r="G68" s="73"/>
      <c r="H68" s="207"/>
      <c r="I68" s="207"/>
      <c r="J68" s="207"/>
      <c r="K68" s="207"/>
      <c r="L68" s="207"/>
      <c r="M68" s="207"/>
      <c r="N68" s="207"/>
      <c r="O68" s="207"/>
      <c r="P68" s="207"/>
      <c r="Q68" s="207"/>
      <c r="R68" s="207"/>
      <c r="S68" s="207"/>
      <c r="T68" s="207"/>
      <c r="U68" s="207"/>
      <c r="V68" s="73"/>
      <c r="W68" s="73"/>
      <c r="X68" s="73"/>
      <c r="Y68" s="73"/>
      <c r="Z68" s="73"/>
      <c r="AA68" s="73"/>
      <c r="AB68" s="73"/>
      <c r="AC68" s="73"/>
      <c r="AD68" s="73"/>
      <c r="AE68" s="73"/>
      <c r="AF68" s="73"/>
      <c r="AG68" s="73"/>
      <c r="AH68" s="73"/>
      <c r="AI68" s="73"/>
      <c r="AJ68" s="73"/>
      <c r="AK68" s="73"/>
      <c r="AL68" s="73"/>
    </row>
    <row r="69" spans="1:38" x14ac:dyDescent="0.35">
      <c r="A69" s="73"/>
      <c r="B69" s="458" t="str">
        <f>'4.2 Elicitation form 2 Payoffs'!B48</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69" s="464" t="e">
        <f>'4.5 Group results Payoffs'!F325</f>
        <v>#DIV/0!</v>
      </c>
      <c r="D69" s="464">
        <f>IFERROR('4.5 Group results Payoffs'!J325,0)</f>
        <v>0</v>
      </c>
      <c r="E69" s="446">
        <f>IFERROR('4.5 Group results Payoffs'!K325,0)</f>
        <v>0</v>
      </c>
      <c r="F69" s="73"/>
      <c r="G69" s="73"/>
      <c r="H69" s="207"/>
      <c r="I69" s="207"/>
      <c r="J69" s="207"/>
      <c r="K69" s="207"/>
      <c r="L69" s="207"/>
      <c r="M69" s="207"/>
      <c r="N69" s="207"/>
      <c r="O69" s="207"/>
      <c r="P69" s="207"/>
      <c r="Q69" s="207"/>
      <c r="R69" s="207"/>
      <c r="S69" s="207"/>
      <c r="T69" s="207"/>
      <c r="U69" s="207"/>
      <c r="V69" s="73"/>
      <c r="W69" s="73"/>
      <c r="X69" s="73"/>
      <c r="Y69" s="73"/>
      <c r="Z69" s="73"/>
      <c r="AA69" s="73"/>
      <c r="AB69" s="73"/>
      <c r="AC69" s="73"/>
      <c r="AD69" s="73"/>
      <c r="AE69" s="73"/>
      <c r="AF69" s="73"/>
      <c r="AG69" s="73"/>
      <c r="AH69" s="73"/>
      <c r="AI69" s="73"/>
      <c r="AJ69" s="73"/>
      <c r="AK69" s="73"/>
      <c r="AL69" s="73"/>
    </row>
    <row r="70" spans="1:38" x14ac:dyDescent="0.35">
      <c r="A70" s="73"/>
      <c r="B70" s="458"/>
      <c r="C70" s="460"/>
      <c r="D70" s="460"/>
      <c r="E70" s="462"/>
      <c r="F70" s="73"/>
      <c r="G70" s="73"/>
      <c r="H70" s="207"/>
      <c r="I70" s="207"/>
      <c r="J70" s="207"/>
      <c r="K70" s="207"/>
      <c r="L70" s="207"/>
      <c r="M70" s="207"/>
      <c r="N70" s="207"/>
      <c r="O70" s="207"/>
      <c r="P70" s="207"/>
      <c r="Q70" s="207"/>
      <c r="R70" s="207"/>
      <c r="S70" s="207"/>
      <c r="T70" s="207"/>
      <c r="U70" s="207"/>
      <c r="V70" s="73"/>
      <c r="W70" s="73"/>
      <c r="X70" s="73"/>
      <c r="Y70" s="73"/>
      <c r="Z70" s="73"/>
      <c r="AA70" s="73"/>
      <c r="AB70" s="73"/>
      <c r="AC70" s="73"/>
      <c r="AD70" s="73"/>
      <c r="AE70" s="73"/>
      <c r="AF70" s="73"/>
      <c r="AG70" s="73"/>
      <c r="AH70" s="73"/>
      <c r="AI70" s="73"/>
      <c r="AJ70" s="73"/>
      <c r="AK70" s="73"/>
      <c r="AL70" s="73"/>
    </row>
    <row r="71" spans="1:38" x14ac:dyDescent="0.35">
      <c r="A71" s="73"/>
      <c r="B71" s="458"/>
      <c r="C71" s="460"/>
      <c r="D71" s="460"/>
      <c r="E71" s="462"/>
      <c r="F71" s="73"/>
      <c r="G71" s="73"/>
      <c r="H71" s="207"/>
      <c r="I71" s="207"/>
      <c r="J71" s="207"/>
      <c r="K71" s="207"/>
      <c r="L71" s="207"/>
      <c r="M71" s="207"/>
      <c r="N71" s="207"/>
      <c r="O71" s="207"/>
      <c r="P71" s="207"/>
      <c r="Q71" s="207"/>
      <c r="R71" s="207"/>
      <c r="S71" s="207"/>
      <c r="T71" s="207"/>
      <c r="U71" s="207"/>
      <c r="V71" s="73"/>
      <c r="W71" s="73"/>
      <c r="X71" s="73"/>
      <c r="Y71" s="73"/>
      <c r="Z71" s="73"/>
      <c r="AA71" s="73"/>
      <c r="AB71" s="73"/>
      <c r="AC71" s="73"/>
      <c r="AD71" s="73"/>
      <c r="AE71" s="73"/>
      <c r="AF71" s="73"/>
      <c r="AG71" s="73"/>
      <c r="AH71" s="73"/>
      <c r="AI71" s="73"/>
      <c r="AJ71" s="73"/>
      <c r="AK71" s="73"/>
      <c r="AL71" s="73"/>
    </row>
    <row r="72" spans="1:38" x14ac:dyDescent="0.35">
      <c r="A72" s="73"/>
      <c r="B72" s="463"/>
      <c r="C72" s="465"/>
      <c r="D72" s="465"/>
      <c r="E72" s="466"/>
      <c r="F72" s="73"/>
      <c r="G72" s="73"/>
      <c r="H72" s="207"/>
      <c r="I72" s="207"/>
      <c r="J72" s="207"/>
      <c r="K72" s="207"/>
      <c r="L72" s="207"/>
      <c r="M72" s="207"/>
      <c r="N72" s="207"/>
      <c r="O72" s="207"/>
      <c r="P72" s="207"/>
      <c r="Q72" s="207"/>
      <c r="R72" s="207"/>
      <c r="S72" s="207"/>
      <c r="T72" s="207"/>
      <c r="U72" s="207"/>
      <c r="V72" s="73"/>
      <c r="W72" s="73"/>
      <c r="X72" s="73"/>
      <c r="Y72" s="73"/>
      <c r="Z72" s="73"/>
      <c r="AA72" s="73"/>
      <c r="AB72" s="73"/>
      <c r="AC72" s="73"/>
      <c r="AD72" s="73"/>
      <c r="AE72" s="73"/>
      <c r="AF72" s="73"/>
      <c r="AG72" s="73"/>
      <c r="AH72" s="73"/>
      <c r="AI72" s="73"/>
      <c r="AJ72" s="73"/>
      <c r="AK72" s="73"/>
      <c r="AL72" s="73"/>
    </row>
    <row r="73" spans="1:38" x14ac:dyDescent="0.35">
      <c r="A73" s="73"/>
      <c r="B73" s="238"/>
      <c r="C73" s="212"/>
      <c r="D73" s="212"/>
      <c r="E73" s="245"/>
      <c r="F73" s="73"/>
      <c r="G73" s="73"/>
      <c r="H73" s="207"/>
      <c r="I73" s="207"/>
      <c r="J73" s="207"/>
      <c r="K73" s="207"/>
      <c r="L73" s="207"/>
      <c r="M73" s="207"/>
      <c r="N73" s="207"/>
      <c r="O73" s="207"/>
      <c r="P73" s="207"/>
      <c r="Q73" s="207"/>
      <c r="R73" s="207"/>
      <c r="S73" s="207"/>
      <c r="T73" s="207"/>
      <c r="U73" s="207"/>
      <c r="V73" s="73"/>
      <c r="W73" s="73"/>
      <c r="X73" s="73"/>
      <c r="Y73" s="73"/>
      <c r="Z73" s="73"/>
      <c r="AA73" s="73"/>
      <c r="AB73" s="73"/>
      <c r="AC73" s="73"/>
      <c r="AD73" s="73"/>
      <c r="AE73" s="73"/>
      <c r="AF73" s="73"/>
      <c r="AG73" s="73"/>
      <c r="AH73" s="73"/>
      <c r="AI73" s="73"/>
      <c r="AJ73" s="73"/>
      <c r="AK73" s="73"/>
      <c r="AL73" s="73"/>
    </row>
    <row r="74" spans="1:38" x14ac:dyDescent="0.35">
      <c r="A74" s="73"/>
      <c r="B74" s="457" t="str">
        <f>'4.2 Elicitation form 2 Payoffs'!B50</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74" s="459" t="e">
        <f>'4.5 Group results Payoffs'!F372</f>
        <v>#DIV/0!</v>
      </c>
      <c r="D74" s="459">
        <f>IFERROR('4.5 Group results Payoffs'!J372,0)</f>
        <v>0</v>
      </c>
      <c r="E74" s="461">
        <f>IFERROR('4.5 Group results Payoffs'!K372,0)</f>
        <v>0</v>
      </c>
      <c r="F74" s="73"/>
      <c r="G74" s="73"/>
      <c r="H74" s="207"/>
      <c r="I74" s="207"/>
      <c r="J74" s="207"/>
      <c r="K74" s="207"/>
      <c r="L74" s="207"/>
      <c r="M74" s="207"/>
      <c r="N74" s="207"/>
      <c r="O74" s="207"/>
      <c r="P74" s="207"/>
      <c r="Q74" s="207"/>
      <c r="R74" s="207"/>
      <c r="S74" s="207"/>
      <c r="T74" s="207"/>
      <c r="U74" s="207"/>
      <c r="V74" s="73"/>
      <c r="W74" s="73"/>
      <c r="X74" s="73"/>
      <c r="Y74" s="73"/>
      <c r="Z74" s="73"/>
      <c r="AA74" s="73"/>
      <c r="AB74" s="73"/>
      <c r="AC74" s="73"/>
      <c r="AD74" s="73"/>
      <c r="AE74" s="73"/>
      <c r="AF74" s="73"/>
      <c r="AG74" s="73"/>
      <c r="AH74" s="73"/>
      <c r="AI74" s="73"/>
      <c r="AJ74" s="73"/>
      <c r="AK74" s="73"/>
      <c r="AL74" s="73"/>
    </row>
    <row r="75" spans="1:38" x14ac:dyDescent="0.35">
      <c r="A75" s="73"/>
      <c r="B75" s="458"/>
      <c r="C75" s="460"/>
      <c r="D75" s="460"/>
      <c r="E75" s="462"/>
      <c r="F75" s="73"/>
      <c r="G75" s="73"/>
      <c r="H75" s="207"/>
      <c r="I75" s="207"/>
      <c r="J75" s="207"/>
      <c r="K75" s="207"/>
      <c r="L75" s="207"/>
      <c r="M75" s="207"/>
      <c r="N75" s="207"/>
      <c r="O75" s="207"/>
      <c r="P75" s="207"/>
      <c r="Q75" s="207"/>
      <c r="R75" s="207"/>
      <c r="S75" s="207"/>
      <c r="T75" s="207"/>
      <c r="U75" s="207"/>
      <c r="V75" s="73"/>
      <c r="W75" s="73"/>
      <c r="X75" s="73"/>
      <c r="Y75" s="73"/>
      <c r="Z75" s="73"/>
      <c r="AA75" s="73"/>
      <c r="AB75" s="73"/>
      <c r="AC75" s="73"/>
      <c r="AD75" s="73"/>
      <c r="AE75" s="73"/>
      <c r="AF75" s="73"/>
      <c r="AG75" s="73"/>
      <c r="AH75" s="73"/>
      <c r="AI75" s="73"/>
      <c r="AJ75" s="73"/>
      <c r="AK75" s="73"/>
      <c r="AL75" s="73"/>
    </row>
    <row r="76" spans="1:38" x14ac:dyDescent="0.35">
      <c r="A76" s="73"/>
      <c r="B76" s="458"/>
      <c r="C76" s="460"/>
      <c r="D76" s="460"/>
      <c r="E76" s="462"/>
      <c r="F76" s="73"/>
      <c r="G76" s="73"/>
      <c r="H76" s="207"/>
      <c r="I76" s="207"/>
      <c r="J76" s="207"/>
      <c r="K76" s="207"/>
      <c r="L76" s="207"/>
      <c r="M76" s="207"/>
      <c r="N76" s="207"/>
      <c r="O76" s="207"/>
      <c r="P76" s="207"/>
      <c r="Q76" s="207"/>
      <c r="R76" s="207"/>
      <c r="S76" s="207"/>
      <c r="T76" s="207"/>
      <c r="U76" s="207"/>
      <c r="V76" s="73"/>
      <c r="W76" s="73"/>
      <c r="X76" s="73"/>
      <c r="Y76" s="73"/>
      <c r="Z76" s="73"/>
      <c r="AA76" s="73"/>
      <c r="AB76" s="73"/>
      <c r="AC76" s="73"/>
      <c r="AD76" s="73"/>
      <c r="AE76" s="73"/>
      <c r="AF76" s="73"/>
      <c r="AG76" s="73"/>
      <c r="AH76" s="73"/>
      <c r="AI76" s="73"/>
      <c r="AJ76" s="73"/>
      <c r="AK76" s="73"/>
      <c r="AL76" s="73"/>
    </row>
    <row r="77" spans="1:38" x14ac:dyDescent="0.35">
      <c r="A77" s="73"/>
      <c r="B77" s="458"/>
      <c r="C77" s="460"/>
      <c r="D77" s="460"/>
      <c r="E77" s="462"/>
      <c r="F77" s="73"/>
      <c r="G77" s="73"/>
      <c r="H77" s="207"/>
      <c r="I77" s="207"/>
      <c r="J77" s="207"/>
      <c r="K77" s="207"/>
      <c r="L77" s="207"/>
      <c r="M77" s="207"/>
      <c r="N77" s="207"/>
      <c r="O77" s="207"/>
      <c r="P77" s="207"/>
      <c r="Q77" s="207"/>
      <c r="R77" s="207"/>
      <c r="S77" s="207"/>
      <c r="T77" s="207"/>
      <c r="U77" s="207"/>
      <c r="V77" s="73"/>
      <c r="W77" s="73"/>
      <c r="X77" s="73"/>
      <c r="Y77" s="73"/>
      <c r="Z77" s="73"/>
      <c r="AA77" s="73"/>
      <c r="AB77" s="73"/>
      <c r="AC77" s="73"/>
      <c r="AD77" s="73"/>
      <c r="AE77" s="73"/>
      <c r="AF77" s="73"/>
      <c r="AG77" s="73"/>
      <c r="AH77" s="73"/>
      <c r="AI77" s="73"/>
      <c r="AJ77" s="73"/>
      <c r="AK77" s="73"/>
      <c r="AL77" s="73"/>
    </row>
    <row r="78" spans="1:38" x14ac:dyDescent="0.35">
      <c r="A78" s="73"/>
      <c r="B78" s="458" t="str">
        <f>'4.2 Elicitation form 2 Payoffs'!B51</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78" s="464" t="e">
        <f>'4.5 Group results Payoffs'!F419</f>
        <v>#DIV/0!</v>
      </c>
      <c r="D78" s="464">
        <f>IFERROR('4.5 Group results Payoffs'!J419,0)</f>
        <v>0</v>
      </c>
      <c r="E78" s="446">
        <f>IFERROR('4.5 Group results Payoffs'!K419,0)</f>
        <v>0</v>
      </c>
      <c r="F78" s="73"/>
      <c r="G78" s="73"/>
      <c r="H78" s="207"/>
      <c r="I78" s="207"/>
      <c r="J78" s="207"/>
      <c r="K78" s="207"/>
      <c r="L78" s="207"/>
      <c r="M78" s="207"/>
      <c r="N78" s="207"/>
      <c r="O78" s="207"/>
      <c r="P78" s="207"/>
      <c r="Q78" s="207"/>
      <c r="R78" s="207"/>
      <c r="S78" s="207"/>
      <c r="T78" s="207"/>
      <c r="U78" s="207"/>
      <c r="V78" s="73"/>
      <c r="W78" s="73"/>
      <c r="X78" s="73"/>
      <c r="Y78" s="73"/>
      <c r="Z78" s="73"/>
      <c r="AA78" s="73"/>
      <c r="AB78" s="73"/>
      <c r="AC78" s="73"/>
      <c r="AD78" s="73"/>
      <c r="AE78" s="73"/>
      <c r="AF78" s="73"/>
      <c r="AG78" s="73"/>
      <c r="AH78" s="73"/>
      <c r="AI78" s="73"/>
      <c r="AJ78" s="73"/>
      <c r="AK78" s="73"/>
      <c r="AL78" s="73"/>
    </row>
    <row r="79" spans="1:38" x14ac:dyDescent="0.35">
      <c r="A79" s="73"/>
      <c r="B79" s="458"/>
      <c r="C79" s="460"/>
      <c r="D79" s="460"/>
      <c r="E79" s="446"/>
      <c r="F79" s="73"/>
      <c r="G79" s="73"/>
      <c r="H79" s="207"/>
      <c r="I79" s="207"/>
      <c r="J79" s="207"/>
      <c r="K79" s="207"/>
      <c r="L79" s="207"/>
      <c r="M79" s="207"/>
      <c r="N79" s="207"/>
      <c r="O79" s="207"/>
      <c r="P79" s="207"/>
      <c r="Q79" s="207"/>
      <c r="R79" s="207"/>
      <c r="S79" s="207"/>
      <c r="T79" s="207"/>
      <c r="U79" s="207"/>
      <c r="V79" s="73"/>
      <c r="W79" s="73"/>
      <c r="X79" s="73"/>
      <c r="Y79" s="73"/>
      <c r="Z79" s="73"/>
      <c r="AA79" s="73"/>
      <c r="AB79" s="73"/>
      <c r="AC79" s="73"/>
      <c r="AD79" s="73"/>
      <c r="AE79" s="73"/>
      <c r="AF79" s="73"/>
      <c r="AG79" s="73"/>
      <c r="AH79" s="73"/>
      <c r="AI79" s="73"/>
      <c r="AJ79" s="73"/>
      <c r="AK79" s="73"/>
      <c r="AL79" s="73"/>
    </row>
    <row r="80" spans="1:38" x14ac:dyDescent="0.35">
      <c r="A80" s="73"/>
      <c r="B80" s="458"/>
      <c r="C80" s="460"/>
      <c r="D80" s="460"/>
      <c r="E80" s="446"/>
      <c r="F80" s="73"/>
      <c r="G80" s="73"/>
      <c r="H80" s="207"/>
      <c r="I80" s="207"/>
      <c r="J80" s="207"/>
      <c r="K80" s="207"/>
      <c r="L80" s="207"/>
      <c r="M80" s="207"/>
      <c r="N80" s="207"/>
      <c r="O80" s="207"/>
      <c r="P80" s="207"/>
      <c r="Q80" s="207"/>
      <c r="R80" s="207"/>
      <c r="S80" s="207"/>
      <c r="T80" s="207"/>
      <c r="U80" s="207"/>
      <c r="V80" s="73"/>
      <c r="W80" s="73"/>
      <c r="X80" s="73"/>
      <c r="Y80" s="73"/>
      <c r="Z80" s="73"/>
      <c r="AA80" s="73"/>
      <c r="AB80" s="73"/>
      <c r="AC80" s="73"/>
      <c r="AD80" s="73"/>
      <c r="AE80" s="73"/>
      <c r="AF80" s="73"/>
      <c r="AG80" s="73"/>
      <c r="AH80" s="73"/>
      <c r="AI80" s="73"/>
      <c r="AJ80" s="73"/>
      <c r="AK80" s="73"/>
      <c r="AL80" s="73"/>
    </row>
    <row r="81" spans="1:38" x14ac:dyDescent="0.35">
      <c r="A81" s="73"/>
      <c r="B81" s="463"/>
      <c r="C81" s="465"/>
      <c r="D81" s="465"/>
      <c r="E81" s="447"/>
      <c r="F81" s="73"/>
      <c r="G81" s="73"/>
      <c r="H81" s="207"/>
      <c r="I81" s="207"/>
      <c r="J81" s="207"/>
      <c r="K81" s="207"/>
      <c r="L81" s="207"/>
      <c r="M81" s="207"/>
      <c r="N81" s="207"/>
      <c r="O81" s="207"/>
      <c r="P81" s="207"/>
      <c r="Q81" s="207"/>
      <c r="R81" s="207"/>
      <c r="S81" s="207"/>
      <c r="T81" s="207"/>
      <c r="U81" s="207"/>
      <c r="V81" s="73"/>
      <c r="W81" s="73"/>
      <c r="X81" s="73"/>
      <c r="Y81" s="73"/>
      <c r="Z81" s="73"/>
      <c r="AA81" s="73"/>
      <c r="AB81" s="73"/>
      <c r="AC81" s="73"/>
      <c r="AD81" s="73"/>
      <c r="AE81" s="73"/>
      <c r="AF81" s="73"/>
      <c r="AG81" s="73"/>
      <c r="AH81" s="73"/>
      <c r="AI81" s="73"/>
      <c r="AJ81" s="73"/>
      <c r="AK81" s="73"/>
      <c r="AL81" s="73"/>
    </row>
    <row r="82" spans="1:38" x14ac:dyDescent="0.35">
      <c r="A82" s="73"/>
      <c r="B82" s="232"/>
      <c r="C82" s="212"/>
      <c r="D82" s="212"/>
      <c r="E82" s="212"/>
      <c r="F82" s="73"/>
      <c r="G82" s="73"/>
      <c r="H82" s="207"/>
      <c r="I82" s="207"/>
      <c r="J82" s="207"/>
      <c r="K82" s="207"/>
      <c r="L82" s="207"/>
      <c r="M82" s="207"/>
      <c r="N82" s="207"/>
      <c r="O82" s="207"/>
      <c r="P82" s="207"/>
      <c r="Q82" s="207"/>
      <c r="R82" s="207"/>
      <c r="S82" s="207"/>
      <c r="T82" s="207"/>
      <c r="U82" s="207"/>
      <c r="V82" s="73"/>
      <c r="W82" s="73"/>
      <c r="X82" s="73"/>
      <c r="Y82" s="73"/>
      <c r="Z82" s="73"/>
      <c r="AA82" s="73"/>
      <c r="AB82" s="73"/>
      <c r="AC82" s="73"/>
      <c r="AD82" s="73"/>
      <c r="AE82" s="73"/>
      <c r="AF82" s="73"/>
      <c r="AG82" s="73"/>
      <c r="AH82" s="73"/>
      <c r="AI82" s="73"/>
      <c r="AJ82" s="73"/>
      <c r="AK82" s="73"/>
      <c r="AL82" s="73"/>
    </row>
    <row r="83" spans="1:38" x14ac:dyDescent="0.35">
      <c r="A83" s="73"/>
      <c r="B83" s="448" t="str">
        <f>'4.2 Elicitation form 2 Payoffs'!B53</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83" s="451" t="e">
        <f>'4.5 Group results Payoffs'!F466</f>
        <v>#DIV/0!</v>
      </c>
      <c r="D83" s="451">
        <f>IFERROR('4.5 Group results Payoffs'!J466,0)</f>
        <v>0</v>
      </c>
      <c r="E83" s="453">
        <f>IFERROR('4.5 Group results Payoffs'!K466,0)</f>
        <v>0</v>
      </c>
      <c r="F83" s="73"/>
      <c r="G83" s="73"/>
      <c r="H83" s="207"/>
      <c r="I83" s="207"/>
      <c r="J83" s="207"/>
      <c r="K83" s="207"/>
      <c r="L83" s="207"/>
      <c r="M83" s="207"/>
      <c r="N83" s="207"/>
      <c r="O83" s="207"/>
      <c r="P83" s="207"/>
      <c r="Q83" s="207"/>
      <c r="R83" s="207"/>
      <c r="S83" s="207"/>
      <c r="T83" s="207"/>
      <c r="U83" s="207"/>
      <c r="V83" s="73"/>
      <c r="W83" s="73"/>
      <c r="X83" s="73"/>
      <c r="Y83" s="73"/>
      <c r="Z83" s="73"/>
      <c r="AA83" s="73"/>
      <c r="AB83" s="73"/>
      <c r="AC83" s="73"/>
      <c r="AD83" s="73"/>
      <c r="AE83" s="73"/>
      <c r="AF83" s="73"/>
      <c r="AG83" s="73"/>
      <c r="AH83" s="73"/>
      <c r="AI83" s="73"/>
      <c r="AJ83" s="73"/>
      <c r="AK83" s="73"/>
      <c r="AL83" s="73"/>
    </row>
    <row r="84" spans="1:38" ht="14.5" customHeight="1" x14ac:dyDescent="0.35">
      <c r="A84" s="73"/>
      <c r="B84" s="449"/>
      <c r="C84" s="452"/>
      <c r="D84" s="452"/>
      <c r="E84" s="454"/>
      <c r="F84" s="73"/>
      <c r="G84" s="73"/>
      <c r="H84" s="207"/>
      <c r="I84" s="207"/>
      <c r="J84" s="207"/>
      <c r="K84" s="207"/>
      <c r="L84" s="207"/>
      <c r="M84" s="207"/>
      <c r="N84" s="207"/>
      <c r="O84" s="207"/>
      <c r="P84" s="207"/>
      <c r="Q84" s="207"/>
      <c r="R84" s="207"/>
      <c r="S84" s="207"/>
      <c r="T84" s="207"/>
      <c r="U84" s="207"/>
      <c r="V84" s="73"/>
      <c r="W84" s="73"/>
      <c r="X84" s="73"/>
      <c r="Y84" s="73"/>
      <c r="Z84" s="73"/>
      <c r="AA84" s="73"/>
      <c r="AB84" s="73"/>
      <c r="AC84" s="73"/>
      <c r="AD84" s="73"/>
      <c r="AE84" s="73"/>
      <c r="AF84" s="73"/>
      <c r="AG84" s="73"/>
      <c r="AH84" s="73"/>
      <c r="AI84" s="73"/>
      <c r="AJ84" s="73"/>
      <c r="AK84" s="73"/>
      <c r="AL84" s="73"/>
    </row>
    <row r="85" spans="1:38" x14ac:dyDescent="0.35">
      <c r="A85" s="73"/>
      <c r="B85" s="449"/>
      <c r="C85" s="452"/>
      <c r="D85" s="452"/>
      <c r="E85" s="454"/>
      <c r="F85" s="73"/>
      <c r="G85" s="73"/>
      <c r="H85" s="207"/>
      <c r="I85" s="207"/>
      <c r="J85" s="207"/>
      <c r="K85" s="207"/>
      <c r="L85" s="207"/>
      <c r="M85" s="207"/>
      <c r="N85" s="207"/>
      <c r="O85" s="207"/>
      <c r="P85" s="207"/>
      <c r="Q85" s="207"/>
      <c r="R85" s="207"/>
      <c r="S85" s="207"/>
      <c r="T85" s="207"/>
      <c r="U85" s="207"/>
      <c r="V85" s="73"/>
      <c r="W85" s="73"/>
      <c r="X85" s="73"/>
      <c r="Y85" s="73"/>
      <c r="Z85" s="73"/>
      <c r="AA85" s="73"/>
      <c r="AB85" s="73"/>
      <c r="AC85" s="73"/>
      <c r="AD85" s="73"/>
      <c r="AE85" s="73"/>
      <c r="AF85" s="73"/>
      <c r="AG85" s="73"/>
      <c r="AH85" s="73"/>
      <c r="AI85" s="73"/>
      <c r="AJ85" s="73"/>
      <c r="AK85" s="73"/>
      <c r="AL85" s="73"/>
    </row>
    <row r="86" spans="1:38" x14ac:dyDescent="0.35">
      <c r="A86" s="73"/>
      <c r="B86" s="449"/>
      <c r="C86" s="452"/>
      <c r="D86" s="452"/>
      <c r="E86" s="454"/>
      <c r="F86" s="73"/>
      <c r="G86" s="73"/>
      <c r="H86" s="207"/>
      <c r="I86" s="207"/>
      <c r="J86" s="207"/>
      <c r="K86" s="207"/>
      <c r="L86" s="207"/>
      <c r="M86" s="207"/>
      <c r="N86" s="207"/>
      <c r="O86" s="207"/>
      <c r="P86" s="207"/>
      <c r="Q86" s="207"/>
      <c r="R86" s="207"/>
      <c r="S86" s="207"/>
      <c r="T86" s="207"/>
      <c r="U86" s="207"/>
      <c r="V86" s="73"/>
      <c r="W86" s="73"/>
      <c r="X86" s="73"/>
      <c r="Y86" s="73"/>
      <c r="Z86" s="73"/>
      <c r="AA86" s="73"/>
      <c r="AB86" s="73"/>
      <c r="AC86" s="73"/>
      <c r="AD86" s="73"/>
      <c r="AE86" s="73"/>
      <c r="AF86" s="73"/>
      <c r="AG86" s="73"/>
      <c r="AH86" s="73"/>
      <c r="AI86" s="73"/>
      <c r="AJ86" s="73"/>
      <c r="AK86" s="73"/>
      <c r="AL86" s="73"/>
    </row>
    <row r="87" spans="1:38" x14ac:dyDescent="0.35">
      <c r="A87" s="73"/>
      <c r="B87" s="449" t="str">
        <f>'4.2 Elicitation form 2 Payoffs'!B54</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87" s="452" t="e">
        <f>'4.5 Group results Payoffs'!F513</f>
        <v>#DIV/0!</v>
      </c>
      <c r="D87" s="452">
        <f>IFERROR('4.5 Group results Payoffs'!J513,0)</f>
        <v>0</v>
      </c>
      <c r="E87" s="454">
        <f>IFERROR('4.5 Group results Payoffs'!K513,0)</f>
        <v>0</v>
      </c>
      <c r="F87" s="73"/>
      <c r="G87" s="73"/>
      <c r="H87" s="207"/>
      <c r="I87" s="207"/>
      <c r="J87" s="207"/>
      <c r="K87" s="207"/>
      <c r="L87" s="207"/>
      <c r="M87" s="207"/>
      <c r="N87" s="207"/>
      <c r="O87" s="207"/>
      <c r="P87" s="207"/>
      <c r="Q87" s="207"/>
      <c r="R87" s="207"/>
      <c r="S87" s="207"/>
      <c r="T87" s="207"/>
      <c r="U87" s="207"/>
      <c r="V87" s="73"/>
      <c r="W87" s="73"/>
      <c r="X87" s="73"/>
      <c r="Y87" s="73"/>
      <c r="Z87" s="73"/>
      <c r="AA87" s="73"/>
      <c r="AB87" s="73"/>
      <c r="AC87" s="73"/>
      <c r="AD87" s="73"/>
      <c r="AE87" s="73"/>
      <c r="AF87" s="73"/>
      <c r="AG87" s="73"/>
      <c r="AH87" s="73"/>
      <c r="AI87" s="73"/>
      <c r="AJ87" s="73"/>
      <c r="AK87" s="73"/>
      <c r="AL87" s="73"/>
    </row>
    <row r="88" spans="1:38" x14ac:dyDescent="0.35">
      <c r="A88" s="73"/>
      <c r="B88" s="449"/>
      <c r="C88" s="452"/>
      <c r="D88" s="452"/>
      <c r="E88" s="454"/>
      <c r="F88" s="73"/>
      <c r="G88" s="73"/>
      <c r="H88" s="207"/>
      <c r="I88" s="207"/>
      <c r="J88" s="207"/>
      <c r="K88" s="207"/>
      <c r="L88" s="207"/>
      <c r="M88" s="207"/>
      <c r="N88" s="207"/>
      <c r="O88" s="207"/>
      <c r="P88" s="207"/>
      <c r="Q88" s="207"/>
      <c r="R88" s="207"/>
      <c r="S88" s="207"/>
      <c r="T88" s="207"/>
      <c r="U88" s="207"/>
      <c r="V88" s="73"/>
      <c r="W88" s="73"/>
      <c r="X88" s="73"/>
      <c r="Y88" s="73"/>
      <c r="Z88" s="73"/>
      <c r="AA88" s="73"/>
      <c r="AB88" s="73"/>
      <c r="AC88" s="73"/>
      <c r="AD88" s="73"/>
      <c r="AE88" s="73"/>
      <c r="AF88" s="73"/>
      <c r="AG88" s="73"/>
      <c r="AH88" s="73"/>
      <c r="AI88" s="73"/>
      <c r="AJ88" s="73"/>
      <c r="AK88" s="73"/>
      <c r="AL88" s="73"/>
    </row>
    <row r="89" spans="1:38" x14ac:dyDescent="0.35">
      <c r="A89" s="73"/>
      <c r="B89" s="449"/>
      <c r="C89" s="452"/>
      <c r="D89" s="452"/>
      <c r="E89" s="454"/>
      <c r="F89" s="73"/>
      <c r="G89" s="73"/>
      <c r="H89" s="207"/>
      <c r="I89" s="207"/>
      <c r="J89" s="207"/>
      <c r="K89" s="207"/>
      <c r="L89" s="207"/>
      <c r="M89" s="207"/>
      <c r="N89" s="207"/>
      <c r="O89" s="207"/>
      <c r="P89" s="207"/>
      <c r="Q89" s="207"/>
      <c r="R89" s="207"/>
      <c r="S89" s="207"/>
      <c r="T89" s="207"/>
      <c r="U89" s="207"/>
      <c r="V89" s="73"/>
      <c r="W89" s="73"/>
      <c r="X89" s="73"/>
      <c r="Y89" s="73"/>
      <c r="Z89" s="73"/>
      <c r="AA89" s="73"/>
      <c r="AB89" s="73"/>
      <c r="AC89" s="73"/>
      <c r="AD89" s="73"/>
      <c r="AE89" s="73"/>
      <c r="AF89" s="73"/>
      <c r="AG89" s="73"/>
      <c r="AH89" s="73"/>
      <c r="AI89" s="73"/>
      <c r="AJ89" s="73"/>
      <c r="AK89" s="73"/>
      <c r="AL89" s="73"/>
    </row>
    <row r="90" spans="1:38" x14ac:dyDescent="0.35">
      <c r="A90" s="73"/>
      <c r="B90" s="450"/>
      <c r="C90" s="455"/>
      <c r="D90" s="455"/>
      <c r="E90" s="456"/>
      <c r="F90" s="73"/>
      <c r="G90" s="73"/>
      <c r="H90" s="207"/>
      <c r="I90" s="207"/>
      <c r="J90" s="207"/>
      <c r="K90" s="207"/>
      <c r="L90" s="207"/>
      <c r="M90" s="207"/>
      <c r="N90" s="207"/>
      <c r="O90" s="207"/>
      <c r="P90" s="207"/>
      <c r="Q90" s="207"/>
      <c r="R90" s="207"/>
      <c r="S90" s="207"/>
      <c r="T90" s="207"/>
      <c r="U90" s="207"/>
      <c r="V90" s="73"/>
      <c r="W90" s="73"/>
      <c r="X90" s="73"/>
      <c r="Y90" s="73"/>
      <c r="Z90" s="73"/>
      <c r="AA90" s="73"/>
      <c r="AB90" s="73"/>
      <c r="AC90" s="73"/>
      <c r="AD90" s="73"/>
      <c r="AE90" s="73"/>
      <c r="AF90" s="73"/>
      <c r="AG90" s="73"/>
      <c r="AH90" s="73"/>
      <c r="AI90" s="73"/>
      <c r="AJ90" s="73"/>
      <c r="AK90" s="73"/>
      <c r="AL90" s="73"/>
    </row>
    <row r="91" spans="1:38" x14ac:dyDescent="0.35">
      <c r="A91" s="73"/>
      <c r="B91" s="232"/>
      <c r="C91" s="212"/>
      <c r="D91" s="212"/>
      <c r="E91" s="212"/>
      <c r="F91" s="73"/>
      <c r="G91" s="73"/>
      <c r="H91" s="207"/>
      <c r="I91" s="207"/>
      <c r="J91" s="207"/>
      <c r="K91" s="207"/>
      <c r="L91" s="207"/>
      <c r="M91" s="207"/>
      <c r="N91" s="207"/>
      <c r="O91" s="207"/>
      <c r="P91" s="207"/>
      <c r="Q91" s="207"/>
      <c r="R91" s="207"/>
      <c r="S91" s="207"/>
      <c r="T91" s="207"/>
      <c r="U91" s="207"/>
      <c r="V91" s="73"/>
      <c r="W91" s="73"/>
      <c r="X91" s="73"/>
      <c r="Y91" s="73"/>
      <c r="Z91" s="73"/>
      <c r="AA91" s="73"/>
      <c r="AB91" s="73"/>
      <c r="AC91" s="73"/>
      <c r="AD91" s="73"/>
      <c r="AE91" s="73"/>
      <c r="AF91" s="73"/>
      <c r="AG91" s="73"/>
      <c r="AH91" s="73"/>
      <c r="AI91" s="73"/>
      <c r="AJ91" s="73"/>
      <c r="AK91" s="73"/>
      <c r="AL91" s="73"/>
    </row>
    <row r="92" spans="1:38" x14ac:dyDescent="0.35">
      <c r="A92" s="73"/>
      <c r="B92" s="438" t="str">
        <f>'4.2 Elicitation form 2 Payoffs'!B56</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92" s="440" t="e">
        <f>'4.5 Group results Payoffs'!F560</f>
        <v>#DIV/0!</v>
      </c>
      <c r="D92" s="440">
        <f>IFERROR('4.5 Group results Payoffs'!J560,0)</f>
        <v>0</v>
      </c>
      <c r="E92" s="442">
        <f>IFERROR('4.5 Group results Payoffs'!K560,0)</f>
        <v>0</v>
      </c>
      <c r="F92" s="73"/>
      <c r="G92" s="73"/>
      <c r="H92" s="207"/>
      <c r="I92" s="207"/>
      <c r="J92" s="207"/>
      <c r="K92" s="207"/>
      <c r="L92" s="207"/>
      <c r="M92" s="207"/>
      <c r="N92" s="207"/>
      <c r="O92" s="207"/>
      <c r="P92" s="207"/>
      <c r="Q92" s="207"/>
      <c r="R92" s="207"/>
      <c r="S92" s="207"/>
      <c r="T92" s="207"/>
      <c r="U92" s="207"/>
      <c r="V92" s="73"/>
      <c r="W92" s="73"/>
      <c r="X92" s="73"/>
      <c r="Y92" s="73"/>
      <c r="Z92" s="73"/>
      <c r="AA92" s="73"/>
      <c r="AB92" s="73"/>
      <c r="AC92" s="73"/>
      <c r="AD92" s="73"/>
      <c r="AE92" s="73"/>
      <c r="AF92" s="73"/>
      <c r="AG92" s="73"/>
      <c r="AH92" s="73"/>
      <c r="AI92" s="73"/>
      <c r="AJ92" s="73"/>
      <c r="AK92" s="73"/>
      <c r="AL92" s="73"/>
    </row>
    <row r="93" spans="1:38" ht="14.5" customHeight="1" x14ac:dyDescent="0.35">
      <c r="A93" s="73"/>
      <c r="B93" s="439"/>
      <c r="C93" s="441"/>
      <c r="D93" s="441"/>
      <c r="E93" s="443"/>
      <c r="F93" s="73"/>
      <c r="G93" s="73"/>
      <c r="H93" s="207"/>
      <c r="I93" s="207"/>
      <c r="J93" s="207"/>
      <c r="K93" s="207"/>
      <c r="L93" s="207"/>
      <c r="M93" s="207"/>
      <c r="N93" s="207"/>
      <c r="O93" s="207"/>
      <c r="P93" s="207"/>
      <c r="Q93" s="207"/>
      <c r="R93" s="207"/>
      <c r="S93" s="207"/>
      <c r="T93" s="207"/>
      <c r="U93" s="207"/>
      <c r="V93" s="73"/>
      <c r="W93" s="73"/>
      <c r="X93" s="73"/>
      <c r="Y93" s="73"/>
      <c r="Z93" s="73"/>
      <c r="AA93" s="73"/>
      <c r="AB93" s="73"/>
      <c r="AC93" s="73"/>
      <c r="AD93" s="73"/>
      <c r="AE93" s="73"/>
      <c r="AF93" s="73"/>
      <c r="AG93" s="73"/>
      <c r="AH93" s="73"/>
      <c r="AI93" s="73"/>
      <c r="AJ93" s="73"/>
      <c r="AK93" s="73"/>
      <c r="AL93" s="73"/>
    </row>
    <row r="94" spans="1:38" x14ac:dyDescent="0.35">
      <c r="A94" s="73"/>
      <c r="B94" s="439"/>
      <c r="C94" s="441"/>
      <c r="D94" s="441"/>
      <c r="E94" s="443"/>
      <c r="F94" s="73"/>
      <c r="G94" s="73"/>
      <c r="H94" s="207"/>
      <c r="I94" s="207"/>
      <c r="J94" s="207"/>
      <c r="K94" s="207"/>
      <c r="L94" s="207"/>
      <c r="M94" s="207"/>
      <c r="N94" s="207"/>
      <c r="O94" s="207"/>
      <c r="P94" s="207"/>
      <c r="Q94" s="207"/>
      <c r="R94" s="207"/>
      <c r="S94" s="207"/>
      <c r="T94" s="207"/>
      <c r="U94" s="207"/>
      <c r="V94" s="73"/>
      <c r="W94" s="73"/>
      <c r="X94" s="73"/>
      <c r="Y94" s="73"/>
      <c r="Z94" s="73"/>
      <c r="AA94" s="73"/>
      <c r="AB94" s="73"/>
      <c r="AC94" s="73"/>
      <c r="AD94" s="73"/>
      <c r="AE94" s="73"/>
      <c r="AF94" s="73"/>
      <c r="AG94" s="73"/>
      <c r="AH94" s="73"/>
      <c r="AI94" s="73"/>
      <c r="AJ94" s="73"/>
      <c r="AK94" s="73"/>
      <c r="AL94" s="73"/>
    </row>
    <row r="95" spans="1:38" x14ac:dyDescent="0.35">
      <c r="A95" s="73"/>
      <c r="B95" s="439"/>
      <c r="C95" s="441"/>
      <c r="D95" s="441"/>
      <c r="E95" s="443"/>
      <c r="F95" s="73"/>
      <c r="G95" s="73"/>
      <c r="H95" s="207"/>
      <c r="I95" s="207"/>
      <c r="J95" s="207"/>
      <c r="K95" s="207"/>
      <c r="L95" s="207"/>
      <c r="M95" s="207"/>
      <c r="N95" s="207"/>
      <c r="O95" s="207"/>
      <c r="P95" s="207"/>
      <c r="Q95" s="207"/>
      <c r="R95" s="207"/>
      <c r="S95" s="207"/>
      <c r="T95" s="207"/>
      <c r="U95" s="207"/>
      <c r="V95" s="73"/>
      <c r="W95" s="73"/>
      <c r="X95" s="73"/>
      <c r="Y95" s="73"/>
      <c r="Z95" s="73"/>
      <c r="AA95" s="73"/>
      <c r="AB95" s="73"/>
      <c r="AC95" s="73"/>
      <c r="AD95" s="73"/>
      <c r="AE95" s="73"/>
      <c r="AF95" s="73"/>
      <c r="AG95" s="73"/>
      <c r="AH95" s="73"/>
      <c r="AI95" s="73"/>
      <c r="AJ95" s="73"/>
      <c r="AK95" s="73"/>
      <c r="AL95" s="73"/>
    </row>
    <row r="96" spans="1:38" x14ac:dyDescent="0.35">
      <c r="A96" s="73"/>
      <c r="B96" s="439" t="str">
        <f>'4.2 Elicitation form 2 Payoffs'!B57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96" s="441" t="e">
        <f>'4.5 Group results Payoffs'!F607</f>
        <v>#DIV/0!</v>
      </c>
      <c r="D96" s="441">
        <f>IFERROR('4.5 Group results Payoffs'!J607,0)</f>
        <v>0</v>
      </c>
      <c r="E96" s="446">
        <f>IFERROR('4.5 Group results Payoffs'!K607,0)</f>
        <v>0</v>
      </c>
      <c r="F96" s="73"/>
      <c r="G96" s="73"/>
      <c r="H96" s="207"/>
      <c r="I96" s="207"/>
      <c r="J96" s="207"/>
      <c r="K96" s="207"/>
      <c r="L96" s="207"/>
      <c r="M96" s="207"/>
      <c r="N96" s="207"/>
      <c r="O96" s="207"/>
      <c r="P96" s="207"/>
      <c r="Q96" s="207"/>
      <c r="R96" s="207"/>
      <c r="S96" s="207"/>
      <c r="T96" s="207"/>
      <c r="U96" s="207"/>
      <c r="V96" s="73"/>
      <c r="W96" s="73"/>
      <c r="X96" s="73"/>
      <c r="Y96" s="73"/>
      <c r="Z96" s="73"/>
      <c r="AA96" s="73"/>
      <c r="AB96" s="73"/>
      <c r="AC96" s="73"/>
      <c r="AD96" s="73"/>
      <c r="AE96" s="73"/>
      <c r="AF96" s="73"/>
      <c r="AG96" s="73"/>
      <c r="AH96" s="73"/>
      <c r="AI96" s="73"/>
      <c r="AJ96" s="73"/>
      <c r="AK96" s="73"/>
      <c r="AL96" s="73"/>
    </row>
    <row r="97" spans="1:38" ht="14.5" customHeight="1" x14ac:dyDescent="0.35">
      <c r="A97" s="73"/>
      <c r="B97" s="439"/>
      <c r="C97" s="441"/>
      <c r="D97" s="441"/>
      <c r="E97" s="446"/>
      <c r="F97" s="73"/>
      <c r="G97" s="73"/>
      <c r="H97" s="207"/>
      <c r="I97" s="207"/>
      <c r="J97" s="207"/>
      <c r="K97" s="207"/>
      <c r="L97" s="207"/>
      <c r="M97" s="207"/>
      <c r="N97" s="207"/>
      <c r="O97" s="207"/>
      <c r="P97" s="207"/>
      <c r="Q97" s="207"/>
      <c r="R97" s="207"/>
      <c r="S97" s="207"/>
      <c r="T97" s="207"/>
      <c r="U97" s="207"/>
      <c r="V97" s="73"/>
      <c r="W97" s="73"/>
      <c r="X97" s="73"/>
      <c r="Y97" s="73"/>
      <c r="Z97" s="73"/>
      <c r="AA97" s="73"/>
      <c r="AB97" s="73"/>
      <c r="AC97" s="73"/>
      <c r="AD97" s="73"/>
      <c r="AE97" s="73"/>
      <c r="AF97" s="73"/>
      <c r="AG97" s="73"/>
      <c r="AH97" s="73"/>
      <c r="AI97" s="73"/>
      <c r="AJ97" s="73"/>
      <c r="AK97" s="73"/>
      <c r="AL97" s="73"/>
    </row>
    <row r="98" spans="1:38" x14ac:dyDescent="0.35">
      <c r="A98" s="73"/>
      <c r="B98" s="439"/>
      <c r="C98" s="441"/>
      <c r="D98" s="441"/>
      <c r="E98" s="446"/>
      <c r="F98" s="73"/>
      <c r="G98" s="73"/>
      <c r="H98" s="207"/>
      <c r="I98" s="207"/>
      <c r="J98" s="207"/>
      <c r="K98" s="207"/>
      <c r="L98" s="207"/>
      <c r="M98" s="207"/>
      <c r="N98" s="207"/>
      <c r="O98" s="207"/>
      <c r="P98" s="207"/>
      <c r="Q98" s="207"/>
      <c r="R98" s="207"/>
      <c r="S98" s="207"/>
      <c r="T98" s="207"/>
      <c r="U98" s="207"/>
      <c r="V98" s="73"/>
      <c r="W98" s="73"/>
      <c r="X98" s="73"/>
      <c r="Y98" s="73"/>
      <c r="Z98" s="73"/>
      <c r="AA98" s="73"/>
      <c r="AB98" s="73"/>
      <c r="AC98" s="73"/>
      <c r="AD98" s="73"/>
      <c r="AE98" s="73"/>
      <c r="AF98" s="73"/>
      <c r="AG98" s="73"/>
      <c r="AH98" s="73"/>
      <c r="AI98" s="73"/>
      <c r="AJ98" s="73"/>
      <c r="AK98" s="73"/>
      <c r="AL98" s="73"/>
    </row>
    <row r="99" spans="1:38" x14ac:dyDescent="0.35">
      <c r="A99" s="73"/>
      <c r="B99" s="444"/>
      <c r="C99" s="445"/>
      <c r="D99" s="445"/>
      <c r="E99" s="447"/>
      <c r="F99" s="73"/>
      <c r="G99" s="73"/>
      <c r="H99" s="207"/>
      <c r="I99" s="207"/>
      <c r="J99" s="207"/>
      <c r="K99" s="207"/>
      <c r="L99" s="207"/>
      <c r="M99" s="207"/>
      <c r="N99" s="207"/>
      <c r="O99" s="207"/>
      <c r="P99" s="207"/>
      <c r="Q99" s="207"/>
      <c r="R99" s="207"/>
      <c r="S99" s="207"/>
      <c r="T99" s="207"/>
      <c r="U99" s="207"/>
      <c r="V99" s="73"/>
      <c r="W99" s="73"/>
      <c r="X99" s="73"/>
      <c r="Y99" s="73"/>
      <c r="Z99" s="73"/>
      <c r="AA99" s="73"/>
      <c r="AB99" s="73"/>
      <c r="AC99" s="73"/>
      <c r="AD99" s="73"/>
      <c r="AE99" s="73"/>
      <c r="AF99" s="73"/>
      <c r="AG99" s="73"/>
      <c r="AH99" s="73"/>
      <c r="AI99" s="73"/>
      <c r="AJ99" s="73"/>
      <c r="AK99" s="73"/>
      <c r="AL99" s="73"/>
    </row>
    <row r="100" spans="1:38" x14ac:dyDescent="0.35">
      <c r="A100" s="73"/>
      <c r="B100" s="73"/>
      <c r="C100" s="73"/>
      <c r="D100" s="73"/>
      <c r="E100" s="73"/>
      <c r="F100" s="73"/>
      <c r="G100" s="73"/>
      <c r="H100" s="207"/>
      <c r="I100" s="207"/>
      <c r="J100" s="207"/>
      <c r="K100" s="207"/>
      <c r="L100" s="207"/>
      <c r="M100" s="207"/>
      <c r="N100" s="207"/>
      <c r="O100" s="207"/>
      <c r="P100" s="207"/>
      <c r="Q100" s="207"/>
      <c r="R100" s="207"/>
      <c r="S100" s="207"/>
      <c r="T100" s="207"/>
      <c r="U100" s="207"/>
      <c r="V100" s="73"/>
      <c r="W100" s="73"/>
      <c r="X100" s="73"/>
      <c r="Y100" s="73"/>
      <c r="Z100" s="73"/>
      <c r="AA100" s="73"/>
      <c r="AB100" s="73"/>
      <c r="AC100" s="73"/>
      <c r="AD100" s="73"/>
      <c r="AE100" s="73"/>
      <c r="AF100" s="73"/>
      <c r="AG100" s="73"/>
      <c r="AH100" s="73"/>
      <c r="AI100" s="73"/>
      <c r="AJ100" s="73"/>
      <c r="AK100" s="73"/>
      <c r="AL100" s="73"/>
    </row>
    <row r="101" spans="1:38" x14ac:dyDescent="0.35">
      <c r="A101" s="73"/>
      <c r="B101" s="73"/>
      <c r="C101" s="73"/>
      <c r="D101" s="73"/>
      <c r="E101" s="73"/>
      <c r="F101" s="73"/>
      <c r="G101" s="73"/>
      <c r="H101" s="207"/>
      <c r="I101" s="207"/>
      <c r="J101" s="207"/>
      <c r="K101" s="207"/>
      <c r="L101" s="207"/>
      <c r="M101" s="207"/>
      <c r="N101" s="207"/>
      <c r="O101" s="207"/>
      <c r="P101" s="207"/>
      <c r="Q101" s="207"/>
      <c r="R101" s="207"/>
      <c r="S101" s="207"/>
      <c r="T101" s="207"/>
      <c r="U101" s="207"/>
      <c r="V101" s="73"/>
      <c r="W101" s="73"/>
      <c r="X101" s="73"/>
      <c r="Y101" s="73"/>
      <c r="Z101" s="73"/>
      <c r="AA101" s="73"/>
      <c r="AB101" s="73"/>
      <c r="AC101" s="73"/>
      <c r="AD101" s="73"/>
      <c r="AE101" s="73"/>
      <c r="AF101" s="73"/>
      <c r="AG101" s="73"/>
      <c r="AH101" s="73"/>
      <c r="AI101" s="73"/>
      <c r="AJ101" s="73"/>
      <c r="AK101" s="73"/>
      <c r="AL101" s="73"/>
    </row>
    <row r="102" spans="1:38" x14ac:dyDescent="0.35">
      <c r="A102" s="73"/>
      <c r="B102" s="73"/>
      <c r="C102" s="73"/>
      <c r="D102" s="73"/>
      <c r="E102" s="73"/>
      <c r="F102" s="73"/>
      <c r="G102" s="73"/>
      <c r="H102" s="207"/>
      <c r="I102" s="207"/>
      <c r="J102" s="207"/>
      <c r="K102" s="207"/>
      <c r="L102" s="207"/>
      <c r="M102" s="207"/>
      <c r="N102" s="207"/>
      <c r="O102" s="207"/>
      <c r="P102" s="207"/>
      <c r="Q102" s="207"/>
      <c r="R102" s="207"/>
      <c r="S102" s="207"/>
      <c r="T102" s="207"/>
      <c r="U102" s="207"/>
      <c r="V102" s="73"/>
      <c r="W102" s="73"/>
      <c r="X102" s="73"/>
      <c r="Y102" s="73"/>
      <c r="Z102" s="73"/>
      <c r="AA102" s="73"/>
      <c r="AB102" s="73"/>
      <c r="AC102" s="73"/>
      <c r="AD102" s="73"/>
      <c r="AE102" s="73"/>
      <c r="AF102" s="73"/>
      <c r="AG102" s="73"/>
      <c r="AH102" s="73"/>
      <c r="AI102" s="73"/>
      <c r="AJ102" s="73"/>
      <c r="AK102" s="73"/>
      <c r="AL102" s="73"/>
    </row>
    <row r="103" spans="1:38" x14ac:dyDescent="0.35">
      <c r="A103" s="73"/>
      <c r="B103" s="73"/>
      <c r="C103" s="73"/>
      <c r="D103" s="73"/>
      <c r="E103" s="73"/>
      <c r="F103" s="73"/>
      <c r="G103" s="73"/>
      <c r="H103" s="207"/>
      <c r="I103" s="207"/>
      <c r="J103" s="207"/>
      <c r="K103" s="207"/>
      <c r="L103" s="207"/>
      <c r="M103" s="207"/>
      <c r="N103" s="207"/>
      <c r="O103" s="207"/>
      <c r="P103" s="207"/>
      <c r="Q103" s="207"/>
      <c r="R103" s="207"/>
      <c r="S103" s="207"/>
      <c r="T103" s="207"/>
      <c r="U103" s="207"/>
      <c r="V103" s="73"/>
      <c r="W103" s="73"/>
      <c r="X103" s="73"/>
      <c r="Y103" s="73"/>
      <c r="Z103" s="73"/>
      <c r="AA103" s="73"/>
      <c r="AB103" s="73"/>
      <c r="AC103" s="73"/>
      <c r="AD103" s="73"/>
      <c r="AE103" s="73"/>
      <c r="AF103" s="73"/>
      <c r="AG103" s="73"/>
      <c r="AH103" s="73"/>
      <c r="AI103" s="73"/>
      <c r="AJ103" s="73"/>
      <c r="AK103" s="73"/>
      <c r="AL103" s="73"/>
    </row>
    <row r="104" spans="1:38" x14ac:dyDescent="0.35">
      <c r="A104" s="73"/>
      <c r="B104" s="73"/>
      <c r="C104" s="73"/>
      <c r="D104" s="73"/>
      <c r="E104" s="73"/>
      <c r="F104" s="73"/>
      <c r="G104" s="73"/>
      <c r="H104" s="207"/>
      <c r="I104" s="207"/>
      <c r="J104" s="207"/>
      <c r="K104" s="207"/>
      <c r="L104" s="207"/>
      <c r="M104" s="207"/>
      <c r="N104" s="207"/>
      <c r="O104" s="207"/>
      <c r="P104" s="207"/>
      <c r="Q104" s="207"/>
      <c r="R104" s="207"/>
      <c r="S104" s="207"/>
      <c r="T104" s="207"/>
      <c r="U104" s="207"/>
      <c r="V104" s="73"/>
      <c r="W104" s="73"/>
      <c r="X104" s="73"/>
      <c r="Y104" s="73"/>
      <c r="Z104" s="73"/>
      <c r="AA104" s="73"/>
      <c r="AB104" s="73"/>
      <c r="AC104" s="73"/>
      <c r="AD104" s="73"/>
      <c r="AE104" s="73"/>
      <c r="AF104" s="73"/>
      <c r="AG104" s="73"/>
      <c r="AH104" s="73"/>
      <c r="AI104" s="73"/>
      <c r="AJ104" s="73"/>
      <c r="AK104" s="73"/>
      <c r="AL104" s="73"/>
    </row>
    <row r="105" spans="1:38" x14ac:dyDescent="0.35">
      <c r="A105" s="73"/>
      <c r="B105" s="73"/>
      <c r="C105" s="73"/>
      <c r="D105" s="73"/>
      <c r="E105" s="73"/>
      <c r="F105" s="73"/>
      <c r="G105" s="73"/>
      <c r="H105" s="207"/>
      <c r="I105" s="207"/>
      <c r="J105" s="207"/>
      <c r="K105" s="207"/>
      <c r="L105" s="207"/>
      <c r="M105" s="207"/>
      <c r="N105" s="207"/>
      <c r="O105" s="207"/>
      <c r="P105" s="207"/>
      <c r="Q105" s="207"/>
      <c r="R105" s="207"/>
      <c r="S105" s="207"/>
      <c r="T105" s="207"/>
      <c r="U105" s="207"/>
      <c r="V105" s="73"/>
      <c r="W105" s="73"/>
      <c r="X105" s="73"/>
      <c r="Y105" s="73"/>
      <c r="Z105" s="73"/>
      <c r="AA105" s="73"/>
      <c r="AB105" s="73"/>
      <c r="AC105" s="73"/>
      <c r="AD105" s="73"/>
      <c r="AE105" s="73"/>
      <c r="AF105" s="73"/>
      <c r="AG105" s="73"/>
      <c r="AH105" s="73"/>
      <c r="AI105" s="73"/>
      <c r="AJ105" s="73"/>
      <c r="AK105" s="73"/>
      <c r="AL105" s="73"/>
    </row>
    <row r="106" spans="1:38" x14ac:dyDescent="0.35">
      <c r="A106" s="73"/>
      <c r="B106" s="73"/>
      <c r="C106" s="73"/>
      <c r="D106" s="73"/>
      <c r="E106" s="73"/>
      <c r="F106" s="73"/>
      <c r="G106" s="73"/>
      <c r="H106" s="207"/>
      <c r="I106" s="207"/>
      <c r="J106" s="207"/>
      <c r="K106" s="207"/>
      <c r="L106" s="207"/>
      <c r="M106" s="207"/>
      <c r="N106" s="207"/>
      <c r="O106" s="207"/>
      <c r="P106" s="207"/>
      <c r="Q106" s="207"/>
      <c r="R106" s="207"/>
      <c r="S106" s="207"/>
      <c r="T106" s="207"/>
      <c r="U106" s="207"/>
      <c r="V106" s="73"/>
      <c r="W106" s="73"/>
      <c r="X106" s="73"/>
      <c r="Y106" s="73"/>
      <c r="Z106" s="73"/>
      <c r="AA106" s="73"/>
      <c r="AB106" s="73"/>
      <c r="AC106" s="73"/>
      <c r="AD106" s="73"/>
      <c r="AE106" s="73"/>
      <c r="AF106" s="73"/>
      <c r="AG106" s="73"/>
      <c r="AH106" s="73"/>
      <c r="AI106" s="73"/>
      <c r="AJ106" s="73"/>
      <c r="AK106" s="73"/>
      <c r="AL106" s="73"/>
    </row>
    <row r="107" spans="1:38" x14ac:dyDescent="0.35">
      <c r="A107" s="73"/>
      <c r="B107" s="73"/>
      <c r="C107" s="73"/>
      <c r="D107" s="73"/>
      <c r="E107" s="73"/>
      <c r="F107" s="73"/>
      <c r="G107" s="73"/>
      <c r="H107" s="207"/>
      <c r="I107" s="207"/>
      <c r="J107" s="207"/>
      <c r="K107" s="207"/>
      <c r="L107" s="207"/>
      <c r="M107" s="207"/>
      <c r="N107" s="207"/>
      <c r="O107" s="207"/>
      <c r="P107" s="207"/>
      <c r="Q107" s="207"/>
      <c r="R107" s="207"/>
      <c r="S107" s="207"/>
      <c r="T107" s="207"/>
      <c r="U107" s="207"/>
      <c r="V107" s="73"/>
      <c r="W107" s="73"/>
      <c r="X107" s="73"/>
      <c r="Y107" s="73"/>
      <c r="Z107" s="73"/>
      <c r="AA107" s="73"/>
      <c r="AB107" s="73"/>
      <c r="AC107" s="73"/>
      <c r="AD107" s="73"/>
      <c r="AE107" s="73"/>
      <c r="AF107" s="73"/>
      <c r="AG107" s="73"/>
      <c r="AH107" s="73"/>
      <c r="AI107" s="73"/>
      <c r="AJ107" s="73"/>
      <c r="AK107" s="73"/>
      <c r="AL107" s="73"/>
    </row>
    <row r="108" spans="1:38" x14ac:dyDescent="0.35">
      <c r="A108" s="73"/>
      <c r="B108" s="73"/>
      <c r="C108" s="73"/>
      <c r="D108" s="73"/>
      <c r="E108" s="73"/>
      <c r="F108" s="73"/>
      <c r="G108" s="73"/>
      <c r="H108" s="207"/>
      <c r="I108" s="207"/>
      <c r="J108" s="207"/>
      <c r="K108" s="207"/>
      <c r="L108" s="207"/>
      <c r="M108" s="207"/>
      <c r="N108" s="207"/>
      <c r="O108" s="207"/>
      <c r="P108" s="207"/>
      <c r="Q108" s="207"/>
      <c r="R108" s="207"/>
      <c r="S108" s="207"/>
      <c r="T108" s="207"/>
      <c r="U108" s="207"/>
      <c r="V108" s="73"/>
      <c r="W108" s="73"/>
      <c r="X108" s="73"/>
      <c r="Y108" s="73"/>
      <c r="Z108" s="73"/>
      <c r="AA108" s="73"/>
      <c r="AB108" s="73"/>
      <c r="AC108" s="73"/>
      <c r="AD108" s="73"/>
      <c r="AE108" s="73"/>
      <c r="AF108" s="73"/>
      <c r="AG108" s="73"/>
      <c r="AH108" s="73"/>
      <c r="AI108" s="73"/>
      <c r="AJ108" s="73"/>
      <c r="AK108" s="73"/>
      <c r="AL108" s="73"/>
    </row>
    <row r="109" spans="1:38" x14ac:dyDescent="0.35">
      <c r="A109" s="73"/>
      <c r="B109" s="73"/>
      <c r="C109" s="73"/>
      <c r="D109" s="73"/>
      <c r="E109" s="73"/>
      <c r="F109" s="73"/>
      <c r="G109" s="73"/>
      <c r="H109" s="207"/>
      <c r="I109" s="207"/>
      <c r="J109" s="207"/>
      <c r="K109" s="207"/>
      <c r="L109" s="207"/>
      <c r="M109" s="207"/>
      <c r="N109" s="207"/>
      <c r="O109" s="207"/>
      <c r="P109" s="207"/>
      <c r="Q109" s="207"/>
      <c r="R109" s="207"/>
      <c r="S109" s="207"/>
      <c r="T109" s="207"/>
      <c r="U109" s="207"/>
      <c r="V109" s="73"/>
      <c r="W109" s="73"/>
      <c r="X109" s="73"/>
      <c r="Y109" s="73"/>
      <c r="Z109" s="73"/>
      <c r="AA109" s="73"/>
      <c r="AB109" s="73"/>
      <c r="AC109" s="73"/>
      <c r="AD109" s="73"/>
      <c r="AE109" s="73"/>
      <c r="AF109" s="73"/>
      <c r="AG109" s="73"/>
      <c r="AH109" s="73"/>
      <c r="AI109" s="73"/>
      <c r="AJ109" s="73"/>
      <c r="AK109" s="73"/>
      <c r="AL109" s="73"/>
    </row>
    <row r="110" spans="1:38" x14ac:dyDescent="0.35">
      <c r="A110" s="73"/>
    </row>
  </sheetData>
  <mergeCells count="78">
    <mergeCell ref="B15:B16"/>
    <mergeCell ref="C15:C16"/>
    <mergeCell ref="B27:B28"/>
    <mergeCell ref="C27:C28"/>
    <mergeCell ref="B34:B35"/>
    <mergeCell ref="C34:C35"/>
    <mergeCell ref="E47:E49"/>
    <mergeCell ref="B36:B37"/>
    <mergeCell ref="C36:C37"/>
    <mergeCell ref="B38:B39"/>
    <mergeCell ref="C38:C39"/>
    <mergeCell ref="B40:B41"/>
    <mergeCell ref="C40:C41"/>
    <mergeCell ref="B42:B43"/>
    <mergeCell ref="C42:C43"/>
    <mergeCell ref="B47:B49"/>
    <mergeCell ref="C47:C49"/>
    <mergeCell ref="D47:D49"/>
    <mergeCell ref="B51:B53"/>
    <mergeCell ref="C51:C53"/>
    <mergeCell ref="D51:D53"/>
    <mergeCell ref="E51:E53"/>
    <mergeCell ref="B54:B56"/>
    <mergeCell ref="C54:C56"/>
    <mergeCell ref="D54:D56"/>
    <mergeCell ref="E54:E56"/>
    <mergeCell ref="B58:B60"/>
    <mergeCell ref="B61:B63"/>
    <mergeCell ref="C58:C60"/>
    <mergeCell ref="D58:D60"/>
    <mergeCell ref="E58:E60"/>
    <mergeCell ref="C61:C63"/>
    <mergeCell ref="D61:D63"/>
    <mergeCell ref="E61:E63"/>
    <mergeCell ref="B65:B68"/>
    <mergeCell ref="C65:C68"/>
    <mergeCell ref="D65:D68"/>
    <mergeCell ref="E65:E68"/>
    <mergeCell ref="B69:B72"/>
    <mergeCell ref="C69:C72"/>
    <mergeCell ref="D69:D72"/>
    <mergeCell ref="E69:E72"/>
    <mergeCell ref="B74:B77"/>
    <mergeCell ref="C74:C77"/>
    <mergeCell ref="D74:D77"/>
    <mergeCell ref="E74:E77"/>
    <mergeCell ref="B78:B81"/>
    <mergeCell ref="C78:C81"/>
    <mergeCell ref="D78:D81"/>
    <mergeCell ref="E78:E81"/>
    <mergeCell ref="B83:B86"/>
    <mergeCell ref="B87:B90"/>
    <mergeCell ref="C83:C86"/>
    <mergeCell ref="D83:D86"/>
    <mergeCell ref="E83:E86"/>
    <mergeCell ref="C87:C90"/>
    <mergeCell ref="D87:D90"/>
    <mergeCell ref="E87:E90"/>
    <mergeCell ref="B92:B95"/>
    <mergeCell ref="C92:C95"/>
    <mergeCell ref="D92:D95"/>
    <mergeCell ref="E92:E95"/>
    <mergeCell ref="B96:B99"/>
    <mergeCell ref="C96:C99"/>
    <mergeCell ref="D96:D99"/>
    <mergeCell ref="E96:E99"/>
    <mergeCell ref="U58:U59"/>
    <mergeCell ref="U15:U16"/>
    <mergeCell ref="U19:U20"/>
    <mergeCell ref="U22:U23"/>
    <mergeCell ref="U26:U27"/>
    <mergeCell ref="U30:U31"/>
    <mergeCell ref="U34:U35"/>
    <mergeCell ref="U38:U39"/>
    <mergeCell ref="U42:U43"/>
    <mergeCell ref="U46:U47"/>
    <mergeCell ref="U50:U51"/>
    <mergeCell ref="U54:U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H372"/>
  <sheetViews>
    <sheetView zoomScaleNormal="100" workbookViewId="0"/>
  </sheetViews>
  <sheetFormatPr defaultRowHeight="14.5" x14ac:dyDescent="0.35"/>
  <cols>
    <col min="1" max="1" width="6.54296875" customWidth="1"/>
    <col min="2" max="2" width="42.1796875" customWidth="1"/>
    <col min="3" max="3" width="46.81640625" customWidth="1"/>
    <col min="4" max="4" width="27.453125" customWidth="1"/>
    <col min="5" max="7" width="16" customWidth="1"/>
    <col min="8" max="10" width="75.81640625" customWidth="1"/>
    <col min="11" max="11" width="29.453125" customWidth="1"/>
    <col min="12" max="12" width="41.1796875" customWidth="1"/>
    <col min="13" max="13" width="23.453125" customWidth="1"/>
    <col min="17" max="17" width="1.26953125" customWidth="1"/>
    <col min="18" max="18" width="8.54296875" customWidth="1"/>
    <col min="21" max="21" width="1.7265625" customWidth="1"/>
    <col min="22" max="22" width="8.453125" customWidth="1"/>
    <col min="23" max="23" width="9.54296875" customWidth="1"/>
    <col min="25" max="25" width="1.26953125" customWidth="1"/>
    <col min="26" max="26" width="8.26953125" customWidth="1"/>
    <col min="29" max="29" width="11.81640625" customWidth="1"/>
    <col min="30" max="30" width="45" customWidth="1"/>
    <col min="31" max="31" width="17.81640625" customWidth="1"/>
    <col min="32" max="34" width="15.7265625" customWidth="1"/>
  </cols>
  <sheetData>
    <row r="1" spans="1:9" ht="18.5" x14ac:dyDescent="0.45">
      <c r="A1" s="73"/>
      <c r="B1" s="265" t="s">
        <v>303</v>
      </c>
      <c r="C1" s="73"/>
      <c r="D1" s="73"/>
      <c r="E1" s="73"/>
      <c r="F1" s="73"/>
      <c r="G1" s="73"/>
      <c r="H1" s="73"/>
      <c r="I1" s="73"/>
    </row>
    <row r="2" spans="1:9" x14ac:dyDescent="0.35">
      <c r="A2" s="73"/>
      <c r="B2" s="73"/>
      <c r="C2" s="73"/>
      <c r="D2" s="73"/>
      <c r="E2" s="73"/>
      <c r="F2" s="73"/>
      <c r="G2" s="73"/>
      <c r="H2" s="73"/>
      <c r="I2" s="73"/>
    </row>
    <row r="3" spans="1:9" x14ac:dyDescent="0.35">
      <c r="A3" s="73"/>
      <c r="B3" s="73"/>
      <c r="C3" s="73"/>
      <c r="D3" s="73"/>
      <c r="E3" s="73"/>
      <c r="F3" s="73"/>
      <c r="G3" s="73"/>
      <c r="H3" s="73"/>
      <c r="I3" s="73"/>
    </row>
    <row r="4" spans="1:9" x14ac:dyDescent="0.35">
      <c r="A4" s="73"/>
      <c r="B4" s="73"/>
      <c r="C4" s="73"/>
      <c r="D4" s="73"/>
      <c r="E4" s="73"/>
      <c r="F4" s="73"/>
      <c r="G4" s="73"/>
      <c r="H4" s="73"/>
      <c r="I4" s="73"/>
    </row>
    <row r="5" spans="1:9" x14ac:dyDescent="0.35">
      <c r="A5" s="73"/>
      <c r="B5" s="73"/>
      <c r="C5" s="73"/>
      <c r="D5" s="73"/>
      <c r="E5" s="73"/>
      <c r="F5" s="73"/>
      <c r="G5" s="73"/>
      <c r="H5" s="73"/>
      <c r="I5" s="73"/>
    </row>
    <row r="6" spans="1:9" x14ac:dyDescent="0.35">
      <c r="A6" s="73"/>
      <c r="B6" s="73"/>
      <c r="C6" s="73"/>
      <c r="D6" s="73"/>
      <c r="E6" s="73"/>
      <c r="F6" s="73"/>
      <c r="G6" s="73"/>
      <c r="H6" s="73"/>
      <c r="I6" s="73"/>
    </row>
    <row r="7" spans="1:9" x14ac:dyDescent="0.35">
      <c r="A7" s="73"/>
      <c r="B7" s="73"/>
      <c r="C7" s="73"/>
      <c r="D7" s="73"/>
      <c r="E7" s="73"/>
      <c r="F7" s="73"/>
      <c r="G7" s="73"/>
      <c r="H7" s="73"/>
      <c r="I7" s="73"/>
    </row>
    <row r="8" spans="1:9" x14ac:dyDescent="0.35">
      <c r="A8" s="73"/>
      <c r="B8" s="73"/>
      <c r="C8" s="73"/>
      <c r="D8" s="73"/>
      <c r="E8" s="73"/>
      <c r="F8" s="73"/>
      <c r="G8" s="73"/>
      <c r="H8" s="73"/>
      <c r="I8" s="73"/>
    </row>
    <row r="9" spans="1:9" x14ac:dyDescent="0.35">
      <c r="A9" s="73"/>
      <c r="B9" s="73"/>
      <c r="C9" s="73"/>
      <c r="D9" s="73"/>
      <c r="E9" s="73"/>
      <c r="F9" s="73"/>
      <c r="G9" s="73"/>
      <c r="H9" s="73"/>
      <c r="I9" s="73"/>
    </row>
    <row r="10" spans="1:9" x14ac:dyDescent="0.35">
      <c r="A10" s="73"/>
      <c r="B10" s="73"/>
      <c r="C10" s="73"/>
      <c r="D10" s="73"/>
      <c r="E10" s="73"/>
      <c r="F10" s="73"/>
      <c r="G10" s="73"/>
      <c r="H10" s="73"/>
      <c r="I10" s="73"/>
    </row>
    <row r="11" spans="1:9" x14ac:dyDescent="0.35">
      <c r="A11" s="73"/>
      <c r="B11" s="73"/>
      <c r="C11" s="73"/>
      <c r="D11" s="73"/>
      <c r="E11" s="73"/>
      <c r="F11" s="73"/>
      <c r="G11" s="73"/>
      <c r="H11" s="73"/>
      <c r="I11" s="73"/>
    </row>
    <row r="12" spans="1:9" x14ac:dyDescent="0.35">
      <c r="A12" s="73"/>
      <c r="B12" s="73"/>
      <c r="C12" s="73"/>
      <c r="D12" s="73"/>
      <c r="E12" s="73"/>
      <c r="F12" s="73"/>
      <c r="G12" s="73"/>
      <c r="H12" s="73"/>
      <c r="I12" s="73"/>
    </row>
    <row r="13" spans="1:9" x14ac:dyDescent="0.35">
      <c r="A13" s="73"/>
      <c r="B13" s="73"/>
      <c r="C13" s="73"/>
      <c r="D13" s="73"/>
      <c r="E13" s="73"/>
      <c r="F13" s="73"/>
      <c r="G13" s="73"/>
      <c r="H13" s="73"/>
      <c r="I13" s="73"/>
    </row>
    <row r="14" spans="1:9" x14ac:dyDescent="0.35">
      <c r="A14" s="73"/>
      <c r="B14" s="73"/>
      <c r="C14" s="73"/>
      <c r="D14" s="73"/>
      <c r="E14" s="73"/>
      <c r="F14" s="73"/>
      <c r="G14" s="73"/>
      <c r="H14" s="73"/>
      <c r="I14" s="73"/>
    </row>
    <row r="15" spans="1:9" x14ac:dyDescent="0.35">
      <c r="A15" s="73"/>
      <c r="B15" s="73"/>
      <c r="C15" s="73"/>
      <c r="D15" s="73"/>
      <c r="E15" s="73"/>
      <c r="F15" s="73"/>
      <c r="G15" s="73"/>
      <c r="H15" s="73"/>
      <c r="I15" s="73"/>
    </row>
    <row r="16" spans="1:9" x14ac:dyDescent="0.35">
      <c r="A16" s="73"/>
      <c r="B16" s="73"/>
      <c r="C16" s="73"/>
      <c r="D16" s="73"/>
      <c r="E16" s="73"/>
      <c r="F16" s="73"/>
      <c r="G16" s="73"/>
      <c r="H16" s="73"/>
      <c r="I16" s="73"/>
    </row>
    <row r="17" spans="1:34" x14ac:dyDescent="0.35">
      <c r="A17" s="73"/>
      <c r="B17" s="73"/>
      <c r="C17" s="73"/>
      <c r="D17" s="73"/>
      <c r="E17" s="73"/>
      <c r="F17" s="73"/>
      <c r="G17" s="73"/>
      <c r="H17" s="73"/>
      <c r="I17" s="73"/>
    </row>
    <row r="18" spans="1:34" x14ac:dyDescent="0.35">
      <c r="A18" s="73"/>
      <c r="B18" s="73"/>
      <c r="C18" s="73"/>
      <c r="D18" s="73"/>
      <c r="E18" s="73"/>
      <c r="F18" s="73"/>
      <c r="G18" s="73"/>
      <c r="H18" s="73"/>
      <c r="I18" s="73"/>
    </row>
    <row r="19" spans="1:34" x14ac:dyDescent="0.35">
      <c r="A19" s="73"/>
      <c r="B19" s="73"/>
      <c r="C19" s="73"/>
      <c r="D19" s="73"/>
      <c r="E19" s="73"/>
      <c r="F19" s="73"/>
      <c r="G19" s="73"/>
      <c r="H19" s="73"/>
      <c r="I19" s="73"/>
    </row>
    <row r="20" spans="1:34" x14ac:dyDescent="0.35">
      <c r="A20" s="73"/>
      <c r="B20" s="74"/>
      <c r="C20" s="73"/>
      <c r="D20" s="73"/>
      <c r="E20" s="73"/>
      <c r="F20" s="73"/>
      <c r="G20" s="73"/>
      <c r="H20" s="73"/>
      <c r="I20" s="73"/>
    </row>
    <row r="21" spans="1:34" x14ac:dyDescent="0.35">
      <c r="A21" s="73"/>
      <c r="B21" s="74"/>
      <c r="C21" s="73"/>
      <c r="D21" s="73"/>
      <c r="E21" s="73"/>
      <c r="F21" s="73"/>
      <c r="G21" s="73"/>
      <c r="H21" s="73"/>
      <c r="I21" s="73"/>
    </row>
    <row r="22" spans="1:34" x14ac:dyDescent="0.35">
      <c r="A22" s="73"/>
      <c r="B22" s="74"/>
      <c r="C22" s="73"/>
      <c r="D22" s="73"/>
      <c r="E22" s="73"/>
      <c r="F22" s="73"/>
      <c r="G22" s="73"/>
      <c r="H22" s="73"/>
      <c r="I22" s="73"/>
    </row>
    <row r="23" spans="1:34" x14ac:dyDescent="0.35">
      <c r="A23" s="73"/>
      <c r="B23" s="74"/>
      <c r="C23" s="73"/>
      <c r="D23" s="73"/>
      <c r="E23" s="73"/>
      <c r="F23" s="73"/>
      <c r="G23" s="73"/>
      <c r="H23" s="73"/>
      <c r="I23" s="73"/>
    </row>
    <row r="24" spans="1:34" x14ac:dyDescent="0.35">
      <c r="A24" s="73"/>
      <c r="B24" s="74" t="s">
        <v>269</v>
      </c>
      <c r="C24" s="31" t="str">
        <f>IF('Initial information'!$C$20="","",'Initial information'!$C$20)</f>
        <v/>
      </c>
      <c r="D24" s="73"/>
      <c r="E24" s="73"/>
      <c r="F24" s="73"/>
      <c r="G24" s="73"/>
      <c r="H24" s="73"/>
      <c r="I24" s="73"/>
      <c r="K24" s="74" t="s">
        <v>269</v>
      </c>
      <c r="N24" s="37"/>
      <c r="O24" s="38" t="s">
        <v>114</v>
      </c>
      <c r="P24" s="37"/>
      <c r="R24" s="37"/>
      <c r="S24" s="38" t="s">
        <v>78</v>
      </c>
      <c r="T24" s="37"/>
      <c r="V24" s="37"/>
      <c r="W24" s="38" t="s">
        <v>15</v>
      </c>
      <c r="X24" s="37"/>
      <c r="Z24" s="37"/>
      <c r="AA24" s="39" t="s">
        <v>24</v>
      </c>
      <c r="AB24" s="37"/>
      <c r="AD24" s="3" t="s">
        <v>95</v>
      </c>
      <c r="AE24" s="3"/>
    </row>
    <row r="25" spans="1:34" x14ac:dyDescent="0.35">
      <c r="A25" s="73"/>
      <c r="B25" s="74" t="s">
        <v>134</v>
      </c>
      <c r="C25" s="31" t="str">
        <f>IF('Initial information'!$D$20="","",'Initial information'!$D$20)</f>
        <v/>
      </c>
      <c r="D25" s="73"/>
      <c r="E25" s="73"/>
      <c r="F25" s="73"/>
      <c r="G25" s="73"/>
      <c r="H25" s="73"/>
      <c r="I25" s="73"/>
      <c r="K25" s="3" t="s">
        <v>75</v>
      </c>
      <c r="L25" s="3" t="s">
        <v>76</v>
      </c>
      <c r="M25" s="3" t="s">
        <v>77</v>
      </c>
      <c r="N25" s="33" t="s">
        <v>69</v>
      </c>
      <c r="O25" s="33" t="s">
        <v>79</v>
      </c>
      <c r="P25" s="33" t="s">
        <v>9</v>
      </c>
      <c r="R25" s="33" t="s">
        <v>69</v>
      </c>
      <c r="S25" s="33" t="s">
        <v>79</v>
      </c>
      <c r="T25" s="33" t="s">
        <v>9</v>
      </c>
      <c r="V25" s="33" t="s">
        <v>69</v>
      </c>
      <c r="W25" s="33" t="s">
        <v>79</v>
      </c>
      <c r="X25" s="33" t="s">
        <v>9</v>
      </c>
      <c r="Z25" s="33" t="s">
        <v>69</v>
      </c>
      <c r="AA25" s="33" t="s">
        <v>79</v>
      </c>
      <c r="AB25" s="33" t="s">
        <v>9</v>
      </c>
    </row>
    <row r="26" spans="1:34" x14ac:dyDescent="0.35">
      <c r="A26" s="73"/>
      <c r="B26" s="73"/>
      <c r="C26" s="73"/>
      <c r="D26" s="73"/>
      <c r="E26" s="73"/>
      <c r="F26" s="73"/>
      <c r="G26" s="73"/>
      <c r="H26" s="73"/>
      <c r="I26" s="73"/>
      <c r="K26" s="3"/>
      <c r="L26" s="3"/>
      <c r="M26" s="3"/>
      <c r="N26" s="33"/>
      <c r="O26" s="33"/>
      <c r="P26" s="33"/>
      <c r="R26" s="33"/>
      <c r="S26" s="33"/>
      <c r="T26" s="33"/>
      <c r="V26" s="33"/>
      <c r="W26" s="33"/>
      <c r="X26" s="33"/>
      <c r="Z26" s="33"/>
      <c r="AA26" s="33"/>
      <c r="AB26" s="33"/>
    </row>
    <row r="27" spans="1:34" x14ac:dyDescent="0.35">
      <c r="A27" s="73"/>
      <c r="B27" s="326"/>
      <c r="C27" s="75"/>
      <c r="D27" s="75"/>
      <c r="E27" s="75"/>
      <c r="F27" s="75"/>
      <c r="G27" s="75"/>
      <c r="H27" s="73"/>
      <c r="I27" s="73"/>
      <c r="K27" s="3"/>
      <c r="L27" s="3"/>
      <c r="M27" s="3"/>
      <c r="N27" s="33"/>
      <c r="O27" s="33"/>
      <c r="P27" s="33"/>
      <c r="R27" s="33"/>
      <c r="S27" s="33"/>
      <c r="T27" s="33"/>
      <c r="V27" s="33"/>
      <c r="W27" s="33"/>
      <c r="X27" s="33"/>
      <c r="Z27" s="33"/>
      <c r="AA27" s="33"/>
      <c r="AB27" s="33"/>
    </row>
    <row r="28" spans="1:34" x14ac:dyDescent="0.35">
      <c r="A28" s="73"/>
      <c r="B28" s="75"/>
      <c r="C28" s="75"/>
      <c r="D28" s="75"/>
      <c r="E28" s="75"/>
      <c r="F28" s="75"/>
      <c r="G28" s="75"/>
      <c r="H28" s="73"/>
      <c r="I28" s="73"/>
      <c r="K28" t="s">
        <v>84</v>
      </c>
      <c r="L28" t="s">
        <v>83</v>
      </c>
      <c r="M28" t="s">
        <v>85</v>
      </c>
      <c r="N28" s="31">
        <f>'5. Decision tree Outputs'!AX16</f>
        <v>0</v>
      </c>
      <c r="O28" s="31" t="e">
        <f>'5. Decision tree Outputs'!AW16</f>
        <v>#DIV/0!</v>
      </c>
      <c r="P28" s="31">
        <f>'5. Decision tree Outputs'!AY16</f>
        <v>0</v>
      </c>
      <c r="R28" s="31" t="e">
        <f>'5. Decision tree Outputs'!AX17</f>
        <v>#DIV/0!</v>
      </c>
      <c r="S28" s="31" t="e">
        <f>'5. Decision tree Outputs'!AW17</f>
        <v>#DIV/0!</v>
      </c>
      <c r="T28" s="31" t="e">
        <f>'5. Decision tree Outputs'!AY17</f>
        <v>#DIV/0!</v>
      </c>
      <c r="V28" s="31" t="e">
        <f>'5. Decision tree Outputs'!AX18</f>
        <v>#DIV/0!</v>
      </c>
      <c r="W28" s="31" t="e">
        <f>'5. Decision tree Outputs'!AW18</f>
        <v>#DIV/0!</v>
      </c>
      <c r="X28" s="31" t="e">
        <f>'5. Decision tree Outputs'!AY18</f>
        <v>#DIV/0!</v>
      </c>
      <c r="Z28" s="35" t="e">
        <f>'5. Decision tree Outputs'!AX19</f>
        <v>#DIV/0!</v>
      </c>
      <c r="AA28" s="35" t="e">
        <f>'5. Decision tree Outputs'!AW19</f>
        <v>#DIV/0!</v>
      </c>
      <c r="AB28" s="35" t="e">
        <f>'5. Decision tree Outputs'!AY19</f>
        <v>#DIV/0!</v>
      </c>
      <c r="AD28" s="41" t="s">
        <v>96</v>
      </c>
      <c r="AE28" s="49" t="s">
        <v>114</v>
      </c>
      <c r="AF28" s="42" t="s">
        <v>78</v>
      </c>
      <c r="AG28" s="42" t="s">
        <v>15</v>
      </c>
      <c r="AH28" s="43" t="s">
        <v>24</v>
      </c>
    </row>
    <row r="29" spans="1:34" x14ac:dyDescent="0.35">
      <c r="A29" s="73"/>
      <c r="B29" s="75"/>
      <c r="C29" s="258"/>
      <c r="D29" s="258"/>
      <c r="E29" s="258"/>
      <c r="F29" s="75"/>
      <c r="G29" s="75"/>
      <c r="H29" s="73"/>
      <c r="I29" s="73"/>
      <c r="K29" t="s">
        <v>115</v>
      </c>
      <c r="L29" t="s">
        <v>82</v>
      </c>
      <c r="M29" t="s">
        <v>85</v>
      </c>
      <c r="N29" s="34"/>
      <c r="O29" s="31">
        <v>0</v>
      </c>
      <c r="P29" s="34"/>
      <c r="R29" s="34"/>
      <c r="S29" s="31">
        <v>0</v>
      </c>
      <c r="T29" s="34"/>
      <c r="V29" s="34"/>
      <c r="W29" s="31">
        <v>0</v>
      </c>
      <c r="X29" s="34"/>
      <c r="Z29" s="34"/>
      <c r="AA29" s="36" t="e">
        <f>'5. Decision tree Outputs'!C38</f>
        <v>#DIV/0!</v>
      </c>
      <c r="AB29" s="34"/>
      <c r="AD29" t="s">
        <v>97</v>
      </c>
      <c r="AE29" s="5" t="e">
        <f>$G$54*O$34</f>
        <v>#DIV/0!</v>
      </c>
      <c r="AF29" s="5" t="e">
        <f>$G$54*S$34</f>
        <v>#DIV/0!</v>
      </c>
      <c r="AG29" s="5" t="e">
        <f>$G$54*W$34</f>
        <v>#DIV/0!</v>
      </c>
      <c r="AH29" s="5" t="e">
        <f>$G$54*AA$34</f>
        <v>#DIV/0!</v>
      </c>
    </row>
    <row r="30" spans="1:34" x14ac:dyDescent="0.35">
      <c r="A30" s="73"/>
      <c r="B30" s="203"/>
      <c r="C30" s="327"/>
      <c r="D30" s="258"/>
      <c r="E30" s="325"/>
      <c r="F30" s="75"/>
      <c r="G30" s="75"/>
      <c r="H30" s="73"/>
      <c r="I30" s="73"/>
      <c r="K30" s="8" t="s">
        <v>80</v>
      </c>
      <c r="L30" t="s">
        <v>81</v>
      </c>
      <c r="M30" t="s">
        <v>86</v>
      </c>
      <c r="N30" s="53"/>
      <c r="O30" s="40">
        <v>0</v>
      </c>
      <c r="P30" s="53"/>
      <c r="R30" s="53"/>
      <c r="S30" s="40" t="str">
        <f>VLOOKUP(C25,'1. In-situ status quo plan'!J31:K36,2,FALSE)</f>
        <v/>
      </c>
      <c r="T30" s="53"/>
      <c r="V30" s="53"/>
      <c r="W30" s="40" t="str">
        <f>VLOOKUP(C25,'3. In-situ plus plan'!C29:D34,2,FALSE)</f>
        <v/>
      </c>
      <c r="X30" s="53"/>
      <c r="Z30" s="53"/>
      <c r="AA30" s="40" t="str">
        <f>VLOOKUP(C25,'2. Ex-situ plan'!J94:K99,2,FALSE)</f>
        <v/>
      </c>
      <c r="AB30" s="53"/>
      <c r="AD30" s="32" t="s">
        <v>87</v>
      </c>
      <c r="AE30" s="44" t="e">
        <f>$G$57*$O$35</f>
        <v>#DIV/0!</v>
      </c>
      <c r="AF30" s="44" t="e">
        <f>$G$57*$S$35</f>
        <v>#DIV/0!</v>
      </c>
      <c r="AG30" s="44" t="e">
        <f>$G$57*$W$35</f>
        <v>#DIV/0!</v>
      </c>
      <c r="AH30" s="44" t="e">
        <f>$G$57*$AA$35</f>
        <v>#DIV/0!</v>
      </c>
    </row>
    <row r="31" spans="1:34" x14ac:dyDescent="0.35">
      <c r="A31" s="73"/>
      <c r="B31" s="203"/>
      <c r="C31" s="327"/>
      <c r="D31" s="258"/>
      <c r="E31" s="325"/>
      <c r="F31" s="75"/>
      <c r="G31" s="75"/>
      <c r="H31" s="73"/>
      <c r="I31" s="73"/>
      <c r="AE31" s="9" t="e">
        <f>SUM(AE29:AE30)</f>
        <v>#DIV/0!</v>
      </c>
      <c r="AF31" s="9" t="e">
        <f t="shared" ref="AF31:AH31" si="0">SUM(AF29:AF30)</f>
        <v>#DIV/0!</v>
      </c>
      <c r="AG31" s="9" t="e">
        <f t="shared" si="0"/>
        <v>#DIV/0!</v>
      </c>
      <c r="AH31" s="9" t="e">
        <f t="shared" si="0"/>
        <v>#DIV/0!</v>
      </c>
    </row>
    <row r="32" spans="1:34" x14ac:dyDescent="0.35">
      <c r="A32" s="73"/>
      <c r="B32" s="203"/>
      <c r="C32" s="212"/>
      <c r="D32" s="204"/>
      <c r="E32" s="215"/>
      <c r="F32" s="75"/>
      <c r="G32" s="75"/>
      <c r="H32" s="73"/>
      <c r="I32" s="73"/>
      <c r="N32" s="4" t="s">
        <v>93</v>
      </c>
      <c r="AE32" s="8"/>
    </row>
    <row r="33" spans="1:34" x14ac:dyDescent="0.35">
      <c r="A33" s="73"/>
      <c r="B33" s="75"/>
      <c r="C33" s="75"/>
      <c r="D33" s="75"/>
      <c r="E33" s="75"/>
      <c r="F33" s="75"/>
      <c r="G33" s="75"/>
      <c r="H33" s="73"/>
      <c r="I33" s="73"/>
      <c r="M33" s="3"/>
      <c r="N33" s="33" t="s">
        <v>69</v>
      </c>
      <c r="O33" s="33" t="s">
        <v>79</v>
      </c>
      <c r="P33" s="33" t="s">
        <v>9</v>
      </c>
      <c r="R33" s="33" t="s">
        <v>69</v>
      </c>
      <c r="S33" s="33" t="s">
        <v>79</v>
      </c>
      <c r="T33" s="33" t="s">
        <v>9</v>
      </c>
      <c r="U33" s="33"/>
      <c r="V33" s="33" t="s">
        <v>69</v>
      </c>
      <c r="W33" s="33" t="s">
        <v>79</v>
      </c>
      <c r="X33" s="33" t="s">
        <v>9</v>
      </c>
      <c r="Z33" s="33" t="s">
        <v>69</v>
      </c>
      <c r="AA33" s="33" t="s">
        <v>79</v>
      </c>
      <c r="AB33" s="33" t="s">
        <v>9</v>
      </c>
      <c r="AE33" s="8"/>
    </row>
    <row r="34" spans="1:34" x14ac:dyDescent="0.35">
      <c r="A34" s="73"/>
      <c r="B34" s="73"/>
      <c r="C34" s="297" t="s">
        <v>74</v>
      </c>
      <c r="D34" s="206" t="s">
        <v>70</v>
      </c>
      <c r="E34" s="296" t="s">
        <v>73</v>
      </c>
      <c r="F34" s="73"/>
      <c r="G34" s="73"/>
      <c r="H34" s="73"/>
      <c r="I34" s="73"/>
      <c r="M34" t="s">
        <v>94</v>
      </c>
      <c r="N34" s="36" t="e">
        <f>(O29*(($E$37/100)+(($C$37-N28)/($C$37-$C$38)*(($E$38-$E$37)/100))))+((1-O29)*(($E$35/100)+(($C$37-N28)/($C$37-$C$38)*(($E$36-$E$35)/100))))</f>
        <v>#DIV/0!</v>
      </c>
      <c r="O34" s="36" t="e">
        <f>(O29*(($E$37/100)+(($C$37-O28)/($C$37-$C$38)*(($E$38-$E$37)/100))))+((1-O29)*(($E$35/100)+(($C$37-O28)/($C$37-$C$38)*(($E$36-$E$35)/100))))</f>
        <v>#DIV/0!</v>
      </c>
      <c r="P34" s="36" t="e">
        <f>(O29*(($E$37/100)+(($C$37-P28)/($C$37-$C$38)*(($E$38-$E$37)/100))))+((1-O29)*(($E$35/100)+(($C$37-P28)/($C$37-$C$38)*(($E$36-$E$35)/100))))</f>
        <v>#DIV/0!</v>
      </c>
      <c r="R34" s="36" t="e">
        <f>(S29*(($E$37/100)+(($C$37-R28)/($C$37-$C$38)*(($E$38-$E$37)/100))))+((1-S29)*(($E$35/100)+(($C$37-R28)/($C$37-$C$38)*(($E$36-$E$35)/100))))</f>
        <v>#DIV/0!</v>
      </c>
      <c r="S34" s="36" t="e">
        <f>(S29*(($E$37/100)+(($C$37-S28)/($C$37-$C$38)*(($E$38-$E$37)/100))))+((1-S29)*(($E$35/100)+(($C$37-S28)/($C$37-$C$38)*(($E$36-$E$35)/100))))</f>
        <v>#DIV/0!</v>
      </c>
      <c r="T34" s="36" t="e">
        <f>(S29*(($E$37/100)+(($C$37-T28)/($C$37-$C$38)*(($E$38-$E$37)/100))))+((1-S29)*(($E$35/100)+(($C$37-T28)/($C$37-$C$38)*(($E$36-$E$35)/100))))</f>
        <v>#DIV/0!</v>
      </c>
      <c r="V34" s="36" t="e">
        <f>(W29*(($E$37/100)+(($C$37-V28)/($C$37-$C$38)*(($E$38-$E$37)/100))))+((1-W29)*(($E$35/100)+(($C$37-V28)/($C$37-$C$38)*(($E$36-$E$35)/100))))</f>
        <v>#DIV/0!</v>
      </c>
      <c r="W34" s="36" t="e">
        <f>(W29*(($E$37/100)+(($C$37-W28)/($C$37-$C$38)*(($E$38-$E$37)/100))))+((1-W29)*(($E$35/100)+(($C$37-W28)/($C$37-$C$38)*(($E$36-$E$35)/100))))</f>
        <v>#DIV/0!</v>
      </c>
      <c r="X34" s="36" t="e">
        <f>(W29*(($E$37/100)+(($C$37-X28)/($C$37-$C$38)*(($E$38-$E$37)/100))))+((1-W29)*(($E$35/100)+(($C$37-X28)/($C$37-$C$38)*(($E$36-$E$35)/100))))</f>
        <v>#DIV/0!</v>
      </c>
      <c r="Z34" s="36" t="e">
        <f>(AA29*(($E$37/100)+(($C$37-Z28)/($C$37-$C$38)*(($E$38-$E$37)/100))))+((1-AA29)*(($E$35/100)+(($C$37-Z28)/($C$37-$C$38)*(($E$36-$E$35)/100))))</f>
        <v>#DIV/0!</v>
      </c>
      <c r="AA34" s="36" t="e">
        <f>(AA29*(($E$37/100)+(($C$37-AA28)/($C$37-$C$38)*(($E$38-$E$37)/100))))+((1-AA29)*(($E$35/100)+(($C$37-AA28)/($C$37-$C$38)*(($E$36-$E$35)/100))))</f>
        <v>#DIV/0!</v>
      </c>
      <c r="AB34" s="36" t="e">
        <f>(AA29*(($E$37/100)+(($C$37-AB28)/($C$37-$C$38)*(($E$38-$E$37)/100))))+((1-AA29)*(($E$35/100)+(($C$37-AB28)/($C$37-$C$38)*(($E$36-$E$35)/100))))</f>
        <v>#DIV/0!</v>
      </c>
      <c r="AD34" s="39" t="s">
        <v>249</v>
      </c>
      <c r="AE34" s="49" t="s">
        <v>114</v>
      </c>
      <c r="AF34" s="42" t="s">
        <v>78</v>
      </c>
      <c r="AG34" s="42" t="s">
        <v>15</v>
      </c>
      <c r="AH34" s="43" t="s">
        <v>24</v>
      </c>
    </row>
    <row r="35" spans="1:34" x14ac:dyDescent="0.35">
      <c r="A35" s="73"/>
      <c r="B35" s="323" t="s">
        <v>69</v>
      </c>
      <c r="C35" s="329" t="e">
        <f>IF(MIN($N$28:$P$28,$R$28:$T$28,$V$28:$X$28,$Z$28:$AB$28)&lt;-100,-100,MIN($N$28:$P$28,$R$28:$T$28,$V$28:$X$28,$Z$28:$AB$28))</f>
        <v>#DIV/0!</v>
      </c>
      <c r="D35" s="206" t="s">
        <v>71</v>
      </c>
      <c r="E35" s="330">
        <v>0</v>
      </c>
      <c r="F35" s="73"/>
      <c r="G35" s="73"/>
      <c r="H35" s="73"/>
      <c r="I35" s="73"/>
      <c r="M35" t="s">
        <v>80</v>
      </c>
      <c r="O35" s="36" t="e">
        <f>($C57-O30)/($C57-$D57)</f>
        <v>#DIV/0!</v>
      </c>
      <c r="R35" s="34"/>
      <c r="S35" s="36" t="e">
        <f>($C57-S30)/($C57-$D57)</f>
        <v>#VALUE!</v>
      </c>
      <c r="T35" s="34"/>
      <c r="V35" s="34"/>
      <c r="W35" s="36" t="e">
        <f>($C57-W30)/($C57-$D57)</f>
        <v>#VALUE!</v>
      </c>
      <c r="X35" s="34"/>
      <c r="Z35" s="34"/>
      <c r="AA35" s="36" t="e">
        <f>($C57-AA30)/($C57-$D57)</f>
        <v>#VALUE!</v>
      </c>
      <c r="AB35" s="34"/>
      <c r="AD35" t="s">
        <v>97</v>
      </c>
      <c r="AE35" s="5" t="e">
        <f>$G$54*N$34</f>
        <v>#DIV/0!</v>
      </c>
      <c r="AF35" s="5" t="e">
        <f>$G$54*R$34</f>
        <v>#DIV/0!</v>
      </c>
      <c r="AG35" s="5" t="e">
        <f>$G$54*V$34</f>
        <v>#DIV/0!</v>
      </c>
      <c r="AH35" s="5" t="e">
        <f>$G$54*Z$34</f>
        <v>#DIV/0!</v>
      </c>
    </row>
    <row r="36" spans="1:34" x14ac:dyDescent="0.35">
      <c r="A36" s="73"/>
      <c r="B36" s="322" t="s">
        <v>298</v>
      </c>
      <c r="C36" s="329" t="e">
        <f>C38</f>
        <v>#DIV/0!</v>
      </c>
      <c r="D36" s="324" t="s">
        <v>71</v>
      </c>
      <c r="E36" s="331"/>
      <c r="F36" s="73"/>
      <c r="G36" s="73"/>
      <c r="H36" s="73"/>
      <c r="I36" s="73"/>
      <c r="AD36" s="32" t="s">
        <v>87</v>
      </c>
      <c r="AE36" s="50" t="e">
        <f>$G$57*$O$35</f>
        <v>#DIV/0!</v>
      </c>
      <c r="AF36" s="44" t="e">
        <f>$G$57*$S$35</f>
        <v>#DIV/0!</v>
      </c>
      <c r="AG36" s="44" t="e">
        <f>$G$57*$W$35</f>
        <v>#DIV/0!</v>
      </c>
      <c r="AH36" s="44" t="e">
        <f>$G$57*$AA$35</f>
        <v>#DIV/0!</v>
      </c>
    </row>
    <row r="37" spans="1:34" x14ac:dyDescent="0.35">
      <c r="A37" s="73"/>
      <c r="B37" s="328" t="s">
        <v>299</v>
      </c>
      <c r="C37" s="55" t="e">
        <f>C35</f>
        <v>#DIV/0!</v>
      </c>
      <c r="D37" s="208" t="s">
        <v>72</v>
      </c>
      <c r="E37" s="332"/>
      <c r="F37" s="73"/>
      <c r="G37" s="73"/>
      <c r="H37" s="73"/>
      <c r="I37" s="73"/>
      <c r="AE37" s="9" t="e">
        <f>SUM(AE35:AE36)</f>
        <v>#DIV/0!</v>
      </c>
      <c r="AF37" s="9" t="e">
        <f t="shared" ref="AF37:AH37" si="1">SUM(AF35:AF36)</f>
        <v>#DIV/0!</v>
      </c>
      <c r="AG37" s="9" t="e">
        <f t="shared" si="1"/>
        <v>#DIV/0!</v>
      </c>
      <c r="AH37" s="9" t="e">
        <f t="shared" si="1"/>
        <v>#DIV/0!</v>
      </c>
    </row>
    <row r="38" spans="1:34" x14ac:dyDescent="0.35">
      <c r="A38" s="73"/>
      <c r="B38" s="323" t="s">
        <v>9</v>
      </c>
      <c r="C38" s="55" t="e">
        <f>MAX($N$28:$P$28,$R$28:$T$28,$V$28:$X$28,$Z$28:$AB$28)</f>
        <v>#DIV/0!</v>
      </c>
      <c r="D38" s="206" t="s">
        <v>72</v>
      </c>
      <c r="E38" s="330">
        <v>100</v>
      </c>
      <c r="F38" s="73"/>
      <c r="G38" s="73"/>
      <c r="H38" s="73"/>
      <c r="I38" s="73"/>
      <c r="AE38" s="8"/>
    </row>
    <row r="39" spans="1:34" x14ac:dyDescent="0.35">
      <c r="A39" s="73"/>
      <c r="B39" s="204"/>
      <c r="C39" s="213"/>
      <c r="D39" s="73"/>
      <c r="E39" s="73"/>
      <c r="F39" s="73"/>
      <c r="G39" s="73"/>
      <c r="H39" s="73"/>
      <c r="I39" s="73"/>
      <c r="AE39" s="8"/>
    </row>
    <row r="40" spans="1:34" x14ac:dyDescent="0.35">
      <c r="A40" s="73"/>
      <c r="B40" s="204"/>
      <c r="C40" s="213"/>
      <c r="D40" s="73"/>
      <c r="E40" s="73"/>
      <c r="F40" s="73"/>
      <c r="G40" s="73"/>
      <c r="H40" s="73"/>
      <c r="I40" s="73"/>
      <c r="AE40" s="8"/>
    </row>
    <row r="41" spans="1:34" x14ac:dyDescent="0.35">
      <c r="A41" s="73"/>
      <c r="B41" s="74"/>
      <c r="C41" s="73"/>
      <c r="D41" s="73"/>
      <c r="E41" s="73"/>
      <c r="F41" s="73"/>
      <c r="G41" s="73"/>
      <c r="H41" s="73"/>
      <c r="I41" s="73"/>
      <c r="AD41" s="39" t="s">
        <v>250</v>
      </c>
      <c r="AE41" s="49" t="s">
        <v>114</v>
      </c>
      <c r="AF41" s="42" t="s">
        <v>78</v>
      </c>
      <c r="AG41" s="42" t="s">
        <v>15</v>
      </c>
      <c r="AH41" s="43" t="s">
        <v>24</v>
      </c>
    </row>
    <row r="42" spans="1:34" x14ac:dyDescent="0.35">
      <c r="A42" s="73"/>
      <c r="B42" s="74"/>
      <c r="C42" s="73"/>
      <c r="D42" s="73"/>
      <c r="E42" s="73"/>
      <c r="F42" s="73"/>
      <c r="G42" s="73"/>
      <c r="H42" s="73"/>
      <c r="I42" s="73"/>
      <c r="AD42" t="s">
        <v>97</v>
      </c>
      <c r="AE42" s="5" t="e">
        <f>$G$54*P$34</f>
        <v>#DIV/0!</v>
      </c>
      <c r="AF42" s="5" t="e">
        <f>$G$54*T$34</f>
        <v>#DIV/0!</v>
      </c>
      <c r="AG42" s="5" t="e">
        <f>$G$54*X$34</f>
        <v>#DIV/0!</v>
      </c>
      <c r="AH42" s="5" t="e">
        <f>$G$54*AB$34</f>
        <v>#DIV/0!</v>
      </c>
    </row>
    <row r="43" spans="1:34" x14ac:dyDescent="0.35">
      <c r="A43" s="73"/>
      <c r="B43" s="74"/>
      <c r="C43" s="73"/>
      <c r="D43" s="73"/>
      <c r="E43" s="73"/>
      <c r="F43" s="73"/>
      <c r="G43" s="73"/>
      <c r="H43" s="73"/>
      <c r="I43" s="73"/>
      <c r="AD43" s="32" t="s">
        <v>87</v>
      </c>
      <c r="AE43" s="44" t="e">
        <f>$G$57*$O$35</f>
        <v>#DIV/0!</v>
      </c>
      <c r="AF43" s="44" t="e">
        <f>$G$57*$S$35</f>
        <v>#DIV/0!</v>
      </c>
      <c r="AG43" s="44" t="e">
        <f>$G$57*$W$35</f>
        <v>#DIV/0!</v>
      </c>
      <c r="AH43" s="44" t="e">
        <f>$G$57*$AA$35</f>
        <v>#DIV/0!</v>
      </c>
    </row>
    <row r="44" spans="1:34" x14ac:dyDescent="0.35">
      <c r="A44" s="73"/>
      <c r="B44" s="74"/>
      <c r="C44" s="73"/>
      <c r="D44" s="73"/>
      <c r="E44" s="73"/>
      <c r="F44" s="73"/>
      <c r="G44" s="73"/>
      <c r="H44" s="73"/>
      <c r="I44" s="73"/>
      <c r="AE44" s="9" t="e">
        <f>SUM(AE42:AE43)</f>
        <v>#DIV/0!</v>
      </c>
      <c r="AF44" s="9" t="e">
        <f t="shared" ref="AF44:AH44" si="2">SUM(AF42:AF43)</f>
        <v>#DIV/0!</v>
      </c>
      <c r="AG44" s="9" t="e">
        <f t="shared" si="2"/>
        <v>#DIV/0!</v>
      </c>
      <c r="AH44" s="9" t="e">
        <f t="shared" si="2"/>
        <v>#DIV/0!</v>
      </c>
    </row>
    <row r="45" spans="1:34" x14ac:dyDescent="0.35">
      <c r="A45" s="73"/>
      <c r="B45" s="74"/>
      <c r="C45" s="73"/>
      <c r="D45" s="73"/>
      <c r="E45" s="73"/>
      <c r="F45" s="73"/>
      <c r="G45" s="73"/>
      <c r="H45" s="73"/>
      <c r="I45" s="73"/>
    </row>
    <row r="46" spans="1:34" x14ac:dyDescent="0.35">
      <c r="A46" s="73"/>
      <c r="B46" s="202" t="s">
        <v>292</v>
      </c>
      <c r="C46" s="73"/>
      <c r="D46" s="73"/>
      <c r="E46" s="73"/>
      <c r="F46" s="73"/>
      <c r="G46" s="73"/>
      <c r="H46" s="73"/>
      <c r="I46" s="73"/>
    </row>
    <row r="47" spans="1:34" x14ac:dyDescent="0.35">
      <c r="A47" s="73"/>
      <c r="B47" s="202"/>
      <c r="C47" s="73"/>
      <c r="D47" s="73"/>
      <c r="E47" s="73"/>
      <c r="F47" s="73"/>
      <c r="G47" s="73"/>
      <c r="H47" s="73"/>
      <c r="I47" s="73"/>
    </row>
    <row r="48" spans="1:34" x14ac:dyDescent="0.35">
      <c r="A48" s="73"/>
      <c r="B48" s="202"/>
      <c r="C48" s="73"/>
      <c r="D48" s="73"/>
      <c r="E48" s="73"/>
      <c r="F48" s="73"/>
      <c r="G48" s="73"/>
      <c r="H48" s="73"/>
      <c r="I48" s="73"/>
    </row>
    <row r="49" spans="1:9" x14ac:dyDescent="0.35">
      <c r="A49" s="73"/>
      <c r="C49" s="73"/>
      <c r="D49" s="73"/>
      <c r="E49" s="73"/>
      <c r="F49" s="73"/>
      <c r="G49" s="73"/>
      <c r="H49" s="73"/>
      <c r="I49" s="73"/>
    </row>
    <row r="50" spans="1:9" x14ac:dyDescent="0.35">
      <c r="A50" s="73"/>
      <c r="B50" s="202"/>
      <c r="C50" s="73"/>
      <c r="D50" s="73"/>
      <c r="E50" s="73"/>
      <c r="F50" s="73"/>
      <c r="G50" s="73"/>
      <c r="H50" s="73"/>
      <c r="I50" s="73"/>
    </row>
    <row r="51" spans="1:9" x14ac:dyDescent="0.35">
      <c r="A51" s="73"/>
      <c r="B51" s="202"/>
      <c r="C51" s="73"/>
      <c r="D51" s="73"/>
      <c r="E51" s="73"/>
      <c r="F51" s="73"/>
      <c r="G51" s="73"/>
      <c r="H51" s="73"/>
      <c r="I51" s="73"/>
    </row>
    <row r="52" spans="1:9" x14ac:dyDescent="0.35">
      <c r="A52" s="73"/>
      <c r="C52" s="73"/>
      <c r="D52" s="73"/>
      <c r="E52" s="73"/>
      <c r="F52" s="73"/>
      <c r="G52" s="73"/>
      <c r="H52" s="73"/>
      <c r="I52" s="73"/>
    </row>
    <row r="53" spans="1:9" x14ac:dyDescent="0.35">
      <c r="A53" s="73"/>
      <c r="B53" s="319"/>
      <c r="C53" s="209" t="s">
        <v>88</v>
      </c>
      <c r="D53" s="209" t="s">
        <v>89</v>
      </c>
      <c r="E53" s="209" t="s">
        <v>91</v>
      </c>
      <c r="F53" s="209" t="s">
        <v>73</v>
      </c>
      <c r="G53" s="295" t="s">
        <v>232</v>
      </c>
      <c r="H53" s="73"/>
      <c r="I53" s="73"/>
    </row>
    <row r="54" spans="1:9" x14ac:dyDescent="0.35">
      <c r="A54" s="73"/>
      <c r="B54" s="320" t="s">
        <v>92</v>
      </c>
      <c r="C54" s="210" t="e">
        <f>C35</f>
        <v>#DIV/0!</v>
      </c>
      <c r="D54" s="210" t="e">
        <f>C38</f>
        <v>#DIV/0!</v>
      </c>
      <c r="E54" s="487"/>
      <c r="F54" s="489"/>
      <c r="G54" s="491" t="e">
        <f>F54/(F$54+F$57)</f>
        <v>#DIV/0!</v>
      </c>
      <c r="H54" s="73"/>
      <c r="I54" s="73"/>
    </row>
    <row r="55" spans="1:9" x14ac:dyDescent="0.35">
      <c r="A55" s="73"/>
      <c r="B55" s="320" t="s">
        <v>70</v>
      </c>
      <c r="C55" s="210" t="s">
        <v>71</v>
      </c>
      <c r="D55" s="210" t="s">
        <v>72</v>
      </c>
      <c r="E55" s="488"/>
      <c r="F55" s="490"/>
      <c r="G55" s="492"/>
      <c r="H55" s="73"/>
      <c r="I55" s="73"/>
    </row>
    <row r="56" spans="1:9" x14ac:dyDescent="0.35">
      <c r="A56" s="73"/>
      <c r="B56" s="320"/>
      <c r="C56" s="73"/>
      <c r="D56" s="73"/>
      <c r="E56" s="73"/>
      <c r="F56" s="73"/>
      <c r="G56" s="298"/>
      <c r="H56" s="73"/>
      <c r="I56" s="73"/>
    </row>
    <row r="57" spans="1:9" x14ac:dyDescent="0.35">
      <c r="A57" s="73"/>
      <c r="B57" s="321" t="s">
        <v>90</v>
      </c>
      <c r="C57" s="211">
        <f>MAX($O$30,$S$30,$W$30,$AA$30)</f>
        <v>0</v>
      </c>
      <c r="D57" s="211">
        <f>MIN($O$30,$S$30,$W$30,$AA$30)</f>
        <v>0</v>
      </c>
      <c r="E57" s="336"/>
      <c r="F57" s="337"/>
      <c r="G57" s="338" t="e">
        <f>F57/(F$54+F$57)</f>
        <v>#DIV/0!</v>
      </c>
      <c r="H57" s="73"/>
      <c r="I57" s="73"/>
    </row>
    <row r="58" spans="1:9" x14ac:dyDescent="0.35">
      <c r="A58" s="73"/>
      <c r="B58" s="204"/>
      <c r="C58" s="333"/>
      <c r="D58" s="333"/>
      <c r="E58" s="339"/>
      <c r="F58" s="339"/>
      <c r="G58" s="340"/>
      <c r="H58" s="73"/>
      <c r="I58" s="73"/>
    </row>
    <row r="59" spans="1:9" x14ac:dyDescent="0.35">
      <c r="A59" s="73"/>
      <c r="B59" s="204"/>
      <c r="C59" s="333"/>
      <c r="D59" s="333"/>
      <c r="E59" s="334"/>
      <c r="F59" s="334"/>
      <c r="G59" s="335"/>
      <c r="H59" s="73"/>
      <c r="I59" s="73"/>
    </row>
    <row r="60" spans="1:9" x14ac:dyDescent="0.35">
      <c r="A60" s="73"/>
      <c r="B60" s="73" t="s">
        <v>300</v>
      </c>
      <c r="C60" s="333"/>
      <c r="D60" s="333"/>
      <c r="E60" s="334"/>
      <c r="F60" s="334"/>
      <c r="G60" s="335"/>
      <c r="H60" s="73"/>
      <c r="I60" s="73"/>
    </row>
    <row r="61" spans="1:9" x14ac:dyDescent="0.35">
      <c r="A61" s="73"/>
      <c r="B61" t="s">
        <v>293</v>
      </c>
      <c r="C61" s="73"/>
      <c r="D61" s="73"/>
      <c r="E61" s="73"/>
      <c r="F61" s="73"/>
      <c r="G61" s="73"/>
      <c r="H61" s="73"/>
      <c r="I61" s="73"/>
    </row>
    <row r="62" spans="1:9" x14ac:dyDescent="0.35">
      <c r="A62" s="73"/>
      <c r="B62" s="73"/>
      <c r="C62" s="73"/>
      <c r="D62" s="73"/>
      <c r="E62" s="73"/>
      <c r="F62" s="73"/>
      <c r="G62" s="73"/>
      <c r="H62" s="73"/>
    </row>
    <row r="63" spans="1:9" x14ac:dyDescent="0.35">
      <c r="A63" s="73"/>
      <c r="B63" s="73"/>
      <c r="C63" s="73"/>
      <c r="D63" s="73"/>
      <c r="E63" s="73"/>
      <c r="F63" s="73"/>
      <c r="G63" s="73"/>
      <c r="H63" s="73"/>
      <c r="I63" s="73"/>
    </row>
    <row r="64" spans="1:9" x14ac:dyDescent="0.35">
      <c r="A64" s="73"/>
      <c r="B64" s="73"/>
      <c r="C64" s="73"/>
      <c r="D64" s="73"/>
      <c r="E64" s="73"/>
      <c r="F64" s="73"/>
      <c r="G64" s="73"/>
      <c r="H64" s="73"/>
      <c r="I64" s="73"/>
    </row>
    <row r="65" spans="1:12" x14ac:dyDescent="0.35">
      <c r="A65" s="73"/>
      <c r="B65" s="73"/>
      <c r="C65" s="73"/>
      <c r="D65" s="73"/>
      <c r="E65" s="73"/>
      <c r="F65" s="73"/>
      <c r="G65" s="73"/>
      <c r="H65" s="73"/>
      <c r="I65" s="73"/>
    </row>
    <row r="66" spans="1:12" x14ac:dyDescent="0.35">
      <c r="A66" s="73"/>
      <c r="B66" s="73"/>
      <c r="C66" s="73"/>
      <c r="D66" s="73"/>
      <c r="E66" s="73"/>
      <c r="F66" s="73"/>
      <c r="G66" s="73"/>
      <c r="H66" s="73"/>
      <c r="I66" s="73"/>
    </row>
    <row r="67" spans="1:12" x14ac:dyDescent="0.35">
      <c r="A67" s="73"/>
      <c r="B67" s="73"/>
      <c r="C67" s="73"/>
      <c r="D67" s="73"/>
      <c r="E67" s="73"/>
      <c r="F67" s="73"/>
      <c r="G67" s="73"/>
      <c r="H67" s="73"/>
      <c r="I67" s="73"/>
    </row>
    <row r="68" spans="1:12" x14ac:dyDescent="0.35">
      <c r="A68" s="73"/>
      <c r="B68" s="73"/>
      <c r="C68" s="73"/>
      <c r="D68" s="73"/>
      <c r="E68" s="73"/>
      <c r="F68" s="73"/>
      <c r="G68" s="73"/>
      <c r="H68" s="73"/>
      <c r="I68" s="73"/>
    </row>
    <row r="69" spans="1:12" x14ac:dyDescent="0.35">
      <c r="A69" s="73"/>
      <c r="B69" s="73"/>
      <c r="C69" s="73"/>
      <c r="D69" s="73"/>
      <c r="E69" s="73"/>
      <c r="F69" s="73"/>
      <c r="G69" s="73"/>
      <c r="H69" s="73"/>
      <c r="I69" s="73"/>
    </row>
    <row r="70" spans="1:12" x14ac:dyDescent="0.35">
      <c r="A70" s="73"/>
      <c r="B70" s="73"/>
      <c r="C70" s="73"/>
      <c r="D70" s="73"/>
      <c r="E70" s="73"/>
      <c r="F70" s="73"/>
      <c r="G70" s="73"/>
      <c r="H70" s="73"/>
      <c r="I70" s="73"/>
    </row>
    <row r="71" spans="1:12" x14ac:dyDescent="0.35">
      <c r="A71" s="73"/>
      <c r="B71" s="73"/>
      <c r="C71" s="73"/>
      <c r="D71" s="73"/>
      <c r="E71" s="73"/>
      <c r="F71" s="73"/>
      <c r="G71" s="73"/>
      <c r="H71" s="73"/>
      <c r="I71" s="73"/>
      <c r="K71" s="3"/>
      <c r="L71" s="3"/>
    </row>
    <row r="72" spans="1:12" x14ac:dyDescent="0.35">
      <c r="A72" s="73"/>
      <c r="B72" s="73"/>
      <c r="C72" s="73"/>
      <c r="D72" s="73"/>
      <c r="E72" s="73"/>
      <c r="F72" s="73"/>
      <c r="G72" s="73"/>
      <c r="H72" s="73"/>
      <c r="I72" s="73"/>
    </row>
    <row r="73" spans="1:12" x14ac:dyDescent="0.35">
      <c r="A73" s="73"/>
      <c r="B73" s="73"/>
      <c r="C73" s="73"/>
      <c r="D73" s="73"/>
      <c r="E73" s="73"/>
      <c r="F73" s="73"/>
      <c r="G73" s="73"/>
      <c r="H73" s="73"/>
      <c r="I73" s="73"/>
    </row>
    <row r="74" spans="1:12" x14ac:dyDescent="0.35">
      <c r="A74" s="73"/>
      <c r="B74" s="73"/>
      <c r="C74" s="73"/>
      <c r="D74" s="73"/>
      <c r="E74" s="73"/>
      <c r="F74" s="73"/>
      <c r="G74" s="73"/>
      <c r="H74" s="73"/>
      <c r="I74" s="73"/>
    </row>
    <row r="75" spans="1:12" x14ac:dyDescent="0.35">
      <c r="A75" s="73"/>
      <c r="B75" s="73"/>
      <c r="C75" s="73"/>
      <c r="D75" s="73"/>
      <c r="E75" s="73"/>
      <c r="F75" s="73"/>
      <c r="G75" s="73"/>
      <c r="H75" s="73"/>
      <c r="I75" s="73"/>
    </row>
    <row r="76" spans="1:12" x14ac:dyDescent="0.35">
      <c r="A76" s="73"/>
      <c r="B76" s="73"/>
      <c r="C76" s="73"/>
      <c r="D76" s="73"/>
      <c r="E76" s="73"/>
      <c r="F76" s="73"/>
      <c r="G76" s="73"/>
      <c r="H76" s="73"/>
      <c r="I76" s="73"/>
    </row>
    <row r="77" spans="1:12" x14ac:dyDescent="0.35">
      <c r="A77" s="73"/>
      <c r="B77" s="73"/>
      <c r="C77" s="73"/>
      <c r="D77" s="73"/>
      <c r="E77" s="73"/>
      <c r="F77" s="73"/>
      <c r="G77" s="73"/>
      <c r="H77" s="73"/>
      <c r="I77" s="73"/>
    </row>
    <row r="78" spans="1:12" x14ac:dyDescent="0.35">
      <c r="A78" s="73"/>
      <c r="B78" s="73"/>
      <c r="C78" s="73"/>
      <c r="D78" s="73"/>
      <c r="E78" s="73"/>
      <c r="F78" s="73"/>
      <c r="G78" s="73"/>
      <c r="H78" s="73"/>
      <c r="I78" s="73"/>
    </row>
    <row r="79" spans="1:12" x14ac:dyDescent="0.35">
      <c r="A79" s="73"/>
      <c r="B79" s="73"/>
      <c r="C79" s="73"/>
      <c r="D79" s="73"/>
      <c r="E79" s="73"/>
      <c r="F79" s="73"/>
      <c r="G79" s="73"/>
      <c r="H79" s="73"/>
      <c r="I79" s="73"/>
    </row>
    <row r="80" spans="1:12" x14ac:dyDescent="0.35">
      <c r="A80" s="73"/>
      <c r="B80" s="73"/>
      <c r="C80" s="73"/>
      <c r="D80" s="73"/>
      <c r="E80" s="73"/>
      <c r="F80" s="73"/>
      <c r="G80" s="73"/>
      <c r="H80" s="73"/>
      <c r="I80" s="73"/>
    </row>
    <row r="81" spans="1:34" x14ac:dyDescent="0.35">
      <c r="A81" s="73"/>
      <c r="B81" s="74" t="s">
        <v>270</v>
      </c>
      <c r="C81" s="31" t="str">
        <f>IF('Initial information'!$C$21="","",'Initial information'!$C$21)</f>
        <v/>
      </c>
      <c r="D81" s="73"/>
      <c r="E81" s="73"/>
      <c r="F81" s="73"/>
      <c r="G81" s="73"/>
      <c r="H81" s="73"/>
      <c r="I81" s="73"/>
      <c r="K81" s="74" t="s">
        <v>270</v>
      </c>
      <c r="N81" s="37"/>
      <c r="O81" s="38" t="s">
        <v>114</v>
      </c>
      <c r="P81" s="37"/>
      <c r="R81" s="37"/>
      <c r="S81" s="38" t="s">
        <v>78</v>
      </c>
      <c r="T81" s="37"/>
      <c r="V81" s="37"/>
      <c r="W81" s="38" t="s">
        <v>15</v>
      </c>
      <c r="X81" s="37"/>
      <c r="Z81" s="37"/>
      <c r="AA81" s="39" t="s">
        <v>24</v>
      </c>
      <c r="AB81" s="37"/>
      <c r="AD81" s="3" t="s">
        <v>95</v>
      </c>
      <c r="AE81" s="3"/>
    </row>
    <row r="82" spans="1:34" x14ac:dyDescent="0.35">
      <c r="A82" s="73"/>
      <c r="B82" s="74" t="s">
        <v>134</v>
      </c>
      <c r="C82" s="31" t="str">
        <f>IF('Initial information'!$D$21="","",'Initial information'!$D$21)</f>
        <v/>
      </c>
      <c r="D82" s="73"/>
      <c r="E82" s="73"/>
      <c r="F82" s="73"/>
      <c r="G82" s="73"/>
      <c r="H82" s="73"/>
      <c r="I82" s="73"/>
      <c r="K82" s="3" t="s">
        <v>75</v>
      </c>
      <c r="L82" s="3" t="s">
        <v>76</v>
      </c>
      <c r="M82" s="3" t="s">
        <v>77</v>
      </c>
      <c r="N82" s="33" t="s">
        <v>69</v>
      </c>
      <c r="O82" s="33" t="s">
        <v>79</v>
      </c>
      <c r="P82" s="33" t="s">
        <v>9</v>
      </c>
      <c r="R82" s="33" t="s">
        <v>69</v>
      </c>
      <c r="S82" s="33" t="s">
        <v>79</v>
      </c>
      <c r="T82" s="33" t="s">
        <v>9</v>
      </c>
      <c r="V82" s="33" t="s">
        <v>69</v>
      </c>
      <c r="W82" s="33" t="s">
        <v>79</v>
      </c>
      <c r="X82" s="33" t="s">
        <v>9</v>
      </c>
      <c r="Z82" s="33" t="s">
        <v>69</v>
      </c>
      <c r="AA82" s="33" t="s">
        <v>79</v>
      </c>
      <c r="AB82" s="33" t="s">
        <v>9</v>
      </c>
    </row>
    <row r="83" spans="1:34" x14ac:dyDescent="0.35">
      <c r="A83" s="73"/>
      <c r="B83" s="75"/>
      <c r="C83" s="75"/>
      <c r="D83" s="75"/>
      <c r="E83" s="75"/>
      <c r="F83" s="75"/>
      <c r="G83" s="73"/>
      <c r="H83" s="73"/>
      <c r="I83" s="73"/>
      <c r="K83" t="s">
        <v>84</v>
      </c>
      <c r="L83" t="s">
        <v>83</v>
      </c>
      <c r="M83" t="s">
        <v>85</v>
      </c>
      <c r="N83" s="31">
        <f>'5. Decision tree Outputs'!AX16</f>
        <v>0</v>
      </c>
      <c r="O83" s="31" t="e">
        <f>'5. Decision tree Outputs'!AW16</f>
        <v>#DIV/0!</v>
      </c>
      <c r="P83" s="31">
        <f>'5. Decision tree Outputs'!AY16</f>
        <v>0</v>
      </c>
      <c r="R83" s="31" t="e">
        <f>'5. Decision tree Outputs'!AX17</f>
        <v>#DIV/0!</v>
      </c>
      <c r="S83" s="31" t="e">
        <f>'5. Decision tree Outputs'!AW17</f>
        <v>#DIV/0!</v>
      </c>
      <c r="T83" s="31" t="e">
        <f>'5. Decision tree Outputs'!AY17</f>
        <v>#DIV/0!</v>
      </c>
      <c r="V83" s="31" t="e">
        <f>'5. Decision tree Outputs'!AX18</f>
        <v>#DIV/0!</v>
      </c>
      <c r="W83" s="31" t="e">
        <f>'5. Decision tree Outputs'!AW18</f>
        <v>#DIV/0!</v>
      </c>
      <c r="X83" s="31" t="e">
        <f>'5. Decision tree Outputs'!AY18</f>
        <v>#DIV/0!</v>
      </c>
      <c r="Z83" s="35" t="e">
        <f>'5. Decision tree Outputs'!AX19</f>
        <v>#DIV/0!</v>
      </c>
      <c r="AA83" s="35" t="e">
        <f>'5. Decision tree Outputs'!AW19</f>
        <v>#DIV/0!</v>
      </c>
      <c r="AB83" s="35" t="e">
        <f>'5. Decision tree Outputs'!AY19</f>
        <v>#DIV/0!</v>
      </c>
      <c r="AD83" s="41" t="s">
        <v>96</v>
      </c>
      <c r="AE83" s="49" t="s">
        <v>114</v>
      </c>
      <c r="AF83" s="42" t="s">
        <v>78</v>
      </c>
      <c r="AG83" s="42" t="s">
        <v>15</v>
      </c>
      <c r="AH83" s="43" t="s">
        <v>24</v>
      </c>
    </row>
    <row r="84" spans="1:34" x14ac:dyDescent="0.35">
      <c r="A84" s="73"/>
      <c r="B84" s="75"/>
      <c r="C84" s="258"/>
      <c r="D84" s="258"/>
      <c r="E84" s="258"/>
      <c r="F84" s="75"/>
      <c r="G84" s="73"/>
      <c r="H84" s="73"/>
      <c r="I84" s="73"/>
      <c r="K84" t="s">
        <v>115</v>
      </c>
      <c r="L84" t="s">
        <v>82</v>
      </c>
      <c r="M84" t="s">
        <v>85</v>
      </c>
      <c r="N84" s="34"/>
      <c r="O84" s="31">
        <v>0</v>
      </c>
      <c r="P84" s="34"/>
      <c r="R84" s="34"/>
      <c r="S84" s="31">
        <v>0</v>
      </c>
      <c r="T84" s="34"/>
      <c r="V84" s="34"/>
      <c r="W84" s="31">
        <v>0</v>
      </c>
      <c r="X84" s="34"/>
      <c r="Z84" s="34"/>
      <c r="AA84" s="36" t="e">
        <f>'5. Decision tree Outputs'!C38</f>
        <v>#DIV/0!</v>
      </c>
      <c r="AB84" s="34"/>
      <c r="AD84" t="s">
        <v>97</v>
      </c>
      <c r="AE84" s="5" t="e">
        <f>$G$111*O$89</f>
        <v>#DIV/0!</v>
      </c>
      <c r="AF84" s="5" t="e">
        <f>$G$111*S$89</f>
        <v>#DIV/0!</v>
      </c>
      <c r="AG84" s="5" t="e">
        <f>$G$111*W$89</f>
        <v>#DIV/0!</v>
      </c>
      <c r="AH84" s="5" t="e">
        <f>$G$111*AA$89</f>
        <v>#DIV/0!</v>
      </c>
    </row>
    <row r="85" spans="1:34" x14ac:dyDescent="0.35">
      <c r="A85" s="73"/>
      <c r="B85" s="203"/>
      <c r="C85" s="327"/>
      <c r="D85" s="258"/>
      <c r="E85" s="325"/>
      <c r="F85" s="75"/>
      <c r="G85" s="73"/>
      <c r="H85" s="73"/>
      <c r="I85" s="73"/>
      <c r="K85" s="8" t="s">
        <v>80</v>
      </c>
      <c r="L85" t="s">
        <v>81</v>
      </c>
      <c r="M85" t="s">
        <v>86</v>
      </c>
      <c r="N85" s="53"/>
      <c r="O85" s="40">
        <v>0</v>
      </c>
      <c r="P85" s="53"/>
      <c r="R85" s="53"/>
      <c r="S85" s="40" t="str">
        <f>VLOOKUP(C82,'1. In-situ status quo plan'!J31:K36,2,FALSE)</f>
        <v/>
      </c>
      <c r="T85" s="53"/>
      <c r="V85" s="53"/>
      <c r="W85" s="40" t="str">
        <f>VLOOKUP(C82,'3. In-situ plus plan'!C29:D34,2,FALSE)</f>
        <v/>
      </c>
      <c r="X85" s="53"/>
      <c r="Z85" s="53"/>
      <c r="AA85" s="40" t="str">
        <f>VLOOKUP(C82,'2. Ex-situ plan'!J94:K99,2,FALSE)</f>
        <v/>
      </c>
      <c r="AB85" s="53"/>
      <c r="AD85" s="32" t="s">
        <v>87</v>
      </c>
      <c r="AE85" s="44" t="e">
        <f>$G$114*$O$90</f>
        <v>#DIV/0!</v>
      </c>
      <c r="AF85" s="44" t="e">
        <f>$G$114*$S$90</f>
        <v>#DIV/0!</v>
      </c>
      <c r="AG85" s="44" t="e">
        <f>$G$114*$W$90</f>
        <v>#DIV/0!</v>
      </c>
      <c r="AH85" s="44" t="e">
        <f>$G$114*$AA$90</f>
        <v>#DIV/0!</v>
      </c>
    </row>
    <row r="86" spans="1:34" x14ac:dyDescent="0.35">
      <c r="A86" s="73"/>
      <c r="B86" s="203"/>
      <c r="C86" s="327"/>
      <c r="D86" s="258"/>
      <c r="E86" s="325"/>
      <c r="F86" s="75"/>
      <c r="G86" s="73"/>
      <c r="H86" s="73"/>
      <c r="I86" s="73"/>
      <c r="X86" s="8"/>
      <c r="AE86" s="9" t="e">
        <f>SUM(AE84:AE85)</f>
        <v>#DIV/0!</v>
      </c>
      <c r="AF86" s="9" t="e">
        <f>SUM(AF84:AF85)</f>
        <v>#DIV/0!</v>
      </c>
      <c r="AG86" s="9" t="e">
        <f>SUM(AG84:AG85)</f>
        <v>#DIV/0!</v>
      </c>
      <c r="AH86" s="9" t="e">
        <f>SUM(AH84:AH85)</f>
        <v>#DIV/0!</v>
      </c>
    </row>
    <row r="87" spans="1:34" x14ac:dyDescent="0.35">
      <c r="A87" s="73"/>
      <c r="B87" s="203"/>
      <c r="C87" s="212"/>
      <c r="D87" s="204"/>
      <c r="E87" s="215"/>
      <c r="F87" s="75"/>
      <c r="G87" s="73"/>
      <c r="H87" s="73"/>
      <c r="I87" s="73"/>
      <c r="N87" s="4" t="s">
        <v>93</v>
      </c>
      <c r="AE87" s="8"/>
    </row>
    <row r="88" spans="1:34" x14ac:dyDescent="0.35">
      <c r="A88" s="73"/>
      <c r="B88" s="75"/>
      <c r="C88" s="75"/>
      <c r="D88" s="75"/>
      <c r="E88" s="75"/>
      <c r="F88" s="75"/>
      <c r="G88" s="73"/>
      <c r="H88" s="73"/>
      <c r="I88" s="73"/>
      <c r="M88" s="3"/>
      <c r="N88" s="33" t="s">
        <v>69</v>
      </c>
      <c r="O88" s="33" t="s">
        <v>79</v>
      </c>
      <c r="P88" s="33" t="s">
        <v>9</v>
      </c>
      <c r="R88" s="33" t="s">
        <v>69</v>
      </c>
      <c r="S88" s="33" t="s">
        <v>79</v>
      </c>
      <c r="T88" s="33" t="s">
        <v>9</v>
      </c>
      <c r="U88" s="33"/>
      <c r="V88" s="33" t="s">
        <v>69</v>
      </c>
      <c r="W88" s="33" t="s">
        <v>79</v>
      </c>
      <c r="X88" s="33" t="s">
        <v>9</v>
      </c>
      <c r="Z88" s="33" t="s">
        <v>69</v>
      </c>
      <c r="AA88" s="33" t="s">
        <v>79</v>
      </c>
      <c r="AB88" s="33" t="s">
        <v>9</v>
      </c>
      <c r="AE88" s="8"/>
    </row>
    <row r="89" spans="1:34" x14ac:dyDescent="0.35">
      <c r="A89" s="73"/>
      <c r="B89" s="75"/>
      <c r="C89" s="75"/>
      <c r="D89" s="75"/>
      <c r="E89" s="75"/>
      <c r="F89" s="75"/>
      <c r="G89" s="73"/>
      <c r="H89" s="73"/>
      <c r="I89" s="73"/>
      <c r="M89" t="s">
        <v>94</v>
      </c>
      <c r="N89" s="36" t="e">
        <f>(O84*(($E$94/100)+(($C$94-N83)/($C$94-$C$95)*(($E$95-$E$94)/100))))+((1-O84)*(($E$92/100)+(($C$94-N83)/($C$94-$C$95)*(($E$93-$E$92)/100))))</f>
        <v>#DIV/0!</v>
      </c>
      <c r="O89" s="36" t="e">
        <f>(O84*(($E$94/100)+(($C$94-O83)/($C$94-$C$95)*(($E$95-$E$94)/100))))+((1-O84)*(($E$92/100)+(($C$94-O83)/($C$94-$C$95)*(($E$93-$E$92)/100))))</f>
        <v>#DIV/0!</v>
      </c>
      <c r="P89" s="36" t="e">
        <f>(O84*(($E$94/100)+(($C$94-P83)/($C$94-$C$95)*(($E$95-$E$94)/100))))+((1-O84)*(($E$92/100)+(($C$94-P83)/($C$94-$C$95)*(($E$93-$E$92)/100))))</f>
        <v>#DIV/0!</v>
      </c>
      <c r="R89" s="36" t="e">
        <f>(S84*(($E$94/100)+(($C$94-R83)/($C$94-$C$95)*(($E$95-$E$94)/100))))+((1-S84)*(($E$92/100)+(($C$94-R83)/($C$94-$C$95)*(($E$93-$E$92)/100))))</f>
        <v>#DIV/0!</v>
      </c>
      <c r="S89" s="36" t="e">
        <f>(S84*(($E$94/100)+(($C$94-S83)/($C$94-$C$95)*(($E$95-$E$94)/100))))+((1-S84)*(($E$92/100)+(($C$94-S83)/($C$94-$C$95)*(($E$93-$E$92)/100))))</f>
        <v>#DIV/0!</v>
      </c>
      <c r="T89" s="36" t="e">
        <f>(S84*(($E$94/100)+(($C$94-T83)/($C$94-$C$95)*(($E$95-$E$94)/100))))+((1-S84)*(($E$92/100)+(($C$94-T83)/($C$94-$C$95)*(($E$93-$E$92)/100))))</f>
        <v>#DIV/0!</v>
      </c>
      <c r="V89" s="36" t="e">
        <f>(W84*(($E$94/100)+(($C$94-V83)/($C$94-$C$95)*(($E$95-$E$94)/100))))+((1-W84)*(($E$92/100)+(($C$94-V83)/($C$94-$C$95)*(($E$93-$E$92)/100))))</f>
        <v>#DIV/0!</v>
      </c>
      <c r="W89" s="36" t="e">
        <f>(W84*(($E$94/100)+(($C$94-W83)/($C$94-$C$95)*(($E$95-$E$94)/100))))+((1-W84)*(($E$92/100)+(($C$94-W83)/($C$94-$C$95)*(($E$93-$E$92)/100))))</f>
        <v>#DIV/0!</v>
      </c>
      <c r="X89" s="36" t="e">
        <f>(W84*(($E$94/100)+(($C$94-X83)/($C$94-$C$95)*(($E$95-$E$94)/100))))+((1-W84)*(($E$92/100)+(($C$94-X83)/($C$94-$C$95)*(($E$93-$E$92)/100))))</f>
        <v>#DIV/0!</v>
      </c>
      <c r="Z89" s="36" t="e">
        <f>(AA84*(($E$94/100)+(($C$94-Z83)/($C$94-$C$95)*(($E$95-$E$94)/100))))+((1-AA84)*(($E$92/100)+(($C$94-Z83)/($C$94-$C$95)*(($E$93-$E$92)/100))))</f>
        <v>#DIV/0!</v>
      </c>
      <c r="AA89" s="36" t="e">
        <f>(AA84*(($E$94/100)+(($C$94-AA83)/($C$94-$C$95)*(($E$95-$E$94)/100))))+((1-AA84)*(($E$92/100)+(($C$94-AA83)/($C$94-$C$95)*(($E$93-$E$92)/100))))</f>
        <v>#DIV/0!</v>
      </c>
      <c r="AB89" s="36" t="e">
        <f>(AA84*(($E$94/100)+(($C$94-AB83)/($C$94-$C$95)*(($E$95-$E$94)/100))))+((1-AA84)*(($E$92/100)+(($C$94-AB83)/($C$94-$C$95)*(($E$93-$E$92)/100))))</f>
        <v>#DIV/0!</v>
      </c>
      <c r="AD89" s="39" t="s">
        <v>249</v>
      </c>
      <c r="AE89" s="49" t="s">
        <v>114</v>
      </c>
      <c r="AF89" s="42" t="s">
        <v>78</v>
      </c>
      <c r="AG89" s="42" t="s">
        <v>15</v>
      </c>
      <c r="AH89" s="43" t="s">
        <v>24</v>
      </c>
    </row>
    <row r="90" spans="1:34" x14ac:dyDescent="0.35">
      <c r="A90" s="73"/>
      <c r="B90" s="75"/>
      <c r="C90" s="75"/>
      <c r="D90" s="75"/>
      <c r="E90" s="75"/>
      <c r="F90" s="75"/>
      <c r="G90" s="73"/>
      <c r="H90" s="73"/>
      <c r="I90" s="73"/>
      <c r="M90" t="s">
        <v>80</v>
      </c>
      <c r="O90" s="36" t="e">
        <f>($C114-O85)/($C114-$D114)</f>
        <v>#DIV/0!</v>
      </c>
      <c r="R90" s="34"/>
      <c r="S90" s="36" t="e">
        <f>($C114-S85)/($C114-$D114)</f>
        <v>#VALUE!</v>
      </c>
      <c r="T90" s="34"/>
      <c r="V90" s="34"/>
      <c r="W90" s="36" t="e">
        <f>($C114-W85)/($C114-$D114)</f>
        <v>#VALUE!</v>
      </c>
      <c r="X90" s="34"/>
      <c r="Z90" s="34"/>
      <c r="AA90" s="36" t="e">
        <f>($C114-AA85)/($C114-$D114)</f>
        <v>#VALUE!</v>
      </c>
      <c r="AB90" s="34"/>
      <c r="AD90" t="s">
        <v>97</v>
      </c>
      <c r="AE90" s="5" t="e">
        <f>$G$111*N$89</f>
        <v>#DIV/0!</v>
      </c>
      <c r="AF90" s="5" t="e">
        <f>$G$111*R$89</f>
        <v>#DIV/0!</v>
      </c>
      <c r="AG90" s="5" t="e">
        <f>$G$111*V$89</f>
        <v>#DIV/0!</v>
      </c>
      <c r="AH90" s="5" t="e">
        <f>$G$111*Z$89</f>
        <v>#DIV/0!</v>
      </c>
    </row>
    <row r="91" spans="1:34" x14ac:dyDescent="0.35">
      <c r="A91" s="73"/>
      <c r="B91" s="73"/>
      <c r="C91" s="297" t="s">
        <v>74</v>
      </c>
      <c r="D91" s="206" t="s">
        <v>70</v>
      </c>
      <c r="E91" s="296" t="s">
        <v>73</v>
      </c>
      <c r="F91" s="73"/>
      <c r="G91" s="73"/>
      <c r="H91" s="73"/>
      <c r="I91" s="73"/>
      <c r="AD91" s="32" t="s">
        <v>87</v>
      </c>
      <c r="AE91" s="50" t="e">
        <f>$G$114*$O$90</f>
        <v>#DIV/0!</v>
      </c>
      <c r="AF91" s="44" t="e">
        <f>$G$114*$S$90</f>
        <v>#DIV/0!</v>
      </c>
      <c r="AG91" s="44" t="e">
        <f>$G$114*$W$90</f>
        <v>#DIV/0!</v>
      </c>
      <c r="AH91" s="44" t="e">
        <f>$G$114*$AA$90</f>
        <v>#DIV/0!</v>
      </c>
    </row>
    <row r="92" spans="1:34" x14ac:dyDescent="0.35">
      <c r="A92" s="73"/>
      <c r="B92" s="323" t="s">
        <v>69</v>
      </c>
      <c r="C92" s="329" t="e">
        <f>IF(MIN($N$83:$P$83,$R$83:$T$83,$V$83:$X$83,$Z$83:$AB$83)&lt;-100,-100,MIN($N$83:$P$83,$R$83:$T$83,$V$83:$X$83,$Z$83:$AB$83))</f>
        <v>#DIV/0!</v>
      </c>
      <c r="D92" s="206" t="s">
        <v>71</v>
      </c>
      <c r="E92" s="330">
        <v>0</v>
      </c>
      <c r="F92" s="73"/>
      <c r="G92" s="73"/>
      <c r="H92" s="73"/>
      <c r="I92" s="73"/>
      <c r="AE92" s="9" t="e">
        <f>SUM(AE90:AE91)</f>
        <v>#DIV/0!</v>
      </c>
      <c r="AF92" s="9" t="e">
        <f>SUM(AF90:AF91)</f>
        <v>#DIV/0!</v>
      </c>
      <c r="AG92" s="9" t="e">
        <f>SUM(AG90:AG91)</f>
        <v>#DIV/0!</v>
      </c>
      <c r="AH92" s="9" t="e">
        <f>SUM(AH90:AH91)</f>
        <v>#DIV/0!</v>
      </c>
    </row>
    <row r="93" spans="1:34" x14ac:dyDescent="0.35">
      <c r="A93" s="73"/>
      <c r="B93" s="322" t="s">
        <v>298</v>
      </c>
      <c r="C93" s="329" t="e">
        <f>C95</f>
        <v>#DIV/0!</v>
      </c>
      <c r="D93" s="324" t="s">
        <v>71</v>
      </c>
      <c r="E93" s="331"/>
      <c r="F93" s="73"/>
      <c r="G93" s="73"/>
      <c r="H93" s="73"/>
      <c r="I93" s="73"/>
      <c r="AE93" s="8"/>
    </row>
    <row r="94" spans="1:34" x14ac:dyDescent="0.35">
      <c r="A94" s="73"/>
      <c r="B94" s="328" t="s">
        <v>299</v>
      </c>
      <c r="C94" s="55" t="e">
        <f>C92</f>
        <v>#DIV/0!</v>
      </c>
      <c r="D94" s="208" t="s">
        <v>72</v>
      </c>
      <c r="E94" s="332"/>
      <c r="F94" s="73"/>
      <c r="G94" s="73"/>
      <c r="H94" s="73"/>
      <c r="I94" s="73"/>
      <c r="AE94" s="8"/>
    </row>
    <row r="95" spans="1:34" x14ac:dyDescent="0.35">
      <c r="A95" s="73"/>
      <c r="B95" s="323" t="s">
        <v>9</v>
      </c>
      <c r="C95" s="55" t="e">
        <f>MAX($N$83:$P$83,$R$83:$T$83,$V$83:$X$83,$Z$83:$AB$83)</f>
        <v>#DIV/0!</v>
      </c>
      <c r="D95" s="206" t="s">
        <v>72</v>
      </c>
      <c r="E95" s="330">
        <v>100</v>
      </c>
      <c r="F95" s="73"/>
      <c r="G95" s="73"/>
      <c r="H95" s="73"/>
      <c r="I95" s="73"/>
      <c r="AE95" s="8"/>
    </row>
    <row r="96" spans="1:34" x14ac:dyDescent="0.35">
      <c r="A96" s="73"/>
      <c r="B96" s="203"/>
      <c r="C96" s="327"/>
      <c r="D96" s="258"/>
      <c r="E96" s="341"/>
      <c r="F96" s="73"/>
      <c r="G96" s="73"/>
      <c r="H96" s="73"/>
      <c r="I96" s="73"/>
      <c r="AD96" s="39" t="s">
        <v>250</v>
      </c>
      <c r="AE96" s="49" t="s">
        <v>114</v>
      </c>
      <c r="AF96" s="42" t="s">
        <v>78</v>
      </c>
      <c r="AG96" s="42" t="s">
        <v>15</v>
      </c>
      <c r="AH96" s="43" t="s">
        <v>24</v>
      </c>
    </row>
    <row r="97" spans="1:34" x14ac:dyDescent="0.35">
      <c r="A97" s="73"/>
      <c r="B97" s="203"/>
      <c r="C97" s="327"/>
      <c r="D97" s="258"/>
      <c r="E97" s="341"/>
      <c r="F97" s="73"/>
      <c r="G97" s="73"/>
      <c r="H97" s="73"/>
      <c r="I97" s="73"/>
      <c r="AD97" t="s">
        <v>97</v>
      </c>
      <c r="AE97" s="5" t="e">
        <f>$G$111*P$89</f>
        <v>#DIV/0!</v>
      </c>
      <c r="AF97" s="5" t="e">
        <f>$G$111*T$89</f>
        <v>#DIV/0!</v>
      </c>
      <c r="AG97" s="5" t="e">
        <f>$G$111*X$89</f>
        <v>#DIV/0!</v>
      </c>
      <c r="AH97" s="5" t="e">
        <f>$G$111*AB$89</f>
        <v>#DIV/0!</v>
      </c>
    </row>
    <row r="98" spans="1:34" x14ac:dyDescent="0.35">
      <c r="A98" s="73"/>
      <c r="B98" s="203"/>
      <c r="C98" s="327"/>
      <c r="D98" s="258"/>
      <c r="E98" s="341"/>
      <c r="F98" s="73"/>
      <c r="G98" s="73"/>
      <c r="H98" s="73"/>
      <c r="I98" s="73"/>
      <c r="AD98" s="32" t="s">
        <v>87</v>
      </c>
      <c r="AE98" s="44" t="e">
        <f>$G$114*$O$90</f>
        <v>#DIV/0!</v>
      </c>
      <c r="AF98" s="44" t="e">
        <f>$G$114*$S$90</f>
        <v>#DIV/0!</v>
      </c>
      <c r="AG98" s="44" t="e">
        <f>$G$114*$W$90</f>
        <v>#DIV/0!</v>
      </c>
      <c r="AH98" s="44" t="e">
        <f>$G$114*$AA$90</f>
        <v>#DIV/0!</v>
      </c>
    </row>
    <row r="99" spans="1:34" x14ac:dyDescent="0.35">
      <c r="A99" s="73"/>
      <c r="B99" s="203"/>
      <c r="C99" s="327"/>
      <c r="D99" s="258"/>
      <c r="E99" s="341"/>
      <c r="F99" s="73"/>
      <c r="G99" s="73"/>
      <c r="H99" s="73"/>
      <c r="I99" s="73"/>
      <c r="AE99" s="9" t="e">
        <f>SUM(AE97:AE98)</f>
        <v>#DIV/0!</v>
      </c>
      <c r="AF99" s="9" t="e">
        <f>SUM(AF97:AF98)</f>
        <v>#DIV/0!</v>
      </c>
      <c r="AG99" s="9" t="e">
        <f>SUM(AG97:AG98)</f>
        <v>#DIV/0!</v>
      </c>
      <c r="AH99" s="9" t="e">
        <f>SUM(AH97:AH98)</f>
        <v>#DIV/0!</v>
      </c>
    </row>
    <row r="100" spans="1:34" x14ac:dyDescent="0.35">
      <c r="A100" s="73"/>
      <c r="B100" s="203"/>
      <c r="C100" s="327"/>
      <c r="D100" s="258"/>
      <c r="E100" s="341"/>
      <c r="F100" s="73"/>
      <c r="G100" s="73"/>
      <c r="H100" s="73"/>
      <c r="I100" s="73"/>
    </row>
    <row r="101" spans="1:34" x14ac:dyDescent="0.35">
      <c r="A101" s="73"/>
      <c r="B101" s="203"/>
      <c r="C101" s="327"/>
      <c r="D101" s="258"/>
      <c r="E101" s="341"/>
      <c r="F101" s="73"/>
      <c r="G101" s="73"/>
      <c r="H101" s="73"/>
      <c r="I101" s="73"/>
    </row>
    <row r="102" spans="1:34" x14ac:dyDescent="0.35">
      <c r="A102" s="73"/>
      <c r="B102" s="203"/>
      <c r="C102" s="327"/>
      <c r="D102" s="258"/>
      <c r="E102" s="341"/>
      <c r="F102" s="73"/>
      <c r="G102" s="73"/>
      <c r="H102" s="73"/>
      <c r="I102" s="73"/>
    </row>
    <row r="103" spans="1:34" x14ac:dyDescent="0.35">
      <c r="A103" s="73"/>
      <c r="B103" s="203"/>
      <c r="C103" s="327"/>
      <c r="D103" s="258"/>
      <c r="E103" s="341"/>
      <c r="F103" s="73"/>
      <c r="G103" s="73"/>
      <c r="H103" s="73"/>
      <c r="I103" s="73"/>
    </row>
    <row r="104" spans="1:34" x14ac:dyDescent="0.35">
      <c r="A104" s="73"/>
      <c r="B104" s="203"/>
      <c r="C104" s="327"/>
      <c r="D104" s="258"/>
      <c r="E104" s="341"/>
      <c r="F104" s="73"/>
      <c r="G104" s="73"/>
      <c r="H104" s="73"/>
      <c r="I104" s="73"/>
    </row>
    <row r="105" spans="1:34" x14ac:dyDescent="0.35">
      <c r="A105" s="73"/>
      <c r="B105" s="203"/>
      <c r="C105" s="327"/>
      <c r="D105" s="258"/>
      <c r="E105" s="341"/>
      <c r="F105" s="73"/>
      <c r="G105" s="73"/>
      <c r="H105" s="73"/>
      <c r="I105" s="73"/>
    </row>
    <row r="106" spans="1:34" x14ac:dyDescent="0.35">
      <c r="A106" s="73"/>
      <c r="B106" s="203"/>
      <c r="C106" s="327"/>
      <c r="D106" s="258"/>
      <c r="E106" s="341"/>
      <c r="F106" s="73"/>
      <c r="G106" s="73"/>
      <c r="H106" s="73"/>
      <c r="I106" s="73"/>
    </row>
    <row r="107" spans="1:34" x14ac:dyDescent="0.35">
      <c r="A107" s="73"/>
      <c r="B107" s="204"/>
      <c r="C107" s="213"/>
      <c r="D107" s="73"/>
      <c r="E107" s="73"/>
      <c r="F107" s="73"/>
      <c r="G107" s="73"/>
      <c r="H107" s="73"/>
      <c r="I107" s="73"/>
    </row>
    <row r="108" spans="1:34" x14ac:dyDescent="0.35">
      <c r="A108" s="73"/>
      <c r="B108" s="74"/>
      <c r="C108" s="73"/>
      <c r="D108" s="73"/>
      <c r="E108" s="73"/>
      <c r="F108" s="73"/>
      <c r="G108" s="73"/>
      <c r="H108" s="73"/>
      <c r="I108" s="73"/>
    </row>
    <row r="109" spans="1:34" x14ac:dyDescent="0.35">
      <c r="A109" s="73"/>
      <c r="B109" s="73"/>
      <c r="C109" s="73"/>
      <c r="D109" s="73"/>
      <c r="E109" s="73"/>
      <c r="F109" s="73"/>
      <c r="G109" s="73"/>
      <c r="H109" s="73"/>
      <c r="I109" s="73"/>
    </row>
    <row r="110" spans="1:34" x14ac:dyDescent="0.35">
      <c r="A110" s="73"/>
      <c r="B110" s="319"/>
      <c r="C110" s="209" t="s">
        <v>88</v>
      </c>
      <c r="D110" s="209" t="s">
        <v>89</v>
      </c>
      <c r="E110" s="209" t="s">
        <v>91</v>
      </c>
      <c r="F110" s="209" t="s">
        <v>73</v>
      </c>
      <c r="G110" s="295" t="s">
        <v>232</v>
      </c>
      <c r="H110" s="73"/>
      <c r="I110" s="73"/>
    </row>
    <row r="111" spans="1:34" x14ac:dyDescent="0.35">
      <c r="A111" s="73"/>
      <c r="B111" s="320" t="s">
        <v>92</v>
      </c>
      <c r="C111" s="210" t="e">
        <f>C92</f>
        <v>#DIV/0!</v>
      </c>
      <c r="D111" s="210" t="e">
        <f>C95</f>
        <v>#DIV/0!</v>
      </c>
      <c r="E111" s="487"/>
      <c r="F111" s="494"/>
      <c r="G111" s="491" t="e">
        <f>F111/(F$111+F$114)</f>
        <v>#DIV/0!</v>
      </c>
      <c r="H111" s="73"/>
      <c r="I111" s="73"/>
    </row>
    <row r="112" spans="1:34" x14ac:dyDescent="0.35">
      <c r="A112" s="73"/>
      <c r="B112" s="320" t="s">
        <v>70</v>
      </c>
      <c r="C112" s="210" t="s">
        <v>71</v>
      </c>
      <c r="D112" s="210" t="s">
        <v>72</v>
      </c>
      <c r="E112" s="493"/>
      <c r="F112" s="495"/>
      <c r="G112" s="496"/>
      <c r="H112" s="73"/>
      <c r="I112" s="73"/>
    </row>
    <row r="113" spans="1:12" x14ac:dyDescent="0.35">
      <c r="A113" s="73"/>
      <c r="B113" s="320"/>
      <c r="C113" s="73"/>
      <c r="D113" s="73"/>
      <c r="E113" s="73"/>
      <c r="F113" s="73"/>
      <c r="G113" s="298"/>
      <c r="H113" s="73"/>
      <c r="I113" s="73"/>
    </row>
    <row r="114" spans="1:12" x14ac:dyDescent="0.35">
      <c r="A114" s="73"/>
      <c r="B114" s="321" t="s">
        <v>90</v>
      </c>
      <c r="C114" s="211">
        <f>MAX($O$85,$S$85,$W$85,$AA$85)</f>
        <v>0</v>
      </c>
      <c r="D114" s="211">
        <f>MIN($O$85,$S$85,$W$85,$AA$85)</f>
        <v>0</v>
      </c>
      <c r="E114" s="336"/>
      <c r="F114" s="337"/>
      <c r="G114" s="338" t="e">
        <f>F114/(F$111+F$114)</f>
        <v>#DIV/0!</v>
      </c>
      <c r="H114" s="73"/>
      <c r="I114" s="73"/>
    </row>
    <row r="115" spans="1:12" x14ac:dyDescent="0.35">
      <c r="A115" s="73"/>
      <c r="B115" s="204"/>
      <c r="C115" s="333"/>
      <c r="D115" s="333"/>
      <c r="E115" s="339"/>
      <c r="F115" s="339"/>
      <c r="G115" s="340"/>
      <c r="H115" s="73"/>
      <c r="I115" s="73"/>
    </row>
    <row r="116" spans="1:12" x14ac:dyDescent="0.35">
      <c r="A116" s="73"/>
      <c r="B116" s="204"/>
      <c r="C116" s="333"/>
      <c r="D116" s="333"/>
      <c r="E116" s="334"/>
      <c r="F116" s="334"/>
      <c r="G116" s="335"/>
      <c r="H116" s="73"/>
      <c r="I116" s="73"/>
      <c r="K116" s="3"/>
      <c r="L116" s="3"/>
    </row>
    <row r="117" spans="1:12" x14ac:dyDescent="0.35">
      <c r="A117" s="73"/>
      <c r="B117" s="73" t="s">
        <v>300</v>
      </c>
      <c r="C117" s="333"/>
      <c r="D117" s="333"/>
      <c r="E117" s="334"/>
      <c r="F117" s="334"/>
      <c r="G117" s="335"/>
      <c r="H117" s="73"/>
      <c r="I117" s="73"/>
    </row>
    <row r="118" spans="1:12" x14ac:dyDescent="0.35">
      <c r="A118" s="73"/>
      <c r="B118" t="s">
        <v>293</v>
      </c>
      <c r="C118" s="73"/>
      <c r="D118" s="73"/>
      <c r="E118" s="73"/>
      <c r="F118" s="73"/>
      <c r="G118" s="73"/>
      <c r="H118" s="73"/>
      <c r="I118" s="73"/>
    </row>
    <row r="119" spans="1:12" x14ac:dyDescent="0.35">
      <c r="A119" s="73"/>
      <c r="B119" s="73"/>
      <c r="C119" s="73"/>
      <c r="D119" s="73"/>
      <c r="E119" s="73"/>
      <c r="F119" s="73"/>
      <c r="G119" s="73"/>
      <c r="H119" s="73"/>
      <c r="I119" s="73"/>
    </row>
    <row r="120" spans="1:12" x14ac:dyDescent="0.35">
      <c r="A120" s="73"/>
      <c r="B120" s="73"/>
      <c r="C120" s="73"/>
      <c r="D120" s="73"/>
      <c r="E120" s="73"/>
      <c r="F120" s="73"/>
      <c r="G120" s="73"/>
      <c r="H120" s="73"/>
      <c r="I120" s="73"/>
    </row>
    <row r="121" spans="1:12" x14ac:dyDescent="0.35">
      <c r="A121" s="73"/>
      <c r="B121" s="73"/>
      <c r="C121" s="73"/>
      <c r="D121" s="73"/>
      <c r="E121" s="73"/>
      <c r="F121" s="73"/>
      <c r="G121" s="73"/>
      <c r="H121" s="73"/>
      <c r="I121" s="73"/>
    </row>
    <row r="122" spans="1:12" x14ac:dyDescent="0.35">
      <c r="A122" s="73"/>
      <c r="B122" s="73"/>
      <c r="C122" s="73"/>
      <c r="D122" s="73"/>
      <c r="E122" s="73"/>
      <c r="F122" s="73"/>
      <c r="G122" s="73"/>
      <c r="H122" s="73"/>
      <c r="I122" s="73"/>
    </row>
    <row r="123" spans="1:12" x14ac:dyDescent="0.35">
      <c r="A123" s="73"/>
      <c r="B123" s="73"/>
      <c r="C123" s="73"/>
      <c r="D123" s="73"/>
      <c r="E123" s="73"/>
      <c r="F123" s="73"/>
      <c r="G123" s="73"/>
      <c r="H123" s="73"/>
      <c r="I123" s="73"/>
    </row>
    <row r="124" spans="1:12" x14ac:dyDescent="0.35">
      <c r="A124" s="73"/>
      <c r="B124" s="73"/>
      <c r="C124" s="73"/>
      <c r="D124" s="73"/>
      <c r="E124" s="73"/>
      <c r="F124" s="73"/>
      <c r="G124" s="73"/>
      <c r="H124" s="73"/>
      <c r="I124" s="73"/>
    </row>
    <row r="125" spans="1:12" x14ac:dyDescent="0.35">
      <c r="A125" s="73"/>
      <c r="B125" s="73"/>
      <c r="C125" s="73"/>
      <c r="D125" s="73"/>
      <c r="E125" s="73"/>
      <c r="F125" s="73"/>
      <c r="G125" s="73"/>
      <c r="H125" s="73"/>
      <c r="I125" s="73"/>
    </row>
    <row r="126" spans="1:12" x14ac:dyDescent="0.35">
      <c r="A126" s="73"/>
      <c r="B126" s="73"/>
      <c r="C126" s="73"/>
      <c r="D126" s="73"/>
      <c r="E126" s="73"/>
      <c r="F126" s="73"/>
      <c r="G126" s="73"/>
      <c r="H126" s="73"/>
      <c r="I126" s="73"/>
    </row>
    <row r="127" spans="1:12" x14ac:dyDescent="0.35">
      <c r="A127" s="73"/>
      <c r="B127" s="73"/>
      <c r="C127" s="73"/>
      <c r="D127" s="73"/>
      <c r="E127" s="73"/>
      <c r="F127" s="73"/>
      <c r="G127" s="73"/>
      <c r="H127" s="73"/>
      <c r="I127" s="73"/>
    </row>
    <row r="128" spans="1:12" x14ac:dyDescent="0.35">
      <c r="A128" s="73"/>
      <c r="B128" s="73"/>
      <c r="C128" s="73"/>
      <c r="D128" s="73"/>
      <c r="E128" s="73"/>
      <c r="F128" s="73"/>
      <c r="G128" s="73"/>
      <c r="H128" s="73"/>
      <c r="I128" s="73"/>
    </row>
    <row r="129" spans="1:34" x14ac:dyDescent="0.35">
      <c r="A129" s="73"/>
      <c r="B129" s="73"/>
      <c r="C129" s="73"/>
      <c r="D129" s="73"/>
      <c r="E129" s="73"/>
      <c r="F129" s="73"/>
      <c r="G129" s="73"/>
      <c r="H129" s="73"/>
      <c r="I129" s="73"/>
    </row>
    <row r="130" spans="1:34" x14ac:dyDescent="0.35">
      <c r="A130" s="73"/>
      <c r="B130" s="73"/>
      <c r="C130" s="73"/>
      <c r="D130" s="73"/>
      <c r="E130" s="73"/>
      <c r="F130" s="73"/>
      <c r="G130" s="73"/>
      <c r="H130" s="73"/>
      <c r="I130" s="73"/>
    </row>
    <row r="131" spans="1:34" x14ac:dyDescent="0.35">
      <c r="A131" s="73"/>
      <c r="B131" s="73"/>
      <c r="C131" s="73"/>
      <c r="D131" s="73"/>
      <c r="E131" s="73"/>
      <c r="F131" s="73"/>
      <c r="G131" s="73"/>
      <c r="H131" s="73"/>
      <c r="I131" s="73"/>
    </row>
    <row r="132" spans="1:34" x14ac:dyDescent="0.35">
      <c r="A132" s="73"/>
      <c r="B132" s="73"/>
      <c r="C132" s="73"/>
      <c r="D132" s="73"/>
      <c r="E132" s="73"/>
      <c r="F132" s="73"/>
      <c r="G132" s="73"/>
      <c r="H132" s="73"/>
      <c r="I132" s="73"/>
    </row>
    <row r="133" spans="1:34" x14ac:dyDescent="0.35">
      <c r="A133" s="73"/>
      <c r="B133" s="73"/>
      <c r="C133" s="73"/>
      <c r="D133" s="73"/>
      <c r="E133" s="73"/>
      <c r="F133" s="73"/>
      <c r="G133" s="73"/>
      <c r="H133" s="73"/>
      <c r="I133" s="73"/>
    </row>
    <row r="134" spans="1:34" x14ac:dyDescent="0.35">
      <c r="A134" s="73"/>
      <c r="B134" s="73"/>
      <c r="C134" s="73"/>
      <c r="D134" s="73"/>
      <c r="E134" s="73"/>
      <c r="F134" s="73"/>
      <c r="G134" s="73"/>
      <c r="H134" s="73"/>
      <c r="I134" s="73"/>
    </row>
    <row r="135" spans="1:34" x14ac:dyDescent="0.35">
      <c r="A135" s="73"/>
      <c r="C135" s="73"/>
      <c r="D135" s="73"/>
      <c r="E135" s="73"/>
      <c r="F135" s="73"/>
      <c r="G135" s="73"/>
      <c r="H135" s="73"/>
      <c r="I135" s="73"/>
    </row>
    <row r="136" spans="1:34" x14ac:dyDescent="0.35">
      <c r="A136" s="73"/>
      <c r="B136" s="73"/>
      <c r="C136" s="73"/>
      <c r="D136" s="73"/>
      <c r="E136" s="73"/>
      <c r="F136" s="73"/>
      <c r="G136" s="73"/>
      <c r="H136" s="73"/>
      <c r="I136" s="73"/>
    </row>
    <row r="137" spans="1:34" x14ac:dyDescent="0.35">
      <c r="A137" s="73"/>
      <c r="B137" s="73"/>
      <c r="C137" s="73"/>
      <c r="D137" s="73"/>
      <c r="E137" s="73"/>
      <c r="F137" s="73"/>
      <c r="G137" s="73"/>
      <c r="H137" s="73"/>
      <c r="I137" s="73"/>
    </row>
    <row r="138" spans="1:34" x14ac:dyDescent="0.35">
      <c r="A138" s="73"/>
      <c r="B138" s="74" t="s">
        <v>271</v>
      </c>
      <c r="C138" s="31" t="str">
        <f>IF('Initial information'!$C$22="","",'Initial information'!$C$22)</f>
        <v/>
      </c>
      <c r="D138" s="73"/>
      <c r="E138" s="73"/>
      <c r="F138" s="73"/>
      <c r="G138" s="73"/>
      <c r="H138" s="73"/>
      <c r="I138" s="73"/>
      <c r="K138" s="74" t="s">
        <v>271</v>
      </c>
      <c r="N138" s="37"/>
      <c r="O138" s="38" t="s">
        <v>114</v>
      </c>
      <c r="P138" s="37"/>
      <c r="R138" s="37"/>
      <c r="S138" s="38" t="s">
        <v>78</v>
      </c>
      <c r="T138" s="37"/>
      <c r="V138" s="37"/>
      <c r="W138" s="38" t="s">
        <v>15</v>
      </c>
      <c r="X138" s="37"/>
      <c r="Z138" s="37"/>
      <c r="AA138" s="39" t="s">
        <v>24</v>
      </c>
      <c r="AB138" s="37"/>
      <c r="AD138" s="3" t="s">
        <v>95</v>
      </c>
      <c r="AE138" s="3"/>
    </row>
    <row r="139" spans="1:34" x14ac:dyDescent="0.35">
      <c r="A139" s="73"/>
      <c r="B139" s="74" t="s">
        <v>134</v>
      </c>
      <c r="C139" s="31" t="str">
        <f>IF('Initial information'!$D$22="","",'Initial information'!$D$22)</f>
        <v/>
      </c>
      <c r="I139" s="73"/>
      <c r="K139" s="3" t="s">
        <v>75</v>
      </c>
      <c r="L139" s="3" t="s">
        <v>76</v>
      </c>
      <c r="M139" s="3" t="s">
        <v>77</v>
      </c>
      <c r="N139" s="33" t="s">
        <v>69</v>
      </c>
      <c r="O139" s="33" t="s">
        <v>79</v>
      </c>
      <c r="P139" s="33" t="s">
        <v>9</v>
      </c>
      <c r="R139" s="33" t="s">
        <v>69</v>
      </c>
      <c r="S139" s="33" t="s">
        <v>79</v>
      </c>
      <c r="T139" s="33" t="s">
        <v>9</v>
      </c>
      <c r="V139" s="33" t="s">
        <v>69</v>
      </c>
      <c r="W139" s="33" t="s">
        <v>79</v>
      </c>
      <c r="X139" s="33" t="s">
        <v>9</v>
      </c>
      <c r="Z139" s="33" t="s">
        <v>69</v>
      </c>
      <c r="AA139" s="33" t="s">
        <v>79</v>
      </c>
      <c r="AB139" s="33" t="s">
        <v>9</v>
      </c>
    </row>
    <row r="140" spans="1:34" x14ac:dyDescent="0.35">
      <c r="A140" s="73"/>
      <c r="B140" s="73"/>
      <c r="C140" s="73"/>
      <c r="D140" s="73"/>
      <c r="E140" s="73"/>
      <c r="F140" s="73"/>
      <c r="G140" s="73"/>
      <c r="H140" s="73"/>
      <c r="I140" s="73"/>
      <c r="K140" t="s">
        <v>84</v>
      </c>
      <c r="L140" t="s">
        <v>83</v>
      </c>
      <c r="M140" t="s">
        <v>85</v>
      </c>
      <c r="N140" s="31">
        <f>'5. Decision tree Outputs'!AX16</f>
        <v>0</v>
      </c>
      <c r="O140" s="31" t="e">
        <f>'5. Decision tree Outputs'!AW16</f>
        <v>#DIV/0!</v>
      </c>
      <c r="P140" s="31">
        <f>'5. Decision tree Outputs'!AY16</f>
        <v>0</v>
      </c>
      <c r="R140" s="31" t="e">
        <f>'5. Decision tree Outputs'!AX17</f>
        <v>#DIV/0!</v>
      </c>
      <c r="S140" s="31" t="e">
        <f>'5. Decision tree Outputs'!AW17</f>
        <v>#DIV/0!</v>
      </c>
      <c r="T140" s="31" t="e">
        <f>'5. Decision tree Outputs'!AY17</f>
        <v>#DIV/0!</v>
      </c>
      <c r="V140" s="31" t="e">
        <f>'5. Decision tree Outputs'!AX18</f>
        <v>#DIV/0!</v>
      </c>
      <c r="W140" s="31" t="e">
        <f>'5. Decision tree Outputs'!AW18</f>
        <v>#DIV/0!</v>
      </c>
      <c r="X140" s="31" t="e">
        <f>'5. Decision tree Outputs'!AY18</f>
        <v>#DIV/0!</v>
      </c>
      <c r="Z140" s="35" t="e">
        <f>'5. Decision tree Outputs'!AX19</f>
        <v>#DIV/0!</v>
      </c>
      <c r="AA140" s="35" t="e">
        <f>'5. Decision tree Outputs'!AW19</f>
        <v>#DIV/0!</v>
      </c>
      <c r="AB140" s="35" t="e">
        <f>'5. Decision tree Outputs'!AY19</f>
        <v>#DIV/0!</v>
      </c>
      <c r="AD140" s="41" t="s">
        <v>96</v>
      </c>
      <c r="AE140" s="49" t="s">
        <v>114</v>
      </c>
      <c r="AF140" s="42" t="s">
        <v>78</v>
      </c>
      <c r="AG140" s="42" t="s">
        <v>15</v>
      </c>
      <c r="AH140" s="43" t="s">
        <v>24</v>
      </c>
    </row>
    <row r="141" spans="1:34" x14ac:dyDescent="0.35">
      <c r="A141" s="73"/>
      <c r="B141" s="75"/>
      <c r="C141" s="258"/>
      <c r="D141" s="258"/>
      <c r="E141" s="258"/>
      <c r="F141" s="73"/>
      <c r="G141" s="73"/>
      <c r="H141" s="73"/>
      <c r="I141" s="73"/>
      <c r="K141" t="s">
        <v>115</v>
      </c>
      <c r="L141" t="s">
        <v>82</v>
      </c>
      <c r="M141" t="s">
        <v>85</v>
      </c>
      <c r="N141" s="34"/>
      <c r="O141" s="31">
        <v>0</v>
      </c>
      <c r="P141" s="34"/>
      <c r="R141" s="34"/>
      <c r="S141" s="31">
        <v>0</v>
      </c>
      <c r="T141" s="34"/>
      <c r="V141" s="34"/>
      <c r="W141" s="31">
        <v>0</v>
      </c>
      <c r="X141" s="34"/>
      <c r="Z141" s="34"/>
      <c r="AA141" s="36" t="e">
        <f>'5. Decision tree Outputs'!C38</f>
        <v>#DIV/0!</v>
      </c>
      <c r="AB141" s="34"/>
      <c r="AD141" t="s">
        <v>97</v>
      </c>
      <c r="AE141" s="5" t="e">
        <f>$G$168*O$146</f>
        <v>#DIV/0!</v>
      </c>
      <c r="AF141" s="5" t="e">
        <f>$G$168*S$146</f>
        <v>#DIV/0!</v>
      </c>
      <c r="AG141" s="5" t="e">
        <f>$G$168*W$146</f>
        <v>#DIV/0!</v>
      </c>
      <c r="AH141" s="5" t="e">
        <f>$G$168*AA$146</f>
        <v>#DIV/0!</v>
      </c>
    </row>
    <row r="142" spans="1:34" x14ac:dyDescent="0.35">
      <c r="A142" s="73"/>
      <c r="B142" s="203"/>
      <c r="C142" s="327"/>
      <c r="D142" s="258"/>
      <c r="E142" s="325"/>
      <c r="F142" s="73"/>
      <c r="G142" s="73"/>
      <c r="H142" s="73"/>
      <c r="I142" s="73"/>
      <c r="K142" s="8" t="s">
        <v>80</v>
      </c>
      <c r="L142" t="s">
        <v>81</v>
      </c>
      <c r="M142" t="s">
        <v>86</v>
      </c>
      <c r="N142" s="53"/>
      <c r="O142" s="40">
        <v>0</v>
      </c>
      <c r="P142" s="53"/>
      <c r="R142" s="53"/>
      <c r="S142" s="40" t="str">
        <f>VLOOKUP(C139,'1. In-situ status quo plan'!J31:K36,2,FALSE)</f>
        <v/>
      </c>
      <c r="T142" s="53"/>
      <c r="V142" s="53"/>
      <c r="W142" s="40" t="str">
        <f>VLOOKUP(C139,'3. In-situ plus plan'!C29:D34,2,FALSE)</f>
        <v/>
      </c>
      <c r="X142" s="53"/>
      <c r="Z142" s="53"/>
      <c r="AA142" s="40" t="str">
        <f>VLOOKUP(C139,'2. Ex-situ plan'!J94:K99,2,FALSE)</f>
        <v/>
      </c>
      <c r="AB142" s="53"/>
      <c r="AD142" s="32" t="s">
        <v>87</v>
      </c>
      <c r="AE142" s="44" t="e">
        <f>$G$171*$O$147</f>
        <v>#DIV/0!</v>
      </c>
      <c r="AF142" s="44" t="e">
        <f>$G$171*$S$147</f>
        <v>#DIV/0!</v>
      </c>
      <c r="AG142" s="44" t="e">
        <f>$G$171*$W$147</f>
        <v>#DIV/0!</v>
      </c>
      <c r="AH142" s="44" t="e">
        <f>$G$171*$AA$147</f>
        <v>#DIV/0!</v>
      </c>
    </row>
    <row r="143" spans="1:34" x14ac:dyDescent="0.35">
      <c r="A143" s="73"/>
      <c r="B143" s="203"/>
      <c r="C143" s="327"/>
      <c r="D143" s="258"/>
      <c r="E143" s="325"/>
      <c r="F143" s="73"/>
      <c r="G143" s="73"/>
      <c r="H143" s="73"/>
      <c r="I143" s="73"/>
      <c r="X143" s="8"/>
      <c r="AE143" s="9" t="e">
        <f>SUM(AE141:AE142)</f>
        <v>#DIV/0!</v>
      </c>
      <c r="AF143" s="9" t="e">
        <f>SUM(AF141:AF142)</f>
        <v>#DIV/0!</v>
      </c>
      <c r="AG143" s="9" t="e">
        <f>SUM(AG141:AG142)</f>
        <v>#DIV/0!</v>
      </c>
      <c r="AH143" s="9" t="e">
        <f>SUM(AH141:AH142)</f>
        <v>#DIV/0!</v>
      </c>
    </row>
    <row r="144" spans="1:34" x14ac:dyDescent="0.35">
      <c r="A144" s="73"/>
      <c r="B144" s="203"/>
      <c r="C144" s="212"/>
      <c r="D144" s="204"/>
      <c r="E144" s="215"/>
      <c r="F144" s="73"/>
      <c r="G144" s="73"/>
      <c r="H144" s="73"/>
      <c r="I144" s="73"/>
      <c r="N144" s="4" t="s">
        <v>93</v>
      </c>
      <c r="AE144" s="8"/>
    </row>
    <row r="145" spans="1:34" x14ac:dyDescent="0.35">
      <c r="A145" s="73"/>
      <c r="B145" s="75"/>
      <c r="C145" s="75"/>
      <c r="D145" s="75"/>
      <c r="E145" s="75"/>
      <c r="F145" s="73"/>
      <c r="G145" s="73"/>
      <c r="H145" s="73"/>
      <c r="I145" s="73"/>
      <c r="M145" s="3"/>
      <c r="N145" s="33" t="s">
        <v>69</v>
      </c>
      <c r="O145" s="33" t="s">
        <v>79</v>
      </c>
      <c r="P145" s="33" t="s">
        <v>9</v>
      </c>
      <c r="R145" s="33" t="s">
        <v>69</v>
      </c>
      <c r="S145" s="33" t="s">
        <v>79</v>
      </c>
      <c r="T145" s="33" t="s">
        <v>9</v>
      </c>
      <c r="U145" s="33"/>
      <c r="V145" s="33" t="s">
        <v>69</v>
      </c>
      <c r="W145" s="33" t="s">
        <v>79</v>
      </c>
      <c r="X145" s="33" t="s">
        <v>9</v>
      </c>
      <c r="Z145" s="33" t="s">
        <v>69</v>
      </c>
      <c r="AA145" s="33" t="s">
        <v>79</v>
      </c>
      <c r="AB145" s="33" t="s">
        <v>9</v>
      </c>
      <c r="AE145" s="8"/>
    </row>
    <row r="146" spans="1:34" x14ac:dyDescent="0.35">
      <c r="A146" s="73"/>
      <c r="B146" s="73"/>
      <c r="C146" s="73"/>
      <c r="D146" s="73"/>
      <c r="E146" s="73"/>
      <c r="F146" s="73"/>
      <c r="G146" s="73"/>
      <c r="H146" s="73"/>
      <c r="I146" s="73"/>
      <c r="M146" t="s">
        <v>94</v>
      </c>
      <c r="N146" s="36" t="e">
        <f>(O141*(($E$151/100)+(($C$151-N140)/($C$151-$C$152)*(($E$152-$E$151)/100))))+((1-O141)*(($E$149/100)+(($C$151-N140)/($C$151-$C$152)*(($E$150-$E$149)/100))))</f>
        <v>#DIV/0!</v>
      </c>
      <c r="O146" s="36" t="e">
        <f>(O141*(($E$151/100)+(($C$151-O140)/($C$151-$C$152)*(($E$152-$E$151)/100))))+((1-O141)*(($E$149/100)+(($C$151-O140)/($C$151-$C$152)*(($E$150-$E$149)/100))))</f>
        <v>#DIV/0!</v>
      </c>
      <c r="P146" s="36" t="e">
        <f>(O141*(($E$151/100)+(($C$151-P140)/($C$151-$C$152)*(($E$152-$E$151)/100))))+((1-O141)*(($E$149/100)+(($C$151-P140)/($C$151-$C$152)*(($E$150-$E$149)/100))))</f>
        <v>#DIV/0!</v>
      </c>
      <c r="R146" s="36" t="e">
        <f>(S141*(($E$151/100)+(($C$151-R140)/($C$151-$C$152)*(($E$152-$E$151)/100))))+((1-S141)*(($E$149/100)+(($C$151-R140)/($C$151-$C$152)*(($E$150-$E$149)/100))))</f>
        <v>#DIV/0!</v>
      </c>
      <c r="S146" s="36" t="e">
        <f>(S141*(($E$151/100)+(($C$151-S140)/($C$151-$C$152)*(($E$152-$E$151)/100))))+((1-S141)*(($E$149/100)+(($C$151-S140)/($C$151-$C$152)*(($E$150-$E$149)/100))))</f>
        <v>#DIV/0!</v>
      </c>
      <c r="T146" s="36" t="e">
        <f>(S141*(($E$151/100)+(($C$151-T140)/($C$151-$C$152)*(($E$152-$E$151)/100))))+((1-S141)*(($E$149/100)+(($C$151-T140)/($C$151-$C$152)*(($E$150-$E$149)/100))))</f>
        <v>#DIV/0!</v>
      </c>
      <c r="V146" s="36" t="e">
        <f>(W141*(($E$151/100)+(($C$151-V140)/($C$151-$C$152)*(($E$152-$E$151)/100))))+((1-W141)*(($E$149/100)+(($C$151-V140)/($C$151-$C$152)*(($E$150-$E$149)/100))))</f>
        <v>#DIV/0!</v>
      </c>
      <c r="W146" s="36" t="e">
        <f>(W141*(($E$151/100)+(($C$151-W140)/($C$151-$C$152)*(($E$152-$E$151)/100))))+((1-W141)*(($E$149/100)+(($C$151-W140)/($C$151-$C$152)*(($E$150-$E$149)/100))))</f>
        <v>#DIV/0!</v>
      </c>
      <c r="X146" s="36" t="e">
        <f>(W141*(($E$151/100)+(($C$151-X140)/($C$151-$C$152)*(($E$152-$E$151)/100))))+((1-W141)*(($E$149/100)+(($C$151-X140)/($C$151-$C$152)*(($E$150-$E$149)/100))))</f>
        <v>#DIV/0!</v>
      </c>
      <c r="Z146" s="36" t="e">
        <f>(AA141*(($E$151/100)+(($C$151-Z140)/($C$151-$C$152)*(($E$152-$E$151)/100))))+((1-AA141)*(($E$149/100)+(($C$151-Z140)/($C$151-$C$152)*(($E$150-$E$149)/100))))</f>
        <v>#DIV/0!</v>
      </c>
      <c r="AA146" s="36" t="e">
        <f>(AA141*(($E$151/100)+(($C$151-AA140)/($C$151-$C$152)*(($E$152-$E$151)/100))))+((1-AA141)*(($E$149/100)+(($C$151-AA140)/($C$151-$C$152)*(($E$150-$E$149)/100))))</f>
        <v>#DIV/0!</v>
      </c>
      <c r="AB146" s="36" t="e">
        <f>(AA141*(($E$151/100)+(($C$151-AB140)/($C$151-$C$152)*(($E$152-$E$151)/100))))+((1-AA141)*(($E$149/100)+(($C$151-AB140)/($C$151-$C$152)*(($E$150-$E$149)/100))))</f>
        <v>#DIV/0!</v>
      </c>
      <c r="AD146" s="39" t="s">
        <v>249</v>
      </c>
      <c r="AE146" s="49" t="s">
        <v>114</v>
      </c>
      <c r="AF146" s="42" t="s">
        <v>78</v>
      </c>
      <c r="AG146" s="42" t="s">
        <v>15</v>
      </c>
      <c r="AH146" s="43" t="s">
        <v>24</v>
      </c>
    </row>
    <row r="147" spans="1:34" x14ac:dyDescent="0.35">
      <c r="A147" s="73"/>
      <c r="B147" s="73"/>
      <c r="C147" s="73"/>
      <c r="D147" s="73"/>
      <c r="E147" s="73"/>
      <c r="F147" s="73"/>
      <c r="G147" s="73"/>
      <c r="H147" s="73"/>
      <c r="I147" s="73"/>
      <c r="M147" t="s">
        <v>80</v>
      </c>
      <c r="O147" s="36" t="e">
        <f>($C171-O142)/($C171-$D171)</f>
        <v>#DIV/0!</v>
      </c>
      <c r="R147" s="34"/>
      <c r="S147" s="36" t="e">
        <f>($C171-S142)/($C171-$D171)</f>
        <v>#VALUE!</v>
      </c>
      <c r="T147" s="34"/>
      <c r="V147" s="34"/>
      <c r="W147" s="36" t="e">
        <f>($C171-W142)/($C171-$D171)</f>
        <v>#VALUE!</v>
      </c>
      <c r="X147" s="34"/>
      <c r="Z147" s="34"/>
      <c r="AA147" s="36" t="e">
        <f>($C171-AA142)/($C171-$D171)</f>
        <v>#VALUE!</v>
      </c>
      <c r="AB147" s="34"/>
      <c r="AD147" t="s">
        <v>97</v>
      </c>
      <c r="AE147" s="5" t="e">
        <f>$G$168*N$146</f>
        <v>#DIV/0!</v>
      </c>
      <c r="AF147" s="5" t="e">
        <f>$G$168*R$146</f>
        <v>#DIV/0!</v>
      </c>
      <c r="AG147" s="5" t="e">
        <f>$G$168*V$146</f>
        <v>#DIV/0!</v>
      </c>
      <c r="AH147" s="5" t="e">
        <f>$G$168*Z$146</f>
        <v>#DIV/0!</v>
      </c>
    </row>
    <row r="148" spans="1:34" x14ac:dyDescent="0.35">
      <c r="A148" s="73"/>
      <c r="B148" s="73"/>
      <c r="C148" s="297" t="s">
        <v>74</v>
      </c>
      <c r="D148" s="206" t="s">
        <v>70</v>
      </c>
      <c r="E148" s="296" t="s">
        <v>73</v>
      </c>
      <c r="F148" s="73"/>
      <c r="G148" s="73"/>
      <c r="H148" s="73"/>
      <c r="I148" s="73"/>
      <c r="AD148" s="32" t="s">
        <v>87</v>
      </c>
      <c r="AE148" s="50" t="e">
        <f>$G$171*$O$147</f>
        <v>#DIV/0!</v>
      </c>
      <c r="AF148" s="44" t="e">
        <f>$G$171*$S$147</f>
        <v>#DIV/0!</v>
      </c>
      <c r="AG148" s="44" t="e">
        <f>$G$171*$W$147</f>
        <v>#DIV/0!</v>
      </c>
      <c r="AH148" s="44" t="e">
        <f>$G$171*$AA$147</f>
        <v>#DIV/0!</v>
      </c>
    </row>
    <row r="149" spans="1:34" x14ac:dyDescent="0.35">
      <c r="A149" s="73"/>
      <c r="B149" s="323" t="s">
        <v>69</v>
      </c>
      <c r="C149" s="329" t="e">
        <f>IF(MIN($N$140:$P$140,$R$140:$T$140,$V$140:$X$140,$Z$140:$AB$140)&lt;-100,-100,MIN($N$140:$P$140,$R$140:$T$140,$V$140:$X$140,$Z$140:$AB$140))</f>
        <v>#DIV/0!</v>
      </c>
      <c r="D149" s="206" t="s">
        <v>71</v>
      </c>
      <c r="E149" s="330">
        <v>0</v>
      </c>
      <c r="F149" s="73"/>
      <c r="G149" s="73"/>
      <c r="H149" s="73"/>
      <c r="I149" s="73"/>
      <c r="AE149" s="9" t="e">
        <f>SUM(AE147:AE148)</f>
        <v>#DIV/0!</v>
      </c>
      <c r="AF149" s="9" t="e">
        <f>SUM(AF147:AF148)</f>
        <v>#DIV/0!</v>
      </c>
      <c r="AG149" s="9" t="e">
        <f>SUM(AG147:AG148)</f>
        <v>#DIV/0!</v>
      </c>
      <c r="AH149" s="9" t="e">
        <f>SUM(AH147:AH148)</f>
        <v>#DIV/0!</v>
      </c>
    </row>
    <row r="150" spans="1:34" x14ac:dyDescent="0.35">
      <c r="A150" s="73"/>
      <c r="B150" s="322" t="s">
        <v>298</v>
      </c>
      <c r="C150" s="329" t="e">
        <f>C152</f>
        <v>#DIV/0!</v>
      </c>
      <c r="D150" s="324" t="s">
        <v>71</v>
      </c>
      <c r="E150" s="331"/>
      <c r="F150" s="73"/>
      <c r="G150" s="73"/>
      <c r="H150" s="73"/>
      <c r="I150" s="73"/>
      <c r="AE150" s="8"/>
    </row>
    <row r="151" spans="1:34" x14ac:dyDescent="0.35">
      <c r="A151" s="73"/>
      <c r="B151" s="328" t="s">
        <v>299</v>
      </c>
      <c r="C151" s="55" t="e">
        <f>C149</f>
        <v>#DIV/0!</v>
      </c>
      <c r="D151" s="208" t="s">
        <v>72</v>
      </c>
      <c r="E151" s="332"/>
      <c r="F151" s="73"/>
      <c r="G151" s="73"/>
      <c r="H151" s="73"/>
      <c r="I151" s="73"/>
      <c r="AE151" s="8"/>
    </row>
    <row r="152" spans="1:34" x14ac:dyDescent="0.35">
      <c r="A152" s="73"/>
      <c r="B152" s="323" t="s">
        <v>9</v>
      </c>
      <c r="C152" s="55" t="e">
        <f>MAX($N$140:$P$140,$R$140:$T$140,$V$140:$X$140,$Z$140:$AB$140)</f>
        <v>#DIV/0!</v>
      </c>
      <c r="D152" s="206" t="s">
        <v>72</v>
      </c>
      <c r="E152" s="330">
        <v>100</v>
      </c>
      <c r="F152" s="73"/>
      <c r="G152" s="73"/>
      <c r="H152" s="73"/>
      <c r="I152" s="73"/>
      <c r="AE152" s="8"/>
    </row>
    <row r="153" spans="1:34" x14ac:dyDescent="0.35">
      <c r="A153" s="73"/>
      <c r="B153" s="204"/>
      <c r="C153" s="213"/>
      <c r="D153" s="73"/>
      <c r="E153" s="73"/>
      <c r="F153" s="73"/>
      <c r="G153" s="73"/>
      <c r="H153" s="73"/>
      <c r="I153" s="73"/>
      <c r="AD153" s="39" t="s">
        <v>250</v>
      </c>
      <c r="AE153" s="49" t="s">
        <v>114</v>
      </c>
      <c r="AF153" s="42" t="s">
        <v>78</v>
      </c>
      <c r="AG153" s="42" t="s">
        <v>15</v>
      </c>
      <c r="AH153" s="43" t="s">
        <v>24</v>
      </c>
    </row>
    <row r="154" spans="1:34" x14ac:dyDescent="0.35">
      <c r="A154" s="73"/>
      <c r="B154" s="204"/>
      <c r="C154" s="213"/>
      <c r="D154" s="73"/>
      <c r="E154" s="73"/>
      <c r="F154" s="73"/>
      <c r="G154" s="73"/>
      <c r="H154" s="73"/>
      <c r="I154" s="73"/>
      <c r="AD154" t="s">
        <v>97</v>
      </c>
      <c r="AE154" s="5" t="e">
        <f>$G$168*P$146</f>
        <v>#DIV/0!</v>
      </c>
      <c r="AF154" s="5" t="e">
        <f>$G$168*T$146</f>
        <v>#DIV/0!</v>
      </c>
      <c r="AG154" s="5" t="e">
        <f>$G$168*X$146</f>
        <v>#DIV/0!</v>
      </c>
      <c r="AH154" s="5" t="e">
        <f>$G$168*AB$146</f>
        <v>#DIV/0!</v>
      </c>
    </row>
    <row r="155" spans="1:34" x14ac:dyDescent="0.35">
      <c r="A155" s="73"/>
      <c r="B155" s="204"/>
      <c r="C155" s="213"/>
      <c r="D155" s="73"/>
      <c r="E155" s="73"/>
      <c r="F155" s="73"/>
      <c r="G155" s="73"/>
      <c r="H155" s="73"/>
      <c r="I155" s="73"/>
      <c r="AD155" s="32" t="s">
        <v>87</v>
      </c>
      <c r="AE155" s="44" t="e">
        <f>$G$171*$O$147</f>
        <v>#DIV/0!</v>
      </c>
      <c r="AF155" s="44" t="e">
        <f>$G$171*$S$147</f>
        <v>#DIV/0!</v>
      </c>
      <c r="AG155" s="44" t="e">
        <f>$G$171*$W$147</f>
        <v>#DIV/0!</v>
      </c>
      <c r="AH155" s="44" t="e">
        <f>$G$171*$AA$147</f>
        <v>#DIV/0!</v>
      </c>
    </row>
    <row r="156" spans="1:34" x14ac:dyDescent="0.35">
      <c r="A156" s="73"/>
      <c r="B156" s="204"/>
      <c r="C156" s="213"/>
      <c r="D156" s="73"/>
      <c r="E156" s="73"/>
      <c r="F156" s="73"/>
      <c r="G156" s="73"/>
      <c r="H156" s="73"/>
      <c r="I156" s="73"/>
      <c r="AE156" s="9" t="e">
        <f>SUM(AE154:AE155)</f>
        <v>#DIV/0!</v>
      </c>
      <c r="AF156" s="9" t="e">
        <f>SUM(AF154:AF155)</f>
        <v>#DIV/0!</v>
      </c>
      <c r="AG156" s="9" t="e">
        <f>SUM(AG154:AG155)</f>
        <v>#DIV/0!</v>
      </c>
      <c r="AH156" s="9" t="e">
        <f>SUM(AH154:AH155)</f>
        <v>#DIV/0!</v>
      </c>
    </row>
    <row r="157" spans="1:34" x14ac:dyDescent="0.35">
      <c r="A157" s="73"/>
      <c r="B157" s="204"/>
      <c r="C157" s="213"/>
      <c r="D157" s="73"/>
      <c r="E157" s="73"/>
      <c r="F157" s="73"/>
      <c r="G157" s="73"/>
      <c r="H157" s="73"/>
      <c r="I157" s="73"/>
    </row>
    <row r="158" spans="1:34" x14ac:dyDescent="0.35">
      <c r="A158" s="73"/>
      <c r="B158" s="204"/>
      <c r="C158" s="213"/>
      <c r="D158" s="73"/>
      <c r="E158" s="73"/>
      <c r="F158" s="73"/>
      <c r="G158" s="73"/>
      <c r="H158" s="73"/>
      <c r="I158" s="73"/>
    </row>
    <row r="159" spans="1:34" x14ac:dyDescent="0.35">
      <c r="A159" s="73"/>
      <c r="B159" s="204"/>
      <c r="C159" s="213"/>
      <c r="D159" s="73"/>
      <c r="E159" s="73"/>
      <c r="F159" s="73"/>
      <c r="G159" s="73"/>
      <c r="H159" s="73"/>
      <c r="I159" s="73"/>
    </row>
    <row r="160" spans="1:34" x14ac:dyDescent="0.35">
      <c r="A160" s="73"/>
      <c r="B160" s="204"/>
      <c r="C160" s="213"/>
      <c r="D160" s="73"/>
      <c r="E160" s="73"/>
      <c r="F160" s="73"/>
      <c r="G160" s="73"/>
      <c r="H160" s="73"/>
      <c r="I160" s="73"/>
    </row>
    <row r="161" spans="1:12" x14ac:dyDescent="0.35">
      <c r="A161" s="73"/>
      <c r="B161" s="204"/>
      <c r="C161" s="213"/>
      <c r="D161" s="73"/>
      <c r="E161" s="73"/>
      <c r="F161" s="73"/>
      <c r="G161" s="73"/>
      <c r="H161" s="73"/>
      <c r="I161" s="73"/>
    </row>
    <row r="162" spans="1:12" x14ac:dyDescent="0.35">
      <c r="A162" s="73"/>
      <c r="B162" s="204"/>
      <c r="C162" s="213"/>
      <c r="D162" s="73"/>
      <c r="E162" s="73"/>
      <c r="F162" s="73"/>
      <c r="G162" s="73"/>
      <c r="H162" s="73"/>
      <c r="I162" s="73"/>
    </row>
    <row r="163" spans="1:12" x14ac:dyDescent="0.35">
      <c r="A163" s="73"/>
      <c r="B163" s="204"/>
      <c r="C163" s="213"/>
      <c r="D163" s="73"/>
      <c r="E163" s="73"/>
      <c r="F163" s="73"/>
      <c r="G163" s="73"/>
      <c r="H163" s="73"/>
      <c r="I163" s="73"/>
    </row>
    <row r="164" spans="1:12" x14ac:dyDescent="0.35">
      <c r="A164" s="73"/>
      <c r="B164" s="204"/>
      <c r="C164" s="213"/>
      <c r="D164" s="73"/>
      <c r="E164" s="73"/>
      <c r="F164" s="73"/>
      <c r="G164" s="73"/>
      <c r="H164" s="73"/>
      <c r="I164" s="73"/>
    </row>
    <row r="165" spans="1:12" x14ac:dyDescent="0.35">
      <c r="A165" s="73"/>
      <c r="B165" s="74"/>
      <c r="C165" s="73"/>
      <c r="D165" s="73"/>
      <c r="E165" s="73"/>
      <c r="F165" s="73"/>
      <c r="G165" s="73"/>
      <c r="H165" s="73"/>
      <c r="I165" s="73"/>
    </row>
    <row r="166" spans="1:12" x14ac:dyDescent="0.35">
      <c r="A166" s="73"/>
      <c r="B166" s="73"/>
      <c r="C166" s="73"/>
      <c r="D166" s="73"/>
      <c r="E166" s="73"/>
      <c r="F166" s="73"/>
      <c r="G166" s="73"/>
      <c r="H166" s="73"/>
      <c r="I166" s="73"/>
    </row>
    <row r="167" spans="1:12" x14ac:dyDescent="0.35">
      <c r="A167" s="73"/>
      <c r="B167" s="319"/>
      <c r="C167" s="209" t="s">
        <v>88</v>
      </c>
      <c r="D167" s="209" t="s">
        <v>89</v>
      </c>
      <c r="E167" s="209" t="s">
        <v>91</v>
      </c>
      <c r="F167" s="209" t="s">
        <v>73</v>
      </c>
      <c r="G167" s="295" t="s">
        <v>232</v>
      </c>
      <c r="H167" s="73"/>
      <c r="I167" s="73"/>
    </row>
    <row r="168" spans="1:12" x14ac:dyDescent="0.35">
      <c r="A168" s="73"/>
      <c r="B168" s="320" t="s">
        <v>92</v>
      </c>
      <c r="C168" s="210" t="e">
        <f>C149</f>
        <v>#DIV/0!</v>
      </c>
      <c r="D168" s="210" t="e">
        <f>C152</f>
        <v>#DIV/0!</v>
      </c>
      <c r="E168" s="487"/>
      <c r="F168" s="489"/>
      <c r="G168" s="491" t="e">
        <f>F168/(F$168+F$171)</f>
        <v>#DIV/0!</v>
      </c>
      <c r="H168" s="73"/>
      <c r="I168" s="73"/>
    </row>
    <row r="169" spans="1:12" x14ac:dyDescent="0.35">
      <c r="A169" s="73"/>
      <c r="B169" s="320" t="s">
        <v>70</v>
      </c>
      <c r="C169" s="210" t="s">
        <v>71</v>
      </c>
      <c r="D169" s="210" t="s">
        <v>72</v>
      </c>
      <c r="E169" s="488"/>
      <c r="F169" s="490"/>
      <c r="G169" s="492"/>
      <c r="H169" s="73"/>
      <c r="I169" s="73"/>
    </row>
    <row r="170" spans="1:12" x14ac:dyDescent="0.35">
      <c r="A170" s="73"/>
      <c r="B170" s="320"/>
      <c r="C170" s="73"/>
      <c r="D170" s="73"/>
      <c r="E170" s="73"/>
      <c r="F170" s="73"/>
      <c r="G170" s="298"/>
      <c r="H170" s="73"/>
      <c r="I170" s="73"/>
      <c r="K170" s="3"/>
      <c r="L170" s="3"/>
    </row>
    <row r="171" spans="1:12" x14ac:dyDescent="0.35">
      <c r="A171" s="73"/>
      <c r="B171" s="321" t="s">
        <v>90</v>
      </c>
      <c r="C171" s="211">
        <f>MAX($O$142,$S$142,$W$142,$AA$142)</f>
        <v>0</v>
      </c>
      <c r="D171" s="211">
        <f>MIN($O$142,$S$142,$W$142,$AA$142)</f>
        <v>0</v>
      </c>
      <c r="E171" s="336"/>
      <c r="F171" s="337"/>
      <c r="G171" s="338" t="e">
        <f>F171/(F$168+F$171)</f>
        <v>#DIV/0!</v>
      </c>
      <c r="H171" s="73"/>
      <c r="I171" s="73"/>
    </row>
    <row r="172" spans="1:12" x14ac:dyDescent="0.35">
      <c r="A172" s="73"/>
      <c r="B172" s="204"/>
      <c r="C172" s="333"/>
      <c r="D172" s="333"/>
      <c r="E172" s="339"/>
      <c r="F172" s="339"/>
      <c r="G172" s="340"/>
      <c r="H172" s="73"/>
      <c r="I172" s="73"/>
    </row>
    <row r="173" spans="1:12" x14ac:dyDescent="0.35">
      <c r="A173" s="73"/>
      <c r="B173" s="204"/>
      <c r="C173" s="333"/>
      <c r="D173" s="333"/>
      <c r="E173" s="334"/>
      <c r="F173" s="334"/>
      <c r="G173" s="335"/>
      <c r="H173" s="73"/>
      <c r="I173" s="73"/>
    </row>
    <row r="174" spans="1:12" x14ac:dyDescent="0.35">
      <c r="A174" s="73"/>
      <c r="B174" s="73" t="s">
        <v>300</v>
      </c>
      <c r="C174" s="333"/>
      <c r="D174" s="333"/>
      <c r="E174" s="334"/>
      <c r="F174" s="334"/>
      <c r="G174" s="335"/>
      <c r="H174" s="73"/>
      <c r="I174" s="73"/>
    </row>
    <row r="175" spans="1:12" x14ac:dyDescent="0.35">
      <c r="A175" s="73"/>
      <c r="B175" t="s">
        <v>293</v>
      </c>
      <c r="C175" s="73"/>
      <c r="D175" s="73"/>
      <c r="E175" s="73"/>
      <c r="F175" s="73"/>
      <c r="G175" s="73"/>
      <c r="H175" s="73"/>
      <c r="I175" s="73"/>
    </row>
    <row r="176" spans="1:12" x14ac:dyDescent="0.35">
      <c r="A176" s="73"/>
      <c r="B176" s="73"/>
      <c r="C176" s="73"/>
      <c r="D176" s="73"/>
      <c r="E176" s="73"/>
      <c r="F176" s="73"/>
      <c r="G176" s="73"/>
      <c r="H176" s="73"/>
      <c r="I176" s="73"/>
    </row>
    <row r="177" spans="1:9" x14ac:dyDescent="0.35">
      <c r="A177" s="73"/>
      <c r="B177" s="73"/>
      <c r="C177" s="73"/>
      <c r="D177" s="73"/>
      <c r="E177" s="73"/>
      <c r="F177" s="73"/>
      <c r="G177" s="73"/>
      <c r="H177" s="73"/>
      <c r="I177" s="73"/>
    </row>
    <row r="178" spans="1:9" x14ac:dyDescent="0.35">
      <c r="A178" s="73"/>
      <c r="B178" s="73"/>
      <c r="C178" s="73"/>
      <c r="D178" s="73"/>
      <c r="E178" s="73"/>
      <c r="F178" s="73"/>
      <c r="G178" s="73"/>
      <c r="H178" s="73"/>
      <c r="I178" s="73"/>
    </row>
    <row r="179" spans="1:9" x14ac:dyDescent="0.35">
      <c r="A179" s="73"/>
      <c r="B179" s="73"/>
      <c r="C179" s="73"/>
      <c r="D179" s="73"/>
      <c r="E179" s="73"/>
      <c r="F179" s="73"/>
      <c r="G179" s="73"/>
      <c r="H179" s="73"/>
      <c r="I179" s="73"/>
    </row>
    <row r="180" spans="1:9" x14ac:dyDescent="0.35">
      <c r="A180" s="73"/>
      <c r="B180" s="73"/>
      <c r="C180" s="73"/>
      <c r="D180" s="73"/>
      <c r="E180" s="73"/>
      <c r="F180" s="73"/>
      <c r="G180" s="73"/>
      <c r="H180" s="73"/>
      <c r="I180" s="73"/>
    </row>
    <row r="181" spans="1:9" x14ac:dyDescent="0.35">
      <c r="A181" s="73"/>
      <c r="B181" s="73"/>
      <c r="C181" s="73"/>
      <c r="D181" s="73"/>
      <c r="E181" s="73"/>
      <c r="F181" s="73"/>
      <c r="G181" s="73"/>
      <c r="H181" s="73"/>
      <c r="I181" s="73"/>
    </row>
    <row r="182" spans="1:9" x14ac:dyDescent="0.35">
      <c r="A182" s="73"/>
      <c r="B182" s="73"/>
      <c r="C182" s="73"/>
      <c r="D182" s="73"/>
      <c r="E182" s="73"/>
      <c r="F182" s="73"/>
      <c r="G182" s="73"/>
      <c r="H182" s="73"/>
      <c r="I182" s="73"/>
    </row>
    <row r="183" spans="1:9" x14ac:dyDescent="0.35">
      <c r="A183" s="73"/>
      <c r="B183" s="73"/>
      <c r="C183" s="73"/>
      <c r="D183" s="73"/>
      <c r="E183" s="73"/>
      <c r="F183" s="73"/>
      <c r="G183" s="73"/>
      <c r="H183" s="73"/>
      <c r="I183" s="73"/>
    </row>
    <row r="184" spans="1:9" x14ac:dyDescent="0.35">
      <c r="A184" s="73"/>
      <c r="B184" s="73"/>
      <c r="C184" s="73"/>
      <c r="D184" s="73"/>
      <c r="E184" s="73"/>
      <c r="F184" s="73"/>
      <c r="G184" s="73"/>
      <c r="H184" s="73"/>
      <c r="I184" s="73"/>
    </row>
    <row r="185" spans="1:9" x14ac:dyDescent="0.35">
      <c r="A185" s="73"/>
      <c r="B185" s="73"/>
      <c r="C185" s="73"/>
      <c r="D185" s="73"/>
      <c r="E185" s="73"/>
      <c r="F185" s="73"/>
      <c r="G185" s="73"/>
      <c r="H185" s="73"/>
      <c r="I185" s="73"/>
    </row>
    <row r="186" spans="1:9" x14ac:dyDescent="0.35">
      <c r="A186" s="73"/>
      <c r="B186" s="73"/>
      <c r="C186" s="73"/>
      <c r="D186" s="73"/>
      <c r="E186" s="73"/>
      <c r="F186" s="73"/>
      <c r="G186" s="73"/>
      <c r="H186" s="73"/>
      <c r="I186" s="73"/>
    </row>
    <row r="187" spans="1:9" x14ac:dyDescent="0.35">
      <c r="A187" s="73"/>
      <c r="B187" s="73"/>
      <c r="C187" s="73"/>
      <c r="D187" s="73"/>
      <c r="E187" s="73"/>
      <c r="F187" s="73"/>
      <c r="G187" s="73"/>
      <c r="H187" s="73"/>
      <c r="I187" s="73"/>
    </row>
    <row r="188" spans="1:9" x14ac:dyDescent="0.35">
      <c r="A188" s="73"/>
      <c r="B188" s="73"/>
      <c r="C188" s="73"/>
      <c r="D188" s="73"/>
      <c r="E188" s="73"/>
      <c r="F188" s="73"/>
      <c r="G188" s="73"/>
      <c r="H188" s="73"/>
      <c r="I188" s="73"/>
    </row>
    <row r="189" spans="1:9" x14ac:dyDescent="0.35">
      <c r="A189" s="73"/>
      <c r="B189" s="73"/>
      <c r="C189" s="73"/>
      <c r="D189" s="73"/>
      <c r="E189" s="73"/>
      <c r="F189" s="73"/>
      <c r="G189" s="73"/>
      <c r="H189" s="73"/>
      <c r="I189" s="73"/>
    </row>
    <row r="190" spans="1:9" x14ac:dyDescent="0.35">
      <c r="A190" s="73"/>
      <c r="B190" s="73"/>
      <c r="C190" s="73"/>
      <c r="D190" s="73"/>
      <c r="E190" s="73"/>
      <c r="F190" s="73"/>
      <c r="G190" s="73"/>
      <c r="H190" s="73"/>
      <c r="I190" s="73"/>
    </row>
    <row r="191" spans="1:9" x14ac:dyDescent="0.35">
      <c r="A191" s="73"/>
      <c r="B191" s="73"/>
      <c r="C191" s="73"/>
      <c r="D191" s="73"/>
      <c r="E191" s="73"/>
      <c r="F191" s="73"/>
      <c r="G191" s="73"/>
      <c r="H191" s="73"/>
      <c r="I191" s="73"/>
    </row>
    <row r="192" spans="1:9" x14ac:dyDescent="0.35">
      <c r="A192" s="73"/>
      <c r="B192" s="73"/>
      <c r="C192" s="73"/>
      <c r="D192" s="73"/>
      <c r="E192" s="73"/>
      <c r="F192" s="73"/>
      <c r="G192" s="73"/>
      <c r="H192" s="73"/>
      <c r="I192" s="73"/>
    </row>
    <row r="193" spans="1:34" x14ac:dyDescent="0.35">
      <c r="A193" s="73"/>
      <c r="B193" s="73"/>
      <c r="C193" s="73"/>
      <c r="D193" s="73"/>
      <c r="E193" s="73"/>
      <c r="F193" s="73"/>
      <c r="G193" s="73"/>
      <c r="H193" s="73"/>
      <c r="I193" s="73"/>
    </row>
    <row r="194" spans="1:34" x14ac:dyDescent="0.35">
      <c r="A194" s="73"/>
      <c r="B194" s="73"/>
      <c r="C194" s="73"/>
      <c r="D194" s="73"/>
      <c r="E194" s="73"/>
      <c r="F194" s="73"/>
      <c r="G194" s="73"/>
      <c r="H194" s="73"/>
      <c r="I194" s="73"/>
    </row>
    <row r="195" spans="1:34" x14ac:dyDescent="0.35">
      <c r="A195" s="73"/>
      <c r="B195" s="74" t="s">
        <v>272</v>
      </c>
      <c r="C195" s="31" t="str">
        <f>IF('Initial information'!$C$23="","",'Initial information'!$C$23)</f>
        <v/>
      </c>
      <c r="D195" s="73"/>
      <c r="E195" s="73"/>
      <c r="F195" s="73"/>
      <c r="G195" s="73"/>
      <c r="H195" s="73"/>
      <c r="I195" s="73"/>
      <c r="K195" s="74" t="s">
        <v>272</v>
      </c>
      <c r="N195" s="37"/>
      <c r="O195" s="38" t="s">
        <v>114</v>
      </c>
      <c r="P195" s="37"/>
      <c r="R195" s="37"/>
      <c r="S195" s="38" t="s">
        <v>78</v>
      </c>
      <c r="T195" s="37"/>
      <c r="V195" s="37"/>
      <c r="W195" s="38" t="s">
        <v>15</v>
      </c>
      <c r="X195" s="37"/>
      <c r="Z195" s="37"/>
      <c r="AA195" s="39" t="s">
        <v>24</v>
      </c>
      <c r="AB195" s="37"/>
      <c r="AD195" s="3" t="s">
        <v>95</v>
      </c>
      <c r="AE195" s="3"/>
    </row>
    <row r="196" spans="1:34" x14ac:dyDescent="0.35">
      <c r="A196" s="73"/>
      <c r="B196" s="74" t="s">
        <v>134</v>
      </c>
      <c r="C196" s="31" t="str">
        <f>IF('Initial information'!$D$23="","",'Initial information'!$D$23)</f>
        <v/>
      </c>
      <c r="D196" s="73"/>
      <c r="E196" s="73"/>
      <c r="F196" s="73"/>
      <c r="G196" s="73"/>
      <c r="H196" s="73"/>
      <c r="I196" s="73"/>
      <c r="K196" s="3" t="s">
        <v>75</v>
      </c>
      <c r="L196" s="3" t="s">
        <v>76</v>
      </c>
      <c r="M196" s="3" t="s">
        <v>77</v>
      </c>
      <c r="N196" s="33" t="s">
        <v>69</v>
      </c>
      <c r="O196" s="33" t="s">
        <v>79</v>
      </c>
      <c r="P196" s="33" t="s">
        <v>9</v>
      </c>
      <c r="R196" s="33" t="s">
        <v>69</v>
      </c>
      <c r="S196" s="33" t="s">
        <v>79</v>
      </c>
      <c r="T196" s="33" t="s">
        <v>9</v>
      </c>
      <c r="V196" s="33" t="s">
        <v>69</v>
      </c>
      <c r="W196" s="33" t="s">
        <v>79</v>
      </c>
      <c r="X196" s="33" t="s">
        <v>9</v>
      </c>
      <c r="Z196" s="33" t="s">
        <v>69</v>
      </c>
      <c r="AA196" s="33" t="s">
        <v>79</v>
      </c>
      <c r="AB196" s="33" t="s">
        <v>9</v>
      </c>
    </row>
    <row r="197" spans="1:34" x14ac:dyDescent="0.35">
      <c r="A197" s="73"/>
      <c r="B197" s="73"/>
      <c r="C197" s="73"/>
      <c r="D197" s="73"/>
      <c r="E197" s="73"/>
      <c r="F197" s="73"/>
      <c r="G197" s="73"/>
      <c r="H197" s="73"/>
      <c r="I197" s="73"/>
      <c r="K197" t="s">
        <v>84</v>
      </c>
      <c r="L197" t="s">
        <v>83</v>
      </c>
      <c r="M197" t="s">
        <v>85</v>
      </c>
      <c r="N197" s="31">
        <f>'5. Decision tree Outputs'!AX16</f>
        <v>0</v>
      </c>
      <c r="O197" s="31" t="e">
        <f>'5. Decision tree Outputs'!AW16</f>
        <v>#DIV/0!</v>
      </c>
      <c r="P197" s="31">
        <f>'5. Decision tree Outputs'!AY16</f>
        <v>0</v>
      </c>
      <c r="R197" s="31" t="e">
        <f>'5. Decision tree Outputs'!AX17</f>
        <v>#DIV/0!</v>
      </c>
      <c r="S197" s="31" t="e">
        <f>'5. Decision tree Outputs'!AW17</f>
        <v>#DIV/0!</v>
      </c>
      <c r="T197" s="31" t="e">
        <f>'5. Decision tree Outputs'!AY17</f>
        <v>#DIV/0!</v>
      </c>
      <c r="V197" s="31" t="e">
        <f>'5. Decision tree Outputs'!AX18</f>
        <v>#DIV/0!</v>
      </c>
      <c r="W197" s="31" t="e">
        <f>'5. Decision tree Outputs'!AW18</f>
        <v>#DIV/0!</v>
      </c>
      <c r="X197" s="31" t="e">
        <f>'5. Decision tree Outputs'!AY18</f>
        <v>#DIV/0!</v>
      </c>
      <c r="Z197" s="35" t="e">
        <f>'5. Decision tree Outputs'!AX19</f>
        <v>#DIV/0!</v>
      </c>
      <c r="AA197" s="35" t="e">
        <f>'5. Decision tree Outputs'!AW19</f>
        <v>#DIV/0!</v>
      </c>
      <c r="AB197" s="35" t="e">
        <f>'5. Decision tree Outputs'!AY19</f>
        <v>#DIV/0!</v>
      </c>
      <c r="AD197" s="41" t="s">
        <v>96</v>
      </c>
      <c r="AE197" s="49" t="s">
        <v>114</v>
      </c>
      <c r="AF197" s="42" t="s">
        <v>78</v>
      </c>
      <c r="AG197" s="42" t="s">
        <v>15</v>
      </c>
      <c r="AH197" s="43" t="s">
        <v>24</v>
      </c>
    </row>
    <row r="198" spans="1:34" x14ac:dyDescent="0.35">
      <c r="A198" s="73"/>
      <c r="B198" s="74"/>
      <c r="C198" s="73"/>
      <c r="D198" s="73"/>
      <c r="E198" s="73"/>
      <c r="F198" s="73"/>
      <c r="G198" s="73"/>
      <c r="H198" s="73"/>
      <c r="I198" s="73"/>
      <c r="K198" t="s">
        <v>115</v>
      </c>
      <c r="L198" t="s">
        <v>82</v>
      </c>
      <c r="M198" t="s">
        <v>85</v>
      </c>
      <c r="N198" s="34"/>
      <c r="O198" s="31">
        <v>0</v>
      </c>
      <c r="P198" s="34"/>
      <c r="R198" s="34"/>
      <c r="S198" s="31">
        <v>0</v>
      </c>
      <c r="T198" s="34"/>
      <c r="V198" s="34"/>
      <c r="W198" s="31">
        <v>0</v>
      </c>
      <c r="X198" s="34"/>
      <c r="Z198" s="34"/>
      <c r="AA198" s="36" t="e">
        <f>'5. Decision tree Outputs'!C38</f>
        <v>#DIV/0!</v>
      </c>
      <c r="AB198" s="34"/>
      <c r="AD198" t="s">
        <v>97</v>
      </c>
      <c r="AE198" s="5" t="e">
        <f>$G$225*O$203</f>
        <v>#DIV/0!</v>
      </c>
      <c r="AF198" s="5" t="e">
        <f>$G$225*S$203</f>
        <v>#DIV/0!</v>
      </c>
      <c r="AG198" s="5" t="e">
        <f>$G$225*W$203</f>
        <v>#DIV/0!</v>
      </c>
      <c r="AH198" s="5" t="e">
        <f>$G$225*AA$203</f>
        <v>#DIV/0!</v>
      </c>
    </row>
    <row r="199" spans="1:34" x14ac:dyDescent="0.35">
      <c r="A199" s="73"/>
      <c r="B199" s="203"/>
      <c r="C199" s="327"/>
      <c r="D199" s="258"/>
      <c r="E199" s="325"/>
      <c r="F199" s="75"/>
      <c r="G199" s="73"/>
      <c r="H199" s="73"/>
      <c r="I199" s="73"/>
      <c r="K199" s="8" t="s">
        <v>80</v>
      </c>
      <c r="L199" t="s">
        <v>81</v>
      </c>
      <c r="M199" t="s">
        <v>86</v>
      </c>
      <c r="N199" s="53"/>
      <c r="O199" s="40">
        <v>0</v>
      </c>
      <c r="P199" s="53"/>
      <c r="R199" s="53"/>
      <c r="S199" s="40" t="str">
        <f>VLOOKUP(C196,'1. In-situ status quo plan'!J31:K36,2,FALSE)</f>
        <v/>
      </c>
      <c r="T199" s="53"/>
      <c r="V199" s="53"/>
      <c r="W199" s="40" t="str">
        <f>VLOOKUP(C196,'3. In-situ plus plan'!C29:D34,2,FALSE)</f>
        <v/>
      </c>
      <c r="X199" s="53"/>
      <c r="Z199" s="53"/>
      <c r="AA199" s="40" t="str">
        <f>VLOOKUP(C196,'2. Ex-situ plan'!J94:K99,2,FALSE)</f>
        <v/>
      </c>
      <c r="AB199" s="53"/>
      <c r="AD199" s="32" t="s">
        <v>87</v>
      </c>
      <c r="AE199" s="44" t="e">
        <f>$G$228*$O$204</f>
        <v>#DIV/0!</v>
      </c>
      <c r="AF199" s="44" t="e">
        <f>$G$228*$S$204</f>
        <v>#DIV/0!</v>
      </c>
      <c r="AG199" s="44" t="e">
        <f>$G$228*$W$204</f>
        <v>#DIV/0!</v>
      </c>
      <c r="AH199" s="44" t="e">
        <f>$G$228*$AA$204</f>
        <v>#DIV/0!</v>
      </c>
    </row>
    <row r="200" spans="1:34" x14ac:dyDescent="0.35">
      <c r="A200" s="73"/>
      <c r="B200" s="203"/>
      <c r="C200" s="327"/>
      <c r="D200" s="258"/>
      <c r="E200" s="325"/>
      <c r="F200" s="75"/>
      <c r="G200" s="73"/>
      <c r="H200" s="73"/>
      <c r="I200" s="73"/>
      <c r="X200" s="8"/>
      <c r="AE200" s="9" t="e">
        <f>SUM(AE198:AE199)</f>
        <v>#DIV/0!</v>
      </c>
      <c r="AF200" s="9" t="e">
        <f>SUM(AF198:AF199)</f>
        <v>#DIV/0!</v>
      </c>
      <c r="AG200" s="9" t="e">
        <f>SUM(AG198:AG199)</f>
        <v>#DIV/0!</v>
      </c>
      <c r="AH200" s="9" t="e">
        <f>SUM(AH198:AH199)</f>
        <v>#DIV/0!</v>
      </c>
    </row>
    <row r="201" spans="1:34" x14ac:dyDescent="0.35">
      <c r="A201" s="73"/>
      <c r="B201" s="203"/>
      <c r="C201" s="212"/>
      <c r="D201" s="204"/>
      <c r="E201" s="215"/>
      <c r="F201" s="75"/>
      <c r="G201" s="73"/>
      <c r="H201" s="73"/>
      <c r="I201" s="73"/>
      <c r="N201" s="4" t="s">
        <v>93</v>
      </c>
      <c r="AE201" s="8"/>
    </row>
    <row r="202" spans="1:34" x14ac:dyDescent="0.35">
      <c r="A202" s="73"/>
      <c r="B202" s="73"/>
      <c r="C202" s="73"/>
      <c r="D202" s="73"/>
      <c r="E202" s="73"/>
      <c r="F202" s="73"/>
      <c r="G202" s="73"/>
      <c r="H202" s="73"/>
      <c r="I202" s="73"/>
      <c r="M202" s="3"/>
      <c r="N202" s="33" t="s">
        <v>69</v>
      </c>
      <c r="O202" s="33" t="s">
        <v>79</v>
      </c>
      <c r="P202" s="33" t="s">
        <v>9</v>
      </c>
      <c r="R202" s="33" t="s">
        <v>69</v>
      </c>
      <c r="S202" s="33" t="s">
        <v>79</v>
      </c>
      <c r="T202" s="33" t="s">
        <v>9</v>
      </c>
      <c r="U202" s="33"/>
      <c r="V202" s="33" t="s">
        <v>69</v>
      </c>
      <c r="W202" s="33" t="s">
        <v>79</v>
      </c>
      <c r="X202" s="33" t="s">
        <v>9</v>
      </c>
      <c r="Z202" s="33" t="s">
        <v>69</v>
      </c>
      <c r="AA202" s="33" t="s">
        <v>79</v>
      </c>
      <c r="AB202" s="33" t="s">
        <v>9</v>
      </c>
      <c r="AE202" s="8"/>
    </row>
    <row r="203" spans="1:34" x14ac:dyDescent="0.35">
      <c r="A203" s="73"/>
      <c r="B203" s="73"/>
      <c r="C203" s="73"/>
      <c r="D203" s="73"/>
      <c r="E203" s="73"/>
      <c r="F203" s="73"/>
      <c r="G203" s="73"/>
      <c r="H203" s="73"/>
      <c r="I203" s="73"/>
      <c r="M203" t="s">
        <v>94</v>
      </c>
      <c r="N203" s="36" t="e">
        <f>(O198*(($E$208/100)+(($C$208-N197)/($C$208-$C$209)*(($E$209-$E$208)/100))))+((1-O198)*(($E$206/100)+(($C$208-N197)/($C$208-$C$209)*(($E$207-$E$206)/100))))</f>
        <v>#DIV/0!</v>
      </c>
      <c r="O203" s="36" t="e">
        <f>(O198*(($E$208/100)+(($C$208-O197)/($C$208-$C$209)*(($E$209-$E$208)/100))))+((1-O198)*(($E$206/100)+(($C$208-O197)/($C$208-$C$209)*(($E$207-$E$206)/100))))</f>
        <v>#DIV/0!</v>
      </c>
      <c r="P203" s="36" t="e">
        <f>(O198*(($E$208/100)+(($C$208-P197)/($C$208-$C$209)*(($E$209-$E$208)/100))))+((1-O198)*(($E$206/100)+(($C$208-P197)/($C$208-$C$209)*(($E$207-$E$206)/100))))</f>
        <v>#DIV/0!</v>
      </c>
      <c r="R203" s="36" t="e">
        <f>(S198*(($E$208/100)+(($C$208-R197)/($C$208-$C$209)*(($E$209-$E$208)/100))))+((1-S198)*(($E$206/100)+(($C$208-R197)/($C$208-$C$209)*(($E$207-$E$206)/100))))</f>
        <v>#DIV/0!</v>
      </c>
      <c r="S203" s="36" t="e">
        <f>(S198*(($E$208/100)+(($C$208-S197)/($C$208-$C$209)*(($E$209-$E$208)/100))))+((1-S198)*(($E$206/100)+(($C$208-S197)/($C$208-$C$209)*(($E$207-$E$206)/100))))</f>
        <v>#DIV/0!</v>
      </c>
      <c r="T203" s="36" t="e">
        <f>(S198*(($E$208/100)+(($C$208-T197)/($C$208-$C$209)*(($E$209-$E$208)/100))))+((1-S198)*(($E$206/100)+(($C$208-T197)/($C$208-$C$209)*(($E$207-$E$206)/100))))</f>
        <v>#DIV/0!</v>
      </c>
      <c r="V203" s="36" t="e">
        <f>(W198*(($E$208/100)+(($C$208-V197)/($C$208-$C$209)*(($E$209-$E$208)/100))))+((1-W198)*(($E$206/100)+(($C$208-V197)/($C$208-$C$209)*(($E$207-$E$206)/100))))</f>
        <v>#DIV/0!</v>
      </c>
      <c r="W203" s="36" t="e">
        <f>(W198*(($E$208/100)+(($C$208-W197)/($C$208-$C$209)*(($E$209-$E$208)/100))))+((1-W198)*(($E$206/100)+(($C$208-W197)/($C$208-$C$209)*(($E$207-$E$206)/100))))</f>
        <v>#DIV/0!</v>
      </c>
      <c r="X203" s="36" t="e">
        <f>(W198*(($E$208/100)+(($C$208-X197)/($C$208-$C$209)*(($E$209-$E$208)/100))))+((1-W198)*(($E$206/100)+(($C$208-X197)/($C$208-$C$209)*(($E$207-$E$206)/100))))</f>
        <v>#DIV/0!</v>
      </c>
      <c r="Z203" s="36" t="e">
        <f>(AA198*(($E$208/100)+(($C$208-Z197)/($C$208-$C$209)*(($E$209-$E$208)/100))))+((1-AA198)*(($E$206/100)+(($C$208-Z197)/($C$208-$C$209)*(($E$207-$E$206)/100))))</f>
        <v>#DIV/0!</v>
      </c>
      <c r="AA203" s="36" t="e">
        <f>(AA198*(($E$208/100)+(($C$208-AA197)/($C$208-$C$209)*(($E$209-$E$208)/100))))+((1-AA198)*(($E$206/100)+(($C$208-AA197)/($C$208-$C$209)*(($E$207-$E$206)/100))))</f>
        <v>#DIV/0!</v>
      </c>
      <c r="AB203" s="36" t="e">
        <f>(AA198*(($E$208/100)+(($C$208-AB197)/($C$208-$C$209)*(($E$209-$E$208)/100))))+((1-AA198)*(($E$206/100)+(($C$208-AB197)/($C$208-$C$209)*(($E$207-$E$206)/100))))</f>
        <v>#DIV/0!</v>
      </c>
      <c r="AD203" s="39" t="s">
        <v>249</v>
      </c>
      <c r="AE203" s="49" t="s">
        <v>114</v>
      </c>
      <c r="AF203" s="42" t="s">
        <v>78</v>
      </c>
      <c r="AG203" s="42" t="s">
        <v>15</v>
      </c>
      <c r="AH203" s="43" t="s">
        <v>24</v>
      </c>
    </row>
    <row r="204" spans="1:34" x14ac:dyDescent="0.35">
      <c r="A204" s="73"/>
      <c r="B204" s="73"/>
      <c r="C204" s="73"/>
      <c r="D204" s="73"/>
      <c r="E204" s="73"/>
      <c r="F204" s="73"/>
      <c r="G204" s="73"/>
      <c r="H204" s="73"/>
      <c r="I204" s="73"/>
      <c r="M204" t="s">
        <v>80</v>
      </c>
      <c r="O204" s="36" t="e">
        <f>($C228-O199)/($C228-$D228)</f>
        <v>#DIV/0!</v>
      </c>
      <c r="R204" s="34"/>
      <c r="S204" s="36" t="e">
        <f>($C228-S199)/($C228-$D228)</f>
        <v>#VALUE!</v>
      </c>
      <c r="T204" s="34"/>
      <c r="V204" s="34"/>
      <c r="W204" s="36" t="e">
        <f>($C228-W199)/($C228-$D228)</f>
        <v>#VALUE!</v>
      </c>
      <c r="X204" s="34"/>
      <c r="Z204" s="34"/>
      <c r="AA204" s="36" t="e">
        <f>($C228-AA199)/($C228-$D228)</f>
        <v>#VALUE!</v>
      </c>
      <c r="AB204" s="34"/>
      <c r="AD204" t="s">
        <v>97</v>
      </c>
      <c r="AE204" s="5" t="e">
        <f>$G$225*N$203</f>
        <v>#DIV/0!</v>
      </c>
      <c r="AF204" s="5" t="e">
        <f>$G$225*R$203</f>
        <v>#DIV/0!</v>
      </c>
      <c r="AG204" s="5" t="e">
        <f>$G$225*V$203</f>
        <v>#DIV/0!</v>
      </c>
      <c r="AH204" s="5" t="e">
        <f>$G$225*Z$203</f>
        <v>#DIV/0!</v>
      </c>
    </row>
    <row r="205" spans="1:34" x14ac:dyDescent="0.35">
      <c r="A205" s="73"/>
      <c r="B205" s="73"/>
      <c r="C205" s="297" t="s">
        <v>74</v>
      </c>
      <c r="D205" s="206" t="s">
        <v>70</v>
      </c>
      <c r="E205" s="296" t="s">
        <v>73</v>
      </c>
      <c r="F205" s="73"/>
      <c r="G205" s="73"/>
      <c r="H205" s="73"/>
      <c r="I205" s="73"/>
      <c r="AD205" s="32" t="s">
        <v>87</v>
      </c>
      <c r="AE205" s="50" t="e">
        <f>$G$228*$O$204</f>
        <v>#DIV/0!</v>
      </c>
      <c r="AF205" s="44" t="e">
        <f>$G$228*$S$204</f>
        <v>#DIV/0!</v>
      </c>
      <c r="AG205" s="44" t="e">
        <f>$G$228*$W$204</f>
        <v>#DIV/0!</v>
      </c>
      <c r="AH205" s="44" t="e">
        <f>$G$228*$AA$204</f>
        <v>#DIV/0!</v>
      </c>
    </row>
    <row r="206" spans="1:34" x14ac:dyDescent="0.35">
      <c r="A206" s="73"/>
      <c r="B206" s="323" t="s">
        <v>69</v>
      </c>
      <c r="C206" s="329" t="e">
        <f>IF(MIN($N$197:$P$197,$R$197:$T$197,$V$197:$X$197,$Z$197:$AB$197)&lt;-100,-100,MIN($N$197:$P$197,$R$197:$T$197,$V$197:$X$197,$Z$197:$AB$197))</f>
        <v>#DIV/0!</v>
      </c>
      <c r="D206" s="206" t="s">
        <v>71</v>
      </c>
      <c r="E206" s="330">
        <v>0</v>
      </c>
      <c r="F206" s="73"/>
      <c r="G206" s="73"/>
      <c r="H206" s="73"/>
      <c r="I206" s="73"/>
      <c r="AE206" s="9" t="e">
        <f>SUM(AE204:AE205)</f>
        <v>#DIV/0!</v>
      </c>
      <c r="AF206" s="9" t="e">
        <f>SUM(AF204:AF205)</f>
        <v>#DIV/0!</v>
      </c>
      <c r="AG206" s="9" t="e">
        <f>SUM(AG204:AG205)</f>
        <v>#DIV/0!</v>
      </c>
      <c r="AH206" s="9" t="e">
        <f>SUM(AH204:AH205)</f>
        <v>#DIV/0!</v>
      </c>
    </row>
    <row r="207" spans="1:34" x14ac:dyDescent="0.35">
      <c r="A207" s="73"/>
      <c r="B207" s="322" t="s">
        <v>298</v>
      </c>
      <c r="C207" s="329" t="e">
        <f>C209</f>
        <v>#DIV/0!</v>
      </c>
      <c r="D207" s="324" t="s">
        <v>71</v>
      </c>
      <c r="E207" s="331"/>
      <c r="F207" s="73"/>
      <c r="G207" s="73"/>
      <c r="H207" s="73"/>
      <c r="I207" s="73"/>
      <c r="AE207" s="8"/>
    </row>
    <row r="208" spans="1:34" x14ac:dyDescent="0.35">
      <c r="A208" s="73"/>
      <c r="B208" s="328" t="s">
        <v>299</v>
      </c>
      <c r="C208" s="55" t="e">
        <f>C206</f>
        <v>#DIV/0!</v>
      </c>
      <c r="D208" s="208" t="s">
        <v>72</v>
      </c>
      <c r="E208" s="332"/>
      <c r="F208" s="73"/>
      <c r="G208" s="73"/>
      <c r="H208" s="73"/>
      <c r="I208" s="73"/>
      <c r="AE208" s="8"/>
    </row>
    <row r="209" spans="1:34" x14ac:dyDescent="0.35">
      <c r="A209" s="73"/>
      <c r="B209" s="323" t="s">
        <v>9</v>
      </c>
      <c r="C209" s="55" t="e">
        <f>MAX($N$197:$P$197,$R$197:$T$197,$V$197:$X$197,$Z$197:$AB$197)</f>
        <v>#DIV/0!</v>
      </c>
      <c r="D209" s="206" t="s">
        <v>72</v>
      </c>
      <c r="E209" s="330">
        <v>100</v>
      </c>
      <c r="F209" s="73"/>
      <c r="G209" s="73"/>
      <c r="H209" s="73"/>
      <c r="I209" s="73"/>
      <c r="AE209" s="8"/>
    </row>
    <row r="210" spans="1:34" x14ac:dyDescent="0.35">
      <c r="A210" s="73"/>
      <c r="B210" s="204"/>
      <c r="C210" s="213"/>
      <c r="D210" s="73"/>
      <c r="E210" s="73"/>
      <c r="F210" s="73"/>
      <c r="G210" s="73"/>
      <c r="H210" s="73"/>
      <c r="I210" s="73"/>
      <c r="AD210" s="39" t="s">
        <v>250</v>
      </c>
      <c r="AE210" s="49" t="s">
        <v>114</v>
      </c>
      <c r="AF210" s="42" t="s">
        <v>78</v>
      </c>
      <c r="AG210" s="42" t="s">
        <v>15</v>
      </c>
      <c r="AH210" s="43" t="s">
        <v>24</v>
      </c>
    </row>
    <row r="211" spans="1:34" x14ac:dyDescent="0.35">
      <c r="A211" s="73"/>
      <c r="B211" s="204"/>
      <c r="C211" s="213"/>
      <c r="D211" s="73"/>
      <c r="E211" s="73"/>
      <c r="F211" s="73"/>
      <c r="G211" s="73"/>
      <c r="H211" s="73"/>
      <c r="I211" s="73"/>
      <c r="AD211" t="s">
        <v>97</v>
      </c>
      <c r="AE211" s="5" t="e">
        <f>$G$225*P$203</f>
        <v>#DIV/0!</v>
      </c>
      <c r="AF211" s="5" t="e">
        <f>$G$225*T$203</f>
        <v>#DIV/0!</v>
      </c>
      <c r="AG211" s="5" t="e">
        <f>$G$225*X$203</f>
        <v>#DIV/0!</v>
      </c>
      <c r="AH211" s="5" t="e">
        <f>$G$225*AB$203</f>
        <v>#DIV/0!</v>
      </c>
    </row>
    <row r="212" spans="1:34" x14ac:dyDescent="0.35">
      <c r="A212" s="73"/>
      <c r="B212" s="204"/>
      <c r="C212" s="213"/>
      <c r="D212" s="73"/>
      <c r="E212" s="73"/>
      <c r="F212" s="73"/>
      <c r="G212" s="73"/>
      <c r="H212" s="73"/>
      <c r="I212" s="73"/>
      <c r="AD212" s="32" t="s">
        <v>87</v>
      </c>
      <c r="AE212" s="44" t="e">
        <f>$G$228*$O$204</f>
        <v>#DIV/0!</v>
      </c>
      <c r="AF212" s="44" t="e">
        <f>$G$228*$S$204</f>
        <v>#DIV/0!</v>
      </c>
      <c r="AG212" s="44" t="e">
        <f>$G$228*$W$204</f>
        <v>#DIV/0!</v>
      </c>
      <c r="AH212" s="44" t="e">
        <f>$G$228*$AA$204</f>
        <v>#DIV/0!</v>
      </c>
    </row>
    <row r="213" spans="1:34" x14ac:dyDescent="0.35">
      <c r="A213" s="73"/>
      <c r="B213" s="204"/>
      <c r="C213" s="213"/>
      <c r="D213" s="73"/>
      <c r="E213" s="73"/>
      <c r="F213" s="73"/>
      <c r="G213" s="73"/>
      <c r="H213" s="73"/>
      <c r="I213" s="73"/>
      <c r="AE213" s="9" t="e">
        <f>SUM(AE211:AE212)</f>
        <v>#DIV/0!</v>
      </c>
      <c r="AF213" s="9" t="e">
        <f>SUM(AF211:AF212)</f>
        <v>#DIV/0!</v>
      </c>
      <c r="AG213" s="9" t="e">
        <f>SUM(AG211:AG212)</f>
        <v>#DIV/0!</v>
      </c>
      <c r="AH213" s="9" t="e">
        <f>SUM(AH211:AH212)</f>
        <v>#DIV/0!</v>
      </c>
    </row>
    <row r="214" spans="1:34" x14ac:dyDescent="0.35">
      <c r="A214" s="73"/>
      <c r="B214" s="204"/>
      <c r="C214" s="213"/>
      <c r="D214" s="73"/>
      <c r="E214" s="73"/>
      <c r="F214" s="73"/>
      <c r="G214" s="73"/>
      <c r="H214" s="73"/>
      <c r="I214" s="73"/>
    </row>
    <row r="215" spans="1:34" x14ac:dyDescent="0.35">
      <c r="A215" s="73"/>
      <c r="B215" s="204"/>
      <c r="C215" s="213"/>
      <c r="D215" s="73"/>
      <c r="E215" s="73"/>
      <c r="F215" s="73"/>
      <c r="G215" s="73"/>
      <c r="H215" s="73"/>
      <c r="I215" s="73"/>
    </row>
    <row r="216" spans="1:34" x14ac:dyDescent="0.35">
      <c r="A216" s="73"/>
      <c r="B216" s="204"/>
      <c r="C216" s="213"/>
      <c r="D216" s="73"/>
      <c r="E216" s="73"/>
      <c r="F216" s="73"/>
      <c r="G216" s="73"/>
      <c r="H216" s="73"/>
      <c r="I216" s="73"/>
    </row>
    <row r="217" spans="1:34" x14ac:dyDescent="0.35">
      <c r="A217" s="73"/>
      <c r="B217" s="204"/>
      <c r="C217" s="213"/>
      <c r="D217" s="73"/>
      <c r="E217" s="73"/>
      <c r="F217" s="73"/>
      <c r="G217" s="73"/>
      <c r="H217" s="73"/>
      <c r="I217" s="73"/>
    </row>
    <row r="218" spans="1:34" x14ac:dyDescent="0.35">
      <c r="A218" s="73"/>
      <c r="B218" s="204"/>
      <c r="C218" s="213"/>
      <c r="D218" s="73"/>
      <c r="E218" s="73"/>
      <c r="F218" s="73"/>
      <c r="G218" s="73"/>
      <c r="H218" s="73"/>
      <c r="I218" s="73"/>
    </row>
    <row r="219" spans="1:34" x14ac:dyDescent="0.35">
      <c r="A219" s="73"/>
      <c r="B219" s="204"/>
      <c r="C219" s="213"/>
      <c r="D219" s="73"/>
      <c r="E219" s="73"/>
      <c r="F219" s="73"/>
      <c r="G219" s="73"/>
      <c r="H219" s="73"/>
      <c r="I219" s="73"/>
    </row>
    <row r="220" spans="1:34" x14ac:dyDescent="0.35">
      <c r="A220" s="73"/>
      <c r="B220" s="204"/>
      <c r="C220" s="213"/>
      <c r="D220" s="73"/>
      <c r="E220" s="73"/>
      <c r="F220" s="73"/>
      <c r="G220" s="73"/>
      <c r="H220" s="73"/>
      <c r="I220" s="73"/>
    </row>
    <row r="221" spans="1:34" x14ac:dyDescent="0.35">
      <c r="A221" s="73"/>
      <c r="B221" s="204"/>
      <c r="C221" s="213"/>
      <c r="D221" s="73"/>
      <c r="E221" s="73"/>
      <c r="F221" s="73"/>
      <c r="G221" s="73"/>
      <c r="H221" s="73"/>
      <c r="I221" s="73"/>
    </row>
    <row r="222" spans="1:34" x14ac:dyDescent="0.35">
      <c r="A222" s="73"/>
      <c r="B222" s="74"/>
      <c r="C222" s="73"/>
      <c r="D222" s="73"/>
      <c r="E222" s="73"/>
      <c r="F222" s="73"/>
      <c r="G222" s="73"/>
      <c r="H222" s="73"/>
      <c r="I222" s="73"/>
    </row>
    <row r="223" spans="1:34" x14ac:dyDescent="0.35">
      <c r="A223" s="73"/>
      <c r="B223" s="73"/>
      <c r="C223" s="73"/>
      <c r="D223" s="73"/>
      <c r="E223" s="73"/>
      <c r="F223" s="73"/>
      <c r="G223" s="73"/>
      <c r="H223" s="73"/>
      <c r="I223" s="73"/>
    </row>
    <row r="224" spans="1:34" x14ac:dyDescent="0.35">
      <c r="A224" s="73"/>
      <c r="B224" s="319"/>
      <c r="C224" s="209" t="s">
        <v>88</v>
      </c>
      <c r="D224" s="209" t="s">
        <v>89</v>
      </c>
      <c r="E224" s="209" t="s">
        <v>91</v>
      </c>
      <c r="F224" s="209" t="s">
        <v>73</v>
      </c>
      <c r="G224" s="295" t="s">
        <v>232</v>
      </c>
      <c r="H224" s="73"/>
      <c r="I224" s="73"/>
    </row>
    <row r="225" spans="1:12" x14ac:dyDescent="0.35">
      <c r="A225" s="73"/>
      <c r="B225" s="320" t="s">
        <v>92</v>
      </c>
      <c r="C225" s="210" t="e">
        <f>C206</f>
        <v>#DIV/0!</v>
      </c>
      <c r="D225" s="210" t="e">
        <f>C209</f>
        <v>#DIV/0!</v>
      </c>
      <c r="E225" s="487"/>
      <c r="F225" s="489"/>
      <c r="G225" s="491" t="e">
        <f>F225/(F$225+F$228)</f>
        <v>#DIV/0!</v>
      </c>
      <c r="H225" s="73"/>
      <c r="I225" s="73"/>
    </row>
    <row r="226" spans="1:12" x14ac:dyDescent="0.35">
      <c r="A226" s="73"/>
      <c r="B226" s="320" t="s">
        <v>70</v>
      </c>
      <c r="C226" s="210" t="s">
        <v>71</v>
      </c>
      <c r="D226" s="210" t="s">
        <v>72</v>
      </c>
      <c r="E226" s="488"/>
      <c r="F226" s="490"/>
      <c r="G226" s="492"/>
      <c r="H226" s="73"/>
      <c r="I226" s="73"/>
    </row>
    <row r="227" spans="1:12" x14ac:dyDescent="0.35">
      <c r="A227" s="73"/>
      <c r="B227" s="320"/>
      <c r="C227" s="73"/>
      <c r="D227" s="73"/>
      <c r="E227" s="73"/>
      <c r="F227" s="73"/>
      <c r="G227" s="298"/>
      <c r="H227" s="73"/>
      <c r="I227" s="73"/>
      <c r="K227" s="3"/>
      <c r="L227" s="3"/>
    </row>
    <row r="228" spans="1:12" x14ac:dyDescent="0.35">
      <c r="A228" s="73"/>
      <c r="B228" s="321" t="s">
        <v>90</v>
      </c>
      <c r="C228" s="211">
        <f>MAX($O$199,$S$199,$W$199,$AA$199)</f>
        <v>0</v>
      </c>
      <c r="D228" s="211">
        <f>MIN($O$199,$S$199,$W$199,$AA$199)</f>
        <v>0</v>
      </c>
      <c r="E228" s="336"/>
      <c r="F228" s="337"/>
      <c r="G228" s="338" t="e">
        <f>F228/(F$225+F$228)</f>
        <v>#DIV/0!</v>
      </c>
      <c r="H228" s="73"/>
      <c r="I228" s="73"/>
    </row>
    <row r="229" spans="1:12" x14ac:dyDescent="0.35">
      <c r="A229" s="73"/>
      <c r="B229" s="204"/>
      <c r="C229" s="333"/>
      <c r="D229" s="333"/>
      <c r="E229" s="339"/>
      <c r="F229" s="339"/>
      <c r="G229" s="340"/>
      <c r="H229" s="73"/>
      <c r="I229" s="73"/>
    </row>
    <row r="230" spans="1:12" x14ac:dyDescent="0.35">
      <c r="A230" s="73"/>
      <c r="B230" s="204"/>
      <c r="C230" s="333"/>
      <c r="D230" s="333"/>
      <c r="E230" s="334"/>
      <c r="F230" s="334"/>
      <c r="G230" s="335"/>
      <c r="H230" s="73"/>
      <c r="I230" s="73"/>
    </row>
    <row r="231" spans="1:12" x14ac:dyDescent="0.35">
      <c r="A231" s="73"/>
      <c r="B231" s="73" t="s">
        <v>300</v>
      </c>
      <c r="C231" s="333"/>
      <c r="D231" s="333"/>
      <c r="E231" s="334"/>
      <c r="F231" s="334"/>
      <c r="G231" s="335"/>
      <c r="H231" s="73"/>
      <c r="I231" s="73"/>
    </row>
    <row r="232" spans="1:12" x14ac:dyDescent="0.35">
      <c r="A232" s="73"/>
      <c r="B232" t="s">
        <v>293</v>
      </c>
      <c r="C232" s="73"/>
      <c r="D232" s="73"/>
      <c r="E232" s="73"/>
      <c r="F232" s="73"/>
      <c r="G232" s="73"/>
      <c r="H232" s="73"/>
      <c r="I232" s="73"/>
    </row>
    <row r="233" spans="1:12" x14ac:dyDescent="0.35">
      <c r="A233" s="73"/>
      <c r="B233" s="73"/>
      <c r="C233" s="73"/>
      <c r="D233" s="73"/>
      <c r="E233" s="73"/>
      <c r="F233" s="73"/>
      <c r="G233" s="73"/>
      <c r="H233" s="73"/>
      <c r="I233" s="73"/>
    </row>
    <row r="234" spans="1:12" x14ac:dyDescent="0.35">
      <c r="A234" s="73"/>
      <c r="B234" s="73"/>
      <c r="C234" s="73"/>
      <c r="D234" s="73"/>
      <c r="E234" s="73"/>
      <c r="F234" s="73"/>
      <c r="G234" s="73"/>
      <c r="H234" s="73"/>
      <c r="I234" s="73"/>
    </row>
    <row r="235" spans="1:12" x14ac:dyDescent="0.35">
      <c r="A235" s="73"/>
      <c r="B235" s="73"/>
      <c r="C235" s="73"/>
      <c r="D235" s="73"/>
      <c r="E235" s="73"/>
      <c r="F235" s="73"/>
      <c r="G235" s="73"/>
      <c r="H235" s="73"/>
      <c r="I235" s="73"/>
    </row>
    <row r="236" spans="1:12" x14ac:dyDescent="0.35">
      <c r="A236" s="73"/>
      <c r="B236" s="73"/>
      <c r="C236" s="73"/>
      <c r="D236" s="73"/>
      <c r="E236" s="73"/>
      <c r="F236" s="73"/>
      <c r="G236" s="73"/>
      <c r="H236" s="73"/>
      <c r="I236" s="73"/>
    </row>
    <row r="237" spans="1:12" x14ac:dyDescent="0.35">
      <c r="A237" s="73"/>
      <c r="B237" s="73"/>
      <c r="C237" s="73"/>
      <c r="D237" s="73"/>
      <c r="E237" s="73"/>
      <c r="F237" s="73"/>
      <c r="G237" s="73"/>
      <c r="H237" s="73"/>
      <c r="I237" s="73"/>
    </row>
    <row r="238" spans="1:12" x14ac:dyDescent="0.35">
      <c r="A238" s="73"/>
      <c r="B238" s="73"/>
      <c r="C238" s="73"/>
      <c r="D238" s="73"/>
      <c r="E238" s="73"/>
      <c r="F238" s="73"/>
      <c r="G238" s="73"/>
      <c r="H238" s="73"/>
      <c r="I238" s="73"/>
    </row>
    <row r="239" spans="1:12" x14ac:dyDescent="0.35">
      <c r="A239" s="73"/>
      <c r="B239" s="73"/>
      <c r="C239" s="73"/>
      <c r="D239" s="73"/>
      <c r="E239" s="73"/>
      <c r="F239" s="73"/>
      <c r="G239" s="73"/>
      <c r="H239" s="73"/>
      <c r="I239" s="73"/>
    </row>
    <row r="240" spans="1:12" x14ac:dyDescent="0.35">
      <c r="A240" s="73"/>
      <c r="B240" s="73"/>
      <c r="C240" s="73"/>
      <c r="D240" s="73"/>
      <c r="E240" s="73"/>
      <c r="F240" s="73"/>
      <c r="G240" s="73"/>
      <c r="H240" s="73"/>
      <c r="I240" s="73"/>
    </row>
    <row r="241" spans="1:34" x14ac:dyDescent="0.35">
      <c r="A241" s="73"/>
      <c r="B241" s="73"/>
      <c r="C241" s="73"/>
      <c r="D241" s="73"/>
      <c r="E241" s="73"/>
      <c r="F241" s="73"/>
      <c r="G241" s="73"/>
      <c r="H241" s="73"/>
      <c r="I241" s="73"/>
    </row>
    <row r="242" spans="1:34" x14ac:dyDescent="0.35">
      <c r="A242" s="73"/>
      <c r="B242" s="73"/>
      <c r="C242" s="73"/>
      <c r="D242" s="73"/>
      <c r="E242" s="73"/>
      <c r="F242" s="73"/>
      <c r="G242" s="73"/>
      <c r="H242" s="73"/>
      <c r="I242" s="73"/>
    </row>
    <row r="243" spans="1:34" x14ac:dyDescent="0.35">
      <c r="A243" s="73"/>
      <c r="B243" s="73"/>
      <c r="C243" s="73"/>
      <c r="D243" s="73"/>
      <c r="E243" s="73"/>
      <c r="F243" s="73"/>
      <c r="G243" s="73"/>
      <c r="H243" s="73"/>
      <c r="I243" s="73"/>
    </row>
    <row r="244" spans="1:34" x14ac:dyDescent="0.35">
      <c r="A244" s="73"/>
      <c r="B244" s="73"/>
      <c r="C244" s="73"/>
      <c r="D244" s="73"/>
      <c r="E244" s="73"/>
      <c r="F244" s="73"/>
      <c r="G244" s="73"/>
      <c r="H244" s="73"/>
      <c r="I244" s="73"/>
    </row>
    <row r="245" spans="1:34" x14ac:dyDescent="0.35">
      <c r="A245" s="73"/>
      <c r="B245" s="73"/>
      <c r="C245" s="73"/>
      <c r="D245" s="73"/>
      <c r="E245" s="73"/>
      <c r="F245" s="73"/>
      <c r="G245" s="73"/>
      <c r="H245" s="73"/>
      <c r="I245" s="73"/>
    </row>
    <row r="246" spans="1:34" x14ac:dyDescent="0.35">
      <c r="A246" s="73"/>
      <c r="B246" s="73"/>
      <c r="C246" s="73"/>
      <c r="D246" s="73"/>
      <c r="E246" s="73"/>
      <c r="F246" s="73"/>
      <c r="G246" s="73"/>
      <c r="H246" s="73"/>
      <c r="I246" s="73"/>
    </row>
    <row r="247" spans="1:34" x14ac:dyDescent="0.35">
      <c r="A247" s="73"/>
      <c r="B247" s="73"/>
      <c r="C247" s="73"/>
      <c r="D247" s="73"/>
      <c r="E247" s="73"/>
      <c r="F247" s="73"/>
      <c r="G247" s="73"/>
      <c r="H247" s="73"/>
      <c r="I247" s="73"/>
    </row>
    <row r="248" spans="1:34" x14ac:dyDescent="0.35">
      <c r="A248" s="73"/>
      <c r="B248" s="73"/>
      <c r="C248" s="73"/>
      <c r="D248" s="73"/>
      <c r="E248" s="73"/>
      <c r="F248" s="73"/>
      <c r="G248" s="73"/>
      <c r="H248" s="73"/>
      <c r="I248" s="73"/>
    </row>
    <row r="249" spans="1:34" x14ac:dyDescent="0.35">
      <c r="A249" s="73"/>
      <c r="B249" s="73"/>
      <c r="C249" s="73"/>
      <c r="D249" s="73"/>
      <c r="E249" s="73"/>
      <c r="F249" s="73"/>
      <c r="G249" s="73"/>
      <c r="H249" s="73"/>
      <c r="I249" s="73"/>
    </row>
    <row r="250" spans="1:34" x14ac:dyDescent="0.35">
      <c r="A250" s="73"/>
      <c r="B250" s="73"/>
      <c r="C250" s="73"/>
      <c r="D250" s="73"/>
      <c r="E250" s="73"/>
      <c r="F250" s="73"/>
      <c r="G250" s="73"/>
      <c r="H250" s="73"/>
      <c r="I250" s="73"/>
    </row>
    <row r="251" spans="1:34" x14ac:dyDescent="0.35">
      <c r="A251" s="73"/>
      <c r="B251" s="73"/>
      <c r="C251" s="73"/>
      <c r="D251" s="73"/>
      <c r="E251" s="73"/>
      <c r="F251" s="73"/>
      <c r="G251" s="73"/>
      <c r="H251" s="73"/>
      <c r="I251" s="73"/>
    </row>
    <row r="252" spans="1:34" x14ac:dyDescent="0.35">
      <c r="A252" s="73"/>
      <c r="B252" s="74" t="s">
        <v>273</v>
      </c>
      <c r="C252" s="31" t="str">
        <f>IF('Initial information'!$C$24="","",'Initial information'!$C$24)</f>
        <v/>
      </c>
      <c r="D252" s="73"/>
      <c r="E252" s="73"/>
      <c r="F252" s="73"/>
      <c r="G252" s="73"/>
      <c r="H252" s="73"/>
      <c r="I252" s="73"/>
      <c r="K252" s="74" t="s">
        <v>273</v>
      </c>
      <c r="N252" s="37"/>
      <c r="O252" s="38" t="s">
        <v>114</v>
      </c>
      <c r="P252" s="37"/>
      <c r="R252" s="37"/>
      <c r="S252" s="38" t="s">
        <v>78</v>
      </c>
      <c r="T252" s="37"/>
      <c r="V252" s="37"/>
      <c r="W252" s="38" t="s">
        <v>15</v>
      </c>
      <c r="X252" s="37"/>
      <c r="Z252" s="37"/>
      <c r="AA252" s="39" t="s">
        <v>24</v>
      </c>
      <c r="AB252" s="37"/>
      <c r="AD252" s="3" t="s">
        <v>95</v>
      </c>
      <c r="AE252" s="3"/>
    </row>
    <row r="253" spans="1:34" x14ac:dyDescent="0.35">
      <c r="A253" s="73"/>
      <c r="B253" s="74" t="s">
        <v>134</v>
      </c>
      <c r="C253" s="31" t="str">
        <f>IF('Initial information'!$D$24="","",'Initial information'!$D$24)</f>
        <v/>
      </c>
      <c r="D253" s="73"/>
      <c r="E253" s="73"/>
      <c r="F253" s="73"/>
      <c r="G253" s="73"/>
      <c r="I253" s="73"/>
      <c r="K253" s="3" t="s">
        <v>75</v>
      </c>
      <c r="L253" s="3" t="s">
        <v>76</v>
      </c>
      <c r="M253" s="3" t="s">
        <v>77</v>
      </c>
      <c r="N253" s="33" t="s">
        <v>69</v>
      </c>
      <c r="O253" s="33" t="s">
        <v>79</v>
      </c>
      <c r="P253" s="33" t="s">
        <v>9</v>
      </c>
      <c r="R253" s="33" t="s">
        <v>69</v>
      </c>
      <c r="S253" s="33" t="s">
        <v>79</v>
      </c>
      <c r="T253" s="33" t="s">
        <v>9</v>
      </c>
      <c r="V253" s="33" t="s">
        <v>69</v>
      </c>
      <c r="W253" s="33" t="s">
        <v>79</v>
      </c>
      <c r="X253" s="33" t="s">
        <v>9</v>
      </c>
      <c r="Z253" s="33" t="s">
        <v>69</v>
      </c>
      <c r="AA253" s="33" t="s">
        <v>79</v>
      </c>
      <c r="AB253" s="33" t="s">
        <v>9</v>
      </c>
    </row>
    <row r="254" spans="1:34" x14ac:dyDescent="0.35">
      <c r="A254" s="73"/>
      <c r="B254" s="73"/>
      <c r="C254" s="73"/>
      <c r="D254" s="73"/>
      <c r="E254" s="73"/>
      <c r="F254" s="73"/>
      <c r="G254" s="73"/>
      <c r="H254" s="73"/>
      <c r="I254" s="73"/>
      <c r="K254" t="s">
        <v>84</v>
      </c>
      <c r="L254" t="s">
        <v>83</v>
      </c>
      <c r="M254" t="s">
        <v>85</v>
      </c>
      <c r="N254" s="31">
        <f>'5. Decision tree Outputs'!AX16</f>
        <v>0</v>
      </c>
      <c r="O254" s="31" t="e">
        <f>'5. Decision tree Outputs'!AW16</f>
        <v>#DIV/0!</v>
      </c>
      <c r="P254" s="31">
        <f>'5. Decision tree Outputs'!AY16</f>
        <v>0</v>
      </c>
      <c r="R254" s="31" t="e">
        <f>'5. Decision tree Outputs'!AX17</f>
        <v>#DIV/0!</v>
      </c>
      <c r="S254" s="31" t="e">
        <f>'5. Decision tree Outputs'!AW17</f>
        <v>#DIV/0!</v>
      </c>
      <c r="T254" s="31" t="e">
        <f>'5. Decision tree Outputs'!AY17</f>
        <v>#DIV/0!</v>
      </c>
      <c r="V254" s="31" t="e">
        <f>'5. Decision tree Outputs'!AX18</f>
        <v>#DIV/0!</v>
      </c>
      <c r="W254" s="31" t="e">
        <f>'5. Decision tree Outputs'!AW18</f>
        <v>#DIV/0!</v>
      </c>
      <c r="X254" s="31" t="e">
        <f>'5. Decision tree Outputs'!AY18</f>
        <v>#DIV/0!</v>
      </c>
      <c r="Z254" s="35" t="e">
        <f>'5. Decision tree Outputs'!AX19</f>
        <v>#DIV/0!</v>
      </c>
      <c r="AA254" s="35" t="e">
        <f>'5. Decision tree Outputs'!AW19</f>
        <v>#DIV/0!</v>
      </c>
      <c r="AB254" s="35" t="e">
        <f>'5. Decision tree Outputs'!AY19</f>
        <v>#DIV/0!</v>
      </c>
      <c r="AD254" s="41" t="s">
        <v>96</v>
      </c>
      <c r="AE254" s="49" t="s">
        <v>114</v>
      </c>
      <c r="AF254" s="42" t="s">
        <v>78</v>
      </c>
      <c r="AG254" s="42" t="s">
        <v>15</v>
      </c>
      <c r="AH254" s="43" t="s">
        <v>24</v>
      </c>
    </row>
    <row r="255" spans="1:34" x14ac:dyDescent="0.35">
      <c r="A255" s="73"/>
      <c r="B255" s="75"/>
      <c r="C255" s="258"/>
      <c r="D255" s="258"/>
      <c r="E255" s="258"/>
      <c r="F255" s="73"/>
      <c r="G255" s="73"/>
      <c r="H255" s="73"/>
      <c r="I255" s="73"/>
      <c r="K255" t="s">
        <v>115</v>
      </c>
      <c r="L255" t="s">
        <v>82</v>
      </c>
      <c r="M255" t="s">
        <v>85</v>
      </c>
      <c r="N255" s="34"/>
      <c r="O255" s="31">
        <v>0</v>
      </c>
      <c r="P255" s="34"/>
      <c r="R255" s="34"/>
      <c r="S255" s="31">
        <v>0</v>
      </c>
      <c r="T255" s="34"/>
      <c r="V255" s="34"/>
      <c r="W255" s="31">
        <v>0</v>
      </c>
      <c r="X255" s="34"/>
      <c r="Z255" s="34"/>
      <c r="AA255" s="36" t="e">
        <f>'5. Decision tree Outputs'!C38</f>
        <v>#DIV/0!</v>
      </c>
      <c r="AB255" s="34"/>
      <c r="AD255" t="s">
        <v>97</v>
      </c>
      <c r="AE255" s="5" t="e">
        <f>$G$282*O$260</f>
        <v>#DIV/0!</v>
      </c>
      <c r="AF255" s="5" t="e">
        <f>$G$282*S$260</f>
        <v>#DIV/0!</v>
      </c>
      <c r="AG255" s="5" t="e">
        <f>$G$282*W$260</f>
        <v>#DIV/0!</v>
      </c>
      <c r="AH255" s="5" t="e">
        <f>$G$282*AA$260</f>
        <v>#DIV/0!</v>
      </c>
    </row>
    <row r="256" spans="1:34" x14ac:dyDescent="0.35">
      <c r="A256" s="73"/>
      <c r="B256" s="203"/>
      <c r="C256" s="327"/>
      <c r="D256" s="258"/>
      <c r="E256" s="325"/>
      <c r="F256" s="73"/>
      <c r="G256" s="73"/>
      <c r="H256" s="73"/>
      <c r="I256" s="73"/>
      <c r="K256" s="8" t="s">
        <v>80</v>
      </c>
      <c r="L256" t="s">
        <v>81</v>
      </c>
      <c r="M256" t="s">
        <v>86</v>
      </c>
      <c r="N256" s="53"/>
      <c r="O256" s="40">
        <v>0</v>
      </c>
      <c r="P256" s="53"/>
      <c r="R256" s="53"/>
      <c r="S256" s="40" t="str">
        <f>VLOOKUP(C253,'1. In-situ status quo plan'!J31:K36,2,FALSE)</f>
        <v/>
      </c>
      <c r="T256" s="53"/>
      <c r="V256" s="53"/>
      <c r="W256" s="40" t="str">
        <f>VLOOKUP(C253,'3. In-situ plus plan'!C29:D34,2,FALSE)</f>
        <v/>
      </c>
      <c r="X256" s="53"/>
      <c r="Z256" s="53"/>
      <c r="AA256" s="40" t="str">
        <f>VLOOKUP(C253,'2. Ex-situ plan'!J94:K99,2,FALSE)</f>
        <v/>
      </c>
      <c r="AB256" s="53"/>
      <c r="AD256" s="32" t="s">
        <v>87</v>
      </c>
      <c r="AE256" s="44" t="e">
        <f>$G$285*$O$261</f>
        <v>#DIV/0!</v>
      </c>
      <c r="AF256" s="44" t="e">
        <f>$G$285*$S$261</f>
        <v>#DIV/0!</v>
      </c>
      <c r="AG256" s="44" t="e">
        <f>$G$285*$W$261</f>
        <v>#DIV/0!</v>
      </c>
      <c r="AH256" s="44" t="e">
        <f>$G$285*$AA$261</f>
        <v>#DIV/0!</v>
      </c>
    </row>
    <row r="257" spans="1:34" x14ac:dyDescent="0.35">
      <c r="A257" s="73"/>
      <c r="B257" s="203"/>
      <c r="C257" s="327"/>
      <c r="D257" s="258"/>
      <c r="E257" s="325"/>
      <c r="F257" s="73"/>
      <c r="G257" s="73"/>
      <c r="H257" s="73"/>
      <c r="I257" s="73"/>
      <c r="X257" s="8"/>
      <c r="AE257" s="9" t="e">
        <f>SUM(AE255:AE256)</f>
        <v>#DIV/0!</v>
      </c>
      <c r="AF257" s="9" t="e">
        <f>SUM(AF255:AF256)</f>
        <v>#DIV/0!</v>
      </c>
      <c r="AG257" s="9" t="e">
        <f>SUM(AG255:AG256)</f>
        <v>#DIV/0!</v>
      </c>
      <c r="AH257" s="9" t="e">
        <f>SUM(AH255:AH256)</f>
        <v>#DIV/0!</v>
      </c>
    </row>
    <row r="258" spans="1:34" x14ac:dyDescent="0.35">
      <c r="A258" s="73"/>
      <c r="B258" s="203"/>
      <c r="C258" s="212"/>
      <c r="D258" s="204"/>
      <c r="E258" s="215"/>
      <c r="F258" s="73"/>
      <c r="G258" s="73"/>
      <c r="H258" s="73"/>
      <c r="I258" s="73"/>
      <c r="N258" s="4" t="s">
        <v>93</v>
      </c>
      <c r="AE258" s="8"/>
    </row>
    <row r="259" spans="1:34" x14ac:dyDescent="0.35">
      <c r="A259" s="73"/>
      <c r="B259" s="75"/>
      <c r="C259" s="75"/>
      <c r="D259" s="75"/>
      <c r="E259" s="75"/>
      <c r="F259" s="73"/>
      <c r="G259" s="73"/>
      <c r="H259" s="73"/>
      <c r="I259" s="73"/>
      <c r="M259" s="3"/>
      <c r="N259" s="33" t="s">
        <v>69</v>
      </c>
      <c r="O259" s="33" t="s">
        <v>79</v>
      </c>
      <c r="P259" s="33" t="s">
        <v>9</v>
      </c>
      <c r="R259" s="33" t="s">
        <v>69</v>
      </c>
      <c r="S259" s="33" t="s">
        <v>79</v>
      </c>
      <c r="T259" s="33" t="s">
        <v>9</v>
      </c>
      <c r="U259" s="33"/>
      <c r="V259" s="33" t="s">
        <v>69</v>
      </c>
      <c r="W259" s="33" t="s">
        <v>79</v>
      </c>
      <c r="X259" s="33" t="s">
        <v>9</v>
      </c>
      <c r="Z259" s="33" t="s">
        <v>69</v>
      </c>
      <c r="AA259" s="33" t="s">
        <v>79</v>
      </c>
      <c r="AB259" s="33" t="s">
        <v>9</v>
      </c>
      <c r="AE259" s="8"/>
    </row>
    <row r="260" spans="1:34" x14ac:dyDescent="0.35">
      <c r="A260" s="73"/>
      <c r="B260" s="75"/>
      <c r="C260" s="75"/>
      <c r="D260" s="75"/>
      <c r="E260" s="75"/>
      <c r="F260" s="73"/>
      <c r="G260" s="73"/>
      <c r="H260" s="73"/>
      <c r="I260" s="73"/>
      <c r="M260" t="s">
        <v>94</v>
      </c>
      <c r="N260" s="36" t="e">
        <f>(O255*(($E$265/100)+(($C$265-N254)/($C$265-$C$266)*(($E$266-$E$265)/100))))+((1-O255)*(($E$263/100)+(($C$265-N254)/($C$265-$C$266)*(($E$264-$E$263)/100))))</f>
        <v>#DIV/0!</v>
      </c>
      <c r="O260" s="36" t="e">
        <f>(O255*(($E$265/100)+(($C$265-O254)/($C$265-$C$266)*(($E$266-$E$265)/100))))+((1-O255)*(($E$263/100)+(($C$265-O254)/($C$265-$C$266)*(($E$264-$E$263)/100))))</f>
        <v>#DIV/0!</v>
      </c>
      <c r="P260" s="36" t="e">
        <f>(O255*(($E$265/100)+(($C$265-P254)/($C$265-$C$266)*(($E$266-$E$265)/100))))+((1-O255)*(($E$263/100)+(($C$265-P254)/($C$265-$C$266)*(($E$264-$E$263)/100))))</f>
        <v>#DIV/0!</v>
      </c>
      <c r="R260" s="36" t="e">
        <f>(S255*(($E$265/100)+(($C$265-R254)/($C$265-$C$266)*(($E$266-$E$265)/100))))+((1-S255)*(($E$263/100)+(($C$265-R254)/($C$265-$C$266)*(($E$264-$E$263)/100))))</f>
        <v>#DIV/0!</v>
      </c>
      <c r="S260" s="36" t="e">
        <f>(S255*(($E$265/100)+(($C$265-S254)/($C$265-$C$266)*(($E$266-$E$265)/100))))+((1-S255)*(($E$263/100)+(($C$265-S254)/($C$265-$C$266)*(($E$264-$E$263)/100))))</f>
        <v>#DIV/0!</v>
      </c>
      <c r="T260" s="36" t="e">
        <f>(S255*(($E$265/100)+(($C$265-T254)/($C$265-$C$266)*(($E$266-$E$265)/100))))+((1-S255)*(($E$263/100)+(($C$265-T254)/($C$265-$C$266)*(($E$264-$E$263)/100))))</f>
        <v>#DIV/0!</v>
      </c>
      <c r="V260" s="36" t="e">
        <f>(W255*(($E$265/100)+(($C$265-V254)/($C$265-$C$266)*(($E$266-$E$265)/100))))+((1-W255)*(($E$263/100)+(($C$265-V254)/($C$265-$C$266)*(($E$264-$E$263)/100))))</f>
        <v>#DIV/0!</v>
      </c>
      <c r="W260" s="36" t="e">
        <f>(W255*(($E$265/100)+(($C$265-W254)/($C$265-$C$266)*(($E$266-$E$265)/100))))+((1-W255)*(($E$263/100)+(($C$265-W254)/($C$265-$C$266)*(($E$264-$E$263)/100))))</f>
        <v>#DIV/0!</v>
      </c>
      <c r="X260" s="36" t="e">
        <f>(W255*(($E$265/100)+(($C$265-X254)/($C$265-$C$266)*(($E$266-$E$265)/100))))+((1-W255)*(($E$263/100)+(($C$265-X254)/($C$265-$C$266)*(($E$264-$E$263)/100))))</f>
        <v>#DIV/0!</v>
      </c>
      <c r="Z260" s="36" t="e">
        <f>(AA255*(($E$265/100)+(($C$265-Z254)/($C$265-$C$266)*(($E$266-$E$265)/100))))+((1-AA255)*(($E$263/100)+(($C$265-Z254)/($C$265-$C$266)*(($E$264-$E$263)/100))))</f>
        <v>#DIV/0!</v>
      </c>
      <c r="AA260" s="36" t="e">
        <f>(AA255*(($E$265/100)+(($C$265-AA254)/($C$265-$C$266)*(($E$266-$E$265)/100))))+((1-AA255)*(($E$263/100)+(($C$265-AA254)/($C$265-$C$266)*(($E$264-$E$263)/100))))</f>
        <v>#DIV/0!</v>
      </c>
      <c r="AB260" s="36" t="e">
        <f>(AA255*(($E$265/100)+(($C$265-AB254)/($C$265-$C$266)*(($E$266-$E$265)/100))))+((1-AA255)*(($E$263/100)+(($C$265-AB254)/($C$265-$C$266)*(($E$264-$E$263)/100))))</f>
        <v>#DIV/0!</v>
      </c>
      <c r="AD260" s="39" t="s">
        <v>249</v>
      </c>
      <c r="AE260" s="49" t="s">
        <v>114</v>
      </c>
      <c r="AF260" s="42" t="s">
        <v>78</v>
      </c>
      <c r="AG260" s="42" t="s">
        <v>15</v>
      </c>
      <c r="AH260" s="43" t="s">
        <v>24</v>
      </c>
    </row>
    <row r="261" spans="1:34" x14ac:dyDescent="0.35">
      <c r="A261" s="73"/>
      <c r="B261" s="73"/>
      <c r="C261" s="73"/>
      <c r="D261" s="73"/>
      <c r="E261" s="73"/>
      <c r="F261" s="73"/>
      <c r="G261" s="73"/>
      <c r="H261" s="73"/>
      <c r="I261" s="73"/>
      <c r="M261" t="s">
        <v>80</v>
      </c>
      <c r="O261" s="36" t="e">
        <f>($C285-O256)/($C285-$D285)</f>
        <v>#DIV/0!</v>
      </c>
      <c r="R261" s="34"/>
      <c r="S261" s="36" t="e">
        <f>($C285-S256)/($C285-$D285)</f>
        <v>#VALUE!</v>
      </c>
      <c r="T261" s="34"/>
      <c r="V261" s="34"/>
      <c r="W261" s="36" t="e">
        <f>($C285-W256)/($C285-$D285)</f>
        <v>#VALUE!</v>
      </c>
      <c r="X261" s="34"/>
      <c r="Z261" s="34"/>
      <c r="AA261" s="36" t="e">
        <f>($C285-AA256)/($C285-$D285)</f>
        <v>#VALUE!</v>
      </c>
      <c r="AB261" s="34"/>
      <c r="AD261" t="s">
        <v>97</v>
      </c>
      <c r="AE261" s="5" t="e">
        <f>$G$282*N$260</f>
        <v>#DIV/0!</v>
      </c>
      <c r="AF261" s="5" t="e">
        <f>$G$282*R$260</f>
        <v>#DIV/0!</v>
      </c>
      <c r="AG261" s="5" t="e">
        <f>$G$282*V$260</f>
        <v>#DIV/0!</v>
      </c>
      <c r="AH261" s="5" t="e">
        <f>$G$282*Z$260</f>
        <v>#DIV/0!</v>
      </c>
    </row>
    <row r="262" spans="1:34" x14ac:dyDescent="0.35">
      <c r="A262" s="73"/>
      <c r="B262" s="73"/>
      <c r="C262" s="297" t="s">
        <v>74</v>
      </c>
      <c r="D262" s="206" t="s">
        <v>70</v>
      </c>
      <c r="E262" s="296" t="s">
        <v>73</v>
      </c>
      <c r="F262" s="73"/>
      <c r="G262" s="73"/>
      <c r="H262" s="73"/>
      <c r="I262" s="73"/>
      <c r="AD262" s="32" t="s">
        <v>87</v>
      </c>
      <c r="AE262" s="50" t="e">
        <f>$G$285*$O$261</f>
        <v>#DIV/0!</v>
      </c>
      <c r="AF262" s="44" t="e">
        <f>$G$285*$S$261</f>
        <v>#DIV/0!</v>
      </c>
      <c r="AG262" s="44" t="e">
        <f>$G$285*$W$261</f>
        <v>#DIV/0!</v>
      </c>
      <c r="AH262" s="44" t="e">
        <f>$G$285*$AA$261</f>
        <v>#DIV/0!</v>
      </c>
    </row>
    <row r="263" spans="1:34" x14ac:dyDescent="0.35">
      <c r="A263" s="73"/>
      <c r="B263" s="323" t="s">
        <v>69</v>
      </c>
      <c r="C263" s="329" t="e">
        <f>IF(MIN($N$254:$P$254,$R$254:$T$254,$V$254:$X$254,$Z$254:$AB$254)&lt;-100,-100,MIN($N$254:$P$254,$R$254:$T$254,$V$254:$X$254,$Z$254:$AB$254))</f>
        <v>#DIV/0!</v>
      </c>
      <c r="D263" s="206" t="s">
        <v>71</v>
      </c>
      <c r="E263" s="330">
        <v>0</v>
      </c>
      <c r="F263" s="73"/>
      <c r="G263" s="73"/>
      <c r="H263" s="73"/>
      <c r="I263" s="73"/>
      <c r="AE263" s="9" t="e">
        <f>SUM(AE261:AE262)</f>
        <v>#DIV/0!</v>
      </c>
      <c r="AF263" s="9" t="e">
        <f>SUM(AF261:AF262)</f>
        <v>#DIV/0!</v>
      </c>
      <c r="AG263" s="9" t="e">
        <f>SUM(AG261:AG262)</f>
        <v>#DIV/0!</v>
      </c>
      <c r="AH263" s="9" t="e">
        <f>SUM(AH261:AH262)</f>
        <v>#DIV/0!</v>
      </c>
    </row>
    <row r="264" spans="1:34" x14ac:dyDescent="0.35">
      <c r="A264" s="73"/>
      <c r="B264" s="322" t="s">
        <v>298</v>
      </c>
      <c r="C264" s="329" t="e">
        <f>C266</f>
        <v>#DIV/0!</v>
      </c>
      <c r="D264" s="324" t="s">
        <v>71</v>
      </c>
      <c r="E264" s="331"/>
      <c r="F264" s="73"/>
      <c r="G264" s="73"/>
      <c r="H264" s="73"/>
      <c r="I264" s="73"/>
      <c r="AE264" s="8"/>
    </row>
    <row r="265" spans="1:34" x14ac:dyDescent="0.35">
      <c r="A265" s="73"/>
      <c r="B265" s="328" t="s">
        <v>299</v>
      </c>
      <c r="C265" s="55" t="e">
        <f>C263</f>
        <v>#DIV/0!</v>
      </c>
      <c r="D265" s="208" t="s">
        <v>72</v>
      </c>
      <c r="E265" s="332"/>
      <c r="F265" s="73"/>
      <c r="G265" s="73"/>
      <c r="H265" s="73"/>
      <c r="I265" s="73"/>
      <c r="AE265" s="8"/>
    </row>
    <row r="266" spans="1:34" x14ac:dyDescent="0.35">
      <c r="A266" s="73"/>
      <c r="B266" s="323" t="s">
        <v>9</v>
      </c>
      <c r="C266" s="55" t="e">
        <f>MAX($N$254:$P$254,$R$254:$T$254,$V$254:$X$254,$Z$254:$AB$254)</f>
        <v>#DIV/0!</v>
      </c>
      <c r="D266" s="206" t="s">
        <v>72</v>
      </c>
      <c r="E266" s="330">
        <v>100</v>
      </c>
      <c r="F266" s="73"/>
      <c r="G266" s="73"/>
      <c r="H266" s="73"/>
      <c r="I266" s="73"/>
      <c r="AE266" s="8"/>
    </row>
    <row r="267" spans="1:34" x14ac:dyDescent="0.35">
      <c r="A267" s="73"/>
      <c r="B267" s="204"/>
      <c r="C267" s="213"/>
      <c r="D267" s="73"/>
      <c r="E267" s="73"/>
      <c r="F267" s="73"/>
      <c r="G267" s="73"/>
      <c r="H267" s="73"/>
      <c r="I267" s="73"/>
      <c r="AD267" s="39" t="s">
        <v>250</v>
      </c>
      <c r="AE267" s="49" t="s">
        <v>114</v>
      </c>
      <c r="AF267" s="42" t="s">
        <v>78</v>
      </c>
      <c r="AG267" s="42" t="s">
        <v>15</v>
      </c>
      <c r="AH267" s="43" t="s">
        <v>24</v>
      </c>
    </row>
    <row r="268" spans="1:34" x14ac:dyDescent="0.35">
      <c r="A268" s="73"/>
      <c r="B268" s="204"/>
      <c r="C268" s="213"/>
      <c r="D268" s="73"/>
      <c r="E268" s="73"/>
      <c r="F268" s="73"/>
      <c r="G268" s="73"/>
      <c r="H268" s="73"/>
      <c r="I268" s="73"/>
      <c r="AD268" t="s">
        <v>97</v>
      </c>
      <c r="AE268" s="5" t="e">
        <f>$G$282*P$260</f>
        <v>#DIV/0!</v>
      </c>
      <c r="AF268" s="5" t="e">
        <f>$G$282*T$260</f>
        <v>#DIV/0!</v>
      </c>
      <c r="AG268" s="5" t="e">
        <f>$G$282*X$260</f>
        <v>#DIV/0!</v>
      </c>
      <c r="AH268" s="5" t="e">
        <f>$G$282*AB$260</f>
        <v>#DIV/0!</v>
      </c>
    </row>
    <row r="269" spans="1:34" x14ac:dyDescent="0.35">
      <c r="A269" s="73"/>
      <c r="B269" s="204"/>
      <c r="C269" s="213"/>
      <c r="D269" s="73"/>
      <c r="E269" s="73"/>
      <c r="F269" s="73"/>
      <c r="G269" s="73"/>
      <c r="H269" s="73"/>
      <c r="I269" s="73"/>
      <c r="AD269" s="32" t="s">
        <v>87</v>
      </c>
      <c r="AE269" s="44" t="e">
        <f>$G$285*$O$261</f>
        <v>#DIV/0!</v>
      </c>
      <c r="AF269" s="44" t="e">
        <f>$G$285*$S$261</f>
        <v>#DIV/0!</v>
      </c>
      <c r="AG269" s="44" t="e">
        <f>$G$285*$W$261</f>
        <v>#DIV/0!</v>
      </c>
      <c r="AH269" s="44" t="e">
        <f>$G$285*$AA$261</f>
        <v>#DIV/0!</v>
      </c>
    </row>
    <row r="270" spans="1:34" x14ac:dyDescent="0.35">
      <c r="A270" s="73"/>
      <c r="B270" s="204"/>
      <c r="C270" s="213"/>
      <c r="D270" s="73"/>
      <c r="E270" s="73"/>
      <c r="F270" s="73"/>
      <c r="G270" s="73"/>
      <c r="H270" s="73"/>
      <c r="I270" s="73"/>
      <c r="AE270" s="9" t="e">
        <f>SUM(AE268:AE269)</f>
        <v>#DIV/0!</v>
      </c>
      <c r="AF270" s="9" t="e">
        <f>SUM(AF268:AF269)</f>
        <v>#DIV/0!</v>
      </c>
      <c r="AG270" s="9" t="e">
        <f>SUM(AG268:AG269)</f>
        <v>#DIV/0!</v>
      </c>
      <c r="AH270" s="9" t="e">
        <f>SUM(AH268:AH269)</f>
        <v>#DIV/0!</v>
      </c>
    </row>
    <row r="271" spans="1:34" x14ac:dyDescent="0.35">
      <c r="A271" s="73"/>
      <c r="B271" s="204"/>
      <c r="C271" s="213"/>
      <c r="D271" s="73"/>
      <c r="E271" s="73"/>
      <c r="F271" s="73"/>
      <c r="G271" s="73"/>
      <c r="H271" s="73"/>
      <c r="I271" s="73"/>
    </row>
    <row r="272" spans="1:34" x14ac:dyDescent="0.35">
      <c r="A272" s="73"/>
      <c r="B272" s="204"/>
      <c r="C272" s="213"/>
      <c r="D272" s="73"/>
      <c r="E272" s="73"/>
      <c r="F272" s="73"/>
      <c r="G272" s="73"/>
      <c r="H272" s="73"/>
      <c r="I272" s="73"/>
    </row>
    <row r="273" spans="1:12" x14ac:dyDescent="0.35">
      <c r="A273" s="73"/>
      <c r="B273" s="204"/>
      <c r="C273" s="213"/>
      <c r="D273" s="73"/>
      <c r="E273" s="73"/>
      <c r="F273" s="73"/>
      <c r="G273" s="73"/>
      <c r="H273" s="73"/>
      <c r="I273" s="73"/>
    </row>
    <row r="274" spans="1:12" x14ac:dyDescent="0.35">
      <c r="A274" s="73"/>
      <c r="B274" s="204"/>
      <c r="C274" s="213"/>
      <c r="D274" s="73"/>
      <c r="E274" s="73"/>
      <c r="F274" s="73"/>
      <c r="G274" s="73"/>
      <c r="H274" s="73"/>
      <c r="I274" s="73"/>
    </row>
    <row r="275" spans="1:12" x14ac:dyDescent="0.35">
      <c r="A275" s="73"/>
      <c r="B275" s="204"/>
      <c r="C275" s="213"/>
      <c r="D275" s="73"/>
      <c r="E275" s="73"/>
      <c r="F275" s="73"/>
      <c r="G275" s="73"/>
      <c r="H275" s="73"/>
      <c r="I275" s="73"/>
    </row>
    <row r="276" spans="1:12" x14ac:dyDescent="0.35">
      <c r="A276" s="73"/>
      <c r="B276" s="204"/>
      <c r="C276" s="213"/>
      <c r="D276" s="73"/>
      <c r="E276" s="73"/>
      <c r="F276" s="73"/>
      <c r="G276" s="73"/>
      <c r="H276" s="73"/>
      <c r="I276" s="73"/>
    </row>
    <row r="277" spans="1:12" x14ac:dyDescent="0.35">
      <c r="A277" s="73"/>
      <c r="B277" s="204"/>
      <c r="C277" s="213"/>
      <c r="D277" s="73"/>
      <c r="E277" s="73"/>
      <c r="F277" s="73"/>
      <c r="G277" s="73"/>
      <c r="H277" s="73"/>
      <c r="I277" s="73"/>
    </row>
    <row r="278" spans="1:12" x14ac:dyDescent="0.35">
      <c r="A278" s="73"/>
      <c r="B278" s="204"/>
      <c r="C278" s="213"/>
      <c r="D278" s="73"/>
      <c r="E278" s="73"/>
      <c r="F278" s="73"/>
      <c r="G278" s="73"/>
      <c r="H278" s="73"/>
      <c r="I278" s="73"/>
    </row>
    <row r="279" spans="1:12" x14ac:dyDescent="0.35">
      <c r="A279" s="73"/>
      <c r="B279" s="74"/>
      <c r="C279" s="73"/>
      <c r="D279" s="73"/>
      <c r="E279" s="73"/>
      <c r="F279" s="73"/>
      <c r="G279" s="73"/>
      <c r="H279" s="73"/>
      <c r="I279" s="73"/>
    </row>
    <row r="280" spans="1:12" x14ac:dyDescent="0.35">
      <c r="A280" s="73"/>
      <c r="B280" s="73"/>
      <c r="C280" s="73"/>
      <c r="D280" s="73"/>
      <c r="E280" s="73"/>
      <c r="F280" s="73"/>
      <c r="G280" s="73"/>
      <c r="H280" s="73"/>
      <c r="I280" s="73"/>
    </row>
    <row r="281" spans="1:12" x14ac:dyDescent="0.35">
      <c r="A281" s="73"/>
      <c r="B281" s="319"/>
      <c r="C281" s="209" t="s">
        <v>88</v>
      </c>
      <c r="D281" s="209" t="s">
        <v>89</v>
      </c>
      <c r="E281" s="209" t="s">
        <v>91</v>
      </c>
      <c r="F281" s="209" t="s">
        <v>73</v>
      </c>
      <c r="G281" s="295" t="s">
        <v>232</v>
      </c>
      <c r="H281" s="73"/>
      <c r="I281" s="73"/>
    </row>
    <row r="282" spans="1:12" x14ac:dyDescent="0.35">
      <c r="A282" s="73"/>
      <c r="B282" s="320" t="s">
        <v>92</v>
      </c>
      <c r="C282" s="210" t="e">
        <f>C263</f>
        <v>#DIV/0!</v>
      </c>
      <c r="D282" s="210" t="e">
        <f>C266</f>
        <v>#DIV/0!</v>
      </c>
      <c r="E282" s="487"/>
      <c r="F282" s="489"/>
      <c r="G282" s="491" t="e">
        <f>F282/(F$282+F$285)</f>
        <v>#DIV/0!</v>
      </c>
      <c r="H282" s="73"/>
      <c r="I282" s="73"/>
    </row>
    <row r="283" spans="1:12" x14ac:dyDescent="0.35">
      <c r="A283" s="73"/>
      <c r="B283" s="320" t="s">
        <v>70</v>
      </c>
      <c r="C283" s="210" t="s">
        <v>71</v>
      </c>
      <c r="D283" s="210" t="s">
        <v>72</v>
      </c>
      <c r="E283" s="488"/>
      <c r="F283" s="490"/>
      <c r="G283" s="492"/>
      <c r="H283" s="73"/>
      <c r="I283" s="73"/>
    </row>
    <row r="284" spans="1:12" x14ac:dyDescent="0.35">
      <c r="A284" s="73"/>
      <c r="B284" s="320"/>
      <c r="C284" s="73"/>
      <c r="D284" s="73"/>
      <c r="E284" s="73"/>
      <c r="F284" s="73"/>
      <c r="G284" s="298"/>
      <c r="H284" s="73"/>
      <c r="I284" s="73"/>
      <c r="K284" s="3"/>
      <c r="L284" s="3"/>
    </row>
    <row r="285" spans="1:12" x14ac:dyDescent="0.35">
      <c r="A285" s="73"/>
      <c r="B285" s="321" t="s">
        <v>90</v>
      </c>
      <c r="C285" s="211">
        <f>MAX($O$256,$S$256,$W$256,$AA$256)</f>
        <v>0</v>
      </c>
      <c r="D285" s="211">
        <f>MIN($O$256,$S$256,$W$256,$AA$256)</f>
        <v>0</v>
      </c>
      <c r="E285" s="336"/>
      <c r="F285" s="337"/>
      <c r="G285" s="338" t="e">
        <f>F285/(F$282+F$285)</f>
        <v>#DIV/0!</v>
      </c>
      <c r="H285" s="73"/>
      <c r="I285" s="73"/>
    </row>
    <row r="286" spans="1:12" x14ac:dyDescent="0.35">
      <c r="A286" s="73"/>
      <c r="B286" s="204"/>
      <c r="C286" s="333"/>
      <c r="D286" s="333"/>
      <c r="E286" s="339"/>
      <c r="F286" s="339"/>
      <c r="G286" s="340"/>
      <c r="H286" s="73"/>
      <c r="I286" s="73"/>
    </row>
    <row r="287" spans="1:12" x14ac:dyDescent="0.35">
      <c r="A287" s="73"/>
      <c r="B287" s="204"/>
      <c r="C287" s="333"/>
      <c r="D287" s="333"/>
      <c r="E287" s="334"/>
      <c r="F287" s="334"/>
      <c r="G287" s="335"/>
      <c r="H287" s="73"/>
      <c r="I287" s="73"/>
    </row>
    <row r="288" spans="1:12" x14ac:dyDescent="0.35">
      <c r="A288" s="73"/>
      <c r="B288" s="73" t="s">
        <v>300</v>
      </c>
      <c r="C288" s="333"/>
      <c r="D288" s="333"/>
      <c r="E288" s="334"/>
      <c r="F288" s="334"/>
      <c r="G288" s="335"/>
      <c r="H288" s="73"/>
      <c r="I288" s="73"/>
    </row>
    <row r="289" spans="1:34" x14ac:dyDescent="0.35">
      <c r="A289" s="73"/>
      <c r="B289" t="s">
        <v>293</v>
      </c>
      <c r="C289" s="73"/>
      <c r="D289" s="73"/>
      <c r="E289" s="73"/>
      <c r="F289" s="73"/>
      <c r="G289" s="73"/>
      <c r="H289" s="73"/>
      <c r="I289" s="73"/>
    </row>
    <row r="290" spans="1:34" x14ac:dyDescent="0.35">
      <c r="A290" s="73"/>
      <c r="B290" s="73"/>
      <c r="C290" s="73"/>
      <c r="D290" s="73"/>
      <c r="E290" s="73"/>
      <c r="F290" s="73"/>
      <c r="G290" s="73"/>
      <c r="H290" s="73"/>
      <c r="I290" s="73"/>
    </row>
    <row r="291" spans="1:34" x14ac:dyDescent="0.35">
      <c r="A291" s="73"/>
      <c r="B291" s="73"/>
      <c r="C291" s="73"/>
      <c r="D291" s="73"/>
      <c r="E291" s="73"/>
      <c r="F291" s="73"/>
      <c r="G291" s="73"/>
      <c r="H291" s="73"/>
      <c r="I291" s="73"/>
    </row>
    <row r="292" spans="1:34" x14ac:dyDescent="0.35">
      <c r="A292" s="73"/>
      <c r="B292" s="73"/>
      <c r="C292" s="73"/>
      <c r="D292" s="73"/>
      <c r="E292" s="73"/>
      <c r="F292" s="73"/>
      <c r="G292" s="73"/>
      <c r="H292" s="73"/>
      <c r="I292" s="73"/>
    </row>
    <row r="293" spans="1:34" x14ac:dyDescent="0.35">
      <c r="A293" s="73"/>
      <c r="B293" s="73"/>
      <c r="C293" s="73"/>
      <c r="D293" s="73"/>
      <c r="E293" s="73"/>
      <c r="F293" s="73"/>
      <c r="G293" s="73"/>
      <c r="H293" s="73"/>
      <c r="I293" s="73"/>
    </row>
    <row r="294" spans="1:34" x14ac:dyDescent="0.35">
      <c r="A294" s="73"/>
      <c r="B294" s="73"/>
      <c r="C294" s="73"/>
      <c r="D294" s="73"/>
      <c r="E294" s="73"/>
      <c r="F294" s="73"/>
      <c r="G294" s="73"/>
      <c r="H294" s="73"/>
      <c r="I294" s="73"/>
    </row>
    <row r="295" spans="1:34" x14ac:dyDescent="0.35">
      <c r="A295" s="73"/>
      <c r="B295" s="73"/>
      <c r="C295" s="73"/>
      <c r="D295" s="73"/>
      <c r="E295" s="73"/>
      <c r="F295" s="73"/>
      <c r="G295" s="73"/>
      <c r="H295" s="73"/>
      <c r="I295" s="73"/>
    </row>
    <row r="296" spans="1:34" x14ac:dyDescent="0.35">
      <c r="A296" s="73"/>
      <c r="B296" s="73"/>
      <c r="C296" s="73"/>
      <c r="D296" s="73"/>
      <c r="E296" s="73"/>
      <c r="F296" s="73"/>
      <c r="G296" s="73"/>
      <c r="H296" s="73"/>
      <c r="I296" s="73"/>
    </row>
    <row r="297" spans="1:34" x14ac:dyDescent="0.35">
      <c r="A297" s="73"/>
      <c r="B297" s="73"/>
      <c r="C297" s="73"/>
      <c r="D297" s="73"/>
      <c r="E297" s="73"/>
      <c r="F297" s="73"/>
      <c r="G297" s="73"/>
      <c r="H297" s="73"/>
      <c r="I297" s="73"/>
    </row>
    <row r="298" spans="1:34" x14ac:dyDescent="0.35">
      <c r="A298" s="73"/>
      <c r="B298" s="73"/>
      <c r="C298" s="73"/>
      <c r="D298" s="73"/>
      <c r="E298" s="73"/>
      <c r="F298" s="73"/>
      <c r="G298" s="73"/>
      <c r="H298" s="73"/>
      <c r="I298" s="73"/>
    </row>
    <row r="299" spans="1:34" x14ac:dyDescent="0.35">
      <c r="A299" s="73"/>
      <c r="B299" s="73"/>
      <c r="C299" s="73"/>
      <c r="D299" s="73"/>
      <c r="E299" s="73"/>
      <c r="F299" s="73"/>
      <c r="G299" s="73"/>
      <c r="H299" s="73"/>
      <c r="I299" s="73"/>
    </row>
    <row r="300" spans="1:34" x14ac:dyDescent="0.35">
      <c r="A300" s="73"/>
      <c r="B300" s="73"/>
      <c r="C300" s="73"/>
      <c r="D300" s="73"/>
      <c r="E300" s="73"/>
      <c r="F300" s="73"/>
      <c r="G300" s="73"/>
      <c r="H300" s="73"/>
      <c r="I300" s="73"/>
    </row>
    <row r="301" spans="1:34" x14ac:dyDescent="0.35">
      <c r="A301" s="73"/>
      <c r="B301" s="73"/>
      <c r="C301" s="73"/>
      <c r="D301" s="73"/>
      <c r="E301" s="73"/>
      <c r="F301" s="73"/>
      <c r="G301" s="73"/>
      <c r="H301" s="73"/>
      <c r="I301" s="73"/>
      <c r="K301" s="74" t="s">
        <v>274</v>
      </c>
      <c r="N301" s="37"/>
      <c r="O301" s="38" t="s">
        <v>114</v>
      </c>
      <c r="P301" s="37"/>
      <c r="R301" s="37"/>
      <c r="S301" s="38" t="s">
        <v>78</v>
      </c>
      <c r="T301" s="37"/>
      <c r="V301" s="37"/>
      <c r="W301" s="38" t="s">
        <v>15</v>
      </c>
      <c r="X301" s="37"/>
      <c r="Z301" s="37"/>
      <c r="AA301" s="39" t="s">
        <v>24</v>
      </c>
      <c r="AB301" s="37"/>
      <c r="AD301" s="3" t="s">
        <v>95</v>
      </c>
      <c r="AE301" s="3"/>
    </row>
    <row r="302" spans="1:34" x14ac:dyDescent="0.35">
      <c r="A302" s="73"/>
      <c r="B302" s="73"/>
      <c r="C302" s="73"/>
      <c r="D302" s="73"/>
      <c r="E302" s="73"/>
      <c r="F302" s="73"/>
      <c r="G302" s="73"/>
      <c r="H302" s="73"/>
      <c r="I302" s="73"/>
      <c r="K302" s="3" t="s">
        <v>75</v>
      </c>
      <c r="L302" s="3" t="s">
        <v>76</v>
      </c>
      <c r="M302" s="3" t="s">
        <v>77</v>
      </c>
      <c r="N302" s="33" t="s">
        <v>69</v>
      </c>
      <c r="O302" s="33" t="s">
        <v>79</v>
      </c>
      <c r="P302" s="33" t="s">
        <v>9</v>
      </c>
      <c r="R302" s="33" t="s">
        <v>69</v>
      </c>
      <c r="S302" s="33" t="s">
        <v>79</v>
      </c>
      <c r="T302" s="33" t="s">
        <v>9</v>
      </c>
      <c r="V302" s="33" t="s">
        <v>69</v>
      </c>
      <c r="W302" s="33" t="s">
        <v>79</v>
      </c>
      <c r="X302" s="33" t="s">
        <v>9</v>
      </c>
      <c r="Z302" s="33" t="s">
        <v>69</v>
      </c>
      <c r="AA302" s="33" t="s">
        <v>79</v>
      </c>
      <c r="AB302" s="33" t="s">
        <v>9</v>
      </c>
    </row>
    <row r="303" spans="1:34" x14ac:dyDescent="0.35">
      <c r="A303" s="73"/>
      <c r="B303" s="73"/>
      <c r="C303" s="73"/>
      <c r="D303" s="73"/>
      <c r="E303" s="73"/>
      <c r="F303" s="73"/>
      <c r="G303" s="73"/>
      <c r="H303" s="73"/>
      <c r="I303" s="73"/>
      <c r="K303" t="s">
        <v>84</v>
      </c>
      <c r="L303" t="s">
        <v>83</v>
      </c>
      <c r="M303" t="s">
        <v>85</v>
      </c>
      <c r="N303" s="31">
        <f>'5. Decision tree Outputs'!AX16</f>
        <v>0</v>
      </c>
      <c r="O303" s="31" t="e">
        <f>'5. Decision tree Outputs'!AW16</f>
        <v>#DIV/0!</v>
      </c>
      <c r="P303" s="31">
        <f>'5. Decision tree Outputs'!AY16</f>
        <v>0</v>
      </c>
      <c r="R303" s="31" t="e">
        <f>'5. Decision tree Outputs'!AX17</f>
        <v>#DIV/0!</v>
      </c>
      <c r="S303" s="31" t="e">
        <f>'5. Decision tree Outputs'!AW17</f>
        <v>#DIV/0!</v>
      </c>
      <c r="T303" s="31" t="e">
        <f>'5. Decision tree Outputs'!AY17</f>
        <v>#DIV/0!</v>
      </c>
      <c r="V303" s="31" t="e">
        <f>'5. Decision tree Outputs'!AX18</f>
        <v>#DIV/0!</v>
      </c>
      <c r="W303" s="31" t="e">
        <f>'5. Decision tree Outputs'!AW18</f>
        <v>#DIV/0!</v>
      </c>
      <c r="X303" s="31" t="e">
        <f>'5. Decision tree Outputs'!AY18</f>
        <v>#DIV/0!</v>
      </c>
      <c r="Z303" s="35" t="e">
        <f>'5. Decision tree Outputs'!AX19</f>
        <v>#DIV/0!</v>
      </c>
      <c r="AA303" s="35" t="e">
        <f>'5. Decision tree Outputs'!AW19</f>
        <v>#DIV/0!</v>
      </c>
      <c r="AB303" s="35" t="e">
        <f>'5. Decision tree Outputs'!AY19</f>
        <v>#DIV/0!</v>
      </c>
      <c r="AD303" s="41" t="s">
        <v>96</v>
      </c>
      <c r="AE303" s="49" t="s">
        <v>114</v>
      </c>
      <c r="AF303" s="42" t="s">
        <v>78</v>
      </c>
      <c r="AG303" s="42" t="s">
        <v>15</v>
      </c>
      <c r="AH303" s="43" t="s">
        <v>24</v>
      </c>
    </row>
    <row r="304" spans="1:34" x14ac:dyDescent="0.35">
      <c r="A304" s="73"/>
      <c r="B304" s="73"/>
      <c r="C304" s="73"/>
      <c r="D304" s="73"/>
      <c r="E304" s="73"/>
      <c r="F304" s="73"/>
      <c r="G304" s="73"/>
      <c r="H304" s="73"/>
      <c r="I304" s="73"/>
      <c r="K304" t="s">
        <v>115</v>
      </c>
      <c r="L304" t="s">
        <v>82</v>
      </c>
      <c r="M304" t="s">
        <v>85</v>
      </c>
      <c r="N304" s="34"/>
      <c r="O304" s="31">
        <v>0</v>
      </c>
      <c r="P304" s="34"/>
      <c r="R304" s="34"/>
      <c r="S304" s="31">
        <v>0</v>
      </c>
      <c r="T304" s="34"/>
      <c r="V304" s="34"/>
      <c r="W304" s="31">
        <v>0</v>
      </c>
      <c r="X304" s="34"/>
      <c r="Z304" s="34"/>
      <c r="AA304" s="36" t="e">
        <f>'5. Decision tree Outputs'!C38</f>
        <v>#DIV/0!</v>
      </c>
      <c r="AB304" s="34"/>
      <c r="AD304" t="s">
        <v>97</v>
      </c>
      <c r="AE304" s="5" t="e">
        <f>$G$339*O$309</f>
        <v>#DIV/0!</v>
      </c>
      <c r="AF304" s="5" t="e">
        <f>$G$339*S$309</f>
        <v>#DIV/0!</v>
      </c>
      <c r="AG304" s="5" t="e">
        <f>$G$339*W$309</f>
        <v>#DIV/0!</v>
      </c>
      <c r="AH304" s="5" t="e">
        <f>$G$339*AA$309</f>
        <v>#DIV/0!</v>
      </c>
    </row>
    <row r="305" spans="1:34" x14ac:dyDescent="0.35">
      <c r="A305" s="73"/>
      <c r="B305" s="73"/>
      <c r="C305" s="73"/>
      <c r="D305" s="73"/>
      <c r="E305" s="73"/>
      <c r="F305" s="73"/>
      <c r="G305" s="73"/>
      <c r="H305" s="73"/>
      <c r="I305" s="73"/>
      <c r="K305" s="8" t="s">
        <v>80</v>
      </c>
      <c r="L305" t="s">
        <v>81</v>
      </c>
      <c r="M305" t="s">
        <v>86</v>
      </c>
      <c r="N305" s="53"/>
      <c r="O305" s="40">
        <v>0</v>
      </c>
      <c r="P305" s="53"/>
      <c r="R305" s="53"/>
      <c r="S305" s="40" t="str">
        <f>VLOOKUP(C310,'1. In-situ status quo plan'!J31:K36,2,FALSE)</f>
        <v/>
      </c>
      <c r="T305" s="53"/>
      <c r="V305" s="53"/>
      <c r="W305" s="40" t="str">
        <f>VLOOKUP(C310,'3. In-situ plus plan'!C29:D34,2,FALSE)</f>
        <v/>
      </c>
      <c r="X305" s="53"/>
      <c r="Z305" s="53"/>
      <c r="AA305" s="40" t="str">
        <f>VLOOKUP(C310,'2. Ex-situ plan'!J94:K99,2,FALSE)</f>
        <v/>
      </c>
      <c r="AB305" s="53"/>
      <c r="AD305" s="32" t="s">
        <v>87</v>
      </c>
      <c r="AE305" s="44" t="e">
        <f>$G$342*$O$310</f>
        <v>#DIV/0!</v>
      </c>
      <c r="AF305" s="44" t="e">
        <f>$G$342*$S$310</f>
        <v>#DIV/0!</v>
      </c>
      <c r="AG305" s="44" t="e">
        <f>$G$342*$W$310</f>
        <v>#DIV/0!</v>
      </c>
      <c r="AH305" s="44" t="e">
        <f>$G$342*$AA$310</f>
        <v>#DIV/0!</v>
      </c>
    </row>
    <row r="306" spans="1:34" x14ac:dyDescent="0.35">
      <c r="A306" s="73"/>
      <c r="B306" s="73"/>
      <c r="C306" s="73"/>
      <c r="D306" s="73"/>
      <c r="E306" s="73"/>
      <c r="F306" s="73"/>
      <c r="G306" s="73"/>
      <c r="H306" s="73"/>
      <c r="I306" s="73"/>
      <c r="X306" s="8"/>
      <c r="AE306" s="9" t="e">
        <f>SUM(AE304:AE305)</f>
        <v>#DIV/0!</v>
      </c>
      <c r="AF306" s="9" t="e">
        <f>SUM(AF304:AF305)</f>
        <v>#DIV/0!</v>
      </c>
      <c r="AG306" s="9" t="e">
        <f>SUM(AG304:AG305)</f>
        <v>#DIV/0!</v>
      </c>
      <c r="AH306" s="9" t="e">
        <f>SUM(AH304:AH305)</f>
        <v>#DIV/0!</v>
      </c>
    </row>
    <row r="307" spans="1:34" x14ac:dyDescent="0.35">
      <c r="A307" s="73"/>
      <c r="B307" s="73"/>
      <c r="C307" s="73"/>
      <c r="D307" s="73"/>
      <c r="E307" s="73"/>
      <c r="F307" s="73"/>
      <c r="G307" s="73"/>
      <c r="H307" s="73"/>
      <c r="I307" s="73"/>
      <c r="N307" s="4" t="s">
        <v>93</v>
      </c>
      <c r="AE307" s="8"/>
    </row>
    <row r="308" spans="1:34" x14ac:dyDescent="0.35">
      <c r="A308" s="73"/>
      <c r="B308" s="73"/>
      <c r="C308" s="73"/>
      <c r="D308" s="73"/>
      <c r="E308" s="73"/>
      <c r="F308" s="73"/>
      <c r="G308" s="73"/>
      <c r="H308" s="73"/>
      <c r="I308" s="73"/>
      <c r="M308" s="3"/>
      <c r="N308" s="33" t="s">
        <v>69</v>
      </c>
      <c r="O308" s="33" t="s">
        <v>79</v>
      </c>
      <c r="P308" s="33" t="s">
        <v>9</v>
      </c>
      <c r="R308" s="33" t="s">
        <v>69</v>
      </c>
      <c r="S308" s="33" t="s">
        <v>79</v>
      </c>
      <c r="T308" s="33" t="s">
        <v>9</v>
      </c>
      <c r="U308" s="33"/>
      <c r="V308" s="33" t="s">
        <v>69</v>
      </c>
      <c r="W308" s="33" t="s">
        <v>79</v>
      </c>
      <c r="X308" s="33" t="s">
        <v>9</v>
      </c>
      <c r="Z308" s="33" t="s">
        <v>69</v>
      </c>
      <c r="AA308" s="33" t="s">
        <v>79</v>
      </c>
      <c r="AB308" s="33" t="s">
        <v>9</v>
      </c>
      <c r="AE308" s="8"/>
    </row>
    <row r="309" spans="1:34" x14ac:dyDescent="0.35">
      <c r="A309" s="73"/>
      <c r="B309" s="74" t="s">
        <v>274</v>
      </c>
      <c r="C309" s="31" t="str">
        <f>IF('Initial information'!$C$25="","",'Initial information'!$C$25)</f>
        <v/>
      </c>
      <c r="D309" s="73"/>
      <c r="E309" s="73"/>
      <c r="F309" s="73"/>
      <c r="G309" s="73"/>
      <c r="H309" s="73"/>
      <c r="I309" s="73"/>
      <c r="M309" t="s">
        <v>94</v>
      </c>
      <c r="N309" s="36" t="e">
        <f>(O304*(($E$322/100)+(($C$322-N303)/($C$322-$C$323)*(($E$323-$E$322)/100))))+((1-O304)*(($E$320/100)+(($C$322-N303)/($C$322-$C$323)*(($E$321-$E$320)/100))))</f>
        <v>#DIV/0!</v>
      </c>
      <c r="O309" s="36" t="e">
        <f>(O304*(($E$322/100)+(($C$322-O303)/($C$322-$C$323)*(($E$323-$E$322)/100))))+((1-O304)*(($E$320/100)+(($C$322-O303)/($C$322-$C$323)*(($E$321-$E$320)/100))))</f>
        <v>#DIV/0!</v>
      </c>
      <c r="P309" s="36" t="e">
        <f>(O304*(($E$322/100)+(($C$322-P303)/($C$322-$C$323)*(($E$323-$E$322)/100))))+((1-O304)*(($E$320/100)+(($C$322-P303)/($C$322-$C$323)*(($E$321-$E$320)/100))))</f>
        <v>#DIV/0!</v>
      </c>
      <c r="R309" s="36" t="e">
        <f>(S304*(($E$322/100)+(($C$322-R303)/($C$322-$C$323)*(($E$323-$E$322)/100))))+((1-S304)*(($E$320/100)+(($C$322-R303)/($C$322-$C$323)*(($E$321-$E$320)/100))))</f>
        <v>#DIV/0!</v>
      </c>
      <c r="S309" s="36" t="e">
        <f>(S304*(($E$322/100)+(($C$322-S303)/($C$322-$C$323)*(($E$323-$E$322)/100))))+((1-S304)*(($E$320/100)+(($C$322-S303)/($C$322-$C$323)*(($E$321-$E$320)/100))))</f>
        <v>#DIV/0!</v>
      </c>
      <c r="T309" s="36" t="e">
        <f>(S304*(($E$322/100)+(($C$322-T303)/($C$322-$C$323)*(($E$323-$E$322)/100))))+((1-S304)*(($E$320/100)+(($C$322-T303)/($C$322-$C$323)*(($E$321-$E$320)/100))))</f>
        <v>#DIV/0!</v>
      </c>
      <c r="V309" s="36" t="e">
        <f>(W304*(($E$322/100)+(($C$322-V303)/($C$322-$C$323)*(($E$323-$E$322)/100))))+((1-W304)*(($E$320/100)+(($C$322-V303)/($C$322-$C$323)*(($E$321-$E$320)/100))))</f>
        <v>#DIV/0!</v>
      </c>
      <c r="W309" s="36" t="e">
        <f>(W304*(($E$322/100)+(($C$322-W303)/($C$322-$C$323)*(($E$323-$E$322)/100))))+((1-W304)*(($E$320/100)+(($C$322-W303)/($C$322-$C$323)*(($E$321-$E$320)/100))))</f>
        <v>#DIV/0!</v>
      </c>
      <c r="X309" s="36" t="e">
        <f>(W304*(($E$322/100)+(($C$322-X303)/($C$322-$C$323)*(($E$323-$E$322)/100))))+((1-W304)*(($E$320/100)+(($C$322-X303)/($C$322-$C$323)*(($E$321-$E$320)/100))))</f>
        <v>#DIV/0!</v>
      </c>
      <c r="Z309" s="36" t="e">
        <f>(AA304*(($E$322/100)+(($C$322-Z303)/($C$322-$C$323)*(($E$323-$E$322)/100))))+((1-AA304)*(($E$320/100)+(($C$322-Z303)/($C$322-$C$323)*(($E$321-$E$320)/100))))</f>
        <v>#DIV/0!</v>
      </c>
      <c r="AA309" s="36" t="e">
        <f>(AA304*(($E$322/100)+(($C$322-AA303)/($C$322-$C$323)*(($E$323-$E$322)/100))))+((1-AA304)*(($E$320/100)+(($C$322-AA303)/($C$322-$C$323)*(($E$321-$E$320)/100))))</f>
        <v>#DIV/0!</v>
      </c>
      <c r="AB309" s="36" t="e">
        <f>(AA304*(($E$322/100)+(($C$322-AB303)/($C$322-$C$323)*(($E$323-$E$322)/100))))+((1-AA304)*(($E$320/100)+(($C$322-AB303)/($C$322-$C$323)*(($E$321-$E$320)/100))))</f>
        <v>#DIV/0!</v>
      </c>
      <c r="AD309" s="39" t="s">
        <v>249</v>
      </c>
      <c r="AE309" s="49" t="s">
        <v>114</v>
      </c>
      <c r="AF309" s="42" t="s">
        <v>78</v>
      </c>
      <c r="AG309" s="42" t="s">
        <v>15</v>
      </c>
      <c r="AH309" s="43" t="s">
        <v>24</v>
      </c>
    </row>
    <row r="310" spans="1:34" x14ac:dyDescent="0.35">
      <c r="A310" s="73"/>
      <c r="B310" s="74" t="s">
        <v>134</v>
      </c>
      <c r="C310" s="31" t="str">
        <f>IF('Initial information'!$D$25="","",'Initial information'!$D$25)</f>
        <v/>
      </c>
      <c r="D310" s="73"/>
      <c r="E310" s="73"/>
      <c r="F310" s="73"/>
      <c r="G310" s="73"/>
      <c r="H310" s="73"/>
      <c r="I310" s="73"/>
      <c r="M310" t="s">
        <v>80</v>
      </c>
      <c r="O310" s="36" t="e">
        <f>($C342-O305)/($C342-$D342)</f>
        <v>#DIV/0!</v>
      </c>
      <c r="R310" s="34"/>
      <c r="S310" s="36" t="e">
        <f>($C342-S305)/($C342-$D342)</f>
        <v>#VALUE!</v>
      </c>
      <c r="T310" s="34"/>
      <c r="V310" s="34"/>
      <c r="W310" s="36" t="e">
        <f>($C342-W305)/($C342-$D342)</f>
        <v>#VALUE!</v>
      </c>
      <c r="X310" s="34"/>
      <c r="Z310" s="34"/>
      <c r="AA310" s="36" t="e">
        <f>($C342-AA305)/($C342-$D342)</f>
        <v>#VALUE!</v>
      </c>
      <c r="AB310" s="34"/>
      <c r="AD310" t="s">
        <v>97</v>
      </c>
      <c r="AE310" s="5" t="e">
        <f>$G$339*N$309</f>
        <v>#DIV/0!</v>
      </c>
      <c r="AF310" s="5" t="e">
        <f>$G$339*R$309</f>
        <v>#DIV/0!</v>
      </c>
      <c r="AG310" s="5" t="e">
        <f>$G$339*V$309</f>
        <v>#DIV/0!</v>
      </c>
      <c r="AH310" s="5" t="e">
        <f>$G$339*Z$309</f>
        <v>#DIV/0!</v>
      </c>
    </row>
    <row r="311" spans="1:34" x14ac:dyDescent="0.35">
      <c r="A311" s="73"/>
      <c r="B311" s="73"/>
      <c r="C311" s="73"/>
      <c r="D311" s="73"/>
      <c r="E311" s="73"/>
      <c r="F311" s="73"/>
      <c r="G311" s="73"/>
      <c r="H311" s="73"/>
      <c r="I311" s="73"/>
      <c r="AD311" s="32" t="s">
        <v>87</v>
      </c>
      <c r="AE311" s="50" t="e">
        <f>$G$342*$O$310</f>
        <v>#DIV/0!</v>
      </c>
      <c r="AF311" s="44" t="e">
        <f>$G$342*$S$310</f>
        <v>#DIV/0!</v>
      </c>
      <c r="AG311" s="44" t="e">
        <f>$G$342*$W$310</f>
        <v>#DIV/0!</v>
      </c>
      <c r="AH311" s="44" t="e">
        <f>$G$342*$AA$310</f>
        <v>#DIV/0!</v>
      </c>
    </row>
    <row r="312" spans="1:34" x14ac:dyDescent="0.35">
      <c r="A312" s="73"/>
      <c r="B312" s="75"/>
      <c r="C312" s="258"/>
      <c r="D312" s="258"/>
      <c r="E312" s="258"/>
      <c r="F312" s="75"/>
      <c r="G312" s="73"/>
      <c r="H312" s="73"/>
      <c r="I312" s="73"/>
      <c r="AE312" s="9" t="e">
        <f>SUM(AE310:AE311)</f>
        <v>#DIV/0!</v>
      </c>
      <c r="AF312" s="9" t="e">
        <f>SUM(AF310:AF311)</f>
        <v>#DIV/0!</v>
      </c>
      <c r="AG312" s="9" t="e">
        <f>SUM(AG310:AG311)</f>
        <v>#DIV/0!</v>
      </c>
      <c r="AH312" s="9" t="e">
        <f>SUM(AH310:AH311)</f>
        <v>#DIV/0!</v>
      </c>
    </row>
    <row r="313" spans="1:34" x14ac:dyDescent="0.35">
      <c r="A313" s="73"/>
      <c r="B313" s="203"/>
      <c r="C313" s="327"/>
      <c r="D313" s="258"/>
      <c r="E313" s="325"/>
      <c r="F313" s="75"/>
      <c r="G313" s="73"/>
      <c r="H313" s="73"/>
      <c r="I313" s="73"/>
      <c r="AE313" s="8"/>
    </row>
    <row r="314" spans="1:34" x14ac:dyDescent="0.35">
      <c r="A314" s="73"/>
      <c r="B314" s="203"/>
      <c r="C314" s="327"/>
      <c r="D314" s="258"/>
      <c r="E314" s="325"/>
      <c r="F314" s="75"/>
      <c r="G314" s="73"/>
      <c r="H314" s="73"/>
      <c r="I314" s="73"/>
      <c r="AE314" s="8"/>
    </row>
    <row r="315" spans="1:34" x14ac:dyDescent="0.35">
      <c r="A315" s="73"/>
      <c r="B315" s="203"/>
      <c r="C315" s="212"/>
      <c r="D315" s="204"/>
      <c r="E315" s="215"/>
      <c r="F315" s="75"/>
      <c r="G315" s="73"/>
      <c r="H315" s="73"/>
      <c r="I315" s="73"/>
      <c r="AE315" s="8"/>
    </row>
    <row r="316" spans="1:34" x14ac:dyDescent="0.35">
      <c r="A316" s="73"/>
      <c r="B316" s="75"/>
      <c r="C316" s="75"/>
      <c r="D316" s="75"/>
      <c r="E316" s="75"/>
      <c r="F316" s="75"/>
      <c r="G316" s="73"/>
      <c r="H316" s="73"/>
      <c r="I316" s="73"/>
      <c r="AD316" s="39" t="s">
        <v>250</v>
      </c>
      <c r="AE316" s="49" t="s">
        <v>114</v>
      </c>
      <c r="AF316" s="42" t="s">
        <v>78</v>
      </c>
      <c r="AG316" s="42" t="s">
        <v>15</v>
      </c>
      <c r="AH316" s="43" t="s">
        <v>24</v>
      </c>
    </row>
    <row r="317" spans="1:34" x14ac:dyDescent="0.35">
      <c r="A317" s="73"/>
      <c r="B317" s="75"/>
      <c r="C317" s="75"/>
      <c r="D317" s="75"/>
      <c r="E317" s="75"/>
      <c r="F317" s="75"/>
      <c r="G317" s="73"/>
      <c r="H317" s="73"/>
      <c r="I317" s="73"/>
      <c r="AD317" t="s">
        <v>97</v>
      </c>
      <c r="AE317" s="5" t="e">
        <f>$G$339*P$309</f>
        <v>#DIV/0!</v>
      </c>
      <c r="AF317" s="5" t="e">
        <f>$G$339*T$309</f>
        <v>#DIV/0!</v>
      </c>
      <c r="AG317" s="5" t="e">
        <f>$G$339*X$309</f>
        <v>#DIV/0!</v>
      </c>
      <c r="AH317" s="5" t="e">
        <f>$G$339*AB$309</f>
        <v>#DIV/0!</v>
      </c>
    </row>
    <row r="318" spans="1:34" x14ac:dyDescent="0.35">
      <c r="A318" s="73"/>
      <c r="B318" s="73"/>
      <c r="C318" s="73"/>
      <c r="D318" s="73"/>
      <c r="E318" s="73"/>
      <c r="F318" s="73"/>
      <c r="G318" s="73"/>
      <c r="H318" s="73"/>
      <c r="I318" s="73"/>
      <c r="AD318" s="32" t="s">
        <v>87</v>
      </c>
      <c r="AE318" s="44" t="e">
        <f>$G$342*$O$310</f>
        <v>#DIV/0!</v>
      </c>
      <c r="AF318" s="44" t="e">
        <f>$G$342*$S$310</f>
        <v>#DIV/0!</v>
      </c>
      <c r="AG318" s="44" t="e">
        <f>$G$342*$W$310</f>
        <v>#DIV/0!</v>
      </c>
      <c r="AH318" s="44" t="e">
        <f>$G$342*$AA$310</f>
        <v>#DIV/0!</v>
      </c>
    </row>
    <row r="319" spans="1:34" x14ac:dyDescent="0.35">
      <c r="A319" s="73"/>
      <c r="B319" s="73"/>
      <c r="C319" s="297" t="s">
        <v>74</v>
      </c>
      <c r="D319" s="206" t="s">
        <v>70</v>
      </c>
      <c r="E319" s="296" t="s">
        <v>73</v>
      </c>
      <c r="F319" s="73"/>
      <c r="G319" s="73"/>
      <c r="H319" s="73"/>
      <c r="I319" s="73"/>
      <c r="AE319" s="9" t="e">
        <f>SUM(AE317:AE318)</f>
        <v>#DIV/0!</v>
      </c>
      <c r="AF319" s="9" t="e">
        <f>SUM(AF317:AF318)</f>
        <v>#DIV/0!</v>
      </c>
      <c r="AG319" s="9" t="e">
        <f>SUM(AG317:AG318)</f>
        <v>#DIV/0!</v>
      </c>
      <c r="AH319" s="9" t="e">
        <f>SUM(AH317:AH318)</f>
        <v>#DIV/0!</v>
      </c>
    </row>
    <row r="320" spans="1:34" x14ac:dyDescent="0.35">
      <c r="A320" s="73"/>
      <c r="B320" s="323" t="s">
        <v>69</v>
      </c>
      <c r="C320" s="329" t="e">
        <f>IF(MIN($N$303:$P$303,$R$303:$T$303,$V$303:$X$303,$Z$303:$AB$303)&lt;-100,-100,MIN($N$303:$P$303,$R$303:$T$303,$V$303:$X$303,$Z$303:$AB$303))</f>
        <v>#DIV/0!</v>
      </c>
      <c r="D320" s="206" t="s">
        <v>71</v>
      </c>
      <c r="E320" s="330">
        <v>0</v>
      </c>
      <c r="F320" s="73"/>
      <c r="G320" s="73"/>
      <c r="H320" s="73"/>
      <c r="I320" s="73"/>
    </row>
    <row r="321" spans="1:12" x14ac:dyDescent="0.35">
      <c r="A321" s="73"/>
      <c r="B321" s="322" t="s">
        <v>298</v>
      </c>
      <c r="C321" s="329" t="e">
        <f>C323</f>
        <v>#DIV/0!</v>
      </c>
      <c r="D321" s="324" t="s">
        <v>71</v>
      </c>
      <c r="E321" s="331"/>
      <c r="F321" s="73"/>
      <c r="G321" s="73"/>
      <c r="H321" s="73"/>
      <c r="I321" s="73"/>
    </row>
    <row r="322" spans="1:12" x14ac:dyDescent="0.35">
      <c r="A322" s="73"/>
      <c r="B322" s="328" t="s">
        <v>299</v>
      </c>
      <c r="C322" s="55" t="e">
        <f>C320</f>
        <v>#DIV/0!</v>
      </c>
      <c r="D322" s="208" t="s">
        <v>72</v>
      </c>
      <c r="E322" s="332"/>
      <c r="F322" s="73"/>
      <c r="G322" s="73"/>
      <c r="H322" s="73"/>
      <c r="I322" s="73"/>
    </row>
    <row r="323" spans="1:12" x14ac:dyDescent="0.35">
      <c r="A323" s="73"/>
      <c r="B323" s="323" t="s">
        <v>9</v>
      </c>
      <c r="C323" s="55" t="e">
        <f>MAX($N$303:$P$303,$R$303:$T$303,$V$303:$X$303,$Z$303:$AB$303)</f>
        <v>#DIV/0!</v>
      </c>
      <c r="D323" s="206" t="s">
        <v>72</v>
      </c>
      <c r="E323" s="330">
        <v>100</v>
      </c>
      <c r="F323" s="73"/>
      <c r="G323" s="73"/>
      <c r="H323" s="73"/>
      <c r="I323" s="73"/>
    </row>
    <row r="324" spans="1:12" x14ac:dyDescent="0.35">
      <c r="A324" s="73"/>
      <c r="B324" s="204"/>
      <c r="C324" s="213"/>
      <c r="D324" s="73"/>
      <c r="E324" s="73"/>
      <c r="F324" s="73"/>
      <c r="G324" s="73"/>
      <c r="H324" s="73"/>
      <c r="I324" s="73"/>
    </row>
    <row r="325" spans="1:12" x14ac:dyDescent="0.35">
      <c r="A325" s="73"/>
      <c r="B325" s="204"/>
      <c r="C325" s="213"/>
      <c r="D325" s="73"/>
      <c r="E325" s="73"/>
      <c r="F325" s="73"/>
      <c r="G325" s="73"/>
      <c r="H325" s="73"/>
      <c r="I325" s="73"/>
    </row>
    <row r="326" spans="1:12" x14ac:dyDescent="0.35">
      <c r="A326" s="73"/>
      <c r="B326" s="204"/>
      <c r="C326" s="213"/>
      <c r="D326" s="73"/>
      <c r="E326" s="73"/>
      <c r="F326" s="73"/>
      <c r="G326" s="73"/>
      <c r="H326" s="73"/>
      <c r="I326" s="73"/>
    </row>
    <row r="327" spans="1:12" x14ac:dyDescent="0.35">
      <c r="A327" s="73"/>
      <c r="B327" s="204"/>
      <c r="C327" s="213"/>
      <c r="D327" s="73"/>
      <c r="E327" s="73"/>
      <c r="F327" s="73"/>
      <c r="G327" s="73"/>
      <c r="H327" s="73"/>
      <c r="I327" s="73"/>
    </row>
    <row r="328" spans="1:12" x14ac:dyDescent="0.35">
      <c r="A328" s="73"/>
      <c r="B328" s="204"/>
      <c r="C328" s="213"/>
      <c r="D328" s="73"/>
      <c r="E328" s="73"/>
      <c r="F328" s="73"/>
      <c r="G328" s="73"/>
      <c r="H328" s="73"/>
      <c r="I328" s="73"/>
    </row>
    <row r="329" spans="1:12" x14ac:dyDescent="0.35">
      <c r="A329" s="73"/>
      <c r="B329" s="204"/>
      <c r="C329" s="213"/>
      <c r="D329" s="73"/>
      <c r="E329" s="73"/>
      <c r="F329" s="73"/>
      <c r="G329" s="73"/>
      <c r="H329" s="73"/>
      <c r="I329" s="73"/>
    </row>
    <row r="330" spans="1:12" x14ac:dyDescent="0.35">
      <c r="A330" s="73"/>
      <c r="B330" s="204"/>
      <c r="C330" s="213"/>
      <c r="D330" s="73"/>
      <c r="E330" s="73"/>
      <c r="F330" s="73"/>
      <c r="G330" s="73"/>
      <c r="H330" s="73"/>
      <c r="I330" s="73"/>
    </row>
    <row r="331" spans="1:12" x14ac:dyDescent="0.35">
      <c r="A331" s="73"/>
      <c r="B331" s="204"/>
      <c r="C331" s="213"/>
      <c r="D331" s="73"/>
      <c r="E331" s="73"/>
      <c r="F331" s="73"/>
      <c r="G331" s="73"/>
      <c r="H331" s="73"/>
      <c r="I331" s="73"/>
    </row>
    <row r="332" spans="1:12" x14ac:dyDescent="0.35">
      <c r="A332" s="73"/>
      <c r="B332" s="204"/>
      <c r="C332" s="213"/>
      <c r="D332" s="73"/>
      <c r="E332" s="73"/>
      <c r="F332" s="73"/>
      <c r="G332" s="73"/>
      <c r="H332" s="73"/>
      <c r="I332" s="73"/>
    </row>
    <row r="333" spans="1:12" x14ac:dyDescent="0.35">
      <c r="A333" s="73"/>
      <c r="B333" s="204"/>
      <c r="C333" s="213"/>
      <c r="D333" s="73"/>
      <c r="E333" s="73"/>
      <c r="F333" s="73"/>
      <c r="G333" s="73"/>
      <c r="H333" s="73"/>
      <c r="I333" s="73"/>
      <c r="K333" s="3"/>
      <c r="L333" s="3"/>
    </row>
    <row r="334" spans="1:12" x14ac:dyDescent="0.35">
      <c r="A334" s="73"/>
      <c r="B334" s="204"/>
      <c r="C334" s="213"/>
      <c r="D334" s="73"/>
      <c r="E334" s="73"/>
      <c r="F334" s="73"/>
      <c r="G334" s="73"/>
      <c r="H334" s="73"/>
      <c r="I334" s="73"/>
    </row>
    <row r="335" spans="1:12" x14ac:dyDescent="0.35">
      <c r="A335" s="73"/>
      <c r="B335" s="204"/>
      <c r="C335" s="213"/>
      <c r="D335" s="73"/>
      <c r="E335" s="73"/>
      <c r="F335" s="73"/>
      <c r="G335" s="73"/>
      <c r="H335" s="73"/>
      <c r="I335" s="73"/>
    </row>
    <row r="336" spans="1:12" x14ac:dyDescent="0.35">
      <c r="A336" s="73"/>
      <c r="B336" s="74"/>
      <c r="C336" s="73"/>
      <c r="D336" s="73"/>
      <c r="E336" s="73"/>
      <c r="F336" s="73"/>
      <c r="G336" s="73"/>
      <c r="H336" s="73"/>
      <c r="I336" s="73"/>
    </row>
    <row r="337" spans="1:9" x14ac:dyDescent="0.35">
      <c r="A337" s="73"/>
      <c r="B337" s="73"/>
      <c r="C337" s="73"/>
      <c r="D337" s="73"/>
      <c r="E337" s="73"/>
      <c r="F337" s="73"/>
      <c r="G337" s="73"/>
      <c r="H337" s="73"/>
      <c r="I337" s="73"/>
    </row>
    <row r="338" spans="1:9" x14ac:dyDescent="0.35">
      <c r="A338" s="73"/>
      <c r="B338" s="319"/>
      <c r="C338" s="209" t="s">
        <v>88</v>
      </c>
      <c r="D338" s="209" t="s">
        <v>89</v>
      </c>
      <c r="E338" s="209" t="s">
        <v>91</v>
      </c>
      <c r="F338" s="209" t="s">
        <v>73</v>
      </c>
      <c r="G338" s="295" t="s">
        <v>232</v>
      </c>
      <c r="H338" s="73"/>
      <c r="I338" s="73"/>
    </row>
    <row r="339" spans="1:9" x14ac:dyDescent="0.35">
      <c r="A339" s="73"/>
      <c r="B339" s="320" t="s">
        <v>92</v>
      </c>
      <c r="C339" s="210" t="e">
        <f>C320</f>
        <v>#DIV/0!</v>
      </c>
      <c r="D339" s="210" t="e">
        <f>C323</f>
        <v>#DIV/0!</v>
      </c>
      <c r="E339" s="487"/>
      <c r="F339" s="489"/>
      <c r="G339" s="491" t="e">
        <f>F339/(F$339+F$342)</f>
        <v>#DIV/0!</v>
      </c>
      <c r="H339" s="73"/>
      <c r="I339" s="73"/>
    </row>
    <row r="340" spans="1:9" x14ac:dyDescent="0.35">
      <c r="A340" s="73"/>
      <c r="B340" s="320" t="s">
        <v>70</v>
      </c>
      <c r="C340" s="210" t="s">
        <v>71</v>
      </c>
      <c r="D340" s="210" t="s">
        <v>72</v>
      </c>
      <c r="E340" s="488"/>
      <c r="F340" s="490"/>
      <c r="G340" s="492"/>
      <c r="H340" s="73"/>
      <c r="I340" s="73"/>
    </row>
    <row r="341" spans="1:9" x14ac:dyDescent="0.35">
      <c r="A341" s="73"/>
      <c r="B341" s="320"/>
      <c r="C341" s="73"/>
      <c r="D341" s="73"/>
      <c r="E341" s="73"/>
      <c r="F341" s="73"/>
      <c r="G341" s="298"/>
      <c r="H341" s="73"/>
      <c r="I341" s="73"/>
    </row>
    <row r="342" spans="1:9" x14ac:dyDescent="0.35">
      <c r="A342" s="73"/>
      <c r="B342" s="321" t="s">
        <v>90</v>
      </c>
      <c r="C342" s="211">
        <f>MAX($O$305,$S$305,$W$305,$AA$305)</f>
        <v>0</v>
      </c>
      <c r="D342" s="211">
        <f>MIN($O$305,$S$305,$W$305,$AA$305)</f>
        <v>0</v>
      </c>
      <c r="E342" s="336"/>
      <c r="F342" s="337"/>
      <c r="G342" s="338" t="e">
        <f>F342/(F$339+F$342)</f>
        <v>#DIV/0!</v>
      </c>
      <c r="H342" s="73"/>
      <c r="I342" s="73"/>
    </row>
    <row r="343" spans="1:9" x14ac:dyDescent="0.35">
      <c r="A343" s="73"/>
      <c r="B343" s="204"/>
      <c r="C343" s="333"/>
      <c r="D343" s="333"/>
      <c r="E343" s="339"/>
      <c r="F343" s="339"/>
      <c r="G343" s="340"/>
      <c r="H343" s="73"/>
      <c r="I343" s="73"/>
    </row>
    <row r="344" spans="1:9" x14ac:dyDescent="0.35">
      <c r="A344" s="73"/>
      <c r="B344" s="204"/>
      <c r="C344" s="333"/>
      <c r="D344" s="333"/>
      <c r="E344" s="334"/>
      <c r="F344" s="334"/>
      <c r="G344" s="335"/>
      <c r="H344" s="73"/>
      <c r="I344" s="73"/>
    </row>
    <row r="345" spans="1:9" x14ac:dyDescent="0.35">
      <c r="A345" s="73"/>
      <c r="B345" s="73" t="s">
        <v>300</v>
      </c>
      <c r="C345" s="333"/>
      <c r="D345" s="333"/>
      <c r="E345" s="334"/>
      <c r="F345" s="334"/>
      <c r="G345" s="335"/>
      <c r="H345" s="73"/>
      <c r="I345" s="73"/>
    </row>
    <row r="346" spans="1:9" x14ac:dyDescent="0.35">
      <c r="A346" s="73"/>
      <c r="B346" t="s">
        <v>293</v>
      </c>
      <c r="C346" s="73"/>
      <c r="D346" s="73"/>
      <c r="E346" s="73"/>
      <c r="F346" s="73"/>
      <c r="G346" s="73"/>
      <c r="H346" s="73"/>
      <c r="I346" s="73"/>
    </row>
    <row r="347" spans="1:9" x14ac:dyDescent="0.35">
      <c r="A347" s="73"/>
      <c r="B347" s="73"/>
      <c r="C347" s="73"/>
      <c r="D347" s="73"/>
      <c r="E347" s="73"/>
      <c r="F347" s="73"/>
      <c r="G347" s="73"/>
      <c r="H347" s="73"/>
      <c r="I347" s="73"/>
    </row>
    <row r="348" spans="1:9" x14ac:dyDescent="0.35">
      <c r="A348" s="73"/>
      <c r="B348" s="73"/>
      <c r="C348" s="73"/>
      <c r="D348" s="73"/>
      <c r="E348" s="73"/>
      <c r="F348" s="73"/>
      <c r="G348" s="73"/>
      <c r="H348" s="73"/>
      <c r="I348" s="73"/>
    </row>
    <row r="349" spans="1:9" x14ac:dyDescent="0.35">
      <c r="A349" s="73"/>
      <c r="B349" s="73"/>
      <c r="C349" s="73"/>
      <c r="D349" s="73"/>
      <c r="E349" s="73"/>
      <c r="F349" s="73"/>
      <c r="G349" s="73"/>
      <c r="H349" s="73"/>
      <c r="I349" s="73"/>
    </row>
    <row r="350" spans="1:9" x14ac:dyDescent="0.35">
      <c r="A350" s="73"/>
      <c r="B350" s="73"/>
      <c r="C350" s="73"/>
      <c r="D350" s="73"/>
      <c r="E350" s="73"/>
      <c r="F350" s="73"/>
      <c r="G350" s="73"/>
      <c r="H350" s="73"/>
      <c r="I350" s="73"/>
    </row>
    <row r="351" spans="1:9" x14ac:dyDescent="0.35">
      <c r="A351" s="73"/>
      <c r="B351" s="73"/>
      <c r="C351" s="73"/>
      <c r="D351" s="73"/>
      <c r="E351" s="73"/>
      <c r="F351" s="73"/>
      <c r="G351" s="73"/>
      <c r="H351" s="73"/>
      <c r="I351" s="73"/>
    </row>
    <row r="352" spans="1:9" x14ac:dyDescent="0.35">
      <c r="A352" s="73"/>
      <c r="B352" s="73"/>
      <c r="C352" s="73"/>
      <c r="D352" s="73"/>
      <c r="E352" s="73"/>
      <c r="F352" s="73"/>
      <c r="G352" s="73"/>
      <c r="H352" s="73"/>
      <c r="I352" s="73"/>
    </row>
    <row r="353" spans="1:9" x14ac:dyDescent="0.35">
      <c r="A353" s="73"/>
      <c r="B353" s="73"/>
      <c r="C353" s="73"/>
      <c r="D353" s="73"/>
      <c r="E353" s="73"/>
      <c r="F353" s="73"/>
      <c r="G353" s="73"/>
      <c r="H353" s="73"/>
      <c r="I353" s="73"/>
    </row>
    <row r="354" spans="1:9" x14ac:dyDescent="0.35">
      <c r="A354" s="73"/>
      <c r="B354" s="73"/>
      <c r="C354" s="73"/>
      <c r="D354" s="73"/>
      <c r="E354" s="73"/>
      <c r="F354" s="73"/>
      <c r="G354" s="73"/>
      <c r="H354" s="73"/>
      <c r="I354" s="73"/>
    </row>
    <row r="355" spans="1:9" x14ac:dyDescent="0.35">
      <c r="A355" s="73"/>
      <c r="B355" s="73"/>
      <c r="C355" s="73"/>
      <c r="D355" s="73"/>
      <c r="E355" s="73"/>
      <c r="F355" s="73"/>
      <c r="G355" s="73"/>
      <c r="H355" s="73"/>
      <c r="I355" s="73"/>
    </row>
    <row r="356" spans="1:9" x14ac:dyDescent="0.35">
      <c r="A356" s="73"/>
      <c r="B356" s="73"/>
      <c r="C356" s="73"/>
      <c r="D356" s="73"/>
      <c r="E356" s="73"/>
      <c r="F356" s="73"/>
      <c r="G356" s="73"/>
      <c r="H356" s="73"/>
      <c r="I356" s="73"/>
    </row>
    <row r="357" spans="1:9" x14ac:dyDescent="0.35">
      <c r="A357" s="73"/>
      <c r="B357" s="73"/>
      <c r="C357" s="73"/>
      <c r="D357" s="73"/>
      <c r="E357" s="73"/>
      <c r="F357" s="73"/>
      <c r="G357" s="73"/>
      <c r="H357" s="73"/>
      <c r="I357" s="73"/>
    </row>
    <row r="358" spans="1:9" x14ac:dyDescent="0.35">
      <c r="A358" s="73"/>
      <c r="B358" s="73"/>
      <c r="C358" s="73"/>
      <c r="D358" s="73"/>
      <c r="E358" s="73"/>
      <c r="F358" s="73"/>
      <c r="G358" s="73"/>
      <c r="H358" s="73"/>
      <c r="I358" s="73"/>
    </row>
    <row r="359" spans="1:9" x14ac:dyDescent="0.35">
      <c r="A359" s="73"/>
      <c r="B359" s="73"/>
      <c r="C359" s="73"/>
      <c r="D359" s="73"/>
      <c r="E359" s="73"/>
      <c r="F359" s="73"/>
      <c r="G359" s="73"/>
      <c r="H359" s="73"/>
      <c r="I359" s="73"/>
    </row>
    <row r="360" spans="1:9" x14ac:dyDescent="0.35">
      <c r="A360" s="73"/>
      <c r="B360" s="73"/>
      <c r="C360" s="73"/>
      <c r="D360" s="73"/>
      <c r="E360" s="73"/>
      <c r="F360" s="73"/>
      <c r="G360" s="73"/>
      <c r="H360" s="73"/>
      <c r="I360" s="73"/>
    </row>
    <row r="361" spans="1:9" x14ac:dyDescent="0.35">
      <c r="A361" s="73"/>
      <c r="B361" s="73"/>
      <c r="C361" s="73"/>
      <c r="D361" s="73"/>
      <c r="E361" s="73"/>
      <c r="F361" s="73"/>
      <c r="G361" s="73"/>
      <c r="H361" s="73"/>
      <c r="I361" s="73"/>
    </row>
    <row r="362" spans="1:9" x14ac:dyDescent="0.35">
      <c r="A362" s="73"/>
      <c r="B362" s="73"/>
      <c r="C362" s="73"/>
      <c r="D362" s="73"/>
      <c r="E362" s="73"/>
      <c r="F362" s="73"/>
      <c r="G362" s="73"/>
      <c r="H362" s="73"/>
      <c r="I362" s="73"/>
    </row>
    <row r="363" spans="1:9" x14ac:dyDescent="0.35">
      <c r="A363" s="73"/>
      <c r="B363" s="73"/>
      <c r="C363" s="73"/>
      <c r="D363" s="73"/>
      <c r="E363" s="73"/>
      <c r="F363" s="73"/>
      <c r="G363" s="73"/>
      <c r="H363" s="73"/>
      <c r="I363" s="73"/>
    </row>
    <row r="364" spans="1:9" x14ac:dyDescent="0.35">
      <c r="A364" s="73"/>
      <c r="B364" s="73"/>
      <c r="C364" s="73"/>
      <c r="D364" s="73"/>
      <c r="E364" s="73"/>
      <c r="F364" s="73"/>
      <c r="G364" s="73"/>
      <c r="H364" s="73"/>
      <c r="I364" s="73"/>
    </row>
    <row r="365" spans="1:9" x14ac:dyDescent="0.35">
      <c r="A365" s="73"/>
      <c r="B365" s="73"/>
      <c r="C365" s="73"/>
      <c r="D365" s="73"/>
      <c r="E365" s="73"/>
      <c r="F365" s="73"/>
      <c r="G365" s="73"/>
      <c r="H365" s="73"/>
      <c r="I365" s="73"/>
    </row>
    <row r="366" spans="1:9" x14ac:dyDescent="0.35">
      <c r="A366" s="73"/>
      <c r="B366" s="73"/>
      <c r="C366" s="73"/>
      <c r="D366" s="73"/>
      <c r="E366" s="73"/>
      <c r="F366" s="73"/>
      <c r="G366" s="73"/>
      <c r="H366" s="73"/>
      <c r="I366" s="73"/>
    </row>
    <row r="367" spans="1:9" x14ac:dyDescent="0.35">
      <c r="A367" s="73"/>
      <c r="B367" s="73"/>
      <c r="C367" s="73"/>
      <c r="D367" s="73"/>
      <c r="E367" s="73"/>
      <c r="F367" s="73"/>
      <c r="G367" s="73"/>
      <c r="H367" s="73"/>
      <c r="I367" s="73"/>
    </row>
    <row r="368" spans="1:9" x14ac:dyDescent="0.35">
      <c r="A368" s="73"/>
      <c r="B368" s="73"/>
      <c r="C368" s="73"/>
      <c r="D368" s="73"/>
      <c r="E368" s="73"/>
      <c r="F368" s="73"/>
      <c r="G368" s="73"/>
      <c r="H368" s="73"/>
      <c r="I368" s="73"/>
    </row>
    <row r="369" spans="1:9" x14ac:dyDescent="0.35">
      <c r="A369" s="73"/>
      <c r="B369" s="73"/>
      <c r="C369" s="73"/>
      <c r="D369" s="73"/>
      <c r="E369" s="73"/>
      <c r="F369" s="73"/>
      <c r="G369" s="73"/>
      <c r="H369" s="73"/>
      <c r="I369" s="73"/>
    </row>
    <row r="370" spans="1:9" x14ac:dyDescent="0.35">
      <c r="A370" s="73"/>
      <c r="B370" s="73"/>
      <c r="C370" s="73"/>
      <c r="D370" s="73"/>
      <c r="E370" s="73"/>
      <c r="F370" s="73"/>
      <c r="G370" s="73"/>
      <c r="H370" s="73"/>
      <c r="I370" s="73"/>
    </row>
    <row r="371" spans="1:9" x14ac:dyDescent="0.35">
      <c r="A371" s="73"/>
      <c r="B371" s="73"/>
      <c r="C371" s="73"/>
      <c r="D371" s="73"/>
      <c r="E371" s="73"/>
      <c r="F371" s="73"/>
      <c r="G371" s="73"/>
      <c r="H371" s="73"/>
      <c r="I371" s="73"/>
    </row>
    <row r="372" spans="1:9" x14ac:dyDescent="0.35">
      <c r="A372" s="73"/>
      <c r="I372" s="73"/>
    </row>
  </sheetData>
  <mergeCells count="18">
    <mergeCell ref="E54:E55"/>
    <mergeCell ref="F54:F55"/>
    <mergeCell ref="G54:G55"/>
    <mergeCell ref="E111:E112"/>
    <mergeCell ref="F111:F112"/>
    <mergeCell ref="G111:G112"/>
    <mergeCell ref="E168:E169"/>
    <mergeCell ref="F168:F169"/>
    <mergeCell ref="G168:G169"/>
    <mergeCell ref="E225:E226"/>
    <mergeCell ref="F225:F226"/>
    <mergeCell ref="G225:G226"/>
    <mergeCell ref="E282:E283"/>
    <mergeCell ref="F282:F283"/>
    <mergeCell ref="G282:G283"/>
    <mergeCell ref="E339:E340"/>
    <mergeCell ref="F339:F340"/>
    <mergeCell ref="G339:G3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70"/>
  <sheetViews>
    <sheetView topLeftCell="A4" zoomScaleNormal="100" workbookViewId="0"/>
  </sheetViews>
  <sheetFormatPr defaultRowHeight="14.5" x14ac:dyDescent="0.35"/>
  <cols>
    <col min="1" max="1" width="9.54296875" customWidth="1"/>
    <col min="2" max="5" width="15.54296875" customWidth="1"/>
  </cols>
  <sheetData>
    <row r="1" spans="1:26" ht="18.5" x14ac:dyDescent="0.45">
      <c r="B1" s="265" t="s">
        <v>304</v>
      </c>
      <c r="C1" s="73"/>
      <c r="D1" s="73"/>
      <c r="E1" s="73"/>
      <c r="F1" s="73"/>
      <c r="G1" s="73"/>
      <c r="H1" s="73"/>
      <c r="I1" s="73"/>
      <c r="J1" s="73"/>
      <c r="K1" s="73"/>
      <c r="L1" s="73"/>
      <c r="M1" s="73"/>
      <c r="N1" s="73"/>
      <c r="O1" s="73"/>
      <c r="P1" s="73"/>
      <c r="Q1" s="73"/>
      <c r="R1" s="73"/>
      <c r="S1" s="73"/>
      <c r="T1" s="73"/>
      <c r="U1" s="73"/>
      <c r="V1" s="73"/>
      <c r="W1" s="73"/>
      <c r="X1" s="73"/>
      <c r="Y1" s="73"/>
      <c r="Z1" s="73"/>
    </row>
    <row r="2" spans="1:26" ht="14.5" customHeight="1" x14ac:dyDescent="0.45">
      <c r="A2" s="265"/>
      <c r="B2" s="73"/>
      <c r="C2" s="73"/>
      <c r="D2" s="73"/>
      <c r="E2" s="73"/>
      <c r="F2" s="73"/>
      <c r="G2" s="73"/>
      <c r="H2" s="73"/>
      <c r="I2" s="73"/>
      <c r="J2" s="73"/>
      <c r="K2" s="73"/>
      <c r="L2" s="73"/>
      <c r="M2" s="73"/>
      <c r="N2" s="73"/>
      <c r="O2" s="73"/>
      <c r="P2" s="73"/>
      <c r="Q2" s="73"/>
      <c r="R2" s="73"/>
      <c r="S2" s="73"/>
      <c r="T2" s="73"/>
      <c r="U2" s="73"/>
      <c r="V2" s="73"/>
      <c r="W2" s="73"/>
      <c r="X2" s="73"/>
      <c r="Y2" s="73"/>
      <c r="Z2" s="73"/>
    </row>
    <row r="3" spans="1:26" ht="14.5" customHeight="1" x14ac:dyDescent="0.45">
      <c r="A3" s="265"/>
      <c r="B3" s="73"/>
      <c r="C3" s="73"/>
      <c r="D3" s="73"/>
      <c r="E3" s="73"/>
      <c r="F3" s="73"/>
      <c r="G3" s="73"/>
      <c r="H3" s="73"/>
      <c r="I3" s="73"/>
      <c r="J3" s="73"/>
      <c r="K3" s="73"/>
      <c r="L3" s="73"/>
      <c r="M3" s="73"/>
      <c r="N3" s="73"/>
      <c r="O3" s="73"/>
      <c r="P3" s="73"/>
      <c r="Q3" s="73"/>
      <c r="R3" s="73"/>
      <c r="S3" s="73"/>
      <c r="T3" s="73"/>
      <c r="U3" s="73"/>
      <c r="V3" s="73"/>
      <c r="W3" s="73"/>
      <c r="X3" s="73"/>
      <c r="Y3" s="73"/>
      <c r="Z3" s="73"/>
    </row>
    <row r="4" spans="1:26" ht="14.5" customHeight="1" x14ac:dyDescent="0.45">
      <c r="A4" s="265"/>
      <c r="B4" s="73"/>
      <c r="C4" s="73"/>
      <c r="D4" s="73"/>
      <c r="E4" s="73"/>
      <c r="F4" s="73"/>
      <c r="G4" s="73"/>
      <c r="H4" s="73"/>
      <c r="I4" s="73"/>
      <c r="J4" s="73"/>
      <c r="K4" s="73"/>
      <c r="L4" s="73"/>
      <c r="M4" s="73"/>
      <c r="N4" s="73"/>
      <c r="O4" s="73"/>
      <c r="P4" s="73"/>
      <c r="Q4" s="73"/>
      <c r="R4" s="73"/>
      <c r="S4" s="73"/>
      <c r="T4" s="73"/>
      <c r="U4" s="73"/>
      <c r="V4" s="73"/>
      <c r="W4" s="73"/>
      <c r="X4" s="73"/>
      <c r="Y4" s="73"/>
      <c r="Z4" s="73"/>
    </row>
    <row r="5" spans="1:26" ht="14.5" customHeight="1" x14ac:dyDescent="0.45">
      <c r="A5" s="265"/>
      <c r="B5" s="73"/>
      <c r="C5" s="73"/>
      <c r="D5" s="73"/>
      <c r="E5" s="73"/>
      <c r="F5" s="73"/>
      <c r="G5" s="73"/>
      <c r="H5" s="73"/>
      <c r="I5" s="73"/>
      <c r="J5" s="73"/>
      <c r="K5" s="73"/>
      <c r="L5" s="73"/>
      <c r="M5" s="73"/>
      <c r="N5" s="73"/>
      <c r="O5" s="73"/>
      <c r="P5" s="73"/>
      <c r="Q5" s="73"/>
      <c r="R5" s="73"/>
      <c r="S5" s="73"/>
      <c r="T5" s="73"/>
      <c r="U5" s="73"/>
      <c r="V5" s="73"/>
      <c r="W5" s="73"/>
      <c r="X5" s="73"/>
      <c r="Y5" s="73"/>
      <c r="Z5" s="73"/>
    </row>
    <row r="6" spans="1:26" ht="14.5" customHeight="1" x14ac:dyDescent="0.45">
      <c r="A6" s="265"/>
      <c r="B6" s="73"/>
      <c r="C6" s="73"/>
      <c r="D6" s="73"/>
      <c r="E6" s="73"/>
      <c r="F6" s="73"/>
      <c r="G6" s="73"/>
      <c r="H6" s="73"/>
      <c r="I6" s="73"/>
      <c r="J6" s="73"/>
      <c r="K6" s="73"/>
      <c r="L6" s="73"/>
      <c r="M6" s="73"/>
      <c r="N6" s="73"/>
      <c r="O6" s="73"/>
      <c r="P6" s="73"/>
      <c r="Q6" s="73"/>
      <c r="R6" s="73"/>
      <c r="S6" s="73"/>
      <c r="T6" s="73"/>
      <c r="U6" s="73"/>
      <c r="V6" s="73"/>
      <c r="W6" s="73"/>
      <c r="X6" s="73"/>
      <c r="Y6" s="73"/>
      <c r="Z6" s="73"/>
    </row>
    <row r="7" spans="1:26" ht="14.5" customHeight="1" x14ac:dyDescent="0.45">
      <c r="A7" s="265"/>
      <c r="B7" s="73"/>
      <c r="C7" s="73"/>
      <c r="D7" s="73"/>
      <c r="E7" s="73"/>
      <c r="F7" s="73"/>
      <c r="G7" s="73"/>
      <c r="H7" s="73"/>
      <c r="I7" s="73"/>
      <c r="J7" s="73"/>
      <c r="K7" s="73"/>
      <c r="L7" s="73"/>
      <c r="M7" s="73"/>
      <c r="N7" s="73"/>
      <c r="O7" s="73"/>
      <c r="P7" s="73"/>
      <c r="Q7" s="73"/>
      <c r="R7" s="73"/>
      <c r="S7" s="73"/>
      <c r="T7" s="73"/>
      <c r="U7" s="73"/>
      <c r="V7" s="73"/>
      <c r="W7" s="73"/>
      <c r="X7" s="73"/>
      <c r="Y7" s="73"/>
      <c r="Z7" s="73"/>
    </row>
    <row r="8" spans="1:26" ht="14.5" customHeight="1" x14ac:dyDescent="0.45">
      <c r="A8" s="265"/>
      <c r="B8" s="73"/>
      <c r="C8" s="73"/>
      <c r="D8" s="73"/>
      <c r="E8" s="73"/>
      <c r="F8" s="73"/>
      <c r="G8" s="73"/>
      <c r="H8" s="73"/>
      <c r="I8" s="73"/>
      <c r="J8" s="73"/>
      <c r="K8" s="73"/>
      <c r="L8" s="73"/>
      <c r="M8" s="73"/>
      <c r="N8" s="73"/>
      <c r="O8" s="73"/>
      <c r="P8" s="73"/>
      <c r="Q8" s="73"/>
      <c r="R8" s="73"/>
      <c r="S8" s="73"/>
      <c r="T8" s="73"/>
      <c r="U8" s="73"/>
      <c r="V8" s="73"/>
      <c r="W8" s="73"/>
      <c r="X8" s="73"/>
      <c r="Y8" s="73"/>
      <c r="Z8" s="73"/>
    </row>
    <row r="9" spans="1:26" ht="14.5" customHeight="1" x14ac:dyDescent="0.45">
      <c r="A9" s="265"/>
      <c r="B9" s="73"/>
      <c r="C9" s="73"/>
      <c r="D9" s="73"/>
      <c r="E9" s="73"/>
      <c r="F9" s="73"/>
      <c r="G9" s="73"/>
      <c r="H9" s="73"/>
      <c r="I9" s="73"/>
      <c r="J9" s="73"/>
      <c r="K9" s="73"/>
      <c r="L9" s="73"/>
      <c r="M9" s="73"/>
      <c r="N9" s="73"/>
      <c r="O9" s="73"/>
      <c r="P9" s="73"/>
      <c r="Q9" s="73"/>
      <c r="R9" s="73"/>
      <c r="S9" s="73"/>
      <c r="T9" s="73"/>
      <c r="U9" s="73"/>
      <c r="V9" s="73"/>
      <c r="W9" s="73"/>
      <c r="X9" s="73"/>
      <c r="Y9" s="73"/>
      <c r="Z9" s="73"/>
    </row>
    <row r="10" spans="1:26" x14ac:dyDescent="0.3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row>
    <row r="11" spans="1:26" x14ac:dyDescent="0.3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row>
    <row r="12" spans="1:26" x14ac:dyDescent="0.35">
      <c r="A12" s="73"/>
      <c r="B12" s="73"/>
      <c r="C12" s="79" t="s">
        <v>114</v>
      </c>
      <c r="D12" s="79" t="s">
        <v>137</v>
      </c>
      <c r="E12" s="79" t="s">
        <v>138</v>
      </c>
      <c r="F12" s="79" t="s">
        <v>139</v>
      </c>
      <c r="G12" s="79"/>
      <c r="H12" s="79"/>
      <c r="I12" s="79"/>
      <c r="J12" s="79"/>
      <c r="K12" s="79"/>
      <c r="L12" s="79"/>
      <c r="M12" s="79"/>
      <c r="N12" s="73"/>
      <c r="O12" s="73"/>
      <c r="P12" s="73"/>
      <c r="Q12" s="73"/>
      <c r="R12" s="73"/>
      <c r="S12" s="73"/>
      <c r="T12" s="73"/>
      <c r="U12" s="73"/>
      <c r="V12" s="73"/>
      <c r="W12" s="73"/>
      <c r="X12" s="73"/>
      <c r="Y12" s="73"/>
      <c r="Z12" s="73"/>
    </row>
    <row r="13" spans="1:26" x14ac:dyDescent="0.35">
      <c r="A13" s="73"/>
      <c r="B13" s="205" t="s">
        <v>275</v>
      </c>
      <c r="C13" s="73" t="e">
        <f>_xlfn.RANK.AVG('6.1 Value judgements'!AE31,'6.1 Value judgements'!$AE31:$AH31,0)</f>
        <v>#DIV/0!</v>
      </c>
      <c r="D13" s="73" t="e">
        <f>_xlfn.RANK.AVG('6.1 Value judgements'!AF31,'6.1 Value judgements'!$AE31:$AH31,0)</f>
        <v>#DIV/0!</v>
      </c>
      <c r="E13" s="73" t="e">
        <f>_xlfn.RANK.AVG('6.1 Value judgements'!AG31,'6.1 Value judgements'!$AE31:$AH31,0)</f>
        <v>#DIV/0!</v>
      </c>
      <c r="F13" s="73" t="e">
        <f>_xlfn.RANK.AVG('6.1 Value judgements'!AH31,'6.1 Value judgements'!$AE31:$AH31,0)</f>
        <v>#DIV/0!</v>
      </c>
      <c r="G13" s="73"/>
      <c r="H13" s="73"/>
      <c r="I13" s="73"/>
      <c r="J13" s="73"/>
      <c r="K13" s="73"/>
      <c r="L13" s="73"/>
      <c r="M13" s="73"/>
      <c r="N13" s="73"/>
      <c r="O13" s="73"/>
      <c r="P13" s="73"/>
      <c r="Q13" s="73"/>
      <c r="R13" s="73"/>
      <c r="S13" s="73"/>
      <c r="T13" s="73"/>
      <c r="U13" s="73"/>
      <c r="V13" s="73"/>
      <c r="W13" s="73"/>
      <c r="X13" s="73"/>
      <c r="Y13" s="73"/>
      <c r="Z13" s="73"/>
    </row>
    <row r="14" spans="1:26" x14ac:dyDescent="0.35">
      <c r="A14" s="73"/>
      <c r="B14" s="205" t="s">
        <v>276</v>
      </c>
      <c r="C14" s="73" t="e">
        <f>_xlfn.RANK.AVG('6.1 Value judgements'!AE86,'6.1 Value judgements'!$AE86:$AH86,0)</f>
        <v>#DIV/0!</v>
      </c>
      <c r="D14" s="73" t="e">
        <f>_xlfn.RANK.AVG('6.1 Value judgements'!AF86,'6.1 Value judgements'!$AE86:$AH86,0)</f>
        <v>#DIV/0!</v>
      </c>
      <c r="E14" s="73" t="e">
        <f>_xlfn.RANK.AVG('6.1 Value judgements'!AG86,'6.1 Value judgements'!$AE86:$AH86,0)</f>
        <v>#DIV/0!</v>
      </c>
      <c r="F14" s="73" t="e">
        <f>_xlfn.RANK.AVG('6.1 Value judgements'!AH86,'6.1 Value judgements'!$AE86:$AH86,0)</f>
        <v>#DIV/0!</v>
      </c>
      <c r="G14" s="73"/>
      <c r="H14" s="73"/>
      <c r="I14" s="73"/>
      <c r="J14" s="73"/>
      <c r="K14" s="73"/>
      <c r="L14" s="73"/>
      <c r="M14" s="73"/>
      <c r="N14" s="73"/>
      <c r="O14" s="73"/>
      <c r="P14" s="73"/>
      <c r="Q14" s="73"/>
      <c r="R14" s="73"/>
      <c r="S14" s="73"/>
      <c r="T14" s="73"/>
      <c r="U14" s="73"/>
      <c r="V14" s="73"/>
      <c r="W14" s="73"/>
      <c r="X14" s="73"/>
      <c r="Y14" s="73"/>
      <c r="Z14" s="73"/>
    </row>
    <row r="15" spans="1:26" x14ac:dyDescent="0.35">
      <c r="A15" s="73"/>
      <c r="B15" s="205" t="s">
        <v>277</v>
      </c>
      <c r="C15" s="73" t="e">
        <f>_xlfn.RANK.AVG('6.1 Value judgements'!AE143,'6.1 Value judgements'!$AE143:$AH143,0)</f>
        <v>#DIV/0!</v>
      </c>
      <c r="D15" s="73" t="e">
        <f>_xlfn.RANK.AVG('6.1 Value judgements'!AF143,'6.1 Value judgements'!$AE143:$AH143,0)</f>
        <v>#DIV/0!</v>
      </c>
      <c r="E15" s="73" t="e">
        <f>_xlfn.RANK.AVG('6.1 Value judgements'!AG143,'6.1 Value judgements'!$AE143:$AH143,0)</f>
        <v>#DIV/0!</v>
      </c>
      <c r="F15" s="73" t="e">
        <f>_xlfn.RANK.AVG('6.1 Value judgements'!AH143,'6.1 Value judgements'!$AE143:$AH143,0)</f>
        <v>#DIV/0!</v>
      </c>
      <c r="G15" s="73"/>
      <c r="H15" s="73"/>
      <c r="I15" s="73"/>
      <c r="J15" s="73"/>
      <c r="K15" s="73"/>
      <c r="L15" s="73"/>
      <c r="M15" s="73"/>
      <c r="N15" s="73"/>
      <c r="O15" s="73"/>
      <c r="P15" s="73"/>
      <c r="Q15" s="73"/>
      <c r="R15" s="73"/>
      <c r="S15" s="73"/>
      <c r="T15" s="73"/>
      <c r="U15" s="73"/>
      <c r="V15" s="73"/>
      <c r="W15" s="73"/>
      <c r="X15" s="73"/>
      <c r="Y15" s="73"/>
      <c r="Z15" s="73"/>
    </row>
    <row r="16" spans="1:26" x14ac:dyDescent="0.35">
      <c r="A16" s="73"/>
      <c r="B16" s="205" t="s">
        <v>278</v>
      </c>
      <c r="C16" s="73" t="e">
        <f>_xlfn.RANK.AVG('6.1 Value judgements'!AE200,'6.1 Value judgements'!$AE200:$AH200,0)</f>
        <v>#DIV/0!</v>
      </c>
      <c r="D16" s="73" t="e">
        <f>_xlfn.RANK.AVG('6.1 Value judgements'!AF200,'6.1 Value judgements'!$AE200:$AH200,0)</f>
        <v>#DIV/0!</v>
      </c>
      <c r="E16" s="73" t="e">
        <f>_xlfn.RANK.AVG('6.1 Value judgements'!AG200,'6.1 Value judgements'!$AE200:$AH200,0)</f>
        <v>#DIV/0!</v>
      </c>
      <c r="F16" s="73" t="e">
        <f>_xlfn.RANK.AVG('6.1 Value judgements'!AH200,'6.1 Value judgements'!$AE200:$AH200,0)</f>
        <v>#DIV/0!</v>
      </c>
      <c r="G16" s="73"/>
      <c r="H16" s="73"/>
      <c r="I16" s="73"/>
      <c r="J16" s="73"/>
      <c r="K16" s="73"/>
      <c r="L16" s="73"/>
      <c r="M16" s="73"/>
      <c r="N16" s="73"/>
      <c r="O16" s="73"/>
      <c r="P16" s="73"/>
      <c r="Q16" s="73"/>
      <c r="R16" s="73"/>
      <c r="S16" s="73"/>
      <c r="T16" s="73"/>
      <c r="U16" s="73"/>
      <c r="V16" s="73"/>
      <c r="W16" s="73"/>
      <c r="X16" s="73"/>
      <c r="Y16" s="73"/>
      <c r="Z16" s="73"/>
    </row>
    <row r="17" spans="1:26" x14ac:dyDescent="0.35">
      <c r="A17" s="73"/>
      <c r="B17" s="205" t="s">
        <v>279</v>
      </c>
      <c r="C17" s="73" t="e">
        <f>_xlfn.RANK.AVG('6.1 Value judgements'!AE257,'6.1 Value judgements'!$AE257:$AH257,0)</f>
        <v>#DIV/0!</v>
      </c>
      <c r="D17" s="73" t="e">
        <f>_xlfn.RANK.AVG('6.1 Value judgements'!AF257,'6.1 Value judgements'!$AE257:$AH257,0)</f>
        <v>#DIV/0!</v>
      </c>
      <c r="E17" s="73" t="e">
        <f>_xlfn.RANK.AVG('6.1 Value judgements'!AG257,'6.1 Value judgements'!$AE257:$AH257,0)</f>
        <v>#DIV/0!</v>
      </c>
      <c r="F17" s="73" t="e">
        <f>_xlfn.RANK.AVG('6.1 Value judgements'!AH257,'6.1 Value judgements'!$AE257:$AH257,0)</f>
        <v>#DIV/0!</v>
      </c>
      <c r="G17" s="73"/>
      <c r="H17" s="73"/>
      <c r="I17" s="73"/>
      <c r="J17" s="73"/>
      <c r="K17" s="73"/>
      <c r="L17" s="73"/>
      <c r="M17" s="73"/>
      <c r="N17" s="73"/>
      <c r="O17" s="73"/>
      <c r="P17" s="73"/>
      <c r="Q17" s="73"/>
      <c r="R17" s="73"/>
      <c r="S17" s="73"/>
      <c r="T17" s="73"/>
      <c r="U17" s="73"/>
      <c r="V17" s="73"/>
      <c r="W17" s="73"/>
      <c r="X17" s="73"/>
      <c r="Y17" s="73"/>
      <c r="Z17" s="73"/>
    </row>
    <row r="18" spans="1:26" x14ac:dyDescent="0.35">
      <c r="A18" s="73"/>
      <c r="B18" s="205" t="s">
        <v>280</v>
      </c>
      <c r="C18" s="73" t="e">
        <f>_xlfn.RANK.AVG('6.1 Value judgements'!AE306,'6.1 Value judgements'!$AE306:$AH306,0)</f>
        <v>#DIV/0!</v>
      </c>
      <c r="D18" s="73" t="e">
        <f>_xlfn.RANK.AVG('6.1 Value judgements'!AF306,'6.1 Value judgements'!$AE306:$AH306,0)</f>
        <v>#DIV/0!</v>
      </c>
      <c r="E18" s="73" t="e">
        <f>_xlfn.RANK.AVG('6.1 Value judgements'!AG306,'6.1 Value judgements'!$AE306:$AH306,0)</f>
        <v>#DIV/0!</v>
      </c>
      <c r="F18" s="73" t="e">
        <f>_xlfn.RANK.AVG('6.1 Value judgements'!AH306,'6.1 Value judgements'!$AE306:$AH306,0)</f>
        <v>#DIV/0!</v>
      </c>
      <c r="G18" s="73"/>
      <c r="H18" s="73"/>
      <c r="I18" s="73"/>
      <c r="J18" s="73"/>
      <c r="K18" s="73"/>
      <c r="L18" s="73"/>
      <c r="M18" s="73"/>
      <c r="N18" s="73"/>
      <c r="O18" s="73"/>
      <c r="P18" s="73"/>
      <c r="Q18" s="73"/>
      <c r="R18" s="73"/>
      <c r="S18" s="73"/>
      <c r="T18" s="73"/>
      <c r="U18" s="73"/>
      <c r="V18" s="73"/>
      <c r="W18" s="73"/>
      <c r="X18" s="73"/>
      <c r="Y18" s="73"/>
      <c r="Z18" s="73"/>
    </row>
    <row r="19" spans="1:26" x14ac:dyDescent="0.35">
      <c r="A19" s="73"/>
      <c r="B19" s="204"/>
      <c r="C19" s="79" t="str">
        <f>C12</f>
        <v>do nothing</v>
      </c>
      <c r="D19" s="79" t="str">
        <f t="shared" ref="D19:F19" si="0">D12</f>
        <v>status quo in situ</v>
      </c>
      <c r="E19" s="79" t="str">
        <f t="shared" si="0"/>
        <v>in situ plus</v>
      </c>
      <c r="F19" s="79" t="str">
        <f t="shared" si="0"/>
        <v>ex situ</v>
      </c>
      <c r="G19" s="79"/>
      <c r="H19" s="79"/>
      <c r="I19" s="79"/>
      <c r="J19" s="79"/>
      <c r="K19" s="79"/>
      <c r="L19" s="79"/>
      <c r="M19" s="79"/>
      <c r="N19" s="73"/>
      <c r="O19" s="73"/>
      <c r="P19" s="73"/>
      <c r="Q19" s="73"/>
      <c r="R19" s="73"/>
      <c r="S19" s="73"/>
      <c r="T19" s="73"/>
      <c r="U19" s="73"/>
      <c r="V19" s="73"/>
      <c r="W19" s="73"/>
      <c r="X19" s="73"/>
      <c r="Y19" s="73"/>
      <c r="Z19" s="73"/>
    </row>
    <row r="20" spans="1:26" x14ac:dyDescent="0.35">
      <c r="A20" s="73"/>
      <c r="B20" s="73" t="s">
        <v>135</v>
      </c>
      <c r="C20" s="73">
        <f>COUNTIF(C13:C18,"&lt;2.1")</f>
        <v>0</v>
      </c>
      <c r="D20" s="73">
        <f t="shared" ref="D20:F20" si="1">COUNTIF(D13:D18,"&lt;2.1")</f>
        <v>0</v>
      </c>
      <c r="E20" s="73">
        <f t="shared" si="1"/>
        <v>0</v>
      </c>
      <c r="F20" s="73">
        <f t="shared" si="1"/>
        <v>0</v>
      </c>
      <c r="G20" s="73"/>
      <c r="H20" s="73"/>
      <c r="I20" s="73"/>
      <c r="J20" s="73"/>
      <c r="K20" s="73"/>
      <c r="L20" s="73"/>
      <c r="M20" s="73"/>
      <c r="N20" s="73"/>
      <c r="O20" s="73"/>
      <c r="P20" s="73"/>
      <c r="Q20" s="73"/>
      <c r="R20" s="73"/>
      <c r="S20" s="73"/>
      <c r="T20" s="73"/>
      <c r="U20" s="73"/>
      <c r="V20" s="73"/>
      <c r="W20" s="73"/>
      <c r="X20" s="73"/>
      <c r="Y20" s="73"/>
      <c r="Z20" s="73"/>
    </row>
    <row r="21" spans="1:26" ht="15" thickBot="1" x14ac:dyDescent="0.4">
      <c r="A21" s="73"/>
      <c r="B21" s="260" t="s">
        <v>136</v>
      </c>
      <c r="C21" s="260">
        <f>COUNTIF(C13:C18,"&gt;2.9")</f>
        <v>0</v>
      </c>
      <c r="D21" s="260">
        <f t="shared" ref="D21:F21" si="2">COUNTIF(D13:D18,"&gt;2.9")</f>
        <v>0</v>
      </c>
      <c r="E21" s="260">
        <f t="shared" si="2"/>
        <v>0</v>
      </c>
      <c r="F21" s="260">
        <f t="shared" si="2"/>
        <v>0</v>
      </c>
      <c r="G21" s="75"/>
      <c r="H21" s="75"/>
      <c r="I21" s="75"/>
      <c r="J21" s="75"/>
      <c r="K21" s="75"/>
      <c r="L21" s="75"/>
      <c r="M21" s="75"/>
      <c r="N21" s="73"/>
      <c r="O21" s="73"/>
      <c r="P21" s="73"/>
      <c r="Q21" s="73"/>
      <c r="R21" s="73"/>
      <c r="S21" s="73"/>
      <c r="T21" s="73"/>
      <c r="U21" s="73"/>
      <c r="V21" s="73"/>
      <c r="W21" s="73"/>
      <c r="X21" s="73"/>
      <c r="Y21" s="73"/>
      <c r="Z21" s="73"/>
    </row>
    <row r="22" spans="1:26" x14ac:dyDescent="0.3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spans="1:26" x14ac:dyDescent="0.3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row>
    <row r="24" spans="1:26" x14ac:dyDescent="0.35">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row>
    <row r="25" spans="1:26" x14ac:dyDescent="0.3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row>
    <row r="26" spans="1:26" x14ac:dyDescent="0.3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row>
    <row r="27" spans="1:26" x14ac:dyDescent="0.35">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row>
    <row r="28" spans="1:26" x14ac:dyDescent="0.35">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row>
    <row r="29" spans="1:26" x14ac:dyDescent="0.35">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row>
    <row r="30" spans="1:26" x14ac:dyDescent="0.35">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row>
    <row r="31" spans="1:26" x14ac:dyDescent="0.35">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row>
    <row r="32" spans="1:26" x14ac:dyDescent="0.3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row>
    <row r="33" spans="1:26" x14ac:dyDescent="0.35">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row r="34" spans="1:26" x14ac:dyDescent="0.35">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row>
    <row r="35" spans="1:26" x14ac:dyDescent="0.35">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row>
    <row r="36" spans="1:26" x14ac:dyDescent="0.3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6" x14ac:dyDescent="0.3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row>
    <row r="38" spans="1:26" x14ac:dyDescent="0.3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x14ac:dyDescent="0.3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row>
    <row r="40" spans="1:26" x14ac:dyDescent="0.3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6" x14ac:dyDescent="0.3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spans="1:26" x14ac:dyDescent="0.3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6" x14ac:dyDescent="0.3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row>
    <row r="44" spans="1:26" x14ac:dyDescent="0.3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row>
    <row r="45" spans="1:26" x14ac:dyDescent="0.3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row>
    <row r="46" spans="1:26" x14ac:dyDescent="0.3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6" x14ac:dyDescent="0.3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6" x14ac:dyDescent="0.3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6" x14ac:dyDescent="0.3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spans="1:26" x14ac:dyDescent="0.3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row>
    <row r="51" spans="1:26" x14ac:dyDescent="0.3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row>
    <row r="52" spans="1:26" x14ac:dyDescent="0.3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row>
    <row r="53" spans="1:26" x14ac:dyDescent="0.3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row>
    <row r="54" spans="1:26" x14ac:dyDescent="0.3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row>
    <row r="55" spans="1:26" x14ac:dyDescent="0.3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row>
    <row r="56" spans="1:26" x14ac:dyDescent="0.3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row>
    <row r="57" spans="1:26" x14ac:dyDescent="0.3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row r="58" spans="1:26" x14ac:dyDescent="0.3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row>
    <row r="59" spans="1:26" x14ac:dyDescent="0.3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1:26" x14ac:dyDescent="0.3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spans="1:26" x14ac:dyDescent="0.3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spans="1:26" x14ac:dyDescent="0.3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x14ac:dyDescent="0.3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x14ac:dyDescent="0.3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spans="1:26" x14ac:dyDescent="0.3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spans="1:26" x14ac:dyDescent="0.3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spans="1:26" x14ac:dyDescent="0.3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spans="1:26" x14ac:dyDescent="0.3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spans="1:26" x14ac:dyDescent="0.3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x14ac:dyDescent="0.3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sheetData>
  <conditionalFormatting sqref="C13:F18">
    <cfRule type="cellIs" dxfId="1" priority="1" operator="greaterThan">
      <formula>2.9</formula>
    </cfRule>
    <cfRule type="cellIs" dxfId="0" priority="2" operator="lessThan">
      <formula>2.1</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30"/>
  <sheetViews>
    <sheetView showGridLines="0" zoomScaleNormal="100" workbookViewId="0"/>
  </sheetViews>
  <sheetFormatPr defaultRowHeight="14.5" x14ac:dyDescent="0.35"/>
  <cols>
    <col min="1" max="1" width="6" style="73" customWidth="1"/>
    <col min="2" max="2" width="8.7265625" style="73"/>
    <col min="3" max="3" width="61.81640625" style="73" customWidth="1"/>
    <col min="4" max="4" width="58" style="73" customWidth="1"/>
    <col min="5" max="13" width="8.7265625" style="73"/>
    <col min="14" max="14" width="14.1796875" style="73" bestFit="1" customWidth="1"/>
    <col min="15" max="17" width="8.7265625" style="73"/>
    <col min="18" max="18" width="43.1796875" style="73" bestFit="1" customWidth="1"/>
    <col min="19" max="22" width="8.7265625" style="73"/>
  </cols>
  <sheetData>
    <row r="1" spans="2:2" ht="18.5" x14ac:dyDescent="0.45">
      <c r="B1" s="265" t="s">
        <v>175</v>
      </c>
    </row>
    <row r="38" spans="2:4" x14ac:dyDescent="0.35">
      <c r="C38" s="74" t="s">
        <v>176</v>
      </c>
    </row>
    <row r="39" spans="2:4" x14ac:dyDescent="0.35">
      <c r="B39" s="73" t="s">
        <v>156</v>
      </c>
      <c r="C39" s="73" t="s">
        <v>152</v>
      </c>
      <c r="D39" s="73" t="s">
        <v>157</v>
      </c>
    </row>
    <row r="40" spans="2:4" x14ac:dyDescent="0.35">
      <c r="B40" s="73">
        <v>1</v>
      </c>
      <c r="C40" s="399"/>
      <c r="D40" s="399"/>
    </row>
    <row r="41" spans="2:4" x14ac:dyDescent="0.35">
      <c r="B41" s="73">
        <v>2</v>
      </c>
      <c r="C41" s="399"/>
      <c r="D41" s="399"/>
    </row>
    <row r="42" spans="2:4" x14ac:dyDescent="0.35">
      <c r="B42" s="73">
        <v>3</v>
      </c>
      <c r="C42" s="399"/>
      <c r="D42" s="399"/>
    </row>
    <row r="43" spans="2:4" x14ac:dyDescent="0.35">
      <c r="B43" s="73">
        <v>4</v>
      </c>
      <c r="C43" s="399"/>
      <c r="D43" s="399"/>
    </row>
    <row r="44" spans="2:4" ht="26.15" customHeight="1" x14ac:dyDescent="0.35"/>
    <row r="51" spans="3:14" ht="20.5" customHeight="1" x14ac:dyDescent="0.35">
      <c r="C51" s="300"/>
    </row>
    <row r="52" spans="3:14" x14ac:dyDescent="0.35">
      <c r="C52" s="74" t="s">
        <v>158</v>
      </c>
      <c r="D52" s="74" t="s">
        <v>66</v>
      </c>
      <c r="N52" s="301"/>
    </row>
    <row r="53" spans="3:14" ht="29" x14ac:dyDescent="0.35">
      <c r="C53" s="299" t="s">
        <v>177</v>
      </c>
      <c r="D53" s="399"/>
      <c r="E53" s="303"/>
      <c r="F53" s="75"/>
    </row>
    <row r="54" spans="3:14" ht="46" customHeight="1" x14ac:dyDescent="0.35">
      <c r="C54" s="299" t="s">
        <v>178</v>
      </c>
      <c r="D54" s="399"/>
      <c r="E54" s="303"/>
      <c r="F54" s="75"/>
    </row>
    <row r="55" spans="3:14" ht="35.15" customHeight="1" x14ac:dyDescent="0.35">
      <c r="C55" s="299" t="s">
        <v>159</v>
      </c>
      <c r="D55" s="399"/>
      <c r="E55" s="303"/>
      <c r="F55" s="75"/>
    </row>
    <row r="56" spans="3:14" ht="35.15" customHeight="1" x14ac:dyDescent="0.35">
      <c r="C56" s="299" t="s">
        <v>160</v>
      </c>
      <c r="D56" s="399"/>
      <c r="E56" s="303"/>
      <c r="F56" s="75"/>
    </row>
    <row r="57" spans="3:14" ht="36" customHeight="1" x14ac:dyDescent="0.35">
      <c r="C57" s="299" t="s">
        <v>179</v>
      </c>
      <c r="D57" s="399"/>
      <c r="E57" s="303"/>
      <c r="F57" s="75"/>
    </row>
    <row r="58" spans="3:14" ht="35.15" customHeight="1" x14ac:dyDescent="0.35">
      <c r="C58" s="299" t="s">
        <v>180</v>
      </c>
      <c r="D58" s="399"/>
      <c r="E58" s="303"/>
      <c r="F58" s="75"/>
    </row>
    <row r="59" spans="3:14" ht="43.5" customHeight="1" x14ac:dyDescent="0.35">
      <c r="C59" s="299" t="s">
        <v>26</v>
      </c>
      <c r="D59" s="399"/>
      <c r="E59" s="303"/>
      <c r="F59" s="75"/>
    </row>
    <row r="61" spans="3:14" x14ac:dyDescent="0.35">
      <c r="C61" s="74" t="s">
        <v>161</v>
      </c>
      <c r="D61" s="74" t="s">
        <v>66</v>
      </c>
    </row>
    <row r="62" spans="3:14" ht="71.150000000000006" customHeight="1" x14ac:dyDescent="0.35">
      <c r="C62" s="299" t="s">
        <v>181</v>
      </c>
      <c r="D62" s="399"/>
      <c r="E62" s="303"/>
      <c r="F62" s="75"/>
    </row>
    <row r="63" spans="3:14" ht="38.15" customHeight="1" x14ac:dyDescent="0.35">
      <c r="C63" s="299" t="s">
        <v>182</v>
      </c>
      <c r="D63" s="399"/>
      <c r="E63" s="303"/>
      <c r="F63" s="75"/>
    </row>
    <row r="64" spans="3:14" ht="33.65" customHeight="1" x14ac:dyDescent="0.35">
      <c r="C64" s="299" t="s">
        <v>162</v>
      </c>
      <c r="D64" s="399"/>
      <c r="E64" s="303"/>
      <c r="F64" s="75"/>
    </row>
    <row r="65" spans="3:6" ht="51.65" customHeight="1" x14ac:dyDescent="0.35">
      <c r="C65" s="299" t="s">
        <v>183</v>
      </c>
      <c r="D65" s="399"/>
      <c r="E65" s="303"/>
      <c r="F65" s="75"/>
    </row>
    <row r="66" spans="3:6" ht="36" customHeight="1" x14ac:dyDescent="0.35">
      <c r="C66" s="299" t="s">
        <v>184</v>
      </c>
      <c r="D66" s="399"/>
      <c r="E66" s="303"/>
      <c r="F66" s="75"/>
    </row>
    <row r="67" spans="3:6" ht="35.15" customHeight="1" x14ac:dyDescent="0.35">
      <c r="C67" s="299" t="s">
        <v>185</v>
      </c>
      <c r="D67" s="399"/>
      <c r="E67" s="303"/>
      <c r="F67" s="75"/>
    </row>
    <row r="68" spans="3:6" ht="34.5" customHeight="1" x14ac:dyDescent="0.35">
      <c r="C68" s="299" t="s">
        <v>163</v>
      </c>
      <c r="D68" s="399"/>
      <c r="E68" s="303"/>
      <c r="F68" s="75"/>
    </row>
    <row r="69" spans="3:6" ht="40.5" customHeight="1" x14ac:dyDescent="0.35">
      <c r="C69" s="299" t="s">
        <v>164</v>
      </c>
      <c r="D69" s="399"/>
      <c r="E69" s="303"/>
      <c r="F69" s="75"/>
    </row>
    <row r="70" spans="3:6" ht="35.5" customHeight="1" x14ac:dyDescent="0.35">
      <c r="C70" s="299" t="s">
        <v>186</v>
      </c>
      <c r="D70" s="399"/>
      <c r="E70" s="303"/>
      <c r="F70" s="75"/>
    </row>
    <row r="71" spans="3:6" ht="51.65" customHeight="1" x14ac:dyDescent="0.35">
      <c r="C71" s="299" t="s">
        <v>165</v>
      </c>
      <c r="D71" s="399"/>
      <c r="E71" s="303"/>
      <c r="F71" s="75"/>
    </row>
    <row r="72" spans="3:6" ht="48" customHeight="1" x14ac:dyDescent="0.35">
      <c r="C72" s="299" t="s">
        <v>166</v>
      </c>
      <c r="D72" s="399"/>
      <c r="E72" s="303"/>
      <c r="F72" s="75"/>
    </row>
    <row r="73" spans="3:6" ht="35.15" customHeight="1" x14ac:dyDescent="0.35">
      <c r="C73" s="299" t="s">
        <v>187</v>
      </c>
      <c r="D73" s="399"/>
      <c r="E73" s="303"/>
      <c r="F73" s="75"/>
    </row>
    <row r="81" spans="3:6" ht="23.5" customHeight="1" x14ac:dyDescent="0.35">
      <c r="C81" s="300"/>
    </row>
    <row r="82" spans="3:6" x14ac:dyDescent="0.35">
      <c r="D82" s="74" t="s">
        <v>66</v>
      </c>
    </row>
    <row r="83" spans="3:6" x14ac:dyDescent="0.35">
      <c r="C83" s="299" t="s">
        <v>27</v>
      </c>
      <c r="D83" s="399"/>
      <c r="E83" s="303"/>
      <c r="F83" s="75"/>
    </row>
    <row r="84" spans="3:6" ht="27.65" customHeight="1" x14ac:dyDescent="0.35">
      <c r="C84" s="299" t="s">
        <v>28</v>
      </c>
      <c r="D84" s="399"/>
      <c r="E84" s="303"/>
      <c r="F84" s="75"/>
    </row>
    <row r="85" spans="3:6" ht="37" customHeight="1" x14ac:dyDescent="0.35">
      <c r="C85" s="299" t="s">
        <v>167</v>
      </c>
      <c r="D85" s="399"/>
      <c r="E85" s="303"/>
      <c r="F85" s="75"/>
    </row>
    <row r="86" spans="3:6" ht="36.65" customHeight="1" x14ac:dyDescent="0.35">
      <c r="C86" s="299" t="s">
        <v>188</v>
      </c>
      <c r="D86" s="399"/>
      <c r="E86" s="303"/>
      <c r="F86" s="75"/>
    </row>
    <row r="87" spans="3:6" ht="61" customHeight="1" x14ac:dyDescent="0.35">
      <c r="C87" s="299" t="s">
        <v>168</v>
      </c>
      <c r="D87" s="399"/>
      <c r="E87" s="303"/>
      <c r="F87" s="75"/>
    </row>
    <row r="95" spans="3:6" ht="17.5" customHeight="1" x14ac:dyDescent="0.35">
      <c r="C95" s="300"/>
    </row>
    <row r="96" spans="3:6" x14ac:dyDescent="0.35">
      <c r="D96" s="74" t="s">
        <v>66</v>
      </c>
    </row>
    <row r="97" spans="2:7" ht="72.5" x14ac:dyDescent="0.35">
      <c r="C97" s="299" t="s">
        <v>189</v>
      </c>
      <c r="D97" s="399"/>
      <c r="E97" s="303"/>
      <c r="F97" s="75"/>
    </row>
    <row r="98" spans="2:7" ht="39.65" customHeight="1" x14ac:dyDescent="0.35">
      <c r="C98" s="299" t="s">
        <v>169</v>
      </c>
      <c r="D98" s="399"/>
      <c r="E98" s="303"/>
      <c r="F98" s="75"/>
    </row>
    <row r="99" spans="2:7" ht="52.5" customHeight="1" x14ac:dyDescent="0.35">
      <c r="C99" s="299" t="s">
        <v>170</v>
      </c>
      <c r="D99" s="399"/>
      <c r="E99" s="303"/>
      <c r="F99" s="75"/>
    </row>
    <row r="100" spans="2:7" ht="66.650000000000006" customHeight="1" x14ac:dyDescent="0.35">
      <c r="C100" s="299" t="s">
        <v>171</v>
      </c>
      <c r="D100" s="399"/>
      <c r="E100" s="303"/>
      <c r="F100" s="75"/>
    </row>
    <row r="101" spans="2:7" ht="48.65" customHeight="1" x14ac:dyDescent="0.35">
      <c r="C101" s="299" t="s">
        <v>172</v>
      </c>
      <c r="D101" s="399"/>
      <c r="E101" s="303"/>
      <c r="F101" s="75"/>
    </row>
    <row r="102" spans="2:7" ht="61.5" customHeight="1" x14ac:dyDescent="0.35">
      <c r="C102" s="299" t="s">
        <v>190</v>
      </c>
      <c r="D102" s="399"/>
      <c r="E102" s="303"/>
      <c r="F102" s="75"/>
    </row>
    <row r="103" spans="2:7" ht="31.5" customHeight="1" x14ac:dyDescent="0.35">
      <c r="C103" s="299" t="s">
        <v>191</v>
      </c>
      <c r="D103" s="399"/>
      <c r="E103" s="303"/>
      <c r="F103" s="75"/>
    </row>
    <row r="104" spans="2:7" ht="178" customHeight="1" x14ac:dyDescent="0.35">
      <c r="C104" s="299" t="s">
        <v>192</v>
      </c>
      <c r="D104" s="399"/>
      <c r="E104" s="303"/>
      <c r="F104" s="75"/>
    </row>
    <row r="105" spans="2:7" ht="36.65" customHeight="1" x14ac:dyDescent="0.35">
      <c r="C105" s="299" t="s">
        <v>193</v>
      </c>
      <c r="D105" s="399"/>
      <c r="E105" s="303"/>
      <c r="F105" s="75"/>
    </row>
    <row r="106" spans="2:7" ht="36" customHeight="1" x14ac:dyDescent="0.35">
      <c r="C106" s="299" t="s">
        <v>173</v>
      </c>
      <c r="D106" s="399"/>
      <c r="E106" s="303"/>
      <c r="F106" s="75"/>
    </row>
    <row r="107" spans="2:7" ht="58" customHeight="1" x14ac:dyDescent="0.35">
      <c r="C107" s="299" t="s">
        <v>174</v>
      </c>
      <c r="D107" s="399"/>
      <c r="E107" s="303"/>
      <c r="F107" s="75"/>
    </row>
    <row r="108" spans="2:7" ht="149.5" customHeight="1" x14ac:dyDescent="0.35">
      <c r="C108" s="299" t="s">
        <v>194</v>
      </c>
      <c r="D108" s="399"/>
      <c r="E108" s="303"/>
      <c r="F108" s="75"/>
    </row>
    <row r="110" spans="2:7" x14ac:dyDescent="0.35">
      <c r="B110" s="75"/>
      <c r="C110" s="75"/>
      <c r="D110" s="75"/>
      <c r="E110" s="75"/>
      <c r="F110" s="75"/>
      <c r="G110" s="75"/>
    </row>
    <row r="111" spans="2:7" x14ac:dyDescent="0.35">
      <c r="B111" s="75"/>
      <c r="C111" s="75"/>
      <c r="D111" s="75"/>
      <c r="E111" s="75"/>
      <c r="F111" s="75"/>
      <c r="G111" s="75"/>
    </row>
    <row r="112" spans="2:7" x14ac:dyDescent="0.35">
      <c r="B112" s="75"/>
      <c r="C112" s="75"/>
      <c r="D112" s="75"/>
      <c r="E112" s="75"/>
      <c r="F112" s="75"/>
      <c r="G112" s="75"/>
    </row>
    <row r="113" spans="2:7" x14ac:dyDescent="0.35">
      <c r="B113" s="75"/>
      <c r="C113" s="75"/>
      <c r="D113" s="75"/>
      <c r="E113" s="75"/>
      <c r="F113" s="75"/>
      <c r="G113" s="75"/>
    </row>
    <row r="114" spans="2:7" x14ac:dyDescent="0.35">
      <c r="B114" s="75"/>
      <c r="C114" s="75"/>
      <c r="D114" s="75"/>
      <c r="E114" s="75"/>
      <c r="F114" s="75"/>
      <c r="G114" s="75"/>
    </row>
    <row r="115" spans="2:7" x14ac:dyDescent="0.35">
      <c r="B115" s="75"/>
      <c r="C115" s="75"/>
      <c r="D115" s="75"/>
      <c r="E115" s="75"/>
      <c r="F115" s="75"/>
      <c r="G115" s="75"/>
    </row>
    <row r="116" spans="2:7" x14ac:dyDescent="0.35">
      <c r="B116" s="75"/>
      <c r="C116" s="75"/>
      <c r="D116" s="75"/>
      <c r="E116" s="75"/>
      <c r="F116" s="75"/>
      <c r="G116" s="75"/>
    </row>
    <row r="117" spans="2:7" x14ac:dyDescent="0.35">
      <c r="B117" s="75"/>
      <c r="C117" s="75"/>
      <c r="D117" s="75"/>
      <c r="E117" s="75"/>
      <c r="F117" s="75"/>
      <c r="G117" s="75"/>
    </row>
    <row r="118" spans="2:7" x14ac:dyDescent="0.35">
      <c r="B118" s="75"/>
      <c r="C118" s="215"/>
      <c r="D118" s="75"/>
      <c r="E118" s="75"/>
      <c r="F118" s="75"/>
      <c r="G118" s="75"/>
    </row>
    <row r="119" spans="2:7" x14ac:dyDescent="0.35">
      <c r="B119" s="75"/>
      <c r="C119" s="75"/>
      <c r="D119" s="75"/>
      <c r="E119" s="75"/>
      <c r="F119" s="75"/>
      <c r="G119" s="75"/>
    </row>
    <row r="120" spans="2:7" x14ac:dyDescent="0.35">
      <c r="B120" s="75"/>
      <c r="C120" s="302"/>
      <c r="D120" s="75"/>
      <c r="E120" s="75"/>
      <c r="F120" s="75"/>
      <c r="G120" s="75"/>
    </row>
    <row r="121" spans="2:7" x14ac:dyDescent="0.35">
      <c r="B121" s="75"/>
      <c r="C121" s="302"/>
      <c r="D121" s="75"/>
      <c r="E121" s="75"/>
      <c r="F121" s="75"/>
      <c r="G121" s="75"/>
    </row>
    <row r="122" spans="2:7" x14ac:dyDescent="0.35">
      <c r="B122" s="75"/>
      <c r="C122" s="302"/>
      <c r="D122" s="75"/>
      <c r="E122" s="75"/>
      <c r="F122" s="75"/>
      <c r="G122" s="75"/>
    </row>
    <row r="123" spans="2:7" x14ac:dyDescent="0.35">
      <c r="B123" s="75"/>
      <c r="C123" s="302"/>
      <c r="D123" s="75"/>
      <c r="E123" s="75"/>
      <c r="F123" s="75"/>
      <c r="G123" s="75"/>
    </row>
    <row r="124" spans="2:7" x14ac:dyDescent="0.35">
      <c r="B124" s="75"/>
      <c r="C124" s="75"/>
      <c r="D124" s="75"/>
      <c r="E124" s="75"/>
      <c r="F124" s="75"/>
      <c r="G124" s="75"/>
    </row>
    <row r="125" spans="2:7" x14ac:dyDescent="0.35">
      <c r="B125" s="75"/>
      <c r="C125" s="75"/>
      <c r="D125" s="75"/>
      <c r="E125" s="75"/>
      <c r="F125" s="75"/>
      <c r="G125" s="75"/>
    </row>
    <row r="126" spans="2:7" x14ac:dyDescent="0.35">
      <c r="B126" s="75"/>
      <c r="C126" s="75"/>
      <c r="D126" s="75"/>
      <c r="E126" s="75"/>
      <c r="F126" s="75"/>
      <c r="G126" s="75"/>
    </row>
    <row r="127" spans="2:7" x14ac:dyDescent="0.35">
      <c r="B127" s="75"/>
      <c r="C127" s="75"/>
      <c r="D127" s="75"/>
      <c r="E127" s="75"/>
      <c r="F127" s="75"/>
      <c r="G127" s="75"/>
    </row>
    <row r="128" spans="2:7" x14ac:dyDescent="0.35">
      <c r="B128" s="75"/>
      <c r="C128" s="75"/>
      <c r="D128" s="75"/>
      <c r="E128" s="75"/>
      <c r="F128" s="75"/>
      <c r="G128" s="75"/>
    </row>
    <row r="129" spans="2:7" x14ac:dyDescent="0.35">
      <c r="B129" s="75"/>
      <c r="C129" s="75"/>
      <c r="D129" s="75"/>
      <c r="E129" s="75"/>
      <c r="F129" s="75"/>
      <c r="G129" s="75"/>
    </row>
    <row r="130" spans="2:7" x14ac:dyDescent="0.35">
      <c r="B130" s="75"/>
      <c r="C130" s="75"/>
      <c r="D130" s="75"/>
      <c r="E130" s="75"/>
      <c r="F130" s="75"/>
      <c r="G130" s="75"/>
    </row>
  </sheetData>
  <dataValidations count="2">
    <dataValidation type="list" allowBlank="1" showInputMessage="1" showErrorMessage="1" sqref="D120:D123">
      <formula1>$N$120:$N$123</formula1>
    </dataValidation>
    <dataValidation type="list" allowBlank="1" showInputMessage="1" showErrorMessage="1" sqref="D124:D129">
      <formula1>$P$2:$P$5</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touch!'!$A$10:$A$19</xm:f>
          </x14:formula1>
          <xm:sqref>C40:C43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D24" sqref="D24"/>
    </sheetView>
  </sheetViews>
  <sheetFormatPr defaultRowHeight="14.5" x14ac:dyDescent="0.35"/>
  <cols>
    <col min="1" max="1" width="20.1796875" customWidth="1"/>
    <col min="10" max="10" width="9.1796875" customWidth="1"/>
  </cols>
  <sheetData>
    <row r="1" spans="1:2" x14ac:dyDescent="0.35">
      <c r="A1" s="342" t="s">
        <v>294</v>
      </c>
      <c r="B1" s="8"/>
    </row>
    <row r="2" spans="1:2" x14ac:dyDescent="0.35">
      <c r="A2" s="344" t="str">
        <f>IF('Initial information'!$D$20="","",'Initial information'!$D$20)</f>
        <v/>
      </c>
      <c r="B2" s="372"/>
    </row>
    <row r="3" spans="1:2" x14ac:dyDescent="0.35">
      <c r="A3" s="344" t="str">
        <f>IF('Initial information'!$D$21="","",IF(OR('Initial information'!$D$21='Initial information'!$D$20),"",'Initial information'!$D$21))</f>
        <v/>
      </c>
      <c r="B3" s="372"/>
    </row>
    <row r="4" spans="1:2" x14ac:dyDescent="0.35">
      <c r="A4" s="344" t="str">
        <f>IF('Initial information'!$D$22="","",IF(OR('Initial information'!$D$22='Initial information'!$D$21,'Initial information'!$D$22='Initial information'!$D$20),"",'Initial information'!$D$22))</f>
        <v/>
      </c>
      <c r="B4" s="372"/>
    </row>
    <row r="5" spans="1:2" x14ac:dyDescent="0.35">
      <c r="A5" s="344" t="str">
        <f>IF('Initial information'!$D$23="","",IF(OR('Initial information'!$D$23='Initial information'!$D$22,'Initial information'!$D$23='Initial information'!$D$21,'Initial information'!$D$23='Initial information'!$D$20),"",'Initial information'!$D$23))</f>
        <v/>
      </c>
      <c r="B5" s="8"/>
    </row>
    <row r="6" spans="1:2" x14ac:dyDescent="0.35">
      <c r="A6" s="344" t="str">
        <f>IF('Initial information'!$D$24="","",IF(OR('Initial information'!$D$24='Initial information'!$D$23,'Initial information'!$D$24='Initial information'!$D$22,'Initial information'!$D$24='Initial information'!$D$21,'Initial information'!$D$24='Initial information'!$D$20),"",'Initial information'!$D$24))</f>
        <v/>
      </c>
      <c r="B6" s="8"/>
    </row>
    <row r="7" spans="1:2" x14ac:dyDescent="0.35">
      <c r="A7" s="344"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row>
    <row r="8" spans="1:2" x14ac:dyDescent="0.35">
      <c r="A8" s="343"/>
    </row>
    <row r="9" spans="1:2" x14ac:dyDescent="0.35">
      <c r="A9" s="3" t="s">
        <v>55</v>
      </c>
    </row>
    <row r="10" spans="1:2" x14ac:dyDescent="0.35">
      <c r="A10" s="34" t="s">
        <v>70</v>
      </c>
    </row>
    <row r="11" spans="1:2" x14ac:dyDescent="0.35">
      <c r="A11" s="34" t="s">
        <v>56</v>
      </c>
    </row>
    <row r="12" spans="1:2" x14ac:dyDescent="0.35">
      <c r="A12" s="34" t="s">
        <v>195</v>
      </c>
    </row>
    <row r="13" spans="1:2" x14ac:dyDescent="0.35">
      <c r="A13" s="34" t="s">
        <v>57</v>
      </c>
    </row>
    <row r="14" spans="1:2" x14ac:dyDescent="0.35">
      <c r="A14" s="34" t="s">
        <v>25</v>
      </c>
    </row>
    <row r="15" spans="1:2" x14ac:dyDescent="0.35">
      <c r="A15" s="34" t="s">
        <v>58</v>
      </c>
    </row>
    <row r="16" spans="1:2" x14ac:dyDescent="0.35">
      <c r="A16" s="34" t="s">
        <v>59</v>
      </c>
    </row>
    <row r="17" spans="1:1" x14ac:dyDescent="0.35">
      <c r="A17" s="34" t="s">
        <v>153</v>
      </c>
    </row>
    <row r="18" spans="1:1" x14ac:dyDescent="0.35">
      <c r="A18" s="34" t="s">
        <v>154</v>
      </c>
    </row>
    <row r="19" spans="1:1" x14ac:dyDescent="0.35">
      <c r="A19" s="34" t="s">
        <v>155</v>
      </c>
    </row>
    <row r="21" spans="1:1" x14ac:dyDescent="0.35">
      <c r="A21" s="397"/>
    </row>
    <row r="22" spans="1:1" x14ac:dyDescent="0.35">
      <c r="A22" s="8"/>
    </row>
    <row r="23" spans="1:1" x14ac:dyDescent="0.35">
      <c r="A23" s="8"/>
    </row>
    <row r="24" spans="1:1" x14ac:dyDescent="0.35">
      <c r="A24" s="8"/>
    </row>
    <row r="25" spans="1:1" x14ac:dyDescent="0.35">
      <c r="A25" s="8"/>
    </row>
    <row r="26" spans="1:1" x14ac:dyDescent="0.35">
      <c r="A26" s="8"/>
    </row>
    <row r="27" spans="1:1" x14ac:dyDescent="0.35">
      <c r="A27" s="8"/>
    </row>
    <row r="28" spans="1:1" x14ac:dyDescent="0.35">
      <c r="A28" s="8"/>
    </row>
    <row r="29" spans="1:1" x14ac:dyDescent="0.35">
      <c r="A29" s="8"/>
    </row>
    <row r="30" spans="1:1" x14ac:dyDescent="0.35">
      <c r="A30" s="8"/>
    </row>
    <row r="31" spans="1:1" x14ac:dyDescent="0.35">
      <c r="A31" s="8"/>
    </row>
    <row r="32" spans="1:1" x14ac:dyDescent="0.35">
      <c r="A32"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C53"/>
  <sheetViews>
    <sheetView zoomScaleNormal="100" workbookViewId="0"/>
  </sheetViews>
  <sheetFormatPr defaultRowHeight="14.5" x14ac:dyDescent="0.35"/>
  <cols>
    <col min="1" max="1" width="9.26953125" customWidth="1"/>
    <col min="2" max="2" width="8.54296875" customWidth="1"/>
    <col min="3" max="3" width="45.81640625" customWidth="1"/>
  </cols>
  <sheetData>
    <row r="1" spans="1:29" ht="18.5" x14ac:dyDescent="0.45">
      <c r="A1" s="73"/>
      <c r="B1" s="265" t="s">
        <v>290</v>
      </c>
      <c r="C1" s="73"/>
      <c r="D1" s="73"/>
      <c r="E1" s="73"/>
      <c r="F1" s="73"/>
      <c r="G1" s="73"/>
      <c r="H1" s="73"/>
      <c r="I1" s="73"/>
      <c r="J1" s="73"/>
      <c r="K1" s="73"/>
      <c r="L1" s="73"/>
      <c r="M1" s="73"/>
      <c r="N1" s="73"/>
      <c r="O1" s="73"/>
      <c r="P1" s="73"/>
      <c r="Q1" s="73"/>
      <c r="R1" s="73"/>
      <c r="S1" s="73"/>
      <c r="T1" s="73"/>
      <c r="U1" s="73"/>
      <c r="V1" s="73"/>
      <c r="W1" s="73"/>
      <c r="X1" s="318"/>
      <c r="Y1" s="318"/>
      <c r="Z1" s="318"/>
      <c r="AA1" s="318"/>
      <c r="AB1" s="318"/>
      <c r="AC1" s="73"/>
    </row>
    <row r="2" spans="1:29" s="75" customFormat="1" x14ac:dyDescent="0.35">
      <c r="X2" s="317"/>
      <c r="Y2" s="317"/>
      <c r="Z2" s="317"/>
      <c r="AA2" s="317"/>
      <c r="AB2" s="317"/>
    </row>
    <row r="3" spans="1:29" s="75" customFormat="1" x14ac:dyDescent="0.35">
      <c r="B3" s="215"/>
      <c r="C3" s="215"/>
      <c r="X3" s="317"/>
      <c r="Y3" s="317"/>
      <c r="Z3" s="317"/>
      <c r="AA3" s="317"/>
      <c r="AB3" s="317"/>
    </row>
    <row r="4" spans="1:29" s="75" customFormat="1" x14ac:dyDescent="0.35">
      <c r="A4" s="204"/>
      <c r="B4" s="95"/>
      <c r="C4" s="95"/>
      <c r="D4" s="282"/>
      <c r="X4" s="317"/>
      <c r="Y4" s="317"/>
      <c r="Z4" s="317"/>
      <c r="AA4" s="317"/>
      <c r="AB4" s="317"/>
    </row>
    <row r="5" spans="1:29" s="75" customFormat="1" x14ac:dyDescent="0.35">
      <c r="A5" s="204"/>
      <c r="B5" s="95"/>
      <c r="C5" s="95"/>
      <c r="X5" s="317"/>
      <c r="Y5" s="317"/>
      <c r="Z5" s="317"/>
      <c r="AA5" s="317"/>
      <c r="AB5" s="317"/>
    </row>
    <row r="6" spans="1:29" s="75" customFormat="1" x14ac:dyDescent="0.35">
      <c r="A6" s="204"/>
      <c r="B6" s="400" t="s">
        <v>282</v>
      </c>
      <c r="C6" s="401"/>
      <c r="X6" s="317"/>
      <c r="Y6" s="317"/>
      <c r="Z6" s="317"/>
      <c r="AA6" s="317"/>
      <c r="AB6" s="317"/>
    </row>
    <row r="7" spans="1:29" s="75" customFormat="1" x14ac:dyDescent="0.35">
      <c r="A7" s="204"/>
      <c r="B7" s="95"/>
      <c r="C7" s="95"/>
      <c r="X7" s="317"/>
      <c r="Y7" s="317"/>
      <c r="Z7" s="317"/>
      <c r="AA7" s="317"/>
      <c r="AB7" s="317"/>
    </row>
    <row r="8" spans="1:29" s="75" customFormat="1" x14ac:dyDescent="0.35">
      <c r="A8" s="204"/>
      <c r="B8" s="402" t="s">
        <v>286</v>
      </c>
      <c r="C8" s="403"/>
      <c r="X8" s="317"/>
      <c r="Y8" s="317"/>
      <c r="Z8" s="317"/>
      <c r="AA8" s="317"/>
      <c r="AB8" s="317"/>
    </row>
    <row r="9" spans="1:29" s="75" customFormat="1" x14ac:dyDescent="0.35">
      <c r="A9" s="204"/>
      <c r="B9" s="95"/>
      <c r="C9" s="95"/>
      <c r="X9" s="317"/>
      <c r="Y9" s="317"/>
      <c r="Z9" s="317"/>
      <c r="AA9" s="317"/>
      <c r="AB9" s="317"/>
    </row>
    <row r="10" spans="1:29" s="75" customFormat="1" x14ac:dyDescent="0.35">
      <c r="C10" s="279"/>
      <c r="X10" s="317"/>
      <c r="Y10" s="317"/>
      <c r="Z10" s="317"/>
      <c r="AA10" s="317"/>
      <c r="AB10" s="317"/>
    </row>
    <row r="11" spans="1:29" s="75" customFormat="1" ht="18.5" x14ac:dyDescent="0.45">
      <c r="B11" s="316" t="s">
        <v>291</v>
      </c>
      <c r="X11" s="317"/>
      <c r="Y11" s="317"/>
      <c r="Z11" s="317"/>
      <c r="AA11" s="317"/>
      <c r="AB11" s="317"/>
    </row>
    <row r="12" spans="1:29" s="75" customFormat="1" x14ac:dyDescent="0.35">
      <c r="A12" s="204"/>
      <c r="B12" s="283"/>
      <c r="C12" s="95"/>
      <c r="X12" s="317"/>
      <c r="Y12" s="317"/>
      <c r="Z12" s="317"/>
      <c r="AA12" s="317"/>
      <c r="AB12" s="317"/>
    </row>
    <row r="13" spans="1:29" s="75" customFormat="1" x14ac:dyDescent="0.35">
      <c r="A13" s="204"/>
      <c r="B13" s="314" t="s">
        <v>287</v>
      </c>
      <c r="C13" s="315" t="s">
        <v>288</v>
      </c>
      <c r="X13" s="317"/>
      <c r="Y13" s="317"/>
      <c r="Z13" s="317"/>
      <c r="AA13" s="317"/>
      <c r="AB13" s="317"/>
    </row>
    <row r="14" spans="1:29" x14ac:dyDescent="0.35">
      <c r="A14" s="73"/>
      <c r="B14" s="73"/>
      <c r="C14" s="73" t="s">
        <v>289</v>
      </c>
      <c r="D14" s="73"/>
      <c r="E14" s="73"/>
      <c r="F14" s="73"/>
      <c r="G14" s="73"/>
      <c r="H14" s="73"/>
      <c r="I14" s="73"/>
      <c r="J14" s="73"/>
      <c r="K14" s="73"/>
      <c r="L14" s="73"/>
      <c r="M14" s="73"/>
      <c r="N14" s="73"/>
      <c r="O14" s="73"/>
      <c r="P14" s="73"/>
      <c r="Q14" s="73"/>
      <c r="R14" s="73"/>
      <c r="S14" s="73"/>
      <c r="T14" s="73"/>
      <c r="U14" s="73"/>
      <c r="V14" s="73"/>
      <c r="W14" s="73"/>
      <c r="X14" s="318"/>
      <c r="Y14" s="318"/>
      <c r="Z14" s="318"/>
      <c r="AA14" s="318"/>
      <c r="AB14" s="318"/>
      <c r="AC14" s="73"/>
    </row>
    <row r="15" spans="1:29" x14ac:dyDescent="0.35">
      <c r="A15" s="73"/>
      <c r="B15" s="73"/>
      <c r="C15" s="73"/>
      <c r="D15" s="73"/>
      <c r="E15" s="73"/>
      <c r="F15" s="73"/>
      <c r="G15" s="73"/>
      <c r="H15" s="73"/>
      <c r="I15" s="73"/>
      <c r="J15" s="73"/>
      <c r="K15" s="73"/>
      <c r="L15" s="73"/>
      <c r="M15" s="73"/>
      <c r="N15" s="73"/>
      <c r="O15" s="73"/>
      <c r="P15" s="73"/>
      <c r="Q15" s="73"/>
      <c r="R15" s="73"/>
      <c r="S15" s="73"/>
      <c r="T15" s="73"/>
      <c r="U15" s="73"/>
      <c r="V15" s="73"/>
      <c r="W15" s="73"/>
      <c r="X15" s="318"/>
      <c r="Y15" s="318"/>
      <c r="Z15" s="318"/>
      <c r="AA15" s="318"/>
      <c r="AB15" s="318"/>
      <c r="AC15" s="73"/>
    </row>
    <row r="16" spans="1:29" x14ac:dyDescent="0.35">
      <c r="A16" s="73"/>
      <c r="B16" s="305" t="s">
        <v>140</v>
      </c>
      <c r="C16" s="262" t="s">
        <v>254</v>
      </c>
      <c r="D16" s="73"/>
      <c r="E16" s="73"/>
      <c r="F16" s="73"/>
      <c r="G16" s="73"/>
      <c r="H16" s="73"/>
      <c r="I16" s="73"/>
      <c r="J16" s="73"/>
      <c r="K16" s="73"/>
      <c r="L16" s="73"/>
      <c r="M16" s="73"/>
      <c r="N16" s="73"/>
      <c r="O16" s="73"/>
      <c r="P16" s="73"/>
      <c r="Q16" s="73"/>
      <c r="R16" s="73"/>
      <c r="S16" s="73"/>
      <c r="T16" s="73"/>
      <c r="U16" s="73"/>
      <c r="V16" s="73"/>
      <c r="W16" s="73"/>
      <c r="X16" s="318"/>
      <c r="Y16" s="318"/>
      <c r="Z16" s="318"/>
      <c r="AA16" s="318"/>
      <c r="AB16" s="318"/>
      <c r="AC16" s="73"/>
    </row>
    <row r="17" spans="1:29" x14ac:dyDescent="0.35">
      <c r="A17" s="73"/>
      <c r="B17" s="205"/>
      <c r="C17" s="74"/>
      <c r="D17" s="73"/>
      <c r="E17" s="73"/>
      <c r="F17" s="73"/>
      <c r="G17" s="73"/>
      <c r="H17" s="73"/>
      <c r="I17" s="73"/>
      <c r="J17" s="73"/>
      <c r="K17" s="73"/>
      <c r="L17" s="73"/>
      <c r="M17" s="73"/>
      <c r="N17" s="73"/>
      <c r="O17" s="73"/>
      <c r="P17" s="73"/>
      <c r="Q17" s="73"/>
      <c r="R17" s="73"/>
      <c r="S17" s="73"/>
      <c r="T17" s="73"/>
      <c r="U17" s="73"/>
      <c r="V17" s="73"/>
      <c r="W17" s="73"/>
      <c r="X17" s="318"/>
      <c r="Y17" s="318"/>
      <c r="Z17" s="318"/>
      <c r="AA17" s="318"/>
      <c r="AB17" s="318"/>
      <c r="AC17" s="73"/>
    </row>
    <row r="18" spans="1:29" x14ac:dyDescent="0.35">
      <c r="A18" s="73"/>
      <c r="B18" s="306" t="s">
        <v>141</v>
      </c>
      <c r="C18" s="262" t="s">
        <v>255</v>
      </c>
      <c r="D18" s="73"/>
      <c r="E18" s="73"/>
      <c r="F18" s="73"/>
      <c r="G18" s="73"/>
      <c r="H18" s="73"/>
      <c r="I18" s="73"/>
      <c r="J18" s="73"/>
      <c r="K18" s="73"/>
      <c r="L18" s="73"/>
      <c r="M18" s="73"/>
      <c r="N18" s="73"/>
      <c r="O18" s="73"/>
      <c r="P18" s="73"/>
      <c r="Q18" s="73"/>
      <c r="R18" s="73"/>
      <c r="S18" s="73"/>
      <c r="T18" s="73"/>
      <c r="U18" s="73"/>
      <c r="V18" s="73"/>
      <c r="W18" s="73"/>
      <c r="X18" s="318"/>
      <c r="Y18" s="318"/>
      <c r="Z18" s="318"/>
      <c r="AA18" s="318"/>
      <c r="AB18" s="318"/>
      <c r="AC18" s="73"/>
    </row>
    <row r="19" spans="1:29" x14ac:dyDescent="0.35">
      <c r="A19" s="73"/>
      <c r="B19" s="395"/>
      <c r="C19" s="396" t="s">
        <v>295</v>
      </c>
      <c r="D19" s="73"/>
      <c r="E19" s="73"/>
      <c r="F19" s="73"/>
      <c r="G19" s="73"/>
      <c r="H19" s="73"/>
      <c r="I19" s="73"/>
      <c r="J19" s="73"/>
      <c r="K19" s="73"/>
      <c r="L19" s="73"/>
      <c r="M19" s="73"/>
      <c r="N19" s="73"/>
      <c r="O19" s="73"/>
      <c r="P19" s="73"/>
      <c r="Q19" s="73"/>
      <c r="R19" s="73"/>
      <c r="S19" s="73"/>
      <c r="T19" s="73"/>
      <c r="U19" s="73"/>
      <c r="V19" s="73"/>
      <c r="W19" s="73"/>
      <c r="X19" s="318"/>
      <c r="Y19" s="318"/>
      <c r="Z19" s="318"/>
      <c r="AA19" s="318"/>
      <c r="AB19" s="318"/>
      <c r="AC19" s="73"/>
    </row>
    <row r="20" spans="1:29" x14ac:dyDescent="0.35">
      <c r="A20" s="73"/>
      <c r="B20" s="73"/>
      <c r="C20" s="263"/>
      <c r="D20" s="73"/>
      <c r="E20" s="73"/>
      <c r="F20" s="73"/>
      <c r="G20" s="73"/>
      <c r="H20" s="73"/>
      <c r="I20" s="73"/>
      <c r="J20" s="73"/>
      <c r="K20" s="73"/>
      <c r="L20" s="73"/>
      <c r="M20" s="73"/>
      <c r="N20" s="73"/>
      <c r="O20" s="73"/>
      <c r="P20" s="73"/>
      <c r="Q20" s="73"/>
      <c r="R20" s="73"/>
      <c r="S20" s="73"/>
      <c r="T20" s="73"/>
      <c r="U20" s="73"/>
      <c r="V20" s="73"/>
      <c r="W20" s="73"/>
      <c r="X20" s="318"/>
      <c r="Y20" s="318"/>
      <c r="Z20" s="318"/>
      <c r="AA20" s="318"/>
      <c r="AB20" s="318"/>
      <c r="AC20" s="73"/>
    </row>
    <row r="21" spans="1:29" x14ac:dyDescent="0.35">
      <c r="A21" s="73"/>
      <c r="B21" s="308" t="s">
        <v>142</v>
      </c>
      <c r="C21" s="262" t="s">
        <v>256</v>
      </c>
      <c r="D21" s="73"/>
      <c r="E21" s="73"/>
      <c r="F21" s="73"/>
      <c r="G21" s="73"/>
      <c r="H21" s="73"/>
      <c r="I21" s="73"/>
      <c r="J21" s="73"/>
      <c r="K21" s="73"/>
      <c r="L21" s="73"/>
      <c r="M21" s="73"/>
      <c r="N21" s="73"/>
      <c r="O21" s="73"/>
      <c r="P21" s="73"/>
      <c r="Q21" s="73"/>
      <c r="R21" s="73"/>
      <c r="S21" s="73"/>
      <c r="T21" s="73"/>
      <c r="U21" s="73"/>
      <c r="V21" s="73"/>
      <c r="W21" s="73"/>
      <c r="X21" s="318"/>
      <c r="Y21" s="318"/>
      <c r="Z21" s="318"/>
      <c r="AA21" s="318"/>
      <c r="AB21" s="318"/>
      <c r="AC21" s="73"/>
    </row>
    <row r="22" spans="1:29" x14ac:dyDescent="0.35">
      <c r="A22" s="73"/>
      <c r="B22" s="73"/>
      <c r="C22" s="73"/>
      <c r="D22" s="73"/>
      <c r="E22" s="73"/>
      <c r="F22" s="73"/>
      <c r="G22" s="73"/>
      <c r="H22" s="73"/>
      <c r="I22" s="73"/>
      <c r="J22" s="73"/>
      <c r="K22" s="73"/>
      <c r="L22" s="73"/>
      <c r="M22" s="73"/>
      <c r="N22" s="73"/>
      <c r="O22" s="73"/>
      <c r="P22" s="73"/>
      <c r="Q22" s="73"/>
      <c r="R22" s="73"/>
      <c r="S22" s="73"/>
      <c r="T22" s="73"/>
      <c r="U22" s="73"/>
      <c r="V22" s="73"/>
      <c r="W22" s="73"/>
      <c r="X22" s="318"/>
      <c r="Y22" s="318"/>
      <c r="Z22" s="318"/>
      <c r="AA22" s="318"/>
      <c r="AB22" s="318"/>
      <c r="AC22" s="73"/>
    </row>
    <row r="23" spans="1:29" x14ac:dyDescent="0.35">
      <c r="A23" s="73"/>
      <c r="B23" s="307" t="s">
        <v>143</v>
      </c>
      <c r="C23" s="262" t="s">
        <v>251</v>
      </c>
      <c r="D23" s="73"/>
      <c r="E23" s="73"/>
      <c r="F23" s="73"/>
      <c r="G23" s="73"/>
      <c r="H23" s="73"/>
      <c r="I23" s="73"/>
      <c r="J23" s="73"/>
      <c r="K23" s="73"/>
      <c r="L23" s="73"/>
      <c r="M23" s="73"/>
      <c r="N23" s="73"/>
      <c r="O23" s="73"/>
      <c r="P23" s="73"/>
      <c r="Q23" s="73"/>
      <c r="R23" s="73"/>
      <c r="S23" s="73"/>
      <c r="T23" s="73"/>
      <c r="U23" s="73"/>
      <c r="V23" s="73"/>
      <c r="W23" s="73"/>
      <c r="X23" s="318"/>
      <c r="Y23" s="318"/>
      <c r="Z23" s="318"/>
      <c r="AA23" s="318"/>
      <c r="AB23" s="318"/>
      <c r="AC23" s="73"/>
    </row>
    <row r="24" spans="1:29" x14ac:dyDescent="0.35">
      <c r="A24" s="73"/>
      <c r="B24" s="309"/>
      <c r="C24" s="262" t="s">
        <v>261</v>
      </c>
      <c r="D24" s="73"/>
      <c r="E24" s="73"/>
      <c r="F24" s="73"/>
      <c r="G24" s="73"/>
      <c r="H24" s="73"/>
      <c r="I24" s="73"/>
      <c r="J24" s="73"/>
      <c r="K24" s="73"/>
      <c r="L24" s="73"/>
      <c r="M24" s="73"/>
      <c r="N24" s="73"/>
      <c r="O24" s="73"/>
      <c r="P24" s="73"/>
      <c r="Q24" s="73"/>
      <c r="R24" s="73"/>
      <c r="S24" s="73"/>
      <c r="T24" s="73"/>
      <c r="U24" s="73"/>
      <c r="V24" s="73"/>
      <c r="W24" s="73"/>
      <c r="X24" s="318"/>
      <c r="Y24" s="318"/>
      <c r="Z24" s="318"/>
      <c r="AA24" s="318"/>
      <c r="AB24" s="318"/>
      <c r="AC24" s="73"/>
    </row>
    <row r="25" spans="1:29" x14ac:dyDescent="0.35">
      <c r="A25" s="73"/>
      <c r="B25" s="309"/>
      <c r="C25" s="262" t="s">
        <v>262</v>
      </c>
      <c r="D25" s="73"/>
      <c r="E25" s="73"/>
      <c r="F25" s="73"/>
      <c r="G25" s="73"/>
      <c r="H25" s="73"/>
      <c r="I25" s="73"/>
      <c r="J25" s="73"/>
      <c r="K25" s="73"/>
      <c r="L25" s="73"/>
      <c r="M25" s="73"/>
      <c r="N25" s="73"/>
      <c r="O25" s="73"/>
      <c r="P25" s="73"/>
      <c r="Q25" s="73"/>
      <c r="R25" s="73"/>
      <c r="S25" s="73"/>
      <c r="T25" s="73"/>
      <c r="U25" s="73"/>
      <c r="V25" s="73"/>
      <c r="W25" s="73"/>
      <c r="X25" s="318"/>
      <c r="Y25" s="318"/>
      <c r="Z25" s="318"/>
      <c r="AA25" s="318"/>
      <c r="AB25" s="318"/>
      <c r="AC25" s="73"/>
    </row>
    <row r="26" spans="1:29" x14ac:dyDescent="0.35">
      <c r="A26" s="73"/>
      <c r="B26" s="310"/>
      <c r="C26" s="262" t="s">
        <v>263</v>
      </c>
      <c r="D26" s="73"/>
      <c r="E26" s="73"/>
      <c r="F26" s="73"/>
      <c r="G26" s="73"/>
      <c r="H26" s="73"/>
      <c r="I26" s="73"/>
      <c r="J26" s="73"/>
      <c r="K26" s="73"/>
      <c r="L26" s="73"/>
      <c r="M26" s="73"/>
      <c r="N26" s="73"/>
      <c r="O26" s="73"/>
      <c r="P26" s="73"/>
      <c r="Q26" s="73"/>
      <c r="R26" s="73"/>
      <c r="S26" s="73"/>
      <c r="T26" s="73"/>
      <c r="U26" s="73"/>
      <c r="V26" s="73"/>
      <c r="W26" s="73"/>
      <c r="X26" s="318"/>
      <c r="Y26" s="318"/>
      <c r="Z26" s="318"/>
      <c r="AA26" s="318"/>
      <c r="AB26" s="318"/>
      <c r="AC26" s="73"/>
    </row>
    <row r="27" spans="1:29" x14ac:dyDescent="0.35">
      <c r="A27" s="73"/>
      <c r="B27" s="311"/>
      <c r="C27" s="262" t="s">
        <v>264</v>
      </c>
      <c r="D27" s="73"/>
      <c r="E27" s="73"/>
      <c r="F27" s="73"/>
      <c r="G27" s="73"/>
      <c r="H27" s="73"/>
      <c r="I27" s="73"/>
      <c r="J27" s="73"/>
      <c r="K27" s="73"/>
      <c r="L27" s="73"/>
      <c r="M27" s="73"/>
      <c r="N27" s="73"/>
      <c r="O27" s="73"/>
      <c r="P27" s="73"/>
      <c r="Q27" s="73"/>
      <c r="R27" s="73"/>
      <c r="S27" s="73"/>
      <c r="T27" s="73"/>
      <c r="U27" s="73"/>
      <c r="V27" s="73"/>
      <c r="W27" s="73"/>
      <c r="X27" s="318"/>
      <c r="Y27" s="318"/>
      <c r="Z27" s="318"/>
      <c r="AA27" s="318"/>
      <c r="AB27" s="318"/>
      <c r="AC27" s="73"/>
    </row>
    <row r="28" spans="1:29" x14ac:dyDescent="0.35">
      <c r="A28" s="73"/>
      <c r="B28" s="311"/>
      <c r="C28" s="262" t="s">
        <v>265</v>
      </c>
      <c r="D28" s="73"/>
      <c r="E28" s="73"/>
      <c r="F28" s="73"/>
      <c r="G28" s="73"/>
      <c r="H28" s="73"/>
      <c r="I28" s="73"/>
      <c r="J28" s="73"/>
      <c r="K28" s="73"/>
      <c r="L28" s="73"/>
      <c r="M28" s="73"/>
      <c r="N28" s="73"/>
      <c r="O28" s="73"/>
      <c r="P28" s="73"/>
      <c r="Q28" s="73"/>
      <c r="R28" s="73"/>
      <c r="S28" s="73"/>
      <c r="T28" s="73"/>
      <c r="U28" s="73"/>
      <c r="V28" s="73"/>
      <c r="W28" s="73"/>
      <c r="X28" s="318"/>
      <c r="Y28" s="318"/>
      <c r="Z28" s="318"/>
      <c r="AA28" s="318"/>
      <c r="AB28" s="318"/>
      <c r="AC28" s="73"/>
    </row>
    <row r="29" spans="1:29" x14ac:dyDescent="0.35">
      <c r="A29" s="73"/>
      <c r="B29" s="73"/>
      <c r="C29" s="267" t="s">
        <v>266</v>
      </c>
      <c r="D29" s="73"/>
      <c r="E29" s="73"/>
      <c r="F29" s="73"/>
      <c r="G29" s="73"/>
      <c r="H29" s="73"/>
      <c r="I29" s="73"/>
      <c r="J29" s="73"/>
      <c r="K29" s="73"/>
      <c r="L29" s="73"/>
      <c r="M29" s="73"/>
      <c r="N29" s="73"/>
      <c r="O29" s="73"/>
      <c r="P29" s="73"/>
      <c r="Q29" s="73"/>
      <c r="R29" s="73"/>
      <c r="S29" s="73"/>
      <c r="T29" s="73"/>
      <c r="U29" s="73"/>
      <c r="V29" s="73"/>
      <c r="W29" s="73"/>
      <c r="X29" s="318"/>
      <c r="Y29" s="318"/>
      <c r="Z29" s="318"/>
      <c r="AA29" s="318"/>
      <c r="AB29" s="318"/>
      <c r="AC29" s="73"/>
    </row>
    <row r="30" spans="1:29" x14ac:dyDescent="0.35">
      <c r="A30" s="73"/>
      <c r="B30" s="73"/>
      <c r="C30" s="73"/>
      <c r="D30" s="73"/>
      <c r="E30" s="73"/>
      <c r="F30" s="73"/>
      <c r="G30" s="73"/>
      <c r="H30" s="73"/>
      <c r="I30" s="73"/>
      <c r="J30" s="73"/>
      <c r="K30" s="73"/>
      <c r="L30" s="73"/>
      <c r="M30" s="73"/>
      <c r="N30" s="73"/>
      <c r="O30" s="73"/>
      <c r="P30" s="73"/>
      <c r="Q30" s="73"/>
      <c r="R30" s="73"/>
      <c r="S30" s="73"/>
      <c r="T30" s="73"/>
      <c r="U30" s="73"/>
      <c r="V30" s="73"/>
      <c r="W30" s="73"/>
      <c r="X30" s="318"/>
      <c r="Y30" s="318"/>
      <c r="Z30" s="318"/>
      <c r="AA30" s="318"/>
      <c r="AB30" s="318"/>
      <c r="AC30" s="73"/>
    </row>
    <row r="31" spans="1:29" x14ac:dyDescent="0.35">
      <c r="A31" s="73"/>
      <c r="B31" s="313" t="s">
        <v>144</v>
      </c>
      <c r="C31" s="262" t="s">
        <v>252</v>
      </c>
      <c r="D31" s="73"/>
      <c r="E31" s="73"/>
      <c r="F31" s="73"/>
      <c r="G31" s="73"/>
      <c r="H31" s="73"/>
      <c r="I31" s="73"/>
      <c r="J31" s="73"/>
      <c r="K31" s="73"/>
      <c r="L31" s="73"/>
      <c r="M31" s="73"/>
      <c r="N31" s="73"/>
      <c r="O31" s="73"/>
      <c r="P31" s="73"/>
      <c r="Q31" s="73"/>
      <c r="R31" s="73"/>
      <c r="S31" s="73"/>
      <c r="T31" s="73"/>
      <c r="U31" s="73"/>
      <c r="V31" s="73"/>
      <c r="W31" s="73"/>
      <c r="X31" s="318"/>
      <c r="Y31" s="318"/>
      <c r="Z31" s="318"/>
      <c r="AA31" s="318"/>
      <c r="AB31" s="318"/>
      <c r="AC31" s="73"/>
    </row>
    <row r="32" spans="1:29" x14ac:dyDescent="0.35">
      <c r="A32" s="73"/>
      <c r="B32" s="73"/>
      <c r="C32" s="264"/>
      <c r="D32" s="73"/>
      <c r="E32" s="73"/>
      <c r="F32" s="73"/>
      <c r="G32" s="73"/>
      <c r="H32" s="73"/>
      <c r="I32" s="73"/>
      <c r="J32" s="73"/>
      <c r="K32" s="73"/>
      <c r="L32" s="73"/>
      <c r="M32" s="73"/>
      <c r="N32" s="73"/>
      <c r="O32" s="73"/>
      <c r="P32" s="73"/>
      <c r="Q32" s="73"/>
      <c r="R32" s="73"/>
      <c r="S32" s="73"/>
      <c r="T32" s="73"/>
      <c r="U32" s="73"/>
      <c r="V32" s="73"/>
      <c r="W32" s="73"/>
      <c r="X32" s="318"/>
      <c r="Y32" s="318"/>
      <c r="Z32" s="318"/>
      <c r="AA32" s="318"/>
      <c r="AB32" s="318"/>
      <c r="AC32" s="73"/>
    </row>
    <row r="33" spans="1:29" x14ac:dyDescent="0.35">
      <c r="A33" s="73"/>
      <c r="B33" s="312" t="s">
        <v>267</v>
      </c>
      <c r="C33" t="s">
        <v>301</v>
      </c>
      <c r="D33" s="73"/>
      <c r="E33" s="73"/>
      <c r="F33" s="73"/>
      <c r="G33" s="73"/>
      <c r="H33" s="73"/>
      <c r="I33" s="73"/>
      <c r="J33" s="73"/>
      <c r="K33" s="73"/>
      <c r="L33" s="73"/>
      <c r="M33" s="73"/>
      <c r="N33" s="73"/>
      <c r="O33" s="73"/>
      <c r="P33" s="73"/>
      <c r="Q33" s="73"/>
      <c r="R33" s="73"/>
      <c r="S33" s="73"/>
      <c r="T33" s="73"/>
      <c r="U33" s="73"/>
      <c r="V33" s="73"/>
      <c r="W33" s="73"/>
      <c r="X33" s="318"/>
      <c r="Y33" s="318"/>
      <c r="Z33" s="318"/>
      <c r="AA33" s="318"/>
      <c r="AB33" s="318"/>
      <c r="AC33" s="73"/>
    </row>
    <row r="34" spans="1:29" x14ac:dyDescent="0.35">
      <c r="A34" s="73"/>
      <c r="B34" s="73"/>
      <c r="C34" s="262" t="s">
        <v>302</v>
      </c>
      <c r="D34" s="73"/>
      <c r="E34" s="73"/>
      <c r="F34" s="73"/>
      <c r="G34" s="73"/>
      <c r="H34" s="73"/>
      <c r="I34" s="73"/>
      <c r="J34" s="73"/>
      <c r="K34" s="73"/>
      <c r="L34" s="73"/>
      <c r="M34" s="73"/>
      <c r="N34" s="73"/>
      <c r="O34" s="73"/>
      <c r="P34" s="73"/>
      <c r="Q34" s="73"/>
      <c r="R34" s="73"/>
      <c r="S34" s="73"/>
      <c r="T34" s="73"/>
      <c r="U34" s="73"/>
      <c r="V34" s="73"/>
      <c r="W34" s="73"/>
      <c r="X34" s="318"/>
      <c r="Y34" s="318"/>
      <c r="Z34" s="318"/>
      <c r="AA34" s="318"/>
      <c r="AB34" s="318"/>
      <c r="AC34" s="73"/>
    </row>
    <row r="35" spans="1:29" x14ac:dyDescent="0.35">
      <c r="A35" s="73"/>
      <c r="B35" s="73"/>
      <c r="C35" s="262" t="s">
        <v>268</v>
      </c>
      <c r="D35" s="73"/>
      <c r="E35" s="73"/>
      <c r="F35" s="73"/>
      <c r="G35" s="73"/>
      <c r="H35" s="73"/>
      <c r="I35" s="73"/>
      <c r="J35" s="73"/>
      <c r="K35" s="73"/>
      <c r="L35" s="73"/>
      <c r="M35" s="73"/>
      <c r="N35" s="73"/>
      <c r="O35" s="73"/>
      <c r="P35" s="73"/>
      <c r="Q35" s="73"/>
      <c r="R35" s="73"/>
      <c r="S35" s="73"/>
      <c r="T35" s="73"/>
      <c r="U35" s="73"/>
      <c r="V35" s="73"/>
      <c r="W35" s="73"/>
      <c r="X35" s="318"/>
      <c r="Y35" s="318"/>
      <c r="Z35" s="318"/>
      <c r="AA35" s="318"/>
      <c r="AB35" s="318"/>
      <c r="AC35" s="73"/>
    </row>
    <row r="36" spans="1:29" x14ac:dyDescent="0.35">
      <c r="A36" s="73"/>
      <c r="B36" s="73"/>
      <c r="C36" s="73"/>
      <c r="D36" s="73"/>
      <c r="E36" s="73"/>
      <c r="F36" s="73"/>
      <c r="G36" s="73"/>
      <c r="H36" s="73"/>
      <c r="I36" s="73"/>
      <c r="J36" s="73"/>
      <c r="K36" s="73"/>
      <c r="L36" s="73"/>
      <c r="M36" s="73"/>
      <c r="N36" s="73"/>
      <c r="O36" s="73"/>
      <c r="P36" s="73"/>
      <c r="Q36" s="73"/>
      <c r="R36" s="73"/>
      <c r="S36" s="73"/>
      <c r="T36" s="73"/>
      <c r="U36" s="73"/>
      <c r="V36" s="73"/>
      <c r="W36" s="73"/>
      <c r="X36" s="318"/>
      <c r="Y36" s="318"/>
      <c r="Z36" s="318"/>
      <c r="AA36" s="318"/>
      <c r="AB36" s="318"/>
      <c r="AC36" s="73"/>
    </row>
    <row r="37" spans="1:29" x14ac:dyDescent="0.35">
      <c r="A37" s="73"/>
      <c r="B37" s="73"/>
      <c r="C37" s="73"/>
      <c r="D37" s="73"/>
      <c r="E37" s="73"/>
      <c r="F37" s="73"/>
      <c r="G37" s="73"/>
      <c r="H37" s="73"/>
      <c r="I37" s="73"/>
      <c r="J37" s="73"/>
      <c r="K37" s="73"/>
      <c r="L37" s="73"/>
      <c r="M37" s="73"/>
      <c r="N37" s="73"/>
      <c r="O37" s="73"/>
      <c r="P37" s="73"/>
      <c r="Q37" s="73"/>
      <c r="R37" s="73"/>
      <c r="S37" s="73"/>
      <c r="T37" s="73"/>
      <c r="U37" s="73"/>
      <c r="V37" s="73"/>
      <c r="W37" s="73"/>
      <c r="X37" s="318"/>
      <c r="Y37" s="318"/>
      <c r="Z37" s="318"/>
      <c r="AA37" s="318"/>
      <c r="AB37" s="318"/>
      <c r="AC37" s="73"/>
    </row>
    <row r="38" spans="1:29" x14ac:dyDescent="0.35">
      <c r="A38" s="73"/>
      <c r="B38" s="73"/>
      <c r="C38" s="73"/>
      <c r="D38" s="73"/>
      <c r="E38" s="73"/>
      <c r="F38" s="73"/>
      <c r="G38" s="73"/>
      <c r="H38" s="73"/>
      <c r="I38" s="73"/>
      <c r="J38" s="73"/>
      <c r="K38" s="73"/>
      <c r="L38" s="73"/>
      <c r="M38" s="73"/>
      <c r="N38" s="73"/>
      <c r="O38" s="73"/>
      <c r="P38" s="73"/>
      <c r="Q38" s="73"/>
      <c r="R38" s="73"/>
      <c r="S38" s="73"/>
      <c r="T38" s="73"/>
      <c r="U38" s="73"/>
      <c r="V38" s="73"/>
      <c r="W38" s="73"/>
      <c r="X38" s="318"/>
      <c r="Y38" s="318"/>
      <c r="Z38" s="318"/>
      <c r="AA38" s="318"/>
      <c r="AB38" s="318"/>
      <c r="AC38" s="73"/>
    </row>
    <row r="39" spans="1:29" x14ac:dyDescent="0.35">
      <c r="A39" s="73"/>
      <c r="B39" s="73"/>
      <c r="C39" s="73"/>
      <c r="D39" s="73"/>
      <c r="E39" s="73"/>
      <c r="F39" s="73"/>
      <c r="G39" s="73"/>
      <c r="H39" s="73"/>
      <c r="I39" s="73"/>
      <c r="J39" s="73"/>
      <c r="K39" s="73"/>
      <c r="L39" s="73"/>
      <c r="M39" s="73"/>
      <c r="N39" s="73"/>
      <c r="O39" s="73"/>
      <c r="P39" s="73"/>
      <c r="Q39" s="73"/>
      <c r="R39" s="73"/>
      <c r="S39" s="73"/>
      <c r="T39" s="73"/>
      <c r="U39" s="73"/>
      <c r="V39" s="73"/>
      <c r="W39" s="73"/>
      <c r="X39" s="318"/>
      <c r="Y39" s="318"/>
      <c r="Z39" s="318"/>
      <c r="AA39" s="318"/>
      <c r="AB39" s="318"/>
      <c r="AC39" s="73"/>
    </row>
    <row r="40" spans="1:29" x14ac:dyDescent="0.35">
      <c r="A40" s="73"/>
      <c r="B40" s="73"/>
      <c r="C40" s="73"/>
      <c r="D40" s="73"/>
      <c r="E40" s="73"/>
      <c r="F40" s="73"/>
      <c r="G40" s="73"/>
      <c r="H40" s="73"/>
      <c r="I40" s="73"/>
      <c r="J40" s="73"/>
      <c r="K40" s="73"/>
      <c r="L40" s="73"/>
      <c r="M40" s="73"/>
      <c r="N40" s="73"/>
      <c r="O40" s="73"/>
      <c r="P40" s="73"/>
      <c r="Q40" s="73"/>
      <c r="R40" s="73"/>
      <c r="S40" s="73"/>
      <c r="T40" s="73"/>
      <c r="U40" s="73"/>
      <c r="V40" s="73"/>
      <c r="W40" s="73"/>
      <c r="X40" s="318"/>
      <c r="Y40" s="318"/>
      <c r="Z40" s="318"/>
      <c r="AA40" s="318"/>
      <c r="AB40" s="318"/>
      <c r="AC40" s="73"/>
    </row>
    <row r="41" spans="1:29" x14ac:dyDescent="0.35">
      <c r="A41" s="73"/>
      <c r="B41" s="73"/>
      <c r="C41" s="73"/>
      <c r="D41" s="73"/>
      <c r="E41" s="73"/>
      <c r="F41" s="73"/>
      <c r="G41" s="73"/>
      <c r="H41" s="73"/>
      <c r="I41" s="73"/>
      <c r="J41" s="73"/>
      <c r="K41" s="73"/>
      <c r="L41" s="73"/>
      <c r="M41" s="73"/>
      <c r="N41" s="73"/>
      <c r="O41" s="73"/>
      <c r="P41" s="73"/>
      <c r="Q41" s="73"/>
      <c r="R41" s="73"/>
      <c r="S41" s="73"/>
      <c r="T41" s="73"/>
      <c r="U41" s="73"/>
      <c r="V41" s="73"/>
      <c r="W41" s="73"/>
      <c r="X41" s="318"/>
      <c r="Y41" s="318"/>
      <c r="Z41" s="318"/>
      <c r="AA41" s="318"/>
      <c r="AB41" s="318"/>
      <c r="AC41" s="73"/>
    </row>
    <row r="42" spans="1:29" x14ac:dyDescent="0.35">
      <c r="A42" s="73"/>
      <c r="B42" s="73"/>
      <c r="C42" s="73"/>
      <c r="D42" s="73"/>
      <c r="E42" s="73"/>
      <c r="F42" s="73"/>
      <c r="G42" s="73"/>
      <c r="H42" s="73"/>
      <c r="I42" s="73"/>
      <c r="J42" s="73"/>
      <c r="K42" s="73"/>
      <c r="L42" s="73"/>
      <c r="M42" s="73"/>
      <c r="N42" s="73"/>
      <c r="O42" s="73"/>
      <c r="P42" s="73"/>
      <c r="Q42" s="73"/>
      <c r="R42" s="73"/>
      <c r="S42" s="73"/>
      <c r="T42" s="73"/>
      <c r="U42" s="73"/>
      <c r="V42" s="73"/>
      <c r="W42" s="73"/>
      <c r="X42" s="318"/>
      <c r="Y42" s="318"/>
      <c r="Z42" s="318"/>
      <c r="AA42" s="318"/>
      <c r="AB42" s="318"/>
      <c r="AC42" s="73"/>
    </row>
    <row r="43" spans="1:29" x14ac:dyDescent="0.35">
      <c r="A43" s="73"/>
      <c r="B43" s="73"/>
      <c r="C43" s="73"/>
      <c r="D43" s="73"/>
      <c r="E43" s="73"/>
      <c r="F43" s="73"/>
      <c r="G43" s="73"/>
      <c r="H43" s="73"/>
      <c r="I43" s="73"/>
      <c r="J43" s="73"/>
      <c r="K43" s="73"/>
      <c r="L43" s="73"/>
      <c r="M43" s="73"/>
      <c r="N43" s="73"/>
      <c r="O43" s="73"/>
      <c r="P43" s="73"/>
      <c r="Q43" s="73"/>
      <c r="R43" s="73"/>
      <c r="S43" s="73"/>
      <c r="T43" s="73"/>
      <c r="U43" s="73"/>
      <c r="V43" s="73"/>
      <c r="W43" s="73"/>
      <c r="X43" s="318"/>
      <c r="Y43" s="318"/>
      <c r="Z43" s="318"/>
      <c r="AA43" s="318"/>
      <c r="AB43" s="318"/>
      <c r="AC43" s="73"/>
    </row>
    <row r="44" spans="1:29" x14ac:dyDescent="0.35">
      <c r="A44" s="73"/>
    </row>
    <row r="45" spans="1:29" x14ac:dyDescent="0.35">
      <c r="A45" s="73"/>
    </row>
    <row r="46" spans="1:29" x14ac:dyDescent="0.35">
      <c r="A46" s="73"/>
    </row>
    <row r="47" spans="1:29" x14ac:dyDescent="0.35">
      <c r="A47" s="73"/>
    </row>
    <row r="48" spans="1:29" x14ac:dyDescent="0.35">
      <c r="A48" s="73"/>
    </row>
    <row r="49" spans="1:1" x14ac:dyDescent="0.35">
      <c r="A49" s="73"/>
    </row>
    <row r="50" spans="1:1" x14ac:dyDescent="0.35">
      <c r="A50" s="73"/>
    </row>
    <row r="51" spans="1:1" x14ac:dyDescent="0.35">
      <c r="A51" s="73"/>
    </row>
    <row r="52" spans="1:1" x14ac:dyDescent="0.35">
      <c r="A52" s="73"/>
    </row>
    <row r="53" spans="1:1" x14ac:dyDescent="0.35">
      <c r="A53" s="73"/>
    </row>
  </sheetData>
  <mergeCells count="2">
    <mergeCell ref="B6:C6"/>
    <mergeCell ref="B8:C8"/>
  </mergeCells>
  <hyperlinks>
    <hyperlink ref="C16" location="'1. In-situ status quo plan'!A1" display="details of Alternative 1: status quo in-situ management"/>
    <hyperlink ref="C18" location="'2. Ex-situ plan'!A1" display="details of Alternative 2: ex-situ management"/>
    <hyperlink ref="C21" location="'3. In-situ plus plan'!A1" display="details of Alternative 3: in-situ plus"/>
    <hyperlink ref="C31" location="'5. Decision tree Outputs'!A1" display="Decision tree and expected payoffs of alternatives"/>
    <hyperlink ref="C34" location="'6.1 Value judgments'!A1" display="6.1 Individual value judgements"/>
    <hyperlink ref="C35" location="'6.2 Value judgments summary'!A1" display="6.2 Group summary"/>
    <hyperlink ref="C24" location="'4.1 Elicitation form 1 Events'!A1" display="4.1 Individual elicitation form for chance events"/>
    <hyperlink ref="C25" location="'4.2 Elicitation form 2 Payoffs'!A1" display="4.2 Individual elicitation form for payoffs"/>
    <hyperlink ref="C26" location="'4.3 Elicitation data entry'!A1" display="4.3 Enter elicitation data"/>
    <hyperlink ref="C27" location="'4.4 Group results Events'!A1" display="4.4 View group results for chance events"/>
    <hyperlink ref="C28" location="'4.5 Group results Payoffs'!A1" display="4.5 View group results for payoffs"/>
    <hyperlink ref="C23" location="'4. Expert elicitation'!A1" display="Expert elicitation of event probabilities and payoffs"/>
    <hyperlink ref="C13" location="'Initial information'!A1" display="Fill out the initial information"/>
    <hyperlink ref="C19" location="'S1 IUCN Ex-situ Guidelines form'!A1" display="We recommend using the questions from the IUCN Ex-Situ Guidelines to create an ex-situ management plan"/>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65"/>
  <sheetViews>
    <sheetView zoomScale="90" zoomScaleNormal="90" workbookViewId="0"/>
  </sheetViews>
  <sheetFormatPr defaultRowHeight="14.5" x14ac:dyDescent="0.35"/>
  <cols>
    <col min="1" max="1" width="9.26953125" customWidth="1"/>
    <col min="2" max="2" width="21.1796875" customWidth="1"/>
    <col min="3" max="3" width="26.81640625" customWidth="1"/>
    <col min="4" max="4" width="40.81640625" customWidth="1"/>
  </cols>
  <sheetData>
    <row r="1" spans="1:23" ht="18.5" x14ac:dyDescent="0.45">
      <c r="A1" s="73"/>
      <c r="B1" s="265" t="s">
        <v>258</v>
      </c>
      <c r="C1" s="73"/>
      <c r="D1" s="73"/>
      <c r="E1" s="73"/>
      <c r="F1" s="73"/>
      <c r="G1" s="73"/>
      <c r="H1" s="73"/>
      <c r="I1" s="73"/>
      <c r="J1" s="73"/>
      <c r="K1" s="73"/>
      <c r="L1" s="73"/>
      <c r="M1" s="73"/>
      <c r="N1" s="73"/>
      <c r="O1" s="73"/>
      <c r="P1" s="73"/>
      <c r="Q1" s="73"/>
      <c r="R1" s="73"/>
      <c r="S1" s="73"/>
      <c r="T1" s="73"/>
      <c r="U1" s="73"/>
      <c r="V1" s="73"/>
      <c r="W1" s="73"/>
    </row>
    <row r="2" spans="1:23" x14ac:dyDescent="0.35">
      <c r="A2" s="73"/>
      <c r="B2" s="73"/>
      <c r="C2" s="73"/>
      <c r="D2" s="73"/>
      <c r="E2" s="73"/>
      <c r="F2" s="73"/>
      <c r="G2" s="73"/>
      <c r="H2" s="73"/>
      <c r="I2" s="73"/>
      <c r="J2" s="73"/>
      <c r="K2" s="73"/>
      <c r="L2" s="73"/>
      <c r="M2" s="73"/>
      <c r="N2" s="73"/>
      <c r="O2" s="73"/>
      <c r="P2" s="73"/>
      <c r="Q2" s="73"/>
      <c r="R2" s="73"/>
      <c r="S2" s="73"/>
      <c r="T2" s="73"/>
      <c r="U2" s="73"/>
      <c r="V2" s="73"/>
      <c r="W2" s="73"/>
    </row>
    <row r="3" spans="1:23" x14ac:dyDescent="0.35">
      <c r="A3" s="73"/>
      <c r="B3" s="73"/>
      <c r="C3" s="73"/>
      <c r="D3" s="73"/>
      <c r="E3" s="73"/>
      <c r="F3" s="73"/>
      <c r="G3" s="73"/>
      <c r="H3" s="73"/>
      <c r="I3" s="73"/>
      <c r="J3" s="73"/>
      <c r="K3" s="73"/>
      <c r="L3" s="73"/>
      <c r="M3" s="73"/>
      <c r="N3" s="73"/>
      <c r="O3" s="73"/>
      <c r="P3" s="73"/>
      <c r="Q3" s="73"/>
      <c r="R3" s="73"/>
      <c r="S3" s="73"/>
      <c r="T3" s="73"/>
      <c r="U3" s="73"/>
      <c r="V3" s="73"/>
      <c r="W3" s="73"/>
    </row>
    <row r="4" spans="1:23" x14ac:dyDescent="0.35">
      <c r="A4" s="73"/>
      <c r="B4" s="74" t="s">
        <v>150</v>
      </c>
      <c r="C4" s="60"/>
      <c r="D4" s="73"/>
      <c r="E4" s="73"/>
      <c r="F4" s="73"/>
      <c r="G4" s="73"/>
      <c r="H4" s="73"/>
      <c r="I4" s="73"/>
      <c r="J4" s="73"/>
      <c r="K4" s="73"/>
      <c r="L4" s="73"/>
      <c r="M4" s="73"/>
      <c r="N4" s="73"/>
      <c r="O4" s="73"/>
      <c r="P4" s="73"/>
      <c r="Q4" s="73"/>
      <c r="R4" s="73"/>
      <c r="S4" s="73"/>
      <c r="T4" s="73"/>
      <c r="U4" s="73"/>
      <c r="V4" s="73"/>
      <c r="W4" s="73"/>
    </row>
    <row r="5" spans="1:23" x14ac:dyDescent="0.35">
      <c r="A5" s="73"/>
      <c r="B5" s="73"/>
      <c r="D5" s="73"/>
      <c r="E5" s="73"/>
      <c r="F5" s="73"/>
      <c r="G5" s="73"/>
      <c r="H5" s="73"/>
      <c r="I5" s="73"/>
      <c r="J5" s="73"/>
      <c r="K5" s="73"/>
      <c r="L5" s="73"/>
      <c r="M5" s="73"/>
      <c r="N5" s="73"/>
      <c r="O5" s="73"/>
      <c r="P5" s="73"/>
      <c r="Q5" s="73"/>
      <c r="R5" s="73"/>
      <c r="S5" s="73"/>
      <c r="T5" s="73"/>
      <c r="U5" s="73"/>
      <c r="V5" s="73"/>
      <c r="W5" s="73"/>
    </row>
    <row r="6" spans="1:23" x14ac:dyDescent="0.35">
      <c r="A6" s="73"/>
      <c r="B6" s="261" t="s">
        <v>246</v>
      </c>
      <c r="C6" s="26"/>
      <c r="D6" s="73"/>
      <c r="E6" s="73"/>
      <c r="F6" s="73"/>
      <c r="G6" s="73"/>
      <c r="H6" s="73"/>
      <c r="I6" s="73"/>
      <c r="J6" s="73"/>
      <c r="K6" s="73"/>
      <c r="L6" s="73"/>
      <c r="M6" s="73"/>
      <c r="N6" s="73"/>
      <c r="O6" s="73"/>
      <c r="P6" s="73"/>
      <c r="Q6" s="73"/>
      <c r="R6" s="73"/>
      <c r="S6" s="73"/>
      <c r="T6" s="73"/>
      <c r="U6" s="73"/>
      <c r="V6" s="73"/>
      <c r="W6" s="73"/>
    </row>
    <row r="7" spans="1:23" x14ac:dyDescent="0.35">
      <c r="A7" s="73"/>
      <c r="B7" s="261" t="s">
        <v>247</v>
      </c>
      <c r="C7" s="280"/>
      <c r="D7" s="73"/>
      <c r="E7" s="73"/>
      <c r="F7" s="73"/>
      <c r="G7" s="73"/>
      <c r="H7" s="73"/>
      <c r="I7" s="73"/>
      <c r="J7" s="73"/>
      <c r="K7" s="73"/>
      <c r="L7" s="73"/>
      <c r="M7" s="73"/>
      <c r="N7" s="73"/>
      <c r="O7" s="73"/>
      <c r="P7" s="73"/>
      <c r="Q7" s="73"/>
      <c r="R7" s="73"/>
      <c r="S7" s="73"/>
      <c r="T7" s="73"/>
      <c r="U7" s="73"/>
      <c r="V7" s="73"/>
      <c r="W7" s="73"/>
    </row>
    <row r="8" spans="1:23" x14ac:dyDescent="0.35">
      <c r="A8" s="73"/>
      <c r="B8" s="261"/>
      <c r="C8" s="279"/>
      <c r="D8" s="73"/>
      <c r="E8" s="73"/>
      <c r="F8" s="73"/>
      <c r="G8" s="73"/>
      <c r="H8" s="73"/>
      <c r="I8" s="73"/>
      <c r="J8" s="73"/>
      <c r="K8" s="73"/>
      <c r="L8" s="73"/>
      <c r="M8" s="73"/>
      <c r="N8" s="73"/>
      <c r="O8" s="73"/>
      <c r="P8" s="73"/>
      <c r="Q8" s="73"/>
      <c r="R8" s="73"/>
      <c r="S8" s="73"/>
      <c r="T8" s="73"/>
      <c r="U8" s="73"/>
      <c r="V8" s="73"/>
      <c r="W8" s="73"/>
    </row>
    <row r="9" spans="1:23" x14ac:dyDescent="0.35">
      <c r="A9" s="73"/>
      <c r="B9" s="261"/>
      <c r="C9" s="279"/>
      <c r="D9" s="73"/>
      <c r="E9" s="73"/>
      <c r="F9" s="73"/>
      <c r="G9" s="73"/>
      <c r="H9" s="73"/>
      <c r="I9" s="73"/>
      <c r="J9" s="73"/>
      <c r="K9" s="73"/>
      <c r="L9" s="73"/>
      <c r="M9" s="73"/>
      <c r="N9" s="73"/>
      <c r="O9" s="73"/>
      <c r="P9" s="73"/>
      <c r="Q9" s="73"/>
      <c r="R9" s="73"/>
      <c r="S9" s="73"/>
      <c r="T9" s="73"/>
      <c r="U9" s="73"/>
      <c r="V9" s="73"/>
      <c r="W9" s="73"/>
    </row>
    <row r="10" spans="1:23" x14ac:dyDescent="0.35">
      <c r="A10" s="73"/>
      <c r="B10" s="261"/>
      <c r="C10" s="279"/>
      <c r="D10" s="73"/>
      <c r="E10" s="73"/>
      <c r="F10" s="73"/>
      <c r="G10" s="73"/>
      <c r="H10" s="73"/>
      <c r="I10" s="73"/>
      <c r="J10" s="73"/>
      <c r="K10" s="73"/>
      <c r="L10" s="73"/>
      <c r="M10" s="73"/>
      <c r="N10" s="73"/>
      <c r="O10" s="73"/>
      <c r="P10" s="73"/>
      <c r="Q10" s="73"/>
      <c r="R10" s="73"/>
      <c r="S10" s="73"/>
      <c r="T10" s="73"/>
      <c r="U10" s="73"/>
      <c r="V10" s="73"/>
      <c r="W10" s="73"/>
    </row>
    <row r="11" spans="1:23" x14ac:dyDescent="0.35">
      <c r="A11" s="73"/>
      <c r="B11" s="261"/>
      <c r="C11" s="279"/>
      <c r="D11" s="73"/>
      <c r="E11" s="73"/>
      <c r="F11" s="73"/>
      <c r="G11" s="73"/>
      <c r="H11" s="73"/>
      <c r="I11" s="73"/>
      <c r="J11" s="73"/>
      <c r="K11" s="73"/>
      <c r="L11" s="73"/>
      <c r="M11" s="73"/>
      <c r="N11" s="73"/>
      <c r="O11" s="73"/>
      <c r="P11" s="73"/>
      <c r="Q11" s="73"/>
      <c r="R11" s="73"/>
      <c r="S11" s="73"/>
      <c r="T11" s="73"/>
      <c r="U11" s="73"/>
      <c r="V11" s="73"/>
      <c r="W11" s="73"/>
    </row>
    <row r="12" spans="1:23" x14ac:dyDescent="0.35">
      <c r="A12" s="73"/>
      <c r="B12" s="261"/>
      <c r="C12" s="279"/>
      <c r="D12" s="73"/>
      <c r="E12" s="73"/>
      <c r="F12" s="73"/>
      <c r="G12" s="73"/>
      <c r="H12" s="73"/>
      <c r="I12" s="73"/>
      <c r="J12" s="73"/>
      <c r="K12" s="73"/>
      <c r="L12" s="73"/>
      <c r="M12" s="73"/>
      <c r="N12" s="73"/>
      <c r="O12" s="73"/>
      <c r="P12" s="73"/>
      <c r="Q12" s="73"/>
      <c r="R12" s="73"/>
      <c r="S12" s="73"/>
      <c r="T12" s="73"/>
      <c r="U12" s="73"/>
      <c r="V12" s="73"/>
      <c r="W12" s="73"/>
    </row>
    <row r="13" spans="1:23" x14ac:dyDescent="0.35">
      <c r="A13" s="73"/>
      <c r="B13" s="261"/>
      <c r="C13" s="279"/>
      <c r="D13" s="73"/>
      <c r="E13" s="73"/>
      <c r="F13" s="73"/>
      <c r="G13" s="73"/>
      <c r="H13" s="73"/>
      <c r="I13" s="73"/>
      <c r="J13" s="73"/>
      <c r="K13" s="73"/>
      <c r="L13" s="73"/>
      <c r="M13" s="73"/>
      <c r="N13" s="73"/>
      <c r="O13" s="73"/>
      <c r="P13" s="73"/>
      <c r="Q13" s="73"/>
      <c r="R13" s="73"/>
      <c r="S13" s="73"/>
      <c r="T13" s="73"/>
      <c r="U13" s="73"/>
      <c r="V13" s="73"/>
      <c r="W13" s="73"/>
    </row>
    <row r="14" spans="1:23" x14ac:dyDescent="0.35">
      <c r="A14" s="73"/>
      <c r="B14" s="73"/>
      <c r="C14" s="73"/>
      <c r="D14" s="73"/>
      <c r="E14" s="73"/>
      <c r="F14" s="73"/>
      <c r="G14" s="73"/>
      <c r="H14" s="73"/>
      <c r="I14" s="73"/>
      <c r="J14" s="73"/>
      <c r="K14" s="73"/>
      <c r="L14" s="73"/>
      <c r="M14" s="73"/>
      <c r="N14" s="73"/>
      <c r="O14" s="73"/>
      <c r="P14" s="73"/>
      <c r="Q14" s="73"/>
      <c r="R14" s="73"/>
      <c r="S14" s="73"/>
      <c r="T14" s="73"/>
      <c r="U14" s="73"/>
      <c r="V14" s="73"/>
      <c r="W14" s="73"/>
    </row>
    <row r="15" spans="1:23" x14ac:dyDescent="0.35">
      <c r="A15" s="73"/>
      <c r="B15" s="73"/>
      <c r="C15" s="73"/>
      <c r="D15" s="73"/>
      <c r="E15" s="73"/>
      <c r="F15" s="73"/>
      <c r="G15" s="73"/>
      <c r="H15" s="73"/>
      <c r="I15" s="73"/>
      <c r="J15" s="73"/>
      <c r="K15" s="73"/>
      <c r="L15" s="73"/>
      <c r="M15" s="73"/>
      <c r="N15" s="73"/>
      <c r="O15" s="73"/>
      <c r="P15" s="73"/>
      <c r="Q15" s="73"/>
      <c r="R15" s="73"/>
      <c r="S15" s="73"/>
      <c r="T15" s="73"/>
      <c r="U15" s="73"/>
      <c r="V15" s="73"/>
      <c r="W15" s="73"/>
    </row>
    <row r="16" spans="1:23" x14ac:dyDescent="0.35">
      <c r="A16" s="205"/>
      <c r="B16" s="73"/>
      <c r="C16" s="73"/>
      <c r="D16" s="73"/>
      <c r="E16" s="73"/>
      <c r="F16" s="73"/>
      <c r="G16" s="73"/>
      <c r="H16" s="73"/>
      <c r="I16" s="73"/>
      <c r="J16" s="73"/>
      <c r="K16" s="73"/>
      <c r="L16" s="73"/>
      <c r="M16" s="73"/>
      <c r="N16" s="73"/>
      <c r="O16" s="73"/>
      <c r="P16" s="73"/>
      <c r="Q16" s="73"/>
      <c r="R16" s="73"/>
      <c r="S16" s="73"/>
      <c r="T16" s="73"/>
      <c r="U16" s="73"/>
      <c r="V16" s="73"/>
      <c r="W16" s="73"/>
    </row>
    <row r="17" spans="1:23" x14ac:dyDescent="0.35">
      <c r="A17" s="73"/>
      <c r="B17" s="73"/>
      <c r="C17" s="73"/>
      <c r="D17" s="73"/>
      <c r="E17" s="73"/>
      <c r="F17" s="73"/>
      <c r="G17" s="73"/>
      <c r="H17" s="73"/>
      <c r="I17" s="73"/>
      <c r="J17" s="73"/>
      <c r="K17" s="73"/>
      <c r="L17" s="73"/>
      <c r="M17" s="73"/>
      <c r="N17" s="73"/>
      <c r="O17" s="73"/>
      <c r="P17" s="73"/>
      <c r="Q17" s="73"/>
      <c r="R17" s="73"/>
      <c r="S17" s="73"/>
      <c r="T17" s="73"/>
      <c r="U17" s="73"/>
      <c r="V17" s="73"/>
      <c r="W17" s="73"/>
    </row>
    <row r="18" spans="1:23" x14ac:dyDescent="0.35">
      <c r="A18" s="73"/>
      <c r="B18" s="275" t="s">
        <v>259</v>
      </c>
      <c r="C18" s="224"/>
      <c r="D18" s="224"/>
      <c r="F18" s="73"/>
      <c r="G18" s="73"/>
      <c r="H18" s="73"/>
      <c r="I18" s="73"/>
      <c r="J18" s="73"/>
      <c r="K18" s="73"/>
      <c r="L18" s="73"/>
      <c r="M18" s="73"/>
      <c r="N18" s="73"/>
      <c r="O18" s="73"/>
      <c r="P18" s="73"/>
      <c r="Q18" s="73"/>
      <c r="R18" s="73"/>
      <c r="S18" s="73"/>
      <c r="T18" s="73"/>
      <c r="U18" s="73"/>
      <c r="V18" s="73"/>
      <c r="W18" s="73"/>
    </row>
    <row r="19" spans="1:23" x14ac:dyDescent="0.35">
      <c r="A19" s="73"/>
      <c r="B19" s="281" t="s">
        <v>260</v>
      </c>
      <c r="C19" s="74" t="s">
        <v>133</v>
      </c>
      <c r="D19" s="74" t="s">
        <v>134</v>
      </c>
      <c r="E19" s="73"/>
      <c r="F19" s="73"/>
      <c r="G19" s="73"/>
      <c r="H19" s="73"/>
      <c r="I19" s="73"/>
      <c r="J19" s="73"/>
      <c r="K19" s="73"/>
      <c r="L19" s="73"/>
      <c r="M19" s="73"/>
      <c r="N19" s="73"/>
      <c r="O19" s="73"/>
      <c r="P19" s="73"/>
      <c r="Q19" s="73"/>
      <c r="R19" s="73"/>
      <c r="S19" s="73"/>
      <c r="T19" s="73"/>
      <c r="U19" s="73"/>
      <c r="V19" s="73"/>
      <c r="W19" s="73"/>
    </row>
    <row r="20" spans="1:23" x14ac:dyDescent="0.35">
      <c r="A20" s="73"/>
      <c r="B20" s="276">
        <v>1</v>
      </c>
      <c r="C20" s="269"/>
      <c r="D20" s="270"/>
      <c r="E20" s="73"/>
      <c r="F20" s="73"/>
      <c r="G20" s="73"/>
      <c r="H20" s="73"/>
      <c r="I20" s="73"/>
      <c r="J20" s="73"/>
      <c r="K20" s="73"/>
      <c r="L20" s="73"/>
      <c r="M20" s="73"/>
      <c r="N20" s="73"/>
      <c r="O20" s="73"/>
      <c r="P20" s="73"/>
      <c r="Q20" s="73"/>
      <c r="R20" s="73"/>
      <c r="S20" s="73"/>
      <c r="T20" s="73"/>
      <c r="U20" s="73"/>
      <c r="V20" s="73"/>
      <c r="W20" s="73"/>
    </row>
    <row r="21" spans="1:23" x14ac:dyDescent="0.35">
      <c r="A21" s="73"/>
      <c r="B21" s="277">
        <v>2</v>
      </c>
      <c r="C21" s="271"/>
      <c r="D21" s="272"/>
      <c r="E21" s="73"/>
      <c r="F21" s="73"/>
      <c r="G21" s="73"/>
      <c r="H21" s="73"/>
      <c r="I21" s="73"/>
      <c r="J21" s="73"/>
      <c r="K21" s="73"/>
      <c r="L21" s="73"/>
      <c r="M21" s="73"/>
      <c r="N21" s="73"/>
      <c r="O21" s="73"/>
      <c r="P21" s="73"/>
      <c r="Q21" s="73"/>
      <c r="R21" s="73"/>
      <c r="S21" s="73"/>
      <c r="T21" s="73"/>
      <c r="U21" s="73"/>
      <c r="V21" s="73"/>
      <c r="W21" s="73"/>
    </row>
    <row r="22" spans="1:23" x14ac:dyDescent="0.35">
      <c r="A22" s="73"/>
      <c r="B22" s="277">
        <v>3</v>
      </c>
      <c r="C22" s="271"/>
      <c r="D22" s="272"/>
      <c r="E22" s="73"/>
      <c r="F22" s="73"/>
      <c r="G22" s="73"/>
      <c r="H22" s="73"/>
      <c r="I22" s="73"/>
      <c r="J22" s="73"/>
      <c r="K22" s="73"/>
      <c r="L22" s="73"/>
      <c r="M22" s="73"/>
      <c r="N22" s="73"/>
      <c r="O22" s="73"/>
      <c r="P22" s="73"/>
      <c r="Q22" s="73"/>
      <c r="R22" s="73"/>
      <c r="S22" s="73"/>
      <c r="T22" s="73"/>
      <c r="U22" s="73"/>
      <c r="V22" s="73"/>
      <c r="W22" s="73"/>
    </row>
    <row r="23" spans="1:23" x14ac:dyDescent="0.35">
      <c r="A23" s="73"/>
      <c r="B23" s="277">
        <v>4</v>
      </c>
      <c r="C23" s="271"/>
      <c r="D23" s="272"/>
      <c r="E23" s="73"/>
      <c r="F23" s="73"/>
      <c r="G23" s="73"/>
      <c r="H23" s="73"/>
      <c r="I23" s="73"/>
      <c r="J23" s="73"/>
      <c r="K23" s="73"/>
      <c r="L23" s="73"/>
      <c r="M23" s="73"/>
      <c r="N23" s="73"/>
      <c r="O23" s="73"/>
      <c r="P23" s="73"/>
      <c r="Q23" s="73"/>
      <c r="R23" s="73"/>
      <c r="S23" s="73"/>
      <c r="T23" s="73"/>
      <c r="U23" s="73"/>
      <c r="V23" s="73"/>
      <c r="W23" s="73"/>
    </row>
    <row r="24" spans="1:23" x14ac:dyDescent="0.35">
      <c r="A24" s="73"/>
      <c r="B24" s="277">
        <v>5</v>
      </c>
      <c r="C24" s="271"/>
      <c r="D24" s="272"/>
      <c r="E24" s="73"/>
      <c r="F24" s="73"/>
      <c r="G24" s="73"/>
      <c r="H24" s="73"/>
      <c r="I24" s="73"/>
      <c r="J24" s="73"/>
      <c r="K24" s="73"/>
      <c r="L24" s="73"/>
      <c r="M24" s="73"/>
      <c r="N24" s="73"/>
      <c r="O24" s="73"/>
      <c r="P24" s="73"/>
      <c r="Q24" s="73"/>
      <c r="R24" s="73"/>
      <c r="S24" s="73"/>
      <c r="T24" s="73"/>
      <c r="U24" s="73"/>
      <c r="V24" s="73"/>
      <c r="W24" s="73"/>
    </row>
    <row r="25" spans="1:23" x14ac:dyDescent="0.35">
      <c r="A25" s="73"/>
      <c r="B25" s="278">
        <v>6</v>
      </c>
      <c r="C25" s="273"/>
      <c r="D25" s="274"/>
      <c r="E25" s="73"/>
      <c r="F25" s="73"/>
      <c r="G25" s="73"/>
      <c r="H25" s="73"/>
      <c r="I25" s="73"/>
      <c r="J25" s="73"/>
      <c r="K25" s="73"/>
      <c r="L25" s="73"/>
      <c r="M25" s="73"/>
      <c r="N25" s="73"/>
      <c r="O25" s="73"/>
      <c r="P25" s="73"/>
      <c r="Q25" s="73"/>
      <c r="R25" s="73"/>
      <c r="S25" s="73"/>
      <c r="T25" s="73"/>
      <c r="U25" s="73"/>
      <c r="V25" s="73"/>
      <c r="W25" s="73"/>
    </row>
    <row r="26" spans="1:23" x14ac:dyDescent="0.35">
      <c r="A26" s="73"/>
      <c r="B26" s="73"/>
      <c r="C26" s="73"/>
      <c r="D26" s="73"/>
      <c r="E26" s="73"/>
      <c r="F26" s="73"/>
      <c r="G26" s="73"/>
      <c r="H26" s="73"/>
      <c r="I26" s="73"/>
      <c r="J26" s="73"/>
      <c r="K26" s="73"/>
      <c r="L26" s="73"/>
      <c r="M26" s="73"/>
      <c r="N26" s="73"/>
      <c r="O26" s="73"/>
      <c r="P26" s="73"/>
      <c r="Q26" s="73"/>
      <c r="R26" s="73"/>
      <c r="S26" s="73"/>
      <c r="T26" s="73"/>
      <c r="U26" s="73"/>
      <c r="V26" s="73"/>
      <c r="W26" s="73"/>
    </row>
    <row r="27" spans="1:23" x14ac:dyDescent="0.35">
      <c r="A27" s="73"/>
      <c r="B27" s="73"/>
      <c r="C27" s="73"/>
      <c r="D27" s="73"/>
      <c r="E27" s="73"/>
      <c r="F27" s="73"/>
      <c r="G27" s="73"/>
      <c r="H27" s="73"/>
      <c r="I27" s="73"/>
      <c r="J27" s="73"/>
      <c r="K27" s="73"/>
      <c r="L27" s="73"/>
      <c r="M27" s="73"/>
      <c r="N27" s="73"/>
      <c r="O27" s="73"/>
      <c r="P27" s="73"/>
      <c r="Q27" s="73"/>
      <c r="R27" s="73"/>
      <c r="S27" s="73"/>
      <c r="T27" s="73"/>
      <c r="U27" s="73"/>
      <c r="V27" s="73"/>
      <c r="W27" s="73"/>
    </row>
    <row r="28" spans="1:23" x14ac:dyDescent="0.35">
      <c r="A28" s="73"/>
      <c r="B28" s="73"/>
      <c r="C28" s="73"/>
      <c r="D28" s="73"/>
      <c r="E28" s="73"/>
      <c r="F28" s="73"/>
      <c r="G28" s="73"/>
      <c r="H28" s="73"/>
      <c r="I28" s="73"/>
      <c r="J28" s="73"/>
      <c r="K28" s="73"/>
      <c r="L28" s="73"/>
      <c r="M28" s="73"/>
      <c r="N28" s="73"/>
      <c r="O28" s="73"/>
      <c r="P28" s="73"/>
      <c r="Q28" s="73"/>
      <c r="R28" s="73"/>
      <c r="S28" s="73"/>
      <c r="T28" s="73"/>
      <c r="U28" s="73"/>
      <c r="V28" s="73"/>
      <c r="W28" s="73"/>
    </row>
    <row r="29" spans="1:23" x14ac:dyDescent="0.35">
      <c r="A29" s="73"/>
      <c r="B29" s="73"/>
      <c r="C29" s="73"/>
      <c r="D29" s="73"/>
      <c r="E29" s="73"/>
      <c r="F29" s="73"/>
      <c r="G29" s="73"/>
      <c r="H29" s="73"/>
      <c r="I29" s="73"/>
      <c r="J29" s="73"/>
      <c r="K29" s="73"/>
      <c r="L29" s="73"/>
      <c r="M29" s="73"/>
      <c r="N29" s="73"/>
      <c r="O29" s="73"/>
      <c r="P29" s="73"/>
      <c r="Q29" s="73"/>
      <c r="R29" s="73"/>
      <c r="S29" s="73"/>
      <c r="T29" s="73"/>
      <c r="U29" s="73"/>
      <c r="V29" s="73"/>
      <c r="W29" s="73"/>
    </row>
    <row r="30" spans="1:23" x14ac:dyDescent="0.35">
      <c r="A30" s="73"/>
      <c r="B30" s="73"/>
      <c r="C30" s="73"/>
      <c r="D30" s="73"/>
      <c r="E30" s="73"/>
      <c r="F30" s="73"/>
      <c r="G30" s="73"/>
      <c r="H30" s="73"/>
      <c r="I30" s="73"/>
      <c r="J30" s="73"/>
      <c r="K30" s="73"/>
      <c r="L30" s="73"/>
      <c r="M30" s="73"/>
      <c r="N30" s="73"/>
      <c r="O30" s="73"/>
      <c r="P30" s="73"/>
      <c r="Q30" s="73"/>
      <c r="R30" s="73"/>
      <c r="S30" s="73"/>
      <c r="T30" s="73"/>
      <c r="U30" s="73"/>
      <c r="V30" s="73"/>
      <c r="W30" s="73"/>
    </row>
    <row r="31" spans="1:23" x14ac:dyDescent="0.35">
      <c r="A31" s="205"/>
      <c r="B31" s="73"/>
      <c r="C31" s="73"/>
      <c r="D31" s="73"/>
      <c r="E31" s="73"/>
      <c r="F31" s="73"/>
      <c r="G31" s="73"/>
      <c r="H31" s="73"/>
      <c r="I31" s="73"/>
      <c r="J31" s="73"/>
      <c r="K31" s="73"/>
      <c r="L31" s="73"/>
      <c r="M31" s="73"/>
      <c r="N31" s="73"/>
      <c r="O31" s="73"/>
      <c r="P31" s="73"/>
      <c r="Q31" s="73"/>
      <c r="R31" s="73"/>
      <c r="S31" s="73"/>
      <c r="T31" s="73"/>
      <c r="U31" s="73"/>
      <c r="V31" s="73"/>
      <c r="W31" s="73"/>
    </row>
    <row r="32" spans="1:23" x14ac:dyDescent="0.35">
      <c r="A32" s="73"/>
      <c r="B32" s="262"/>
      <c r="C32" s="73"/>
      <c r="D32" s="73"/>
      <c r="E32" s="73"/>
      <c r="F32" s="73"/>
      <c r="G32" s="73"/>
      <c r="H32" s="73"/>
      <c r="I32" s="73"/>
      <c r="J32" s="73"/>
      <c r="K32" s="73"/>
      <c r="L32" s="73"/>
      <c r="M32" s="73"/>
      <c r="N32" s="73"/>
      <c r="O32" s="73"/>
      <c r="P32" s="73"/>
      <c r="Q32" s="73"/>
      <c r="R32" s="73"/>
      <c r="S32" s="73"/>
      <c r="T32" s="73"/>
      <c r="U32" s="73"/>
      <c r="V32" s="73"/>
      <c r="W32" s="73"/>
    </row>
    <row r="33" spans="1:23" x14ac:dyDescent="0.35">
      <c r="A33" s="73"/>
      <c r="B33" s="262"/>
      <c r="C33" s="73"/>
      <c r="D33" s="73"/>
      <c r="E33" s="73"/>
      <c r="F33" s="73"/>
      <c r="G33" s="73"/>
      <c r="H33" s="73"/>
      <c r="I33" s="73"/>
      <c r="J33" s="73"/>
      <c r="K33" s="73"/>
      <c r="L33" s="73"/>
      <c r="M33" s="73"/>
      <c r="N33" s="73"/>
      <c r="O33" s="73"/>
      <c r="P33" s="73"/>
      <c r="Q33" s="73"/>
      <c r="R33" s="73"/>
      <c r="S33" s="73"/>
      <c r="T33" s="73"/>
      <c r="U33" s="73"/>
      <c r="V33" s="73"/>
      <c r="W33" s="73"/>
    </row>
    <row r="34" spans="1:23" x14ac:dyDescent="0.35">
      <c r="A34" s="73"/>
      <c r="B34" s="262"/>
      <c r="C34" s="73"/>
      <c r="D34" s="73"/>
      <c r="E34" s="73"/>
      <c r="F34" s="73"/>
      <c r="G34" s="73"/>
      <c r="H34" s="73"/>
      <c r="I34" s="73"/>
      <c r="J34" s="73"/>
      <c r="K34" s="73"/>
      <c r="L34" s="73"/>
      <c r="M34" s="73"/>
      <c r="N34" s="73"/>
      <c r="O34" s="73"/>
      <c r="P34" s="73"/>
      <c r="Q34" s="73"/>
      <c r="R34" s="73"/>
      <c r="S34" s="73"/>
      <c r="T34" s="73"/>
      <c r="U34" s="73"/>
      <c r="V34" s="73"/>
      <c r="W34" s="73"/>
    </row>
    <row r="35" spans="1:23" x14ac:dyDescent="0.35">
      <c r="A35" s="73"/>
      <c r="B35" s="262"/>
      <c r="C35" s="73"/>
      <c r="D35" s="73"/>
      <c r="E35" s="73"/>
      <c r="F35" s="73"/>
      <c r="G35" s="73"/>
      <c r="H35" s="73"/>
      <c r="I35" s="73"/>
      <c r="J35" s="73"/>
      <c r="K35" s="73"/>
      <c r="L35" s="73"/>
      <c r="M35" s="73"/>
      <c r="N35" s="73"/>
      <c r="O35" s="73"/>
      <c r="P35" s="73"/>
      <c r="Q35" s="73"/>
      <c r="R35" s="73"/>
      <c r="S35" s="73"/>
      <c r="T35" s="73"/>
      <c r="U35" s="73"/>
      <c r="V35" s="73"/>
      <c r="W35" s="73"/>
    </row>
    <row r="36" spans="1:23" x14ac:dyDescent="0.35">
      <c r="A36" s="73"/>
      <c r="B36" s="262"/>
      <c r="C36" s="73"/>
      <c r="D36" s="73"/>
      <c r="E36" s="73"/>
      <c r="F36" s="73"/>
      <c r="G36" s="73"/>
      <c r="H36" s="73"/>
      <c r="I36" s="73"/>
      <c r="J36" s="73"/>
      <c r="K36" s="73"/>
      <c r="L36" s="73"/>
      <c r="M36" s="73"/>
      <c r="N36" s="73"/>
      <c r="O36" s="73"/>
      <c r="P36" s="73"/>
      <c r="Q36" s="73"/>
      <c r="R36" s="73"/>
      <c r="S36" s="73"/>
      <c r="T36" s="73"/>
      <c r="U36" s="73"/>
      <c r="V36" s="73"/>
      <c r="W36" s="73"/>
    </row>
    <row r="37" spans="1:23" x14ac:dyDescent="0.35">
      <c r="A37" s="73"/>
      <c r="B37" s="262"/>
      <c r="C37" s="73"/>
      <c r="D37" s="73"/>
      <c r="E37" s="73"/>
      <c r="F37" s="73"/>
      <c r="G37" s="73"/>
      <c r="H37" s="73"/>
      <c r="I37" s="73"/>
      <c r="J37" s="73"/>
      <c r="K37" s="73"/>
      <c r="L37" s="73"/>
      <c r="M37" s="73"/>
      <c r="N37" s="73"/>
      <c r="O37" s="73"/>
      <c r="P37" s="73"/>
      <c r="Q37" s="73"/>
      <c r="R37" s="73"/>
      <c r="S37" s="73"/>
      <c r="T37" s="73"/>
      <c r="U37" s="73"/>
      <c r="V37" s="73"/>
      <c r="W37" s="73"/>
    </row>
    <row r="38" spans="1:23" x14ac:dyDescent="0.35">
      <c r="A38" s="73"/>
      <c r="B38" s="262"/>
      <c r="C38" s="73"/>
      <c r="D38" s="73"/>
      <c r="E38" s="73"/>
      <c r="F38" s="73"/>
      <c r="G38" s="73"/>
      <c r="H38" s="73"/>
      <c r="I38" s="73"/>
      <c r="J38" s="73"/>
      <c r="K38" s="73"/>
      <c r="L38" s="73"/>
      <c r="M38" s="73"/>
      <c r="N38" s="73"/>
      <c r="O38" s="73"/>
      <c r="P38" s="73"/>
      <c r="Q38" s="73"/>
      <c r="R38" s="73"/>
      <c r="S38" s="73"/>
      <c r="T38" s="73"/>
      <c r="U38" s="73"/>
      <c r="V38" s="73"/>
      <c r="W38" s="73"/>
    </row>
    <row r="39" spans="1:23" x14ac:dyDescent="0.35">
      <c r="A39" s="73"/>
      <c r="B39" s="262"/>
      <c r="C39" s="73"/>
      <c r="D39" s="73"/>
      <c r="E39" s="73"/>
      <c r="F39" s="73"/>
      <c r="G39" s="73"/>
      <c r="H39" s="73"/>
      <c r="I39" s="73"/>
      <c r="J39" s="73"/>
      <c r="K39" s="73"/>
      <c r="L39" s="73"/>
      <c r="M39" s="73"/>
      <c r="N39" s="73"/>
      <c r="O39" s="73"/>
      <c r="P39" s="73"/>
      <c r="Q39" s="73"/>
      <c r="R39" s="73"/>
      <c r="S39" s="73"/>
      <c r="T39" s="73"/>
      <c r="U39" s="73"/>
      <c r="V39" s="73"/>
      <c r="W39" s="73"/>
    </row>
    <row r="40" spans="1:23" ht="29" x14ac:dyDescent="0.35">
      <c r="A40" s="73"/>
      <c r="B40" s="281" t="s">
        <v>248</v>
      </c>
      <c r="C40" s="1"/>
      <c r="D40" s="73"/>
      <c r="E40" s="73"/>
      <c r="F40" s="73"/>
      <c r="G40" s="73"/>
      <c r="H40" s="73"/>
      <c r="I40" s="73"/>
      <c r="J40" s="73"/>
      <c r="K40" s="73"/>
      <c r="L40" s="73"/>
      <c r="M40" s="73"/>
      <c r="N40" s="73"/>
      <c r="O40" s="73"/>
      <c r="P40" s="73"/>
      <c r="Q40" s="73"/>
      <c r="R40" s="73"/>
      <c r="S40" s="73"/>
      <c r="T40" s="73"/>
      <c r="U40" s="73"/>
      <c r="V40" s="73"/>
      <c r="W40" s="73"/>
    </row>
    <row r="41" spans="1:23" x14ac:dyDescent="0.35">
      <c r="A41" s="73"/>
      <c r="B41" s="267"/>
      <c r="C41" s="73"/>
      <c r="D41" s="73"/>
      <c r="E41" s="73"/>
      <c r="F41" s="73"/>
      <c r="G41" s="73"/>
      <c r="H41" s="73"/>
      <c r="I41" s="73"/>
      <c r="J41" s="73"/>
      <c r="K41" s="73"/>
      <c r="L41" s="73"/>
      <c r="M41" s="73"/>
      <c r="N41" s="73"/>
      <c r="O41" s="73"/>
      <c r="P41" s="73"/>
      <c r="Q41" s="73"/>
      <c r="R41" s="73"/>
      <c r="S41" s="73"/>
      <c r="T41" s="73"/>
      <c r="U41" s="73"/>
      <c r="V41" s="73"/>
      <c r="W41" s="73"/>
    </row>
    <row r="42" spans="1:23" x14ac:dyDescent="0.35">
      <c r="A42" s="73"/>
      <c r="B42" s="73"/>
      <c r="C42" s="73"/>
      <c r="D42" s="73"/>
      <c r="E42" s="73"/>
      <c r="F42" s="73"/>
      <c r="G42" s="73"/>
      <c r="H42" s="73"/>
      <c r="I42" s="73"/>
      <c r="J42" s="73"/>
      <c r="K42" s="73"/>
      <c r="L42" s="73"/>
      <c r="M42" s="73"/>
      <c r="N42" s="73"/>
      <c r="O42" s="73"/>
      <c r="P42" s="73"/>
      <c r="Q42" s="73"/>
      <c r="R42" s="73"/>
      <c r="S42" s="73"/>
      <c r="T42" s="73"/>
      <c r="U42" s="73"/>
      <c r="V42" s="73"/>
      <c r="W42" s="73"/>
    </row>
    <row r="43" spans="1:23" x14ac:dyDescent="0.35">
      <c r="A43" s="205"/>
      <c r="B43" s="262"/>
      <c r="C43" s="73"/>
      <c r="D43" s="73"/>
      <c r="E43" s="73"/>
      <c r="F43" s="73"/>
      <c r="G43" s="73"/>
      <c r="H43" s="73"/>
      <c r="I43" s="73"/>
      <c r="J43" s="73"/>
      <c r="K43" s="73"/>
      <c r="L43" s="73"/>
      <c r="M43" s="73"/>
      <c r="N43" s="73"/>
      <c r="O43" s="73"/>
      <c r="P43" s="73"/>
      <c r="Q43" s="73"/>
      <c r="R43" s="73"/>
      <c r="S43" s="73"/>
      <c r="T43" s="73"/>
      <c r="U43" s="73"/>
      <c r="V43" s="73"/>
      <c r="W43" s="73"/>
    </row>
    <row r="44" spans="1:23" x14ac:dyDescent="0.35">
      <c r="A44" s="73"/>
      <c r="B44" s="264"/>
      <c r="C44" s="73"/>
      <c r="D44" s="73"/>
      <c r="E44" s="73"/>
      <c r="F44" s="73"/>
      <c r="G44" s="73"/>
      <c r="H44" s="73"/>
      <c r="I44" s="73"/>
      <c r="J44" s="73"/>
      <c r="K44" s="73"/>
      <c r="L44" s="73"/>
      <c r="M44" s="73"/>
      <c r="N44" s="73"/>
      <c r="O44" s="73"/>
      <c r="P44" s="73"/>
      <c r="Q44" s="73"/>
      <c r="R44" s="73"/>
      <c r="S44" s="73"/>
      <c r="T44" s="73"/>
      <c r="U44" s="73"/>
      <c r="V44" s="73"/>
      <c r="W44" s="73"/>
    </row>
    <row r="45" spans="1:23" x14ac:dyDescent="0.35">
      <c r="A45" s="205"/>
      <c r="C45" s="73"/>
      <c r="D45" s="73"/>
      <c r="E45" s="73"/>
      <c r="F45" s="73"/>
      <c r="G45" s="73"/>
      <c r="H45" s="73"/>
      <c r="I45" s="73"/>
      <c r="J45" s="73"/>
      <c r="K45" s="73"/>
      <c r="L45" s="73"/>
      <c r="M45" s="73"/>
      <c r="N45" s="73"/>
      <c r="O45" s="73"/>
      <c r="P45" s="73"/>
      <c r="Q45" s="73"/>
      <c r="R45" s="73"/>
      <c r="S45" s="73"/>
      <c r="T45" s="73"/>
      <c r="U45" s="73"/>
      <c r="V45" s="73"/>
      <c r="W45" s="73"/>
    </row>
    <row r="46" spans="1:23" x14ac:dyDescent="0.35">
      <c r="A46" s="73"/>
      <c r="B46" s="262"/>
      <c r="C46" s="73"/>
      <c r="D46" s="73"/>
      <c r="E46" s="73"/>
      <c r="F46" s="73"/>
      <c r="G46" s="73"/>
      <c r="H46" s="73"/>
      <c r="I46" s="73"/>
      <c r="J46" s="73"/>
      <c r="K46" s="73"/>
      <c r="L46" s="73"/>
      <c r="M46" s="73"/>
      <c r="N46" s="73"/>
      <c r="O46" s="73"/>
      <c r="P46" s="73"/>
      <c r="Q46" s="73"/>
      <c r="R46" s="73"/>
      <c r="S46" s="73"/>
      <c r="T46" s="73"/>
      <c r="U46" s="73"/>
      <c r="V46" s="73"/>
      <c r="W46" s="73"/>
    </row>
    <row r="47" spans="1:23" x14ac:dyDescent="0.35">
      <c r="A47" s="73"/>
      <c r="B47" s="262"/>
      <c r="C47" s="73"/>
      <c r="D47" s="73"/>
      <c r="E47" s="73"/>
      <c r="F47" s="73"/>
      <c r="G47" s="73"/>
      <c r="H47" s="73"/>
      <c r="I47" s="73"/>
      <c r="J47" s="73"/>
      <c r="K47" s="73"/>
      <c r="L47" s="73"/>
      <c r="M47" s="73"/>
      <c r="N47" s="73"/>
      <c r="O47" s="73"/>
      <c r="P47" s="73"/>
      <c r="Q47" s="73"/>
      <c r="R47" s="73"/>
      <c r="S47" s="73"/>
      <c r="T47" s="73"/>
      <c r="U47" s="73"/>
      <c r="V47" s="73"/>
      <c r="W47" s="73"/>
    </row>
    <row r="48" spans="1:23" x14ac:dyDescent="0.35">
      <c r="A48" s="73"/>
      <c r="B48" s="73"/>
      <c r="C48" s="73"/>
      <c r="D48" s="73"/>
      <c r="E48" s="73"/>
      <c r="F48" s="73"/>
      <c r="G48" s="73"/>
      <c r="H48" s="73"/>
      <c r="I48" s="73"/>
      <c r="J48" s="73"/>
      <c r="K48" s="73"/>
      <c r="L48" s="73"/>
      <c r="M48" s="73"/>
      <c r="N48" s="73"/>
      <c r="O48" s="73"/>
      <c r="P48" s="73"/>
      <c r="Q48" s="73"/>
      <c r="R48" s="73"/>
      <c r="S48" s="73"/>
      <c r="T48" s="73"/>
      <c r="U48" s="73"/>
      <c r="V48" s="73"/>
      <c r="W48" s="73"/>
    </row>
    <row r="49" spans="1:23" x14ac:dyDescent="0.35">
      <c r="A49" s="73"/>
      <c r="B49" s="73"/>
      <c r="C49" s="73"/>
      <c r="D49" s="73"/>
      <c r="E49" s="73"/>
      <c r="F49" s="73"/>
      <c r="G49" s="73"/>
      <c r="H49" s="73"/>
      <c r="I49" s="73"/>
      <c r="J49" s="73"/>
      <c r="K49" s="73"/>
      <c r="L49" s="73"/>
      <c r="M49" s="73"/>
      <c r="N49" s="73"/>
      <c r="O49" s="73"/>
      <c r="P49" s="73"/>
      <c r="Q49" s="73"/>
      <c r="R49" s="73"/>
      <c r="S49" s="73"/>
      <c r="T49" s="73"/>
      <c r="U49" s="73"/>
      <c r="V49" s="73"/>
      <c r="W49" s="73"/>
    </row>
    <row r="50" spans="1:23" x14ac:dyDescent="0.35">
      <c r="A50" s="73"/>
      <c r="B50" s="73"/>
      <c r="C50" s="73"/>
      <c r="D50" s="73"/>
      <c r="E50" s="73"/>
      <c r="F50" s="73"/>
      <c r="G50" s="73"/>
      <c r="H50" s="73"/>
      <c r="I50" s="73"/>
      <c r="J50" s="73"/>
      <c r="K50" s="73"/>
      <c r="L50" s="73"/>
      <c r="M50" s="73"/>
      <c r="N50" s="73"/>
      <c r="O50" s="73"/>
      <c r="P50" s="73"/>
      <c r="Q50" s="73"/>
      <c r="R50" s="73"/>
      <c r="S50" s="73"/>
      <c r="T50" s="73"/>
      <c r="U50" s="73"/>
      <c r="V50" s="73"/>
      <c r="W50" s="73"/>
    </row>
    <row r="51" spans="1:23" x14ac:dyDescent="0.35">
      <c r="A51" s="73"/>
      <c r="B51" s="73"/>
      <c r="C51" s="73"/>
      <c r="D51" s="73"/>
      <c r="E51" s="73"/>
      <c r="F51" s="73"/>
      <c r="G51" s="73"/>
      <c r="H51" s="73"/>
      <c r="I51" s="73"/>
      <c r="J51" s="73"/>
      <c r="K51" s="73"/>
      <c r="L51" s="73"/>
      <c r="M51" s="73"/>
      <c r="N51" s="73"/>
      <c r="O51" s="73"/>
      <c r="P51" s="73"/>
      <c r="Q51" s="73"/>
      <c r="R51" s="73"/>
      <c r="S51" s="73"/>
      <c r="T51" s="73"/>
      <c r="U51" s="73"/>
      <c r="V51" s="73"/>
      <c r="W51" s="73"/>
    </row>
    <row r="52" spans="1:23" x14ac:dyDescent="0.35">
      <c r="A52" s="73"/>
      <c r="B52" s="73"/>
      <c r="C52" s="73"/>
      <c r="D52" s="73"/>
      <c r="E52" s="73"/>
      <c r="F52" s="73"/>
      <c r="G52" s="73"/>
      <c r="H52" s="73"/>
      <c r="I52" s="73"/>
      <c r="J52" s="73"/>
      <c r="K52" s="73"/>
      <c r="L52" s="73"/>
      <c r="M52" s="73"/>
      <c r="N52" s="73"/>
      <c r="O52" s="73"/>
      <c r="P52" s="73"/>
      <c r="Q52" s="73"/>
      <c r="R52" s="73"/>
      <c r="S52" s="73"/>
      <c r="T52" s="73"/>
      <c r="U52" s="73"/>
      <c r="V52" s="73"/>
      <c r="W52" s="73"/>
    </row>
    <row r="53" spans="1:23" x14ac:dyDescent="0.35">
      <c r="A53" s="73"/>
      <c r="B53" s="73"/>
      <c r="C53" s="73"/>
      <c r="D53" s="73"/>
      <c r="E53" s="73"/>
      <c r="F53" s="73"/>
      <c r="G53" s="73"/>
      <c r="H53" s="73"/>
      <c r="I53" s="73"/>
      <c r="J53" s="73"/>
      <c r="K53" s="73"/>
      <c r="L53" s="73"/>
      <c r="M53" s="73"/>
      <c r="N53" s="73"/>
      <c r="O53" s="73"/>
      <c r="P53" s="73"/>
      <c r="Q53" s="73"/>
      <c r="R53" s="73"/>
      <c r="S53" s="73"/>
      <c r="T53" s="73"/>
      <c r="U53" s="73"/>
      <c r="V53" s="73"/>
      <c r="W53" s="73"/>
    </row>
    <row r="54" spans="1:23" x14ac:dyDescent="0.35">
      <c r="A54" s="73"/>
      <c r="B54" s="73"/>
      <c r="C54" s="73"/>
      <c r="D54" s="73"/>
      <c r="E54" s="73"/>
      <c r="F54" s="73"/>
      <c r="G54" s="73"/>
      <c r="H54" s="73"/>
      <c r="I54" s="73"/>
      <c r="J54" s="73"/>
      <c r="K54" s="73"/>
      <c r="L54" s="73"/>
      <c r="M54" s="73"/>
      <c r="N54" s="73"/>
      <c r="O54" s="73"/>
      <c r="P54" s="73"/>
      <c r="Q54" s="73"/>
      <c r="R54" s="73"/>
      <c r="S54" s="73"/>
      <c r="T54" s="73"/>
      <c r="U54" s="73"/>
      <c r="V54" s="73"/>
      <c r="W54" s="73"/>
    </row>
    <row r="55" spans="1:23" x14ac:dyDescent="0.35">
      <c r="A55" s="73"/>
      <c r="B55" s="73"/>
      <c r="C55" s="73"/>
      <c r="D55" s="73"/>
      <c r="E55" s="73"/>
      <c r="F55" s="73"/>
      <c r="G55" s="73"/>
      <c r="H55" s="73"/>
      <c r="I55" s="73"/>
      <c r="J55" s="73"/>
      <c r="K55" s="73"/>
      <c r="L55" s="73"/>
      <c r="M55" s="73"/>
      <c r="N55" s="73"/>
      <c r="O55" s="73"/>
      <c r="P55" s="73"/>
      <c r="Q55" s="73"/>
      <c r="R55" s="73"/>
      <c r="S55" s="73"/>
      <c r="T55" s="73"/>
      <c r="U55" s="73"/>
      <c r="V55" s="73"/>
      <c r="W55" s="73"/>
    </row>
    <row r="56" spans="1:23" x14ac:dyDescent="0.35">
      <c r="A56" s="73"/>
    </row>
    <row r="57" spans="1:23" x14ac:dyDescent="0.35">
      <c r="A57" s="73"/>
    </row>
    <row r="58" spans="1:23" x14ac:dyDescent="0.35">
      <c r="A58" s="73"/>
    </row>
    <row r="59" spans="1:23" x14ac:dyDescent="0.35">
      <c r="A59" s="73"/>
    </row>
    <row r="60" spans="1:23" x14ac:dyDescent="0.35">
      <c r="A60" s="73"/>
    </row>
    <row r="61" spans="1:23" x14ac:dyDescent="0.35">
      <c r="A61" s="73"/>
    </row>
    <row r="62" spans="1:23" x14ac:dyDescent="0.35">
      <c r="A62" s="73"/>
    </row>
    <row r="63" spans="1:23" x14ac:dyDescent="0.35">
      <c r="A63" s="73"/>
    </row>
    <row r="64" spans="1:23" x14ac:dyDescent="0.35">
      <c r="A64" s="73"/>
    </row>
    <row r="65" spans="1:1" x14ac:dyDescent="0.35">
      <c r="A65" s="7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46"/>
  <sheetViews>
    <sheetView zoomScale="90" zoomScaleNormal="90" workbookViewId="0"/>
  </sheetViews>
  <sheetFormatPr defaultRowHeight="14.5" x14ac:dyDescent="0.35"/>
  <cols>
    <col min="1" max="1" width="8.54296875" customWidth="1"/>
    <col min="2" max="2" width="62.54296875" customWidth="1"/>
    <col min="3" max="3" width="9" bestFit="1" customWidth="1"/>
    <col min="4" max="4" width="8.1796875" bestFit="1" customWidth="1"/>
    <col min="5" max="5" width="17.26953125" bestFit="1" customWidth="1"/>
    <col min="6" max="6" width="20.1796875" bestFit="1" customWidth="1"/>
    <col min="7" max="7" width="9" bestFit="1" customWidth="1"/>
    <col min="8" max="8" width="8.1796875" bestFit="1" customWidth="1"/>
    <col min="9" max="9" width="17.26953125" customWidth="1"/>
    <col min="10" max="10" width="24" bestFit="1" customWidth="1"/>
    <col min="11" max="11" width="23.54296875" bestFit="1" customWidth="1"/>
    <col min="12" max="12" width="25.453125" customWidth="1"/>
    <col min="13" max="13" width="25.26953125" customWidth="1"/>
    <col min="14" max="14" width="14" customWidth="1"/>
    <col min="15" max="15" width="23.1796875" customWidth="1"/>
  </cols>
  <sheetData>
    <row r="1" spans="1:18" ht="18.5" x14ac:dyDescent="0.45">
      <c r="A1" s="73"/>
      <c r="B1" s="266" t="s">
        <v>245</v>
      </c>
      <c r="C1" s="73"/>
      <c r="D1" s="73"/>
      <c r="E1" s="73"/>
      <c r="F1" s="73"/>
      <c r="G1" s="73"/>
      <c r="H1" s="73"/>
      <c r="I1" s="73"/>
      <c r="J1" s="73"/>
      <c r="K1" s="73"/>
      <c r="L1" s="73"/>
      <c r="M1" s="73"/>
      <c r="N1" s="73"/>
      <c r="O1" s="8"/>
      <c r="P1" s="8"/>
      <c r="Q1" s="8"/>
      <c r="R1" s="8"/>
    </row>
    <row r="2" spans="1:18" x14ac:dyDescent="0.35">
      <c r="A2" s="73"/>
      <c r="B2" s="73"/>
      <c r="C2" s="73"/>
      <c r="D2" s="73"/>
      <c r="E2" s="73"/>
      <c r="F2" s="73"/>
      <c r="G2" s="73"/>
      <c r="H2" s="73"/>
      <c r="I2" s="73"/>
      <c r="J2" s="73"/>
      <c r="K2" s="73"/>
      <c r="L2" s="73"/>
      <c r="M2" s="73"/>
      <c r="N2" s="73"/>
      <c r="O2" s="8"/>
      <c r="P2" s="8"/>
      <c r="Q2" s="8"/>
      <c r="R2" s="8"/>
    </row>
    <row r="3" spans="1:18" x14ac:dyDescent="0.35">
      <c r="A3" s="73"/>
      <c r="B3" s="73"/>
      <c r="C3" s="73"/>
      <c r="D3" s="73"/>
      <c r="E3" s="73"/>
      <c r="F3" s="73"/>
      <c r="G3" s="73"/>
      <c r="H3" s="73"/>
      <c r="I3" s="73"/>
      <c r="J3" s="73"/>
      <c r="K3" s="73"/>
      <c r="L3" s="73"/>
      <c r="M3" s="73"/>
      <c r="N3" s="73"/>
      <c r="O3" s="8"/>
      <c r="P3" s="8"/>
      <c r="Q3" s="8"/>
      <c r="R3" s="8"/>
    </row>
    <row r="4" spans="1:18" x14ac:dyDescent="0.35">
      <c r="A4" s="74"/>
      <c r="B4" s="73"/>
      <c r="C4" s="73"/>
      <c r="D4" s="73"/>
      <c r="E4" s="73"/>
      <c r="F4" s="73"/>
      <c r="G4" s="73"/>
      <c r="H4" s="73"/>
      <c r="I4" s="73"/>
      <c r="J4" s="73"/>
      <c r="K4" s="73"/>
      <c r="L4" s="73"/>
      <c r="M4" s="73"/>
      <c r="N4" s="73"/>
      <c r="O4" s="8"/>
      <c r="P4" s="8"/>
      <c r="Q4" s="8"/>
      <c r="R4" s="8"/>
    </row>
    <row r="5" spans="1:18" x14ac:dyDescent="0.35">
      <c r="A5" s="73"/>
      <c r="B5" s="73"/>
      <c r="C5" s="73"/>
      <c r="D5" s="73"/>
      <c r="E5" s="73"/>
      <c r="F5" s="73"/>
      <c r="G5" s="73"/>
      <c r="H5" s="73"/>
      <c r="I5" s="73"/>
      <c r="J5" s="73"/>
      <c r="K5" s="73"/>
      <c r="L5" s="73"/>
      <c r="M5" s="73"/>
      <c r="N5" s="73"/>
      <c r="O5" s="8"/>
      <c r="P5" s="8"/>
      <c r="Q5" s="8"/>
      <c r="R5" s="8"/>
    </row>
    <row r="6" spans="1:18" x14ac:dyDescent="0.35">
      <c r="A6" s="73"/>
      <c r="B6" s="73"/>
      <c r="C6" s="73"/>
      <c r="D6" s="73"/>
      <c r="E6" s="73"/>
      <c r="F6" s="73"/>
      <c r="G6" s="73"/>
      <c r="H6" s="73"/>
      <c r="I6" s="73"/>
      <c r="J6" s="73"/>
      <c r="K6" s="73"/>
      <c r="L6" s="73"/>
      <c r="M6" s="73"/>
      <c r="N6" s="73"/>
      <c r="O6" s="8"/>
      <c r="P6" s="8"/>
      <c r="Q6" s="8"/>
      <c r="R6" s="8"/>
    </row>
    <row r="7" spans="1:18" x14ac:dyDescent="0.35">
      <c r="A7" s="73"/>
      <c r="B7" s="73"/>
      <c r="C7" s="73"/>
      <c r="D7" s="73"/>
      <c r="E7" s="73"/>
      <c r="F7" s="73"/>
      <c r="G7" s="73"/>
      <c r="H7" s="73"/>
      <c r="I7" s="73"/>
      <c r="J7" s="73"/>
      <c r="K7" s="73"/>
      <c r="L7" s="73"/>
      <c r="M7" s="73"/>
      <c r="N7" s="73"/>
      <c r="O7" s="8"/>
      <c r="P7" s="8"/>
      <c r="Q7" s="8"/>
      <c r="R7" s="8"/>
    </row>
    <row r="8" spans="1:18" x14ac:dyDescent="0.35">
      <c r="A8" s="73"/>
      <c r="B8" s="73"/>
      <c r="C8" s="73"/>
      <c r="D8" s="73"/>
      <c r="E8" s="73"/>
      <c r="F8" s="73"/>
      <c r="G8" s="73"/>
      <c r="H8" s="73"/>
      <c r="I8" s="73"/>
      <c r="J8" s="73"/>
      <c r="K8" s="73"/>
      <c r="L8" s="73"/>
      <c r="M8" s="73"/>
      <c r="N8" s="73"/>
      <c r="O8" s="8"/>
      <c r="P8" s="8"/>
      <c r="Q8" s="8"/>
      <c r="R8" s="8"/>
    </row>
    <row r="9" spans="1:18" x14ac:dyDescent="0.35">
      <c r="A9" s="73"/>
      <c r="B9" s="73"/>
      <c r="C9" s="73"/>
      <c r="D9" s="73"/>
      <c r="E9" s="73"/>
      <c r="F9" s="73"/>
      <c r="G9" s="73"/>
      <c r="H9" s="73"/>
      <c r="I9" s="73"/>
      <c r="J9" s="73"/>
      <c r="K9" s="73"/>
      <c r="L9" s="73"/>
      <c r="M9" s="73"/>
      <c r="N9" s="73"/>
      <c r="O9" s="8"/>
      <c r="P9" s="8"/>
      <c r="Q9" s="8"/>
      <c r="R9" s="8"/>
    </row>
    <row r="10" spans="1:18" x14ac:dyDescent="0.35">
      <c r="A10" s="73"/>
      <c r="B10" s="73"/>
      <c r="C10" s="73"/>
      <c r="D10" s="73"/>
      <c r="E10" s="73"/>
      <c r="F10" s="73"/>
      <c r="G10" s="73"/>
      <c r="H10" s="73"/>
      <c r="I10" s="73"/>
      <c r="J10" s="73"/>
      <c r="K10" s="73"/>
      <c r="L10" s="73"/>
      <c r="M10" s="73"/>
      <c r="N10" s="73"/>
      <c r="O10" s="8"/>
      <c r="P10" s="8"/>
      <c r="Q10" s="8"/>
      <c r="R10" s="8"/>
    </row>
    <row r="11" spans="1:18" x14ac:dyDescent="0.35">
      <c r="A11" s="73"/>
      <c r="B11" s="73"/>
      <c r="C11" s="73"/>
      <c r="D11" s="73"/>
      <c r="E11" s="73"/>
      <c r="F11" s="73"/>
      <c r="G11" s="73"/>
      <c r="H11" s="73"/>
      <c r="I11" s="73"/>
      <c r="J11" s="73"/>
      <c r="K11" s="73"/>
      <c r="L11" s="73"/>
      <c r="M11" s="73"/>
      <c r="N11" s="73"/>
      <c r="O11" s="8"/>
      <c r="P11" s="8"/>
      <c r="Q11" s="8"/>
      <c r="R11" s="8"/>
    </row>
    <row r="12" spans="1:18" ht="15" thickBot="1" x14ac:dyDescent="0.4">
      <c r="A12" s="73"/>
      <c r="B12" s="73"/>
      <c r="C12" s="73"/>
      <c r="D12" s="73"/>
      <c r="E12" s="73"/>
      <c r="F12" s="73"/>
      <c r="G12" s="73"/>
      <c r="H12" s="73"/>
      <c r="I12" s="73"/>
      <c r="J12" s="73"/>
      <c r="K12" s="73"/>
      <c r="L12" s="73"/>
      <c r="M12" s="73"/>
      <c r="N12" s="73"/>
      <c r="O12" s="8"/>
      <c r="P12" s="8"/>
      <c r="Q12" s="8"/>
      <c r="R12" s="8"/>
    </row>
    <row r="13" spans="1:18" ht="15" thickBot="1" x14ac:dyDescent="0.4">
      <c r="A13" s="73"/>
      <c r="B13" s="73"/>
      <c r="C13" s="62" t="s">
        <v>29</v>
      </c>
      <c r="D13" s="63"/>
      <c r="E13" s="63"/>
      <c r="F13" s="64"/>
      <c r="G13" s="62" t="s">
        <v>30</v>
      </c>
      <c r="H13" s="63"/>
      <c r="I13" s="63"/>
      <c r="J13" s="64"/>
      <c r="K13" s="73"/>
      <c r="L13" s="73"/>
      <c r="M13" s="73"/>
      <c r="N13" s="73"/>
      <c r="O13" s="8"/>
      <c r="P13" s="8"/>
      <c r="Q13" s="8"/>
      <c r="R13" s="8"/>
    </row>
    <row r="14" spans="1:18" ht="15" thickBot="1" x14ac:dyDescent="0.4">
      <c r="A14" s="73"/>
      <c r="B14" s="73"/>
      <c r="C14" s="404" t="s">
        <v>35</v>
      </c>
      <c r="D14" s="406" t="s">
        <v>36</v>
      </c>
      <c r="E14" s="65" t="s">
        <v>31</v>
      </c>
      <c r="F14" s="66" t="s">
        <v>32</v>
      </c>
      <c r="G14" s="404" t="s">
        <v>35</v>
      </c>
      <c r="H14" s="406" t="s">
        <v>36</v>
      </c>
      <c r="I14" s="65" t="s">
        <v>31</v>
      </c>
      <c r="J14" s="66" t="s">
        <v>33</v>
      </c>
      <c r="K14" s="70" t="s">
        <v>34</v>
      </c>
      <c r="L14" s="70" t="s">
        <v>63</v>
      </c>
      <c r="M14" s="73"/>
      <c r="N14" s="73"/>
    </row>
    <row r="15" spans="1:18" ht="15" thickBot="1" x14ac:dyDescent="0.4">
      <c r="A15" s="75"/>
      <c r="B15" s="20" t="s">
        <v>43</v>
      </c>
      <c r="C15" s="405"/>
      <c r="D15" s="407"/>
      <c r="E15" s="67" t="s">
        <v>37</v>
      </c>
      <c r="F15" s="68" t="s">
        <v>38</v>
      </c>
      <c r="G15" s="405"/>
      <c r="H15" s="407"/>
      <c r="I15" s="67" t="s">
        <v>37</v>
      </c>
      <c r="J15" s="68" t="s">
        <v>38</v>
      </c>
      <c r="K15" s="71" t="s">
        <v>38</v>
      </c>
      <c r="L15" s="71" t="s">
        <v>64</v>
      </c>
      <c r="M15" s="73"/>
      <c r="N15" s="73"/>
    </row>
    <row r="16" spans="1:18" x14ac:dyDescent="0.35">
      <c r="A16" s="75">
        <v>1</v>
      </c>
      <c r="B16" s="345"/>
      <c r="C16" s="346"/>
      <c r="D16" s="347"/>
      <c r="E16" s="347"/>
      <c r="F16" s="348"/>
      <c r="G16" s="349"/>
      <c r="H16" s="347"/>
      <c r="I16" s="347"/>
      <c r="J16" s="348"/>
      <c r="K16" s="350">
        <f t="shared" ref="K16:K25" si="0">(PV($H$27,D16,-(E16*$H$31+F16),0)-PV($H$27,(C16-1),-(E16*$H$31+F16),0))+(PV($H$27,H16,-(I16*$H$31+J16),0)-PV($H$27,(G16-1),-(I16*$H$31+J16),0))</f>
        <v>0</v>
      </c>
      <c r="L16" s="351"/>
      <c r="M16" s="73"/>
      <c r="N16" s="73"/>
    </row>
    <row r="17" spans="1:14" x14ac:dyDescent="0.35">
      <c r="A17" s="75">
        <v>2</v>
      </c>
      <c r="B17" s="352"/>
      <c r="C17" s="353"/>
      <c r="D17" s="354"/>
      <c r="E17" s="354"/>
      <c r="F17" s="355"/>
      <c r="G17" s="356"/>
      <c r="H17" s="354"/>
      <c r="I17" s="354"/>
      <c r="J17" s="355"/>
      <c r="K17" s="357">
        <f t="shared" si="0"/>
        <v>0</v>
      </c>
      <c r="L17" s="358"/>
      <c r="M17" s="73"/>
      <c r="N17" s="73"/>
    </row>
    <row r="18" spans="1:14" x14ac:dyDescent="0.35">
      <c r="A18" s="75">
        <v>3</v>
      </c>
      <c r="B18" s="352"/>
      <c r="C18" s="353"/>
      <c r="D18" s="354"/>
      <c r="E18" s="354"/>
      <c r="F18" s="355"/>
      <c r="G18" s="356"/>
      <c r="H18" s="354"/>
      <c r="I18" s="354"/>
      <c r="J18" s="355"/>
      <c r="K18" s="357">
        <f t="shared" si="0"/>
        <v>0</v>
      </c>
      <c r="L18" s="358"/>
      <c r="M18" s="73"/>
      <c r="N18" s="73"/>
    </row>
    <row r="19" spans="1:14" x14ac:dyDescent="0.35">
      <c r="A19" s="75">
        <v>4</v>
      </c>
      <c r="B19" s="352"/>
      <c r="C19" s="353"/>
      <c r="D19" s="354"/>
      <c r="E19" s="354"/>
      <c r="F19" s="355"/>
      <c r="G19" s="356"/>
      <c r="H19" s="354"/>
      <c r="I19" s="354"/>
      <c r="J19" s="355"/>
      <c r="K19" s="357">
        <f t="shared" si="0"/>
        <v>0</v>
      </c>
      <c r="L19" s="358"/>
      <c r="M19" s="73"/>
      <c r="N19" s="73"/>
    </row>
    <row r="20" spans="1:14" x14ac:dyDescent="0.35">
      <c r="A20" s="75">
        <v>5</v>
      </c>
      <c r="B20" s="352"/>
      <c r="C20" s="353"/>
      <c r="D20" s="354"/>
      <c r="E20" s="354"/>
      <c r="F20" s="355"/>
      <c r="G20" s="356"/>
      <c r="H20" s="354"/>
      <c r="I20" s="354"/>
      <c r="J20" s="355"/>
      <c r="K20" s="357">
        <f t="shared" si="0"/>
        <v>0</v>
      </c>
      <c r="L20" s="358"/>
      <c r="M20" s="73"/>
      <c r="N20" s="73"/>
    </row>
    <row r="21" spans="1:14" x14ac:dyDescent="0.35">
      <c r="A21" s="75">
        <v>6</v>
      </c>
      <c r="B21" s="352"/>
      <c r="C21" s="353"/>
      <c r="D21" s="354"/>
      <c r="E21" s="354"/>
      <c r="F21" s="355"/>
      <c r="G21" s="356"/>
      <c r="H21" s="354"/>
      <c r="I21" s="354"/>
      <c r="J21" s="355"/>
      <c r="K21" s="357">
        <f t="shared" si="0"/>
        <v>0</v>
      </c>
      <c r="L21" s="358"/>
      <c r="M21" s="73"/>
      <c r="N21" s="73"/>
    </row>
    <row r="22" spans="1:14" x14ac:dyDescent="0.35">
      <c r="A22" s="75">
        <v>7</v>
      </c>
      <c r="B22" s="352"/>
      <c r="C22" s="353"/>
      <c r="D22" s="354"/>
      <c r="E22" s="354"/>
      <c r="F22" s="355"/>
      <c r="G22" s="356"/>
      <c r="H22" s="354"/>
      <c r="I22" s="354"/>
      <c r="J22" s="355"/>
      <c r="K22" s="357">
        <f t="shared" si="0"/>
        <v>0</v>
      </c>
      <c r="L22" s="358"/>
      <c r="M22" s="73"/>
      <c r="N22" s="73"/>
    </row>
    <row r="23" spans="1:14" x14ac:dyDescent="0.35">
      <c r="A23" s="75">
        <v>8</v>
      </c>
      <c r="B23" s="352"/>
      <c r="C23" s="353"/>
      <c r="D23" s="354"/>
      <c r="E23" s="354"/>
      <c r="F23" s="355"/>
      <c r="G23" s="356"/>
      <c r="H23" s="354"/>
      <c r="I23" s="354"/>
      <c r="J23" s="355"/>
      <c r="K23" s="357">
        <f t="shared" si="0"/>
        <v>0</v>
      </c>
      <c r="L23" s="358"/>
      <c r="M23" s="73"/>
      <c r="N23" s="73"/>
    </row>
    <row r="24" spans="1:14" x14ac:dyDescent="0.35">
      <c r="A24" s="75">
        <v>9</v>
      </c>
      <c r="B24" s="352"/>
      <c r="C24" s="353"/>
      <c r="D24" s="354"/>
      <c r="E24" s="354"/>
      <c r="F24" s="355"/>
      <c r="G24" s="356"/>
      <c r="H24" s="354"/>
      <c r="I24" s="354"/>
      <c r="J24" s="355"/>
      <c r="K24" s="357">
        <f t="shared" si="0"/>
        <v>0</v>
      </c>
      <c r="L24" s="358"/>
      <c r="M24" s="73"/>
      <c r="N24" s="73"/>
    </row>
    <row r="25" spans="1:14" ht="15" thickBot="1" x14ac:dyDescent="0.4">
      <c r="A25" s="75">
        <v>10</v>
      </c>
      <c r="B25" s="359"/>
      <c r="C25" s="360"/>
      <c r="D25" s="361"/>
      <c r="E25" s="361"/>
      <c r="F25" s="362"/>
      <c r="G25" s="363"/>
      <c r="H25" s="361"/>
      <c r="I25" s="361"/>
      <c r="J25" s="362"/>
      <c r="K25" s="364">
        <f t="shared" si="0"/>
        <v>0</v>
      </c>
      <c r="L25" s="365"/>
      <c r="M25" s="73"/>
      <c r="N25" s="73"/>
    </row>
    <row r="26" spans="1:14" ht="15" thickBot="1" x14ac:dyDescent="0.4">
      <c r="A26" s="73"/>
      <c r="B26" s="73"/>
      <c r="C26" s="73"/>
      <c r="D26" s="73"/>
      <c r="E26" s="78"/>
      <c r="F26" s="73"/>
      <c r="G26" s="73"/>
      <c r="H26" s="73"/>
      <c r="I26" s="73"/>
      <c r="J26" s="73"/>
      <c r="K26" s="73"/>
      <c r="L26" s="73"/>
      <c r="M26" s="73"/>
      <c r="N26" s="73"/>
    </row>
    <row r="27" spans="1:14" ht="15" thickBot="1" x14ac:dyDescent="0.4">
      <c r="A27" s="73"/>
      <c r="B27" s="73"/>
      <c r="C27" s="73"/>
      <c r="D27" s="73"/>
      <c r="E27" s="73"/>
      <c r="F27" s="73"/>
      <c r="G27" s="79" t="s">
        <v>296</v>
      </c>
      <c r="H27" s="82"/>
      <c r="I27" s="73"/>
      <c r="J27" s="79" t="s">
        <v>40</v>
      </c>
      <c r="K27" s="83">
        <f>SUM(K16:K25)</f>
        <v>0</v>
      </c>
      <c r="M27" s="73"/>
      <c r="N27" s="73"/>
    </row>
    <row r="28" spans="1:14" x14ac:dyDescent="0.35">
      <c r="A28" s="73"/>
      <c r="B28" s="73"/>
      <c r="C28" s="73"/>
      <c r="D28" s="73"/>
      <c r="E28" s="73"/>
      <c r="F28" s="73"/>
      <c r="G28" s="73"/>
      <c r="H28" s="73"/>
      <c r="I28" s="73"/>
      <c r="J28" s="73"/>
      <c r="K28" s="73"/>
      <c r="L28" s="73"/>
      <c r="M28" s="73"/>
      <c r="N28" s="73"/>
    </row>
    <row r="29" spans="1:14" ht="15" thickBot="1" x14ac:dyDescent="0.4">
      <c r="A29" s="73"/>
      <c r="B29" s="78"/>
      <c r="C29" s="73"/>
      <c r="D29" s="73"/>
      <c r="E29" s="73"/>
      <c r="F29" s="73"/>
      <c r="G29" s="79" t="s">
        <v>39</v>
      </c>
      <c r="H29" s="78"/>
      <c r="I29" s="73"/>
      <c r="J29" s="73"/>
      <c r="K29" s="73"/>
      <c r="L29" s="73"/>
      <c r="M29" s="73"/>
      <c r="N29" s="73"/>
    </row>
    <row r="30" spans="1:14" ht="15" thickBot="1" x14ac:dyDescent="0.4">
      <c r="A30" s="73"/>
      <c r="B30" s="73"/>
      <c r="C30" s="73"/>
      <c r="D30" s="73"/>
      <c r="E30" s="73"/>
      <c r="F30" s="73"/>
      <c r="G30" s="77" t="s">
        <v>41</v>
      </c>
      <c r="H30" s="84"/>
      <c r="I30" s="73"/>
      <c r="J30" s="62" t="s">
        <v>151</v>
      </c>
      <c r="K30" s="80" t="s">
        <v>38</v>
      </c>
      <c r="L30" s="73"/>
      <c r="M30" s="73"/>
      <c r="N30" s="73"/>
    </row>
    <row r="31" spans="1:14" ht="15" thickBot="1" x14ac:dyDescent="0.4">
      <c r="A31" s="73"/>
      <c r="B31" s="73"/>
      <c r="C31" s="73"/>
      <c r="D31" s="73"/>
      <c r="E31" s="73"/>
      <c r="F31" s="73"/>
      <c r="G31" s="77" t="s">
        <v>196</v>
      </c>
      <c r="H31" s="69">
        <f>H30/230</f>
        <v>0</v>
      </c>
      <c r="I31" s="73"/>
      <c r="J31" s="366" t="str">
        <f>IF('Initial information'!$D$20="","",'Initial information'!$D$20)</f>
        <v/>
      </c>
      <c r="K31" s="367" t="str">
        <f>IF(J31="","",SUMIF(L$16:L$25,J31,K$16:K$25))</f>
        <v/>
      </c>
      <c r="L31" s="73"/>
      <c r="M31" s="73"/>
      <c r="N31" s="73"/>
    </row>
    <row r="32" spans="1:14" x14ac:dyDescent="0.35">
      <c r="B32" s="73"/>
      <c r="C32" s="73"/>
      <c r="D32" s="73"/>
      <c r="E32" s="73"/>
      <c r="F32" s="73"/>
      <c r="G32" s="73"/>
      <c r="H32" s="73"/>
      <c r="I32" s="73"/>
      <c r="J32" s="368" t="str">
        <f>IF('Initial information'!$D$21="","",IF(OR('Initial information'!$D$21='Initial information'!$D$20),"",'Initial information'!$D$21))</f>
        <v/>
      </c>
      <c r="K32" s="369" t="str">
        <f t="shared" ref="K32:K36" si="1">IF(J32="","",SUMIF(L$16:L$25,J32,K$16:K$25))</f>
        <v/>
      </c>
      <c r="L32" s="79"/>
      <c r="M32" s="73"/>
      <c r="N32" s="73"/>
    </row>
    <row r="33" spans="1:14" x14ac:dyDescent="0.35">
      <c r="A33" s="73"/>
      <c r="B33" s="78"/>
      <c r="C33" s="73"/>
      <c r="D33" s="73"/>
      <c r="E33" s="73"/>
      <c r="F33" s="73"/>
      <c r="G33" s="73"/>
      <c r="H33" s="73"/>
      <c r="I33" s="73"/>
      <c r="J33" s="368" t="str">
        <f>IF('Initial information'!$D$22="","",IF(OR('Initial information'!$D$22='Initial information'!$D$21,'Initial information'!$D$22='Initial information'!$D$20),"",'Initial information'!$D$22))</f>
        <v/>
      </c>
      <c r="K33" s="369" t="str">
        <f t="shared" si="1"/>
        <v/>
      </c>
      <c r="L33" s="73"/>
      <c r="M33" s="73"/>
      <c r="N33" s="73"/>
    </row>
    <row r="34" spans="1:14" ht="15" thickBot="1" x14ac:dyDescent="0.4">
      <c r="A34" s="73"/>
      <c r="B34" s="304" t="s">
        <v>285</v>
      </c>
      <c r="C34" s="224"/>
      <c r="D34" s="73"/>
      <c r="E34" s="73"/>
      <c r="F34" s="73"/>
      <c r="G34" s="73"/>
      <c r="H34" s="73"/>
      <c r="I34" s="73"/>
      <c r="J34" s="368" t="str">
        <f>IF('Initial information'!$D$23="","",IF(OR('Initial information'!$D$23='Initial information'!$D$22,'Initial information'!$D$23='Initial information'!$D$21,'Initial information'!$D$23='Initial information'!$D$20),"",'Initial information'!$D$23))</f>
        <v/>
      </c>
      <c r="K34" s="369" t="str">
        <f t="shared" si="1"/>
        <v/>
      </c>
      <c r="L34" s="73"/>
      <c r="M34" s="73"/>
      <c r="N34" s="73"/>
    </row>
    <row r="35" spans="1:14" ht="15" thickBot="1" x14ac:dyDescent="0.4">
      <c r="A35" s="73"/>
      <c r="B35" s="76" t="s">
        <v>149</v>
      </c>
      <c r="C35" s="284"/>
      <c r="D35" s="73"/>
      <c r="E35" s="73"/>
      <c r="F35" s="73"/>
      <c r="G35" s="73"/>
      <c r="H35" s="73"/>
      <c r="I35" s="73"/>
      <c r="J35" s="368" t="str">
        <f>IF('Initial information'!$D$24="","",IF(OR('Initial information'!$D$24='Initial information'!$D$23,'Initial information'!$D$24='Initial information'!$D$22,'Initial information'!$D$24='Initial information'!$D$21,'Initial information'!$D$24='Initial information'!$D$20),"",'Initial information'!$D$24))</f>
        <v/>
      </c>
      <c r="K35" s="369" t="str">
        <f t="shared" si="1"/>
        <v/>
      </c>
      <c r="L35" s="73"/>
      <c r="M35" s="73"/>
      <c r="N35" s="73"/>
    </row>
    <row r="36" spans="1:14" ht="15" thickBot="1" x14ac:dyDescent="0.4">
      <c r="A36" s="73"/>
      <c r="B36" s="77" t="s">
        <v>197</v>
      </c>
      <c r="C36" s="73"/>
      <c r="D36" s="73"/>
      <c r="E36" s="73"/>
      <c r="F36" s="73"/>
      <c r="G36" s="73"/>
      <c r="H36" s="73"/>
      <c r="I36" s="73"/>
      <c r="J36" s="370"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K36" s="371" t="str">
        <f t="shared" si="1"/>
        <v/>
      </c>
      <c r="L36" s="73"/>
      <c r="M36" s="73"/>
      <c r="N36" s="73"/>
    </row>
    <row r="37" spans="1:14" ht="15" thickBot="1" x14ac:dyDescent="0.4">
      <c r="A37" s="73"/>
      <c r="B37" s="78"/>
      <c r="C37" s="73"/>
      <c r="D37" s="73"/>
      <c r="E37" s="73"/>
      <c r="F37" s="73"/>
      <c r="G37" s="73"/>
      <c r="H37" s="73"/>
      <c r="I37" s="73"/>
      <c r="J37" s="79" t="s">
        <v>40</v>
      </c>
      <c r="K37" s="72">
        <f>SUM(K31:K36)</f>
        <v>0</v>
      </c>
      <c r="L37" s="73"/>
      <c r="M37" s="73"/>
      <c r="N37" s="73"/>
    </row>
    <row r="38" spans="1:14" ht="58.5" thickBot="1" x14ac:dyDescent="0.4">
      <c r="A38" s="73"/>
      <c r="B38" s="54" t="s">
        <v>204</v>
      </c>
      <c r="C38" s="285"/>
      <c r="D38" s="73"/>
      <c r="E38" s="73"/>
      <c r="F38" s="73"/>
      <c r="G38" s="73"/>
      <c r="H38" s="73"/>
      <c r="I38" s="73"/>
      <c r="J38" s="73"/>
      <c r="K38" s="73"/>
      <c r="L38" s="73"/>
      <c r="M38" s="73"/>
      <c r="N38" s="73"/>
    </row>
    <row r="39" spans="1:14" x14ac:dyDescent="0.35">
      <c r="A39" s="73"/>
      <c r="B39" s="123"/>
      <c r="C39" s="124"/>
      <c r="D39" s="73"/>
      <c r="E39" s="73"/>
      <c r="F39" s="73"/>
      <c r="G39" s="73"/>
      <c r="H39" s="73"/>
      <c r="I39" s="73"/>
      <c r="J39" s="73"/>
      <c r="K39" s="73"/>
      <c r="L39" s="73"/>
      <c r="M39" s="73"/>
      <c r="N39" s="73"/>
    </row>
    <row r="40" spans="1:14" x14ac:dyDescent="0.35">
      <c r="A40" s="73"/>
      <c r="B40" s="123"/>
      <c r="C40" s="124"/>
      <c r="D40" s="73"/>
      <c r="E40" s="73"/>
      <c r="F40" s="73"/>
      <c r="G40" s="73"/>
      <c r="H40" s="73"/>
      <c r="I40" s="73"/>
      <c r="J40" s="73"/>
      <c r="K40" s="73"/>
      <c r="L40" s="73"/>
      <c r="M40" s="73"/>
      <c r="N40" s="73"/>
    </row>
    <row r="41" spans="1:14" x14ac:dyDescent="0.35">
      <c r="A41" s="73"/>
      <c r="B41" s="73"/>
      <c r="C41" s="73"/>
      <c r="D41" s="73"/>
      <c r="E41" s="73"/>
      <c r="F41" s="73"/>
      <c r="G41" s="73"/>
      <c r="H41" s="73"/>
      <c r="I41" s="73"/>
      <c r="J41" s="73"/>
      <c r="K41" s="73"/>
      <c r="L41" s="73"/>
      <c r="M41" s="73"/>
      <c r="N41" s="73"/>
    </row>
    <row r="42" spans="1:14" x14ac:dyDescent="0.35">
      <c r="A42" s="73"/>
      <c r="B42" s="73"/>
      <c r="C42" s="73"/>
      <c r="D42" s="73"/>
      <c r="E42" s="73"/>
      <c r="F42" s="73"/>
      <c r="G42" s="73"/>
      <c r="H42" s="73"/>
      <c r="I42" s="73"/>
      <c r="J42" s="73"/>
      <c r="K42" s="73"/>
      <c r="L42" s="73"/>
      <c r="M42" s="73"/>
      <c r="N42" s="73"/>
    </row>
    <row r="43" spans="1:14" x14ac:dyDescent="0.35">
      <c r="A43" s="73"/>
      <c r="B43" s="73"/>
      <c r="C43" s="73"/>
      <c r="D43" s="73"/>
      <c r="E43" s="73"/>
      <c r="F43" s="73"/>
      <c r="G43" s="73"/>
      <c r="H43" s="73"/>
      <c r="I43" s="73"/>
      <c r="J43" s="73"/>
      <c r="K43" s="73"/>
      <c r="L43" s="73"/>
      <c r="M43" s="73"/>
      <c r="N43" s="73"/>
    </row>
    <row r="44" spans="1:14" x14ac:dyDescent="0.35">
      <c r="A44" s="73"/>
      <c r="B44" s="73"/>
      <c r="C44" s="73"/>
      <c r="D44" s="73"/>
      <c r="E44" s="73"/>
      <c r="F44" s="73"/>
      <c r="G44" s="73"/>
      <c r="H44" s="73"/>
      <c r="I44" s="73"/>
      <c r="J44" s="73"/>
      <c r="K44" s="73"/>
      <c r="L44" s="73"/>
      <c r="M44" s="73"/>
    </row>
    <row r="45" spans="1:14" x14ac:dyDescent="0.35">
      <c r="A45" s="73"/>
      <c r="B45" s="73"/>
      <c r="C45" s="73"/>
      <c r="D45" s="73"/>
      <c r="E45" s="73"/>
      <c r="F45" s="73"/>
      <c r="G45" s="73"/>
      <c r="H45" s="73"/>
      <c r="I45" s="73"/>
      <c r="J45" s="73"/>
      <c r="K45" s="73"/>
      <c r="L45" s="73"/>
      <c r="M45" s="73"/>
      <c r="N45" s="73"/>
    </row>
    <row r="46" spans="1:14" x14ac:dyDescent="0.35">
      <c r="A46" s="73"/>
      <c r="B46" s="73"/>
      <c r="C46" s="73"/>
      <c r="D46" s="73"/>
      <c r="E46" s="73"/>
      <c r="F46" s="73"/>
      <c r="G46" s="73"/>
      <c r="H46" s="73"/>
      <c r="I46" s="73"/>
      <c r="J46" s="73"/>
      <c r="K46" s="73"/>
      <c r="L46" s="73"/>
      <c r="M46" s="73"/>
      <c r="N46" s="73"/>
    </row>
  </sheetData>
  <mergeCells count="4">
    <mergeCell ref="C14:C15"/>
    <mergeCell ref="D14:D15"/>
    <mergeCell ref="G14:G15"/>
    <mergeCell ref="H14:H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touch!'!$A$2:$A$7</xm:f>
          </x14:formula1>
          <xm:sqref>L16:L25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105"/>
  <sheetViews>
    <sheetView zoomScale="90" zoomScaleNormal="90" workbookViewId="0">
      <selection activeCell="B22" sqref="B22"/>
    </sheetView>
  </sheetViews>
  <sheetFormatPr defaultRowHeight="14.5" x14ac:dyDescent="0.35"/>
  <cols>
    <col min="1" max="1" width="8.54296875" customWidth="1"/>
    <col min="2" max="2" width="62.54296875" customWidth="1"/>
    <col min="3" max="3" width="9.81640625" customWidth="1"/>
    <col min="5" max="5" width="17.453125" customWidth="1"/>
    <col min="6" max="6" width="20.1796875" bestFit="1" customWidth="1"/>
    <col min="7" max="7" width="8.81640625" customWidth="1"/>
    <col min="8" max="8" width="8.1796875" bestFit="1" customWidth="1"/>
    <col min="9" max="9" width="17.26953125" bestFit="1" customWidth="1"/>
    <col min="10" max="10" width="24" bestFit="1" customWidth="1"/>
    <col min="11" max="11" width="17.54296875" customWidth="1"/>
    <col min="12" max="12" width="21.453125" customWidth="1"/>
    <col min="13" max="13" width="25.26953125" customWidth="1"/>
    <col min="14" max="14" width="14" customWidth="1"/>
    <col min="15" max="15" width="23.1796875" customWidth="1"/>
  </cols>
  <sheetData>
    <row r="1" spans="1:14" ht="18.5" x14ac:dyDescent="0.45">
      <c r="A1" s="73"/>
      <c r="B1" s="266" t="s">
        <v>244</v>
      </c>
      <c r="C1" s="73"/>
      <c r="D1" s="73"/>
      <c r="E1" s="73"/>
      <c r="F1" s="73"/>
      <c r="G1" s="73"/>
      <c r="H1" s="73"/>
      <c r="I1" s="73"/>
      <c r="J1" s="73"/>
      <c r="K1" s="73"/>
      <c r="L1" s="73"/>
      <c r="M1" s="73"/>
      <c r="N1" s="73"/>
    </row>
    <row r="2" spans="1:14" x14ac:dyDescent="0.35">
      <c r="A2" s="73"/>
      <c r="B2" s="73"/>
      <c r="C2" s="73"/>
      <c r="D2" s="73"/>
      <c r="E2" s="73"/>
      <c r="F2" s="73"/>
      <c r="G2" s="73"/>
      <c r="H2" s="73"/>
      <c r="I2" s="73"/>
      <c r="J2" s="73"/>
      <c r="K2" s="73"/>
      <c r="L2" s="73"/>
      <c r="M2" s="73"/>
      <c r="N2" s="73"/>
    </row>
    <row r="3" spans="1:14" x14ac:dyDescent="0.35">
      <c r="A3" s="73"/>
      <c r="B3" s="73"/>
      <c r="C3" s="73"/>
      <c r="D3" s="73"/>
      <c r="E3" s="73"/>
      <c r="F3" s="73"/>
      <c r="G3" s="73"/>
      <c r="H3" s="73"/>
      <c r="I3" s="73"/>
      <c r="J3" s="73"/>
      <c r="K3" s="73"/>
      <c r="L3" s="73"/>
      <c r="M3" s="73"/>
      <c r="N3" s="73"/>
    </row>
    <row r="4" spans="1:14" x14ac:dyDescent="0.35">
      <c r="A4" s="73"/>
      <c r="B4" s="73"/>
      <c r="C4" s="73"/>
      <c r="D4" s="73"/>
      <c r="E4" s="73"/>
      <c r="F4" s="73"/>
      <c r="G4" s="73"/>
      <c r="H4" s="73"/>
      <c r="I4" s="73"/>
      <c r="J4" s="73"/>
      <c r="K4" s="73"/>
      <c r="L4" s="73"/>
      <c r="M4" s="73"/>
      <c r="N4" s="73"/>
    </row>
    <row r="5" spans="1:14" x14ac:dyDescent="0.35">
      <c r="A5" s="73"/>
      <c r="B5" s="73"/>
      <c r="C5" s="73"/>
      <c r="D5" s="73"/>
      <c r="E5" s="73"/>
      <c r="F5" s="73"/>
      <c r="G5" s="73"/>
      <c r="H5" s="73"/>
      <c r="I5" s="73"/>
      <c r="J5" s="73"/>
      <c r="K5" s="73"/>
      <c r="L5" s="73"/>
      <c r="M5" s="73"/>
      <c r="N5" s="73"/>
    </row>
    <row r="6" spans="1:14" x14ac:dyDescent="0.35">
      <c r="A6" s="73"/>
      <c r="B6" s="73"/>
      <c r="C6" s="73"/>
      <c r="D6" s="73"/>
      <c r="E6" s="73"/>
      <c r="F6" s="73"/>
      <c r="G6" s="73"/>
      <c r="H6" s="73"/>
      <c r="I6" s="73"/>
      <c r="J6" s="73"/>
      <c r="K6" s="73"/>
      <c r="L6" s="73"/>
      <c r="M6" s="73"/>
      <c r="N6" s="73"/>
    </row>
    <row r="7" spans="1:14" x14ac:dyDescent="0.35">
      <c r="A7" s="73"/>
      <c r="B7" s="73"/>
      <c r="C7" s="73"/>
      <c r="D7" s="73"/>
      <c r="E7" s="73"/>
      <c r="F7" s="73"/>
      <c r="G7" s="73"/>
      <c r="H7" s="73"/>
      <c r="I7" s="73"/>
      <c r="J7" s="73"/>
      <c r="K7" s="73"/>
      <c r="L7" s="73"/>
      <c r="M7" s="73"/>
      <c r="N7" s="73"/>
    </row>
    <row r="8" spans="1:14" x14ac:dyDescent="0.35">
      <c r="A8" s="73"/>
      <c r="B8" s="73"/>
      <c r="C8" s="73"/>
      <c r="D8" s="73"/>
      <c r="E8" s="73"/>
      <c r="F8" s="73"/>
      <c r="G8" s="73"/>
      <c r="H8" s="73"/>
      <c r="I8" s="73"/>
      <c r="J8" s="73"/>
      <c r="K8" s="73"/>
      <c r="L8" s="73"/>
      <c r="M8" s="73"/>
      <c r="N8" s="73"/>
    </row>
    <row r="9" spans="1:14" x14ac:dyDescent="0.35">
      <c r="A9" s="73"/>
      <c r="B9" s="73"/>
      <c r="C9" s="73"/>
      <c r="D9" s="73"/>
      <c r="E9" s="73"/>
      <c r="F9" s="73"/>
      <c r="G9" s="73"/>
      <c r="H9" s="73"/>
      <c r="I9" s="73"/>
      <c r="J9" s="73"/>
      <c r="K9" s="73"/>
      <c r="L9" s="73"/>
      <c r="M9" s="73"/>
      <c r="N9" s="73"/>
    </row>
    <row r="10" spans="1:14" x14ac:dyDescent="0.35">
      <c r="A10" s="73"/>
      <c r="B10" s="73"/>
      <c r="C10" s="73"/>
      <c r="D10" s="73"/>
      <c r="E10" s="73"/>
      <c r="F10" s="73"/>
      <c r="G10" s="73"/>
      <c r="H10" s="73"/>
      <c r="I10" s="73"/>
      <c r="J10" s="73"/>
      <c r="K10" s="73"/>
      <c r="L10" s="73"/>
      <c r="M10" s="73"/>
      <c r="N10" s="73"/>
    </row>
    <row r="11" spans="1:14" x14ac:dyDescent="0.35">
      <c r="A11" s="73"/>
      <c r="B11" s="73"/>
      <c r="C11" s="73"/>
      <c r="D11" s="73"/>
      <c r="E11" s="73"/>
      <c r="F11" s="73"/>
      <c r="G11" s="73"/>
      <c r="H11" s="73"/>
      <c r="I11" s="73"/>
      <c r="J11" s="73"/>
      <c r="K11" s="73"/>
      <c r="L11" s="73"/>
      <c r="M11" s="73"/>
      <c r="N11" s="73"/>
    </row>
    <row r="12" spans="1:14" x14ac:dyDescent="0.35">
      <c r="A12" s="73"/>
      <c r="B12" s="73"/>
      <c r="C12" s="73"/>
      <c r="D12" s="73"/>
      <c r="E12" s="73"/>
      <c r="F12" s="73"/>
      <c r="G12" s="73"/>
      <c r="H12" s="73"/>
      <c r="I12" s="73"/>
      <c r="J12" s="73"/>
      <c r="K12" s="73"/>
      <c r="L12" s="73"/>
      <c r="M12" s="73"/>
      <c r="N12" s="73"/>
    </row>
    <row r="13" spans="1:14" ht="15" thickBot="1" x14ac:dyDescent="0.4">
      <c r="A13" s="73"/>
      <c r="B13" s="73"/>
      <c r="C13" s="73"/>
      <c r="D13" s="73"/>
      <c r="E13" s="77"/>
      <c r="F13" s="94"/>
      <c r="G13" s="73"/>
      <c r="H13" s="73"/>
      <c r="I13" s="73"/>
      <c r="J13" s="73"/>
      <c r="K13" s="73"/>
      <c r="L13" s="73"/>
      <c r="M13" s="73"/>
      <c r="N13" s="73"/>
    </row>
    <row r="14" spans="1:14" ht="49.5" customHeight="1" thickBot="1" x14ac:dyDescent="0.4">
      <c r="A14" s="73"/>
      <c r="B14" s="88" t="s">
        <v>199</v>
      </c>
      <c r="C14" s="29"/>
      <c r="D14" s="73"/>
      <c r="E14" s="78"/>
      <c r="F14" s="73"/>
      <c r="G14" s="73"/>
      <c r="H14" s="73"/>
      <c r="I14" s="73"/>
      <c r="J14" s="73"/>
      <c r="K14" s="73"/>
      <c r="L14" s="73"/>
      <c r="M14" s="73"/>
      <c r="N14" s="73"/>
    </row>
    <row r="15" spans="1:14" ht="49.5" customHeight="1" x14ac:dyDescent="0.35">
      <c r="A15" s="73"/>
      <c r="B15" s="91" t="s">
        <v>200</v>
      </c>
      <c r="C15" s="286"/>
      <c r="D15" s="73"/>
      <c r="E15" s="78"/>
      <c r="F15" s="73"/>
      <c r="G15" s="73"/>
      <c r="H15" s="73"/>
      <c r="I15" s="73"/>
      <c r="J15" s="73"/>
      <c r="K15" s="73"/>
      <c r="L15" s="73"/>
      <c r="M15" s="73"/>
      <c r="N15" s="73"/>
    </row>
    <row r="16" spans="1:14" ht="58.5" thickBot="1" x14ac:dyDescent="0.4">
      <c r="A16" s="73"/>
      <c r="B16" s="255" t="str">
        <f>CONCATENATE("To obtain the required number of founders above, how many individuals do you think will need to be taken from the wild over the full ", 'Quick guide'!C12," year time horizon of this assessment? Express this as a multiple of the estimated number of founders specified above; e.g. for double enter '2'")</f>
        <v>To obtain the required number of founders above, how many individuals do you think will need to be taken from the wild over the full  year time horizon of this assessment? Express this as a multiple of the estimated number of founders specified above; e.g. for double enter '2'</v>
      </c>
      <c r="C16" s="287"/>
      <c r="D16" s="73"/>
      <c r="E16" s="78"/>
      <c r="F16" s="95"/>
      <c r="G16" s="73"/>
      <c r="H16" s="73"/>
      <c r="I16" s="73"/>
      <c r="J16" s="73"/>
      <c r="K16" s="73"/>
      <c r="L16" s="73"/>
      <c r="M16" s="73"/>
      <c r="N16" s="73"/>
    </row>
    <row r="17" spans="1:14" ht="53.5" customHeight="1" thickBot="1" x14ac:dyDescent="0.4">
      <c r="A17" s="73"/>
      <c r="B17" s="256" t="s">
        <v>236</v>
      </c>
      <c r="C17" s="414"/>
      <c r="D17" s="415"/>
      <c r="E17" s="415"/>
      <c r="F17" s="416"/>
      <c r="G17" s="73"/>
      <c r="H17" s="73"/>
      <c r="I17" s="73"/>
      <c r="J17" s="73"/>
      <c r="K17" s="73"/>
      <c r="L17" s="73"/>
      <c r="M17" s="73"/>
      <c r="N17" s="73"/>
    </row>
    <row r="18" spans="1:14" ht="15" customHeight="1" x14ac:dyDescent="0.35">
      <c r="A18" s="73"/>
      <c r="B18" s="90"/>
      <c r="C18" s="90"/>
      <c r="D18" s="73"/>
      <c r="E18" s="73"/>
      <c r="F18" s="73"/>
      <c r="G18" s="73"/>
      <c r="H18" s="73"/>
      <c r="I18" s="73"/>
      <c r="J18" s="73"/>
      <c r="K18" s="73"/>
      <c r="L18" s="73"/>
      <c r="M18" s="73"/>
      <c r="N18" s="73"/>
    </row>
    <row r="19" spans="1:14" ht="15" customHeight="1" thickBot="1" x14ac:dyDescent="0.4">
      <c r="A19" s="73"/>
      <c r="B19" s="90"/>
      <c r="C19" s="90"/>
      <c r="D19" s="73"/>
      <c r="E19" s="73"/>
      <c r="F19" s="73"/>
      <c r="G19" s="73"/>
      <c r="H19" s="73"/>
      <c r="I19" s="73"/>
      <c r="J19" s="73"/>
      <c r="K19" s="73"/>
      <c r="L19" s="73"/>
      <c r="M19" s="73"/>
      <c r="N19" s="73"/>
    </row>
    <row r="20" spans="1:14" ht="49.5" customHeight="1" thickBot="1" x14ac:dyDescent="0.4">
      <c r="A20" s="73"/>
      <c r="B20" s="88" t="s">
        <v>283</v>
      </c>
      <c r="C20" s="29"/>
      <c r="D20" s="73"/>
      <c r="E20" s="73"/>
      <c r="F20" s="73"/>
      <c r="G20" s="73"/>
      <c r="H20" s="73"/>
      <c r="I20" s="73"/>
      <c r="J20" s="73"/>
      <c r="K20" s="73"/>
      <c r="L20" s="73"/>
      <c r="M20" s="73"/>
      <c r="N20" s="73"/>
    </row>
    <row r="21" spans="1:14" ht="49.5" customHeight="1" x14ac:dyDescent="0.35">
      <c r="A21" s="73"/>
      <c r="B21" s="91" t="s">
        <v>62</v>
      </c>
      <c r="C21" s="288"/>
      <c r="D21" s="73"/>
      <c r="E21" s="90"/>
      <c r="F21" s="73"/>
      <c r="G21" s="73"/>
      <c r="H21" s="73"/>
      <c r="I21" s="73"/>
      <c r="J21" s="73"/>
      <c r="K21" s="73"/>
      <c r="L21" s="73"/>
      <c r="M21" s="73"/>
      <c r="N21" s="73"/>
    </row>
    <row r="22" spans="1:14" ht="49.5" customHeight="1" x14ac:dyDescent="0.35">
      <c r="A22" s="73"/>
      <c r="B22" s="92" t="s">
        <v>305</v>
      </c>
      <c r="C22" s="289"/>
      <c r="D22" s="73"/>
      <c r="E22" s="73"/>
      <c r="F22" s="73"/>
      <c r="G22" s="73"/>
      <c r="H22" s="73"/>
      <c r="I22" s="73"/>
      <c r="J22" s="73"/>
      <c r="K22" s="73"/>
      <c r="L22" s="73"/>
      <c r="M22" s="73"/>
      <c r="N22" s="73"/>
    </row>
    <row r="23" spans="1:14" ht="49.5" customHeight="1" thickBot="1" x14ac:dyDescent="0.4">
      <c r="A23" s="73"/>
      <c r="B23" s="255" t="str">
        <f>CONCATENATE("At year ", C21, " of the program, what percentage of offspring need to survive to ",C22," months to give the program some chance of success?")</f>
        <v>At year  of the program, what percentage of offspring need to survive to  months to give the program some chance of success?</v>
      </c>
      <c r="C23" s="290"/>
      <c r="D23" s="73"/>
      <c r="E23" s="73"/>
      <c r="F23" s="73"/>
      <c r="G23" s="73"/>
      <c r="H23" s="73"/>
      <c r="I23" s="73"/>
      <c r="J23" s="73"/>
      <c r="K23" s="73"/>
      <c r="L23" s="73"/>
      <c r="M23" s="73"/>
      <c r="N23" s="73"/>
    </row>
    <row r="24" spans="1:14" ht="74.5" customHeight="1" thickBot="1" x14ac:dyDescent="0.4">
      <c r="A24" s="73"/>
      <c r="B24" s="256" t="s">
        <v>238</v>
      </c>
      <c r="C24" s="414"/>
      <c r="D24" s="415"/>
      <c r="E24" s="415"/>
      <c r="F24" s="416"/>
      <c r="G24" s="73"/>
      <c r="H24" s="73"/>
      <c r="I24" s="73"/>
      <c r="J24" s="73"/>
      <c r="K24" s="73"/>
      <c r="L24" s="73"/>
      <c r="M24" s="73"/>
      <c r="N24" s="73"/>
    </row>
    <row r="25" spans="1:14" x14ac:dyDescent="0.35">
      <c r="A25" s="73"/>
      <c r="B25" s="73"/>
      <c r="C25" s="73"/>
      <c r="D25" s="73"/>
      <c r="E25" s="73"/>
      <c r="F25" s="73"/>
      <c r="G25" s="73"/>
      <c r="H25" s="73"/>
      <c r="I25" s="73"/>
      <c r="J25" s="73"/>
      <c r="K25" s="73"/>
      <c r="L25" s="73"/>
      <c r="M25" s="73"/>
      <c r="N25" s="73"/>
    </row>
    <row r="26" spans="1:14" ht="15" thickBot="1" x14ac:dyDescent="0.4">
      <c r="A26" s="73"/>
      <c r="B26" s="73"/>
      <c r="C26" s="73"/>
      <c r="D26" s="73"/>
      <c r="E26" s="73"/>
      <c r="F26" s="73"/>
      <c r="G26" s="73"/>
      <c r="H26" s="73"/>
      <c r="I26" s="73"/>
      <c r="J26" s="73"/>
      <c r="K26" s="73"/>
      <c r="L26" s="73"/>
      <c r="M26" s="73"/>
      <c r="N26" s="73"/>
    </row>
    <row r="27" spans="1:14" ht="49.5" customHeight="1" thickBot="1" x14ac:dyDescent="0.4">
      <c r="A27" s="73"/>
      <c r="B27" s="88" t="s">
        <v>54</v>
      </c>
      <c r="C27" s="89"/>
      <c r="D27" s="73"/>
      <c r="E27" s="73"/>
      <c r="F27" s="73"/>
      <c r="G27" s="73"/>
      <c r="H27" s="73"/>
      <c r="I27" s="73"/>
      <c r="J27" s="73"/>
      <c r="K27" s="73"/>
      <c r="L27" s="73"/>
      <c r="M27" s="73"/>
      <c r="N27" s="73"/>
    </row>
    <row r="28" spans="1:14" ht="49.5" customHeight="1" x14ac:dyDescent="0.35">
      <c r="A28" s="73"/>
      <c r="B28" s="93" t="s">
        <v>117</v>
      </c>
      <c r="C28" s="291"/>
      <c r="D28" s="73"/>
      <c r="E28" s="73"/>
      <c r="F28" s="73"/>
      <c r="G28" s="73"/>
      <c r="H28" s="73"/>
      <c r="I28" s="73"/>
      <c r="J28" s="73"/>
      <c r="K28" s="73"/>
      <c r="L28" s="73"/>
      <c r="M28" s="73"/>
      <c r="N28" s="73"/>
    </row>
    <row r="29" spans="1:14" ht="49.5" customHeight="1" thickBot="1" x14ac:dyDescent="0.4">
      <c r="A29" s="73"/>
      <c r="B29" s="257" t="str">
        <f>CONCATENATE("What proportion (%) of released individuals need to survive in the wild ",C28, " month(s) after release to give the program some chance of success?")</f>
        <v>What proportion (%) of released individuals need to survive in the wild  month(s) after release to give the program some chance of success?</v>
      </c>
      <c r="C29" s="292"/>
      <c r="D29" s="73"/>
      <c r="E29" s="73"/>
      <c r="F29" s="73"/>
      <c r="G29" s="73"/>
      <c r="H29" s="73"/>
      <c r="I29" s="73"/>
      <c r="J29" s="73"/>
      <c r="K29" s="73"/>
      <c r="L29" s="73"/>
      <c r="M29" s="73"/>
      <c r="N29" s="73"/>
    </row>
    <row r="30" spans="1:14" ht="70" customHeight="1" thickBot="1" x14ac:dyDescent="0.4">
      <c r="A30" s="73"/>
      <c r="B30" s="256" t="s">
        <v>237</v>
      </c>
      <c r="C30" s="414"/>
      <c r="D30" s="415"/>
      <c r="E30" s="415"/>
      <c r="F30" s="416"/>
      <c r="G30" s="73"/>
      <c r="H30" s="73"/>
      <c r="I30" s="73"/>
      <c r="J30" s="73"/>
      <c r="K30" s="73"/>
      <c r="L30" s="73"/>
      <c r="M30" s="73"/>
      <c r="N30" s="73"/>
    </row>
    <row r="31" spans="1:14" x14ac:dyDescent="0.35">
      <c r="A31" s="73"/>
      <c r="B31" s="111"/>
      <c r="C31" s="112"/>
      <c r="D31" s="73"/>
      <c r="E31" s="73"/>
      <c r="F31" s="73"/>
      <c r="G31" s="73"/>
      <c r="H31" s="73"/>
      <c r="I31" s="73"/>
      <c r="J31" s="73"/>
      <c r="K31" s="73"/>
      <c r="L31" s="73"/>
      <c r="M31" s="73"/>
      <c r="N31" s="73"/>
    </row>
    <row r="32" spans="1:14" x14ac:dyDescent="0.35">
      <c r="A32" s="73"/>
      <c r="B32" s="111"/>
      <c r="C32" s="112"/>
      <c r="D32" s="73"/>
      <c r="E32" s="73"/>
      <c r="F32" s="73"/>
      <c r="G32" s="73"/>
      <c r="H32" s="73"/>
      <c r="I32" s="73"/>
      <c r="J32" s="73"/>
      <c r="K32" s="73"/>
      <c r="L32" s="73"/>
      <c r="M32" s="73"/>
      <c r="N32" s="73"/>
    </row>
    <row r="33" spans="1:14" x14ac:dyDescent="0.35">
      <c r="A33" s="73"/>
      <c r="B33" s="111"/>
      <c r="C33" s="112"/>
      <c r="D33" s="73"/>
      <c r="E33" s="73"/>
      <c r="F33" s="73"/>
      <c r="G33" s="73"/>
      <c r="H33" s="73"/>
      <c r="I33" s="73"/>
      <c r="J33" s="73"/>
      <c r="K33" s="73"/>
      <c r="L33" s="73"/>
      <c r="M33" s="73"/>
      <c r="N33" s="73"/>
    </row>
    <row r="34" spans="1:14" x14ac:dyDescent="0.35">
      <c r="A34" s="73"/>
      <c r="B34" s="111"/>
      <c r="C34" s="112"/>
      <c r="D34" s="73"/>
      <c r="E34" s="73"/>
      <c r="F34" s="73"/>
      <c r="G34" s="73"/>
      <c r="H34" s="73"/>
      <c r="I34" s="73"/>
      <c r="J34" s="73"/>
      <c r="K34" s="73"/>
      <c r="L34" s="73"/>
      <c r="M34" s="73"/>
      <c r="N34" s="73"/>
    </row>
    <row r="35" spans="1:14" x14ac:dyDescent="0.35">
      <c r="A35" s="73"/>
      <c r="B35" s="111"/>
      <c r="C35" s="112"/>
      <c r="D35" s="73"/>
      <c r="E35" s="73"/>
      <c r="F35" s="73"/>
      <c r="G35" s="73"/>
      <c r="H35" s="73"/>
      <c r="I35" s="73"/>
      <c r="J35" s="73"/>
      <c r="K35" s="73"/>
      <c r="L35" s="73"/>
      <c r="M35" s="73"/>
      <c r="N35" s="73"/>
    </row>
    <row r="36" spans="1:14" x14ac:dyDescent="0.35">
      <c r="A36" s="73"/>
      <c r="B36" s="73"/>
      <c r="C36" s="73"/>
      <c r="D36" s="73"/>
      <c r="E36" s="73"/>
      <c r="F36" s="73"/>
      <c r="G36" s="73"/>
      <c r="H36" s="73"/>
      <c r="I36" s="73"/>
      <c r="J36" s="73"/>
      <c r="K36" s="73"/>
      <c r="L36" s="73"/>
      <c r="M36" s="73"/>
      <c r="N36" s="73"/>
    </row>
    <row r="37" spans="1:14" x14ac:dyDescent="0.35">
      <c r="A37" s="73"/>
      <c r="B37" s="73"/>
      <c r="C37" s="73"/>
      <c r="D37" s="73"/>
      <c r="E37" s="73"/>
      <c r="F37" s="73"/>
      <c r="G37" s="73"/>
      <c r="H37" s="73"/>
      <c r="I37" s="73"/>
      <c r="J37" s="73"/>
      <c r="K37" s="73"/>
      <c r="L37" s="73"/>
      <c r="M37" s="73"/>
      <c r="N37" s="73"/>
    </row>
    <row r="38" spans="1:14" ht="15" thickBot="1" x14ac:dyDescent="0.4">
      <c r="A38" s="73"/>
      <c r="B38" s="73"/>
      <c r="C38" s="73"/>
      <c r="D38" s="73"/>
      <c r="E38" s="73"/>
      <c r="F38" s="73"/>
      <c r="G38" s="73"/>
      <c r="H38" s="73"/>
      <c r="I38" s="73"/>
      <c r="J38" s="73"/>
      <c r="K38" s="73"/>
      <c r="L38" s="73"/>
      <c r="M38" s="73"/>
      <c r="N38" s="73"/>
    </row>
    <row r="39" spans="1:14" ht="15" thickBot="1" x14ac:dyDescent="0.4">
      <c r="A39" s="73"/>
      <c r="B39" s="74" t="s">
        <v>201</v>
      </c>
      <c r="C39" s="62" t="s">
        <v>29</v>
      </c>
      <c r="D39" s="63"/>
      <c r="E39" s="63"/>
      <c r="F39" s="64"/>
      <c r="G39" s="62" t="s">
        <v>30</v>
      </c>
      <c r="H39" s="63"/>
      <c r="I39" s="63"/>
      <c r="J39" s="64"/>
      <c r="K39" s="73"/>
      <c r="L39" s="73"/>
      <c r="M39" s="73"/>
      <c r="N39" s="73"/>
    </row>
    <row r="40" spans="1:14" ht="15" thickBot="1" x14ac:dyDescent="0.4">
      <c r="A40" s="73"/>
      <c r="B40" s="73"/>
      <c r="C40" s="408" t="s">
        <v>35</v>
      </c>
      <c r="D40" s="410" t="s">
        <v>36</v>
      </c>
      <c r="E40" s="217" t="s">
        <v>31</v>
      </c>
      <c r="F40" s="98" t="s">
        <v>32</v>
      </c>
      <c r="G40" s="99"/>
      <c r="H40" s="100"/>
      <c r="I40" s="97" t="s">
        <v>31</v>
      </c>
      <c r="J40" s="220" t="s">
        <v>33</v>
      </c>
      <c r="K40" s="101" t="s">
        <v>34</v>
      </c>
      <c r="L40" s="102" t="s">
        <v>63</v>
      </c>
      <c r="M40" s="73"/>
      <c r="N40" s="73"/>
    </row>
    <row r="41" spans="1:14" ht="15" thickBot="1" x14ac:dyDescent="0.4">
      <c r="A41" s="73"/>
      <c r="B41" s="28" t="s">
        <v>198</v>
      </c>
      <c r="C41" s="412"/>
      <c r="D41" s="413"/>
      <c r="E41" s="103" t="s">
        <v>37</v>
      </c>
      <c r="F41" s="103" t="s">
        <v>38</v>
      </c>
      <c r="G41" s="218" t="s">
        <v>35</v>
      </c>
      <c r="H41" s="103" t="s">
        <v>36</v>
      </c>
      <c r="I41" s="103" t="s">
        <v>37</v>
      </c>
      <c r="J41" s="219" t="s">
        <v>38</v>
      </c>
      <c r="K41" s="106" t="s">
        <v>38</v>
      </c>
      <c r="L41" s="107" t="s">
        <v>64</v>
      </c>
      <c r="M41" s="73"/>
      <c r="N41" s="73"/>
    </row>
    <row r="42" spans="1:14" x14ac:dyDescent="0.35">
      <c r="A42" s="73">
        <v>1</v>
      </c>
      <c r="B42" s="351"/>
      <c r="C42" s="349"/>
      <c r="D42" s="347"/>
      <c r="E42" s="347"/>
      <c r="F42" s="347"/>
      <c r="G42" s="346"/>
      <c r="H42" s="347"/>
      <c r="I42" s="347"/>
      <c r="J42" s="373"/>
      <c r="K42" s="350">
        <f t="shared" ref="K42:K51" si="0">(PV($H$53,D42,-(E42*$H$57+F42),0)-PV($H$53,(C42-1),-(E42*$H$57+F42),0))+(PV($H$53,H42,-(I42*$H$57+J42),0)-PV($H$53,(G42-1),-(I42*$H$57+J42),0))</f>
        <v>0</v>
      </c>
      <c r="L42" s="351"/>
      <c r="M42" s="73"/>
      <c r="N42" s="73"/>
    </row>
    <row r="43" spans="1:14" x14ac:dyDescent="0.35">
      <c r="A43" s="73">
        <v>2</v>
      </c>
      <c r="B43" s="358"/>
      <c r="C43" s="356"/>
      <c r="D43" s="354"/>
      <c r="E43" s="354"/>
      <c r="F43" s="354"/>
      <c r="G43" s="353"/>
      <c r="H43" s="354"/>
      <c r="I43" s="354"/>
      <c r="J43" s="374"/>
      <c r="K43" s="357">
        <f t="shared" si="0"/>
        <v>0</v>
      </c>
      <c r="L43" s="358"/>
      <c r="M43" s="73"/>
      <c r="N43" s="73"/>
    </row>
    <row r="44" spans="1:14" x14ac:dyDescent="0.35">
      <c r="A44" s="73">
        <v>3</v>
      </c>
      <c r="B44" s="358"/>
      <c r="C44" s="356"/>
      <c r="D44" s="354"/>
      <c r="E44" s="354"/>
      <c r="F44" s="354"/>
      <c r="G44" s="353"/>
      <c r="H44" s="354"/>
      <c r="I44" s="354"/>
      <c r="J44" s="374"/>
      <c r="K44" s="357">
        <f t="shared" si="0"/>
        <v>0</v>
      </c>
      <c r="L44" s="358"/>
      <c r="M44" s="73"/>
      <c r="N44" s="73"/>
    </row>
    <row r="45" spans="1:14" x14ac:dyDescent="0.35">
      <c r="A45" s="73">
        <v>4</v>
      </c>
      <c r="B45" s="358"/>
      <c r="C45" s="356"/>
      <c r="D45" s="354"/>
      <c r="E45" s="354"/>
      <c r="F45" s="354"/>
      <c r="G45" s="353"/>
      <c r="H45" s="354"/>
      <c r="I45" s="354"/>
      <c r="J45" s="374"/>
      <c r="K45" s="357">
        <f t="shared" si="0"/>
        <v>0</v>
      </c>
      <c r="L45" s="358"/>
      <c r="M45" s="73"/>
      <c r="N45" s="73"/>
    </row>
    <row r="46" spans="1:14" x14ac:dyDescent="0.35">
      <c r="A46" s="73">
        <v>5</v>
      </c>
      <c r="B46" s="358"/>
      <c r="C46" s="356"/>
      <c r="D46" s="354"/>
      <c r="E46" s="354"/>
      <c r="F46" s="354"/>
      <c r="G46" s="353"/>
      <c r="H46" s="354"/>
      <c r="I46" s="354"/>
      <c r="J46" s="374"/>
      <c r="K46" s="357">
        <f t="shared" si="0"/>
        <v>0</v>
      </c>
      <c r="L46" s="358"/>
      <c r="M46" s="73"/>
      <c r="N46" s="73"/>
    </row>
    <row r="47" spans="1:14" x14ac:dyDescent="0.35">
      <c r="A47" s="73">
        <v>6</v>
      </c>
      <c r="B47" s="358"/>
      <c r="C47" s="356"/>
      <c r="D47" s="354"/>
      <c r="E47" s="354"/>
      <c r="F47" s="354"/>
      <c r="G47" s="353"/>
      <c r="H47" s="354"/>
      <c r="I47" s="354"/>
      <c r="J47" s="374"/>
      <c r="K47" s="357">
        <f t="shared" si="0"/>
        <v>0</v>
      </c>
      <c r="L47" s="358"/>
      <c r="M47" s="73"/>
      <c r="N47" s="73"/>
    </row>
    <row r="48" spans="1:14" x14ac:dyDescent="0.35">
      <c r="A48" s="73">
        <v>7</v>
      </c>
      <c r="B48" s="358"/>
      <c r="C48" s="356"/>
      <c r="D48" s="354"/>
      <c r="E48" s="354"/>
      <c r="F48" s="354"/>
      <c r="G48" s="353"/>
      <c r="H48" s="354"/>
      <c r="I48" s="354"/>
      <c r="J48" s="374"/>
      <c r="K48" s="357">
        <f t="shared" si="0"/>
        <v>0</v>
      </c>
      <c r="L48" s="358"/>
      <c r="M48" s="73"/>
      <c r="N48" s="73"/>
    </row>
    <row r="49" spans="1:14" x14ac:dyDescent="0.35">
      <c r="A49" s="73">
        <v>8</v>
      </c>
      <c r="B49" s="358"/>
      <c r="C49" s="356"/>
      <c r="D49" s="354"/>
      <c r="E49" s="354"/>
      <c r="F49" s="354"/>
      <c r="G49" s="353"/>
      <c r="H49" s="354"/>
      <c r="I49" s="354"/>
      <c r="J49" s="374"/>
      <c r="K49" s="357">
        <f t="shared" si="0"/>
        <v>0</v>
      </c>
      <c r="L49" s="358"/>
      <c r="M49" s="73"/>
      <c r="N49" s="73"/>
    </row>
    <row r="50" spans="1:14" x14ac:dyDescent="0.35">
      <c r="A50" s="73">
        <v>9</v>
      </c>
      <c r="B50" s="358"/>
      <c r="C50" s="356"/>
      <c r="D50" s="354"/>
      <c r="E50" s="354"/>
      <c r="F50" s="354"/>
      <c r="G50" s="353"/>
      <c r="H50" s="354"/>
      <c r="I50" s="354"/>
      <c r="J50" s="374"/>
      <c r="K50" s="357">
        <f t="shared" si="0"/>
        <v>0</v>
      </c>
      <c r="L50" s="358"/>
      <c r="M50" s="73"/>
      <c r="N50" s="73"/>
    </row>
    <row r="51" spans="1:14" ht="15" thickBot="1" x14ac:dyDescent="0.4">
      <c r="A51" s="73">
        <v>10</v>
      </c>
      <c r="B51" s="365"/>
      <c r="C51" s="363"/>
      <c r="D51" s="361"/>
      <c r="E51" s="361"/>
      <c r="F51" s="361"/>
      <c r="G51" s="360"/>
      <c r="H51" s="361"/>
      <c r="I51" s="361"/>
      <c r="J51" s="375"/>
      <c r="K51" s="364">
        <f t="shared" si="0"/>
        <v>0</v>
      </c>
      <c r="L51" s="365"/>
      <c r="M51" s="73"/>
      <c r="N51" s="73"/>
    </row>
    <row r="52" spans="1:14" ht="15" thickBot="1" x14ac:dyDescent="0.4">
      <c r="A52" s="73"/>
      <c r="B52" s="216"/>
      <c r="C52" s="73"/>
      <c r="D52" s="73"/>
      <c r="E52" s="78"/>
      <c r="F52" s="73"/>
      <c r="G52" s="73"/>
      <c r="H52" s="73"/>
      <c r="I52" s="73"/>
      <c r="J52" s="73"/>
      <c r="K52" s="73"/>
      <c r="L52" s="73"/>
      <c r="M52" s="73"/>
      <c r="N52" s="73"/>
    </row>
    <row r="53" spans="1:14" ht="15" thickBot="1" x14ac:dyDescent="0.4">
      <c r="A53" s="73"/>
      <c r="B53" s="73"/>
      <c r="C53" s="73"/>
      <c r="D53" s="73"/>
      <c r="E53" s="78"/>
      <c r="F53" s="73"/>
      <c r="G53" s="79" t="s">
        <v>296</v>
      </c>
      <c r="H53" s="87">
        <f>'1. In-situ status quo plan'!H27</f>
        <v>0</v>
      </c>
      <c r="I53" s="73"/>
      <c r="J53" s="79" t="s">
        <v>40</v>
      </c>
      <c r="K53" s="83">
        <f>SUM(K42:K51)</f>
        <v>0</v>
      </c>
      <c r="L53" s="73"/>
      <c r="M53" s="73"/>
      <c r="N53" s="73"/>
    </row>
    <row r="54" spans="1:14" x14ac:dyDescent="0.35">
      <c r="A54" s="73"/>
      <c r="B54" s="73"/>
      <c r="C54" s="73"/>
      <c r="D54" s="73"/>
      <c r="E54" s="73"/>
      <c r="F54" s="73"/>
      <c r="G54" s="73"/>
      <c r="H54" s="73"/>
      <c r="I54" s="73"/>
      <c r="J54" s="73"/>
      <c r="K54" s="73"/>
      <c r="L54" s="73"/>
      <c r="M54" s="73"/>
      <c r="N54" s="73"/>
    </row>
    <row r="55" spans="1:14" ht="15" thickBot="1" x14ac:dyDescent="0.4">
      <c r="A55" s="73"/>
      <c r="B55" s="73"/>
      <c r="C55" s="73"/>
      <c r="D55" s="73"/>
      <c r="E55" s="73"/>
      <c r="F55" s="73"/>
      <c r="G55" s="79" t="s">
        <v>39</v>
      </c>
      <c r="H55" s="78"/>
      <c r="I55" s="73"/>
      <c r="J55" s="73"/>
      <c r="K55" s="73"/>
      <c r="L55" s="73"/>
      <c r="M55" s="73"/>
      <c r="N55" s="73"/>
    </row>
    <row r="56" spans="1:14" x14ac:dyDescent="0.35">
      <c r="A56" s="73"/>
      <c r="B56" s="77"/>
      <c r="C56" s="94"/>
      <c r="D56" s="73"/>
      <c r="E56" s="73"/>
      <c r="F56" s="73"/>
      <c r="G56" s="77" t="s">
        <v>41</v>
      </c>
      <c r="H56" s="109"/>
      <c r="I56" s="73"/>
      <c r="J56" s="73"/>
      <c r="K56" s="73"/>
      <c r="L56" s="73"/>
      <c r="M56" s="73"/>
      <c r="N56" s="73"/>
    </row>
    <row r="57" spans="1:14" ht="15" thickBot="1" x14ac:dyDescent="0.4">
      <c r="A57" s="73"/>
      <c r="B57" s="73"/>
      <c r="C57" s="73"/>
      <c r="D57" s="73"/>
      <c r="E57" s="77"/>
      <c r="F57" s="94"/>
      <c r="G57" s="77" t="s">
        <v>196</v>
      </c>
      <c r="H57" s="110">
        <f>H56/230</f>
        <v>0</v>
      </c>
      <c r="I57" s="73"/>
      <c r="J57" s="73"/>
      <c r="K57" s="73"/>
      <c r="L57" s="73"/>
      <c r="M57" s="73"/>
      <c r="N57" s="73"/>
    </row>
    <row r="58" spans="1:14" x14ac:dyDescent="0.35">
      <c r="A58" s="73"/>
      <c r="B58" s="73"/>
      <c r="C58" s="73"/>
      <c r="D58" s="73"/>
      <c r="E58" s="77"/>
      <c r="F58" s="94"/>
      <c r="G58" s="77"/>
      <c r="H58" s="94"/>
      <c r="I58" s="73"/>
      <c r="J58" s="73"/>
      <c r="K58" s="73"/>
      <c r="L58" s="73"/>
      <c r="M58" s="73"/>
      <c r="N58" s="73"/>
    </row>
    <row r="59" spans="1:14" x14ac:dyDescent="0.35">
      <c r="A59" s="73"/>
      <c r="B59" s="73"/>
      <c r="C59" s="73"/>
      <c r="D59" s="73"/>
      <c r="E59" s="73"/>
      <c r="F59" s="73"/>
      <c r="G59" s="73"/>
      <c r="H59" s="73"/>
      <c r="I59" s="73"/>
      <c r="J59" s="73"/>
      <c r="K59" s="73"/>
      <c r="L59" s="73"/>
      <c r="M59" s="73"/>
      <c r="N59" s="73"/>
    </row>
    <row r="60" spans="1:14" x14ac:dyDescent="0.35">
      <c r="A60" s="73"/>
      <c r="B60" s="73"/>
      <c r="C60" s="73"/>
      <c r="D60" s="73"/>
      <c r="E60" s="73"/>
      <c r="F60" s="73"/>
      <c r="G60" s="73"/>
      <c r="H60" s="73"/>
      <c r="I60" s="73"/>
      <c r="J60" s="73"/>
      <c r="K60" s="73"/>
      <c r="L60" s="73"/>
      <c r="M60" s="73"/>
      <c r="N60" s="73"/>
    </row>
    <row r="61" spans="1:14" x14ac:dyDescent="0.35">
      <c r="A61" s="73"/>
      <c r="B61" s="73"/>
      <c r="C61" s="73"/>
      <c r="D61" s="73"/>
      <c r="E61" s="73"/>
      <c r="F61" s="73"/>
      <c r="G61" s="73"/>
      <c r="H61" s="73"/>
      <c r="I61" s="73"/>
      <c r="J61" s="73"/>
      <c r="K61" s="73"/>
      <c r="L61" s="73"/>
      <c r="M61" s="73"/>
      <c r="N61" s="73"/>
    </row>
    <row r="62" spans="1:14" x14ac:dyDescent="0.35">
      <c r="A62" s="73"/>
      <c r="B62" s="73"/>
      <c r="C62" s="73"/>
      <c r="D62" s="73"/>
      <c r="E62" s="73"/>
      <c r="F62" s="73"/>
      <c r="G62" s="73"/>
      <c r="H62" s="73"/>
      <c r="I62" s="73"/>
      <c r="J62" s="73"/>
      <c r="K62" s="73"/>
      <c r="L62" s="73"/>
      <c r="M62" s="73"/>
      <c r="N62" s="73"/>
    </row>
    <row r="63" spans="1:14" x14ac:dyDescent="0.35">
      <c r="A63" s="73"/>
      <c r="B63" s="73"/>
      <c r="C63" s="73"/>
      <c r="D63" s="73"/>
      <c r="E63" s="73"/>
      <c r="F63" s="73"/>
      <c r="G63" s="73"/>
      <c r="H63" s="73"/>
      <c r="I63" s="73"/>
      <c r="J63" s="73"/>
      <c r="K63" s="73"/>
      <c r="L63" s="73"/>
      <c r="M63" s="73"/>
      <c r="N63" s="73"/>
    </row>
    <row r="64" spans="1:14" x14ac:dyDescent="0.35">
      <c r="A64" s="73"/>
      <c r="B64" s="73"/>
      <c r="C64" s="73"/>
      <c r="D64" s="73"/>
      <c r="E64" s="73"/>
      <c r="F64" s="73"/>
      <c r="G64" s="73"/>
      <c r="H64" s="73"/>
      <c r="I64" s="73"/>
      <c r="J64" s="73"/>
      <c r="K64" s="73"/>
      <c r="L64" s="73"/>
      <c r="M64" s="73"/>
      <c r="N64" s="73"/>
    </row>
    <row r="65" spans="1:14" x14ac:dyDescent="0.35">
      <c r="A65" s="73"/>
      <c r="B65" s="73"/>
      <c r="C65" s="73"/>
      <c r="D65" s="73"/>
      <c r="E65" s="73"/>
      <c r="F65" s="73"/>
      <c r="G65" s="73"/>
      <c r="H65" s="73"/>
      <c r="I65" s="73"/>
      <c r="J65" s="73"/>
      <c r="K65" s="73"/>
      <c r="L65" s="73"/>
      <c r="M65" s="73"/>
      <c r="N65" s="73"/>
    </row>
    <row r="66" spans="1:14" ht="15" thickBot="1" x14ac:dyDescent="0.4">
      <c r="A66" s="73"/>
      <c r="B66" s="73"/>
      <c r="C66" s="73"/>
      <c r="D66" s="73"/>
      <c r="E66" s="73"/>
      <c r="F66" s="73"/>
      <c r="G66" s="73"/>
      <c r="H66" s="73"/>
      <c r="I66" s="73"/>
      <c r="J66" s="73"/>
      <c r="K66" s="73"/>
      <c r="L66" s="73"/>
      <c r="M66" s="73"/>
      <c r="N66" s="73"/>
    </row>
    <row r="67" spans="1:14" ht="15" thickBot="1" x14ac:dyDescent="0.4">
      <c r="A67" s="73"/>
      <c r="B67" s="74" t="s">
        <v>60</v>
      </c>
      <c r="C67" s="62" t="s">
        <v>29</v>
      </c>
      <c r="D67" s="81"/>
      <c r="E67" s="81"/>
      <c r="F67" s="64"/>
      <c r="G67" s="62" t="s">
        <v>30</v>
      </c>
      <c r="H67" s="63"/>
      <c r="I67" s="63"/>
      <c r="J67" s="64"/>
      <c r="K67" s="73"/>
      <c r="L67" s="73"/>
      <c r="M67" s="73"/>
      <c r="N67" s="73"/>
    </row>
    <row r="68" spans="1:14" ht="15" thickBot="1" x14ac:dyDescent="0.4">
      <c r="A68" s="75"/>
      <c r="B68" s="73"/>
      <c r="C68" s="408" t="s">
        <v>35</v>
      </c>
      <c r="D68" s="410" t="s">
        <v>36</v>
      </c>
      <c r="E68" s="97" t="s">
        <v>31</v>
      </c>
      <c r="F68" s="98" t="s">
        <v>32</v>
      </c>
      <c r="G68" s="99"/>
      <c r="H68" s="100"/>
      <c r="I68" s="97" t="s">
        <v>31</v>
      </c>
      <c r="J68" s="98" t="s">
        <v>33</v>
      </c>
      <c r="K68" s="101" t="s">
        <v>34</v>
      </c>
      <c r="L68" s="102" t="s">
        <v>63</v>
      </c>
      <c r="M68" s="73"/>
      <c r="N68" s="73"/>
    </row>
    <row r="69" spans="1:14" ht="15" customHeight="1" thickBot="1" x14ac:dyDescent="0.4">
      <c r="A69" s="73"/>
      <c r="B69" s="61" t="s">
        <v>43</v>
      </c>
      <c r="C69" s="409"/>
      <c r="D69" s="411"/>
      <c r="E69" s="103" t="s">
        <v>37</v>
      </c>
      <c r="F69" s="104" t="s">
        <v>38</v>
      </c>
      <c r="G69" s="105" t="s">
        <v>35</v>
      </c>
      <c r="H69" s="103" t="s">
        <v>36</v>
      </c>
      <c r="I69" s="103" t="s">
        <v>37</v>
      </c>
      <c r="J69" s="104" t="s">
        <v>38</v>
      </c>
      <c r="K69" s="106" t="s">
        <v>38</v>
      </c>
      <c r="L69" s="107" t="s">
        <v>64</v>
      </c>
      <c r="M69" s="73"/>
      <c r="N69" s="73"/>
    </row>
    <row r="70" spans="1:14" x14ac:dyDescent="0.35">
      <c r="A70" s="75">
        <v>1</v>
      </c>
      <c r="B70" s="376" t="str">
        <f>IF('1. In-situ status quo plan'!B16="","",'1. In-situ status quo plan'!B16)</f>
        <v/>
      </c>
      <c r="C70" s="377">
        <f>'1. In-situ status quo plan'!C16</f>
        <v>0</v>
      </c>
      <c r="D70" s="378">
        <f>'1. In-situ status quo plan'!D16</f>
        <v>0</v>
      </c>
      <c r="E70" s="378">
        <f>'1. In-situ status quo plan'!E16</f>
        <v>0</v>
      </c>
      <c r="F70" s="379">
        <f>'1. In-situ status quo plan'!F16</f>
        <v>0</v>
      </c>
      <c r="G70" s="377">
        <f>'1. In-situ status quo plan'!G16</f>
        <v>0</v>
      </c>
      <c r="H70" s="378">
        <f>'1. In-situ status quo plan'!H16</f>
        <v>0</v>
      </c>
      <c r="I70" s="378">
        <f>'1. In-situ status quo plan'!I16</f>
        <v>0</v>
      </c>
      <c r="J70" s="379">
        <f>'1. In-situ status quo plan'!J16</f>
        <v>0</v>
      </c>
      <c r="K70" s="350" t="e">
        <f t="shared" ref="K70:K79" si="1">(PV($H$81,D70,-(E70*$H$85+F70),0)-PV($H$81,(C70-1),-(E70*$H$85+F70),0))+(PV($H$81,H70,-(I70*$H$85+J70),0)-PV($H$81,(G70-1),-(I70*$H$85+J70),0))</f>
        <v>#VALUE!</v>
      </c>
      <c r="L70" s="380" t="str">
        <f>IF('1. In-situ status quo plan'!L16="","",'1. In-situ status quo plan'!L16)</f>
        <v/>
      </c>
      <c r="M70" s="73"/>
      <c r="N70" s="73"/>
    </row>
    <row r="71" spans="1:14" x14ac:dyDescent="0.35">
      <c r="A71" s="75">
        <v>2</v>
      </c>
      <c r="B71" s="381" t="str">
        <f>IF('1. In-situ status quo plan'!B17="","",'1. In-situ status quo plan'!B17)</f>
        <v/>
      </c>
      <c r="C71" s="382">
        <f>'1. In-situ status quo plan'!C17</f>
        <v>0</v>
      </c>
      <c r="D71" s="383">
        <f>'1. In-situ status quo plan'!D17</f>
        <v>0</v>
      </c>
      <c r="E71" s="383">
        <f>'1. In-situ status quo plan'!E17</f>
        <v>0</v>
      </c>
      <c r="F71" s="384">
        <f>'1. In-situ status quo plan'!F17</f>
        <v>0</v>
      </c>
      <c r="G71" s="382">
        <f>'1. In-situ status quo plan'!G17</f>
        <v>0</v>
      </c>
      <c r="H71" s="383">
        <f>'1. In-situ status quo plan'!H17</f>
        <v>0</v>
      </c>
      <c r="I71" s="383">
        <f>'1. In-situ status quo plan'!I17</f>
        <v>0</v>
      </c>
      <c r="J71" s="384">
        <f>'1. In-situ status quo plan'!J17</f>
        <v>0</v>
      </c>
      <c r="K71" s="357" t="e">
        <f t="shared" si="1"/>
        <v>#VALUE!</v>
      </c>
      <c r="L71" s="385" t="str">
        <f>IF('1. In-situ status quo plan'!L17="","",'1. In-situ status quo plan'!L17)</f>
        <v/>
      </c>
      <c r="M71" s="73"/>
      <c r="N71" s="73"/>
    </row>
    <row r="72" spans="1:14" x14ac:dyDescent="0.35">
      <c r="A72" s="75">
        <v>3</v>
      </c>
      <c r="B72" s="381" t="str">
        <f>IF('1. In-situ status quo plan'!B18="","",'1. In-situ status quo plan'!B18)</f>
        <v/>
      </c>
      <c r="C72" s="382">
        <f>'1. In-situ status quo plan'!C18</f>
        <v>0</v>
      </c>
      <c r="D72" s="383">
        <f>'1. In-situ status quo plan'!D18</f>
        <v>0</v>
      </c>
      <c r="E72" s="383">
        <f>'1. In-situ status quo plan'!E18</f>
        <v>0</v>
      </c>
      <c r="F72" s="384">
        <f>'1. In-situ status quo plan'!F18</f>
        <v>0</v>
      </c>
      <c r="G72" s="382">
        <f>'1. In-situ status quo plan'!G18</f>
        <v>0</v>
      </c>
      <c r="H72" s="383">
        <f>'1. In-situ status quo plan'!H18</f>
        <v>0</v>
      </c>
      <c r="I72" s="383">
        <f>'1. In-situ status quo plan'!I18</f>
        <v>0</v>
      </c>
      <c r="J72" s="384">
        <f>'1. In-situ status quo plan'!J18</f>
        <v>0</v>
      </c>
      <c r="K72" s="357" t="e">
        <f t="shared" si="1"/>
        <v>#VALUE!</v>
      </c>
      <c r="L72" s="385" t="str">
        <f>IF('1. In-situ status quo plan'!L18="","",'1. In-situ status quo plan'!L18)</f>
        <v/>
      </c>
      <c r="M72" s="73"/>
      <c r="N72" s="73"/>
    </row>
    <row r="73" spans="1:14" x14ac:dyDescent="0.35">
      <c r="A73" s="75">
        <v>4</v>
      </c>
      <c r="B73" s="381" t="str">
        <f>IF('1. In-situ status quo plan'!B19="","",'1. In-situ status quo plan'!B19)</f>
        <v/>
      </c>
      <c r="C73" s="382">
        <f>'1. In-situ status quo plan'!C19</f>
        <v>0</v>
      </c>
      <c r="D73" s="383">
        <f>'1. In-situ status quo plan'!D19</f>
        <v>0</v>
      </c>
      <c r="E73" s="383">
        <f>'1. In-situ status quo plan'!E19</f>
        <v>0</v>
      </c>
      <c r="F73" s="384">
        <f>'1. In-situ status quo plan'!F19</f>
        <v>0</v>
      </c>
      <c r="G73" s="382">
        <f>'1. In-situ status quo plan'!G19</f>
        <v>0</v>
      </c>
      <c r="H73" s="383">
        <f>'1. In-situ status quo plan'!H19</f>
        <v>0</v>
      </c>
      <c r="I73" s="383">
        <f>'1. In-situ status quo plan'!I19</f>
        <v>0</v>
      </c>
      <c r="J73" s="384">
        <f>'1. In-situ status quo plan'!J19</f>
        <v>0</v>
      </c>
      <c r="K73" s="357" t="e">
        <f t="shared" si="1"/>
        <v>#VALUE!</v>
      </c>
      <c r="L73" s="385" t="str">
        <f>IF('1. In-situ status quo plan'!L19="","",'1. In-situ status quo plan'!L19)</f>
        <v/>
      </c>
      <c r="M73" s="73"/>
      <c r="N73" s="73"/>
    </row>
    <row r="74" spans="1:14" x14ac:dyDescent="0.35">
      <c r="A74" s="75">
        <v>5</v>
      </c>
      <c r="B74" s="381" t="str">
        <f>IF('1. In-situ status quo plan'!B20="","",'1. In-situ status quo plan'!B20)</f>
        <v/>
      </c>
      <c r="C74" s="382">
        <f>'1. In-situ status quo plan'!C20</f>
        <v>0</v>
      </c>
      <c r="D74" s="383">
        <f>'1. In-situ status quo plan'!D20</f>
        <v>0</v>
      </c>
      <c r="E74" s="383">
        <f>'1. In-situ status quo plan'!E20</f>
        <v>0</v>
      </c>
      <c r="F74" s="384">
        <f>'1. In-situ status quo plan'!F20</f>
        <v>0</v>
      </c>
      <c r="G74" s="382">
        <f>'1. In-situ status quo plan'!G20</f>
        <v>0</v>
      </c>
      <c r="H74" s="383">
        <f>'1. In-situ status quo plan'!H20</f>
        <v>0</v>
      </c>
      <c r="I74" s="383">
        <f>'1. In-situ status quo plan'!I20</f>
        <v>0</v>
      </c>
      <c r="J74" s="384">
        <f>'1. In-situ status quo plan'!J20</f>
        <v>0</v>
      </c>
      <c r="K74" s="357" t="e">
        <f t="shared" si="1"/>
        <v>#VALUE!</v>
      </c>
      <c r="L74" s="385" t="str">
        <f>IF('1. In-situ status quo plan'!L20="","",'1. In-situ status quo plan'!L20)</f>
        <v/>
      </c>
      <c r="M74" s="73"/>
      <c r="N74" s="73"/>
    </row>
    <row r="75" spans="1:14" x14ac:dyDescent="0.35">
      <c r="A75" s="75">
        <v>6</v>
      </c>
      <c r="B75" s="381" t="str">
        <f>IF('1. In-situ status quo plan'!B21="","",'1. In-situ status quo plan'!B21)</f>
        <v/>
      </c>
      <c r="C75" s="382">
        <f>'1. In-situ status quo plan'!C21</f>
        <v>0</v>
      </c>
      <c r="D75" s="383">
        <f>'1. In-situ status quo plan'!D21</f>
        <v>0</v>
      </c>
      <c r="E75" s="383">
        <f>'1. In-situ status quo plan'!E21</f>
        <v>0</v>
      </c>
      <c r="F75" s="384">
        <f>'1. In-situ status quo plan'!F21</f>
        <v>0</v>
      </c>
      <c r="G75" s="382">
        <f>'1. In-situ status quo plan'!G21</f>
        <v>0</v>
      </c>
      <c r="H75" s="383">
        <f>'1. In-situ status quo plan'!H21</f>
        <v>0</v>
      </c>
      <c r="I75" s="383">
        <f>'1. In-situ status quo plan'!I21</f>
        <v>0</v>
      </c>
      <c r="J75" s="384">
        <f>'1. In-situ status quo plan'!J21</f>
        <v>0</v>
      </c>
      <c r="K75" s="357" t="e">
        <f t="shared" si="1"/>
        <v>#VALUE!</v>
      </c>
      <c r="L75" s="385" t="str">
        <f>IF('1. In-situ status quo plan'!L21="","",'1. In-situ status quo plan'!L21)</f>
        <v/>
      </c>
      <c r="M75" s="73"/>
      <c r="N75" s="73"/>
    </row>
    <row r="76" spans="1:14" x14ac:dyDescent="0.35">
      <c r="A76" s="75">
        <v>7</v>
      </c>
      <c r="B76" s="381" t="str">
        <f>IF('1. In-situ status quo plan'!B22="","",'1. In-situ status quo plan'!B22)</f>
        <v/>
      </c>
      <c r="C76" s="382">
        <f>'1. In-situ status quo plan'!C22</f>
        <v>0</v>
      </c>
      <c r="D76" s="383">
        <f>'1. In-situ status quo plan'!D22</f>
        <v>0</v>
      </c>
      <c r="E76" s="383">
        <f>'1. In-situ status quo plan'!E22</f>
        <v>0</v>
      </c>
      <c r="F76" s="384">
        <f>'1. In-situ status quo plan'!F22</f>
        <v>0</v>
      </c>
      <c r="G76" s="382">
        <f>'1. In-situ status quo plan'!G22</f>
        <v>0</v>
      </c>
      <c r="H76" s="383">
        <f>'1. In-situ status quo plan'!H22</f>
        <v>0</v>
      </c>
      <c r="I76" s="383">
        <f>'1. In-situ status quo plan'!I22</f>
        <v>0</v>
      </c>
      <c r="J76" s="384">
        <f>'1. In-situ status quo plan'!J22</f>
        <v>0</v>
      </c>
      <c r="K76" s="357" t="e">
        <f t="shared" si="1"/>
        <v>#VALUE!</v>
      </c>
      <c r="L76" s="385" t="str">
        <f>IF('1. In-situ status quo plan'!L22="","",'1. In-situ status quo plan'!L22)</f>
        <v/>
      </c>
      <c r="M76" s="73"/>
      <c r="N76" s="73"/>
    </row>
    <row r="77" spans="1:14" x14ac:dyDescent="0.35">
      <c r="A77" s="75">
        <v>8</v>
      </c>
      <c r="B77" s="381" t="str">
        <f>IF('1. In-situ status quo plan'!B23="","",'1. In-situ status quo plan'!B23)</f>
        <v/>
      </c>
      <c r="C77" s="382">
        <f>'1. In-situ status quo plan'!C23</f>
        <v>0</v>
      </c>
      <c r="D77" s="383">
        <f>'1. In-situ status quo plan'!D23</f>
        <v>0</v>
      </c>
      <c r="E77" s="383">
        <f>'1. In-situ status quo plan'!E23</f>
        <v>0</v>
      </c>
      <c r="F77" s="384">
        <f>'1. In-situ status quo plan'!F23</f>
        <v>0</v>
      </c>
      <c r="G77" s="382">
        <f>'1. In-situ status quo plan'!G23</f>
        <v>0</v>
      </c>
      <c r="H77" s="383">
        <f>'1. In-situ status quo plan'!H23</f>
        <v>0</v>
      </c>
      <c r="I77" s="383">
        <f>'1. In-situ status quo plan'!I23</f>
        <v>0</v>
      </c>
      <c r="J77" s="384">
        <f>'1. In-situ status quo plan'!J23</f>
        <v>0</v>
      </c>
      <c r="K77" s="357" t="e">
        <f t="shared" si="1"/>
        <v>#VALUE!</v>
      </c>
      <c r="L77" s="385" t="str">
        <f>IF('1. In-situ status quo plan'!L23="","",'1. In-situ status quo plan'!L23)</f>
        <v/>
      </c>
      <c r="M77" s="73"/>
      <c r="N77" s="73"/>
    </row>
    <row r="78" spans="1:14" x14ac:dyDescent="0.35">
      <c r="A78" s="75">
        <v>9</v>
      </c>
      <c r="B78" s="381" t="str">
        <f>IF('1. In-situ status quo plan'!B24="","",'1. In-situ status quo plan'!B24)</f>
        <v/>
      </c>
      <c r="C78" s="382">
        <f>'1. In-situ status quo plan'!C24</f>
        <v>0</v>
      </c>
      <c r="D78" s="383">
        <f>'1. In-situ status quo plan'!D24</f>
        <v>0</v>
      </c>
      <c r="E78" s="383">
        <f>'1. In-situ status quo plan'!E24</f>
        <v>0</v>
      </c>
      <c r="F78" s="384">
        <f>'1. In-situ status quo plan'!F24</f>
        <v>0</v>
      </c>
      <c r="G78" s="382">
        <f>'1. In-situ status quo plan'!G24</f>
        <v>0</v>
      </c>
      <c r="H78" s="383">
        <f>'1. In-situ status quo plan'!H24</f>
        <v>0</v>
      </c>
      <c r="I78" s="383">
        <f>'1. In-situ status quo plan'!I24</f>
        <v>0</v>
      </c>
      <c r="J78" s="384">
        <f>'1. In-situ status quo plan'!J24</f>
        <v>0</v>
      </c>
      <c r="K78" s="357" t="e">
        <f t="shared" si="1"/>
        <v>#VALUE!</v>
      </c>
      <c r="L78" s="385" t="str">
        <f>IF('1. In-situ status quo plan'!L24="","",'1. In-situ status quo plan'!L24)</f>
        <v/>
      </c>
      <c r="M78" s="73"/>
      <c r="N78" s="73"/>
    </row>
    <row r="79" spans="1:14" ht="15" thickBot="1" x14ac:dyDescent="0.4">
      <c r="A79" s="75">
        <v>10</v>
      </c>
      <c r="B79" s="386" t="str">
        <f>IF('1. In-situ status quo plan'!B25="","",'1. In-situ status quo plan'!B25)</f>
        <v/>
      </c>
      <c r="C79" s="387">
        <f>'1. In-situ status quo plan'!C25</f>
        <v>0</v>
      </c>
      <c r="D79" s="388">
        <f>'1. In-situ status quo plan'!D25</f>
        <v>0</v>
      </c>
      <c r="E79" s="388">
        <f>'1. In-situ status quo plan'!E25</f>
        <v>0</v>
      </c>
      <c r="F79" s="389">
        <f>'1. In-situ status quo plan'!F25</f>
        <v>0</v>
      </c>
      <c r="G79" s="387">
        <f>'1. In-situ status quo plan'!G25</f>
        <v>0</v>
      </c>
      <c r="H79" s="388">
        <f>'1. In-situ status quo plan'!H25</f>
        <v>0</v>
      </c>
      <c r="I79" s="388">
        <f>'1. In-situ status quo plan'!I25</f>
        <v>0</v>
      </c>
      <c r="J79" s="389">
        <f>'1. In-situ status quo plan'!J25</f>
        <v>0</v>
      </c>
      <c r="K79" s="364" t="e">
        <f t="shared" si="1"/>
        <v>#VALUE!</v>
      </c>
      <c r="L79" s="390" t="str">
        <f>IF('1. In-situ status quo plan'!L25="","",'1. In-situ status quo plan'!L25)</f>
        <v/>
      </c>
      <c r="M79" s="73"/>
      <c r="N79" s="73"/>
    </row>
    <row r="80" spans="1:14" ht="15" thickBot="1" x14ac:dyDescent="0.4">
      <c r="A80" s="73"/>
      <c r="B80" s="73"/>
      <c r="C80" s="73"/>
      <c r="D80" s="73"/>
      <c r="E80" s="73"/>
      <c r="F80" s="73"/>
      <c r="G80" s="73"/>
      <c r="I80" s="73"/>
      <c r="J80" s="73"/>
      <c r="K80" s="73"/>
      <c r="L80" s="73"/>
      <c r="M80" s="73"/>
      <c r="N80" s="73"/>
    </row>
    <row r="81" spans="1:14" ht="15" thickBot="1" x14ac:dyDescent="0.4">
      <c r="A81" s="73"/>
      <c r="B81" s="73"/>
      <c r="C81" s="73"/>
      <c r="D81" s="73"/>
      <c r="E81" s="73"/>
      <c r="F81" s="73"/>
      <c r="G81" s="79" t="s">
        <v>296</v>
      </c>
      <c r="H81" s="87" t="str">
        <f>IF('1. In-situ status quo plan'!H27="","",'1. In-situ status quo plan'!H27)</f>
        <v/>
      </c>
      <c r="I81" s="73"/>
      <c r="J81" s="79" t="s">
        <v>40</v>
      </c>
      <c r="K81" s="83" t="e">
        <f>SUM(K70:K79)</f>
        <v>#VALUE!</v>
      </c>
      <c r="L81" s="73"/>
      <c r="M81" s="73"/>
      <c r="N81" s="73"/>
    </row>
    <row r="82" spans="1:14" x14ac:dyDescent="0.35">
      <c r="A82" s="73"/>
      <c r="B82" s="73"/>
      <c r="C82" s="73"/>
      <c r="D82" s="73"/>
      <c r="E82" s="73"/>
      <c r="F82" s="73"/>
      <c r="G82" s="73"/>
      <c r="H82" s="73"/>
      <c r="I82" s="73"/>
      <c r="J82" s="73"/>
      <c r="K82" s="73"/>
      <c r="L82" s="73"/>
      <c r="M82" s="73"/>
      <c r="N82" s="73"/>
    </row>
    <row r="83" spans="1:14" ht="15" thickBot="1" x14ac:dyDescent="0.4">
      <c r="A83" s="73"/>
      <c r="B83" s="73"/>
      <c r="C83" s="73"/>
      <c r="D83" s="73"/>
      <c r="E83" s="73"/>
      <c r="F83" s="73"/>
      <c r="G83" s="79" t="s">
        <v>39</v>
      </c>
      <c r="H83" s="78"/>
      <c r="I83" s="73"/>
      <c r="J83" s="73"/>
      <c r="K83" s="73"/>
      <c r="L83" s="73"/>
      <c r="M83" s="73"/>
      <c r="N83" s="73"/>
    </row>
    <row r="84" spans="1:14" x14ac:dyDescent="0.35">
      <c r="A84" s="73"/>
      <c r="B84" s="73"/>
      <c r="C84" s="73"/>
      <c r="D84" s="73"/>
      <c r="E84" s="73"/>
      <c r="F84" s="73"/>
      <c r="G84" s="77" t="s">
        <v>41</v>
      </c>
      <c r="H84" s="108">
        <f>'1. In-situ status quo plan'!H30</f>
        <v>0</v>
      </c>
      <c r="I84" s="73"/>
      <c r="J84" s="73"/>
      <c r="K84" s="73"/>
      <c r="L84" s="73"/>
      <c r="M84" s="73"/>
      <c r="N84" s="73"/>
    </row>
    <row r="85" spans="1:14" ht="15" thickBot="1" x14ac:dyDescent="0.4">
      <c r="A85" s="73"/>
      <c r="B85" s="73"/>
      <c r="C85" s="73"/>
      <c r="D85" s="73"/>
      <c r="E85" s="73"/>
      <c r="F85" s="73"/>
      <c r="G85" s="77" t="s">
        <v>42</v>
      </c>
      <c r="H85" s="96">
        <f>H84/230</f>
        <v>0</v>
      </c>
      <c r="I85" s="73"/>
      <c r="J85" s="73"/>
      <c r="K85" s="73"/>
      <c r="L85" s="73"/>
      <c r="M85" s="73"/>
      <c r="N85" s="73"/>
    </row>
    <row r="86" spans="1:14" x14ac:dyDescent="0.35">
      <c r="A86" s="73"/>
      <c r="B86" s="73"/>
      <c r="C86" s="73"/>
      <c r="D86" s="73"/>
      <c r="E86" s="73"/>
      <c r="F86" s="73"/>
      <c r="G86" s="73"/>
      <c r="H86" s="73"/>
      <c r="I86" s="73"/>
      <c r="J86" s="73"/>
      <c r="K86" s="73"/>
      <c r="L86" s="73"/>
      <c r="M86" s="73"/>
      <c r="N86" s="73"/>
    </row>
    <row r="87" spans="1:14" x14ac:dyDescent="0.35">
      <c r="A87" s="73"/>
      <c r="B87" s="73"/>
      <c r="C87" s="73"/>
      <c r="D87" s="73"/>
      <c r="E87" s="73"/>
      <c r="F87" s="73"/>
      <c r="G87" s="73"/>
      <c r="H87" s="73"/>
      <c r="I87" s="73"/>
      <c r="J87" s="73"/>
      <c r="K87" s="73"/>
      <c r="L87" s="73"/>
      <c r="M87" s="73"/>
      <c r="N87" s="73"/>
    </row>
    <row r="88" spans="1:14" x14ac:dyDescent="0.35">
      <c r="A88" s="73"/>
      <c r="B88" s="73"/>
      <c r="C88" s="73"/>
      <c r="D88" s="73"/>
      <c r="E88" s="73"/>
      <c r="F88" s="73"/>
      <c r="G88" s="73"/>
      <c r="H88" s="73"/>
      <c r="I88" s="73"/>
      <c r="J88" s="73"/>
      <c r="K88" s="73"/>
      <c r="L88" s="73"/>
      <c r="M88" s="73"/>
      <c r="N88" s="73"/>
    </row>
    <row r="89" spans="1:14" ht="15" thickBot="1" x14ac:dyDescent="0.4">
      <c r="A89" s="73"/>
      <c r="B89" s="73"/>
      <c r="C89" s="73"/>
      <c r="D89" s="73"/>
      <c r="E89" s="73"/>
      <c r="F89" s="73"/>
      <c r="G89" s="73"/>
      <c r="H89" s="73"/>
      <c r="I89" s="73"/>
      <c r="J89" s="73"/>
      <c r="K89" s="73"/>
      <c r="L89" s="73"/>
      <c r="M89" s="73"/>
      <c r="N89" s="73"/>
    </row>
    <row r="90" spans="1:14" ht="15" thickBot="1" x14ac:dyDescent="0.4">
      <c r="A90" s="73"/>
      <c r="B90" s="73"/>
      <c r="C90" s="73"/>
      <c r="D90" s="73"/>
      <c r="E90" s="73"/>
      <c r="F90" s="73"/>
      <c r="G90" s="73"/>
      <c r="H90" s="73"/>
      <c r="I90" s="73"/>
      <c r="J90" s="79" t="s">
        <v>61</v>
      </c>
      <c r="K90" s="83" t="e">
        <f>K53+K81</f>
        <v>#VALUE!</v>
      </c>
      <c r="L90" s="73"/>
      <c r="M90" s="73"/>
      <c r="N90" s="73"/>
    </row>
    <row r="91" spans="1:14" x14ac:dyDescent="0.35">
      <c r="A91" s="73"/>
      <c r="B91" s="73"/>
      <c r="C91" s="73"/>
      <c r="D91" s="73"/>
      <c r="E91" s="73"/>
      <c r="F91" s="73"/>
      <c r="G91" s="73"/>
      <c r="H91" s="73"/>
      <c r="I91" s="73"/>
      <c r="J91" s="73"/>
      <c r="K91" s="73"/>
      <c r="L91" s="73"/>
      <c r="M91" s="73"/>
      <c r="N91" s="73"/>
    </row>
    <row r="92" spans="1:14" ht="15" thickBot="1" x14ac:dyDescent="0.4">
      <c r="A92" s="73"/>
      <c r="B92" s="73"/>
      <c r="C92" s="73"/>
      <c r="D92" s="73"/>
      <c r="E92" s="73"/>
      <c r="F92" s="73"/>
      <c r="G92" s="73"/>
      <c r="H92" s="73"/>
      <c r="I92" s="73"/>
      <c r="J92" s="73"/>
      <c r="K92" s="73"/>
      <c r="L92" s="73"/>
      <c r="M92" s="73"/>
      <c r="N92" s="73"/>
    </row>
    <row r="93" spans="1:14" ht="26.15" customHeight="1" thickBot="1" x14ac:dyDescent="0.4">
      <c r="A93" s="73"/>
      <c r="B93" s="73"/>
      <c r="C93" s="73"/>
      <c r="D93" s="73"/>
      <c r="E93" s="73"/>
      <c r="F93" s="73"/>
      <c r="G93" s="73"/>
      <c r="H93" s="73"/>
      <c r="I93" s="73"/>
      <c r="J93" s="113" t="s">
        <v>202</v>
      </c>
      <c r="K93" s="80" t="s">
        <v>38</v>
      </c>
      <c r="L93" s="73"/>
      <c r="M93" s="73"/>
      <c r="N93" s="73"/>
    </row>
    <row r="94" spans="1:14" x14ac:dyDescent="0.35">
      <c r="A94" s="73"/>
      <c r="B94" s="73"/>
      <c r="C94" s="73"/>
      <c r="D94" s="73"/>
      <c r="E94" s="73"/>
      <c r="F94" s="73"/>
      <c r="G94" s="73"/>
      <c r="H94" s="73"/>
      <c r="I94" s="73"/>
      <c r="J94" s="366">
        <f>'Initial information'!$D$20</f>
        <v>0</v>
      </c>
      <c r="K94" s="391">
        <f t="shared" ref="K94:K99" si="2">IF(J94="","",SUMIF(L$42:L$51,J94,K$42:K$51)+SUMIF(L$70:L$79,J94,K$70:K$79))</f>
        <v>0</v>
      </c>
      <c r="L94" s="73"/>
      <c r="M94" s="73"/>
      <c r="N94" s="73"/>
    </row>
    <row r="95" spans="1:14" x14ac:dyDescent="0.35">
      <c r="A95" s="73"/>
      <c r="B95" s="73"/>
      <c r="C95" s="73"/>
      <c r="D95" s="73"/>
      <c r="E95" s="73"/>
      <c r="F95" s="73"/>
      <c r="G95" s="73"/>
      <c r="H95" s="73"/>
      <c r="I95" s="73"/>
      <c r="J95" s="368" t="str">
        <f>IF('Initial information'!$D$21="","",IF(OR('Initial information'!$D$21='Initial information'!$D$20),"",'Initial information'!$D$21))</f>
        <v/>
      </c>
      <c r="K95" s="392" t="str">
        <f t="shared" si="2"/>
        <v/>
      </c>
      <c r="L95" s="73"/>
      <c r="M95" s="73"/>
      <c r="N95" s="73"/>
    </row>
    <row r="96" spans="1:14" x14ac:dyDescent="0.35">
      <c r="A96" s="73"/>
      <c r="B96" s="73"/>
      <c r="C96" s="73"/>
      <c r="D96" s="73"/>
      <c r="E96" s="73"/>
      <c r="F96" s="73"/>
      <c r="G96" s="73"/>
      <c r="H96" s="73"/>
      <c r="I96" s="73"/>
      <c r="J96" s="368" t="str">
        <f>IF('Initial information'!$D$22="","",IF(OR('Initial information'!$D$22='Initial information'!$D$21,'Initial information'!$D$22='Initial information'!$D$20),"",'Initial information'!$D$22))</f>
        <v/>
      </c>
      <c r="K96" s="392" t="str">
        <f t="shared" si="2"/>
        <v/>
      </c>
      <c r="L96" s="73"/>
      <c r="M96" s="73"/>
      <c r="N96" s="73"/>
    </row>
    <row r="97" spans="1:14" x14ac:dyDescent="0.35">
      <c r="A97" s="73"/>
      <c r="B97" s="73"/>
      <c r="C97" s="73"/>
      <c r="D97" s="73"/>
      <c r="E97" s="73"/>
      <c r="F97" s="73"/>
      <c r="G97" s="73"/>
      <c r="H97" s="73"/>
      <c r="I97" s="73"/>
      <c r="J97" s="368" t="str">
        <f>IF('Initial information'!$D$23="","",IF(OR('Initial information'!$D$23='Initial information'!$D$22,'Initial information'!$D$23='Initial information'!$D$21,'Initial information'!$D$23='Initial information'!$D$20),"",'Initial information'!$D$23))</f>
        <v/>
      </c>
      <c r="K97" s="392" t="str">
        <f t="shared" si="2"/>
        <v/>
      </c>
      <c r="L97" s="73"/>
      <c r="M97" s="73"/>
      <c r="N97" s="73"/>
    </row>
    <row r="98" spans="1:14" x14ac:dyDescent="0.35">
      <c r="A98" s="73"/>
      <c r="B98" s="73"/>
      <c r="C98" s="73"/>
      <c r="D98" s="73"/>
      <c r="E98" s="73"/>
      <c r="F98" s="73"/>
      <c r="G98" s="73"/>
      <c r="H98" s="73"/>
      <c r="I98" s="73"/>
      <c r="J98" s="368" t="str">
        <f>IF('Initial information'!$D$24="","",IF(OR('Initial information'!$D$24='Initial information'!$D$23,'Initial information'!$D$24='Initial information'!$D$22,'Initial information'!$D$24='Initial information'!$D$21,'Initial information'!$D$24='Initial information'!$D$20),"",'Initial information'!$D$24))</f>
        <v/>
      </c>
      <c r="K98" s="392" t="str">
        <f t="shared" si="2"/>
        <v/>
      </c>
      <c r="L98" s="73"/>
      <c r="M98" s="73"/>
      <c r="N98" s="73"/>
    </row>
    <row r="99" spans="1:14" ht="15" thickBot="1" x14ac:dyDescent="0.4">
      <c r="A99" s="73"/>
      <c r="B99" s="73"/>
      <c r="C99" s="73"/>
      <c r="D99" s="73"/>
      <c r="E99" s="73"/>
      <c r="F99" s="73"/>
      <c r="G99" s="73"/>
      <c r="I99" s="73"/>
      <c r="J99" s="370"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K99" s="393" t="str">
        <f t="shared" si="2"/>
        <v/>
      </c>
      <c r="L99" s="73"/>
      <c r="M99" s="73"/>
      <c r="N99" s="73"/>
    </row>
    <row r="100" spans="1:14" ht="15" thickBot="1" x14ac:dyDescent="0.4">
      <c r="A100" s="73"/>
      <c r="B100" s="73"/>
      <c r="C100" s="73"/>
      <c r="D100" s="73"/>
      <c r="E100" s="73"/>
      <c r="F100" s="73"/>
      <c r="G100" s="73"/>
      <c r="H100" s="73"/>
      <c r="I100" s="73"/>
      <c r="J100" s="79" t="s">
        <v>40</v>
      </c>
      <c r="K100" s="72">
        <f>SUM(K94:K99)</f>
        <v>0</v>
      </c>
      <c r="L100" s="73"/>
      <c r="M100" s="73"/>
      <c r="N100" s="73"/>
    </row>
    <row r="101" spans="1:14" x14ac:dyDescent="0.35">
      <c r="A101" s="73"/>
      <c r="B101" s="73"/>
      <c r="C101" s="73"/>
      <c r="D101" s="73"/>
      <c r="E101" s="73"/>
      <c r="F101" s="73"/>
      <c r="G101" s="73"/>
      <c r="H101" s="73"/>
      <c r="I101" s="73"/>
      <c r="J101" s="73"/>
      <c r="K101" s="73"/>
      <c r="L101" s="73"/>
      <c r="M101" s="73"/>
      <c r="N101" s="73"/>
    </row>
    <row r="102" spans="1:14" x14ac:dyDescent="0.35">
      <c r="A102" s="73"/>
      <c r="B102" s="73"/>
      <c r="C102" s="73"/>
      <c r="D102" s="73"/>
      <c r="E102" s="73"/>
      <c r="F102" s="73"/>
      <c r="G102" s="73"/>
      <c r="H102" s="73"/>
      <c r="I102" s="73"/>
      <c r="J102" s="73"/>
      <c r="K102" s="73"/>
      <c r="L102" s="73"/>
      <c r="M102" s="73"/>
      <c r="N102" s="73"/>
    </row>
    <row r="103" spans="1:14" x14ac:dyDescent="0.35">
      <c r="A103" s="73"/>
      <c r="B103" s="73"/>
      <c r="C103" s="73"/>
      <c r="D103" s="73"/>
      <c r="E103" s="73"/>
      <c r="F103" s="73"/>
      <c r="G103" s="73"/>
      <c r="H103" s="73"/>
      <c r="I103" s="73"/>
      <c r="J103" s="73"/>
      <c r="K103" s="73"/>
      <c r="L103" s="73"/>
      <c r="M103" s="73"/>
      <c r="N103" s="73"/>
    </row>
    <row r="104" spans="1:14" x14ac:dyDescent="0.35">
      <c r="A104" s="73"/>
      <c r="B104" s="73"/>
      <c r="C104" s="73"/>
      <c r="D104" s="73"/>
      <c r="E104" s="73"/>
      <c r="F104" s="73"/>
      <c r="G104" s="73"/>
      <c r="H104" s="73"/>
      <c r="I104" s="73"/>
      <c r="J104" s="73"/>
      <c r="K104" s="73"/>
      <c r="L104" s="73"/>
      <c r="M104" s="73"/>
      <c r="N104" s="73"/>
    </row>
    <row r="105" spans="1:14" x14ac:dyDescent="0.35">
      <c r="A105" s="73"/>
      <c r="B105" s="73"/>
      <c r="C105" s="73"/>
      <c r="D105" s="73"/>
      <c r="E105" s="73"/>
      <c r="F105" s="73"/>
      <c r="G105" s="73"/>
      <c r="H105" s="73"/>
      <c r="I105" s="73"/>
      <c r="J105" s="73"/>
      <c r="K105" s="73"/>
      <c r="L105" s="73"/>
      <c r="M105" s="73"/>
      <c r="N105" s="73"/>
    </row>
  </sheetData>
  <mergeCells count="7">
    <mergeCell ref="C68:C69"/>
    <mergeCell ref="D68:D69"/>
    <mergeCell ref="C40:C41"/>
    <mergeCell ref="D40:D41"/>
    <mergeCell ref="C17:F17"/>
    <mergeCell ref="C24:F24"/>
    <mergeCell ref="C30:F30"/>
  </mergeCells>
  <dataValidations count="1">
    <dataValidation type="list" allowBlank="1" showInputMessage="1" showErrorMessage="1" sqref="L70:L79">
      <formula1>$C$4:$C$13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touch!'!$A$2:$A$7</xm:f>
          </x14:formula1>
          <xm:sqref>L42:L51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48"/>
  <sheetViews>
    <sheetView zoomScale="80" zoomScaleNormal="80" workbookViewId="0"/>
  </sheetViews>
  <sheetFormatPr defaultRowHeight="14.5" x14ac:dyDescent="0.35"/>
  <cols>
    <col min="1" max="1" width="8.54296875" customWidth="1"/>
    <col min="2" max="2" width="35.26953125" customWidth="1"/>
    <col min="3" max="3" width="25.26953125" customWidth="1"/>
    <col min="4" max="4" width="20.7265625" customWidth="1"/>
    <col min="5" max="5" width="24.453125" customWidth="1"/>
    <col min="6" max="6" width="13.54296875" customWidth="1"/>
    <col min="7" max="7" width="14" customWidth="1"/>
    <col min="8" max="8" width="17.453125" customWidth="1"/>
  </cols>
  <sheetData>
    <row r="1" spans="1:21" ht="18.5" x14ac:dyDescent="0.45">
      <c r="A1" s="73"/>
      <c r="B1" s="266" t="s">
        <v>243</v>
      </c>
      <c r="C1" s="78"/>
      <c r="D1" s="73"/>
      <c r="E1" s="73"/>
      <c r="F1" s="73"/>
      <c r="G1" s="73"/>
      <c r="H1" s="73"/>
      <c r="I1" s="73"/>
      <c r="J1" s="73"/>
      <c r="K1" s="73"/>
      <c r="L1" s="73"/>
      <c r="M1" s="73"/>
      <c r="N1" s="73"/>
      <c r="O1" s="73"/>
      <c r="P1" s="73"/>
      <c r="Q1" s="73"/>
      <c r="R1" s="73"/>
      <c r="S1" s="73"/>
      <c r="T1" s="73"/>
      <c r="U1" s="73"/>
    </row>
    <row r="2" spans="1:21" x14ac:dyDescent="0.35">
      <c r="A2" s="73"/>
      <c r="B2" s="73"/>
      <c r="C2" s="73"/>
      <c r="D2" s="73"/>
      <c r="E2" s="73"/>
      <c r="F2" s="73"/>
      <c r="G2" s="73"/>
      <c r="H2" s="73"/>
      <c r="I2" s="73"/>
      <c r="J2" s="73"/>
      <c r="K2" s="73"/>
      <c r="L2" s="73"/>
      <c r="M2" s="73"/>
      <c r="N2" s="73"/>
      <c r="O2" s="73"/>
      <c r="P2" s="73"/>
      <c r="Q2" s="73"/>
      <c r="R2" s="73"/>
      <c r="S2" s="73"/>
      <c r="T2" s="73"/>
      <c r="U2" s="73"/>
    </row>
    <row r="3" spans="1:21" x14ac:dyDescent="0.35">
      <c r="A3" s="73"/>
      <c r="B3" s="73"/>
      <c r="C3" s="73"/>
      <c r="D3" s="73"/>
      <c r="E3" s="73"/>
      <c r="F3" s="73"/>
      <c r="G3" s="73"/>
      <c r="H3" s="73"/>
      <c r="I3" s="73"/>
      <c r="J3" s="73"/>
      <c r="K3" s="73"/>
      <c r="L3" s="73"/>
      <c r="M3" s="73"/>
      <c r="N3" s="73"/>
      <c r="O3" s="73"/>
      <c r="P3" s="73"/>
      <c r="Q3" s="73"/>
      <c r="R3" s="73"/>
      <c r="S3" s="73"/>
      <c r="T3" s="73"/>
      <c r="U3" s="73"/>
    </row>
    <row r="4" spans="1:21" x14ac:dyDescent="0.35">
      <c r="A4" s="73"/>
      <c r="B4" s="73"/>
      <c r="C4" s="73"/>
      <c r="D4" s="73"/>
      <c r="E4" s="73"/>
      <c r="F4" s="73"/>
      <c r="G4" s="73"/>
      <c r="H4" s="73"/>
      <c r="I4" s="73"/>
      <c r="J4" s="73"/>
      <c r="K4" s="73"/>
      <c r="L4" s="73"/>
      <c r="M4" s="73"/>
      <c r="N4" s="73"/>
      <c r="O4" s="73"/>
      <c r="P4" s="73"/>
      <c r="Q4" s="73"/>
      <c r="R4" s="73"/>
      <c r="S4" s="73"/>
      <c r="T4" s="73"/>
      <c r="U4" s="73"/>
    </row>
    <row r="5" spans="1:21" x14ac:dyDescent="0.35">
      <c r="A5" s="73"/>
      <c r="B5" s="73"/>
      <c r="C5" s="73"/>
      <c r="D5" s="73"/>
      <c r="E5" s="73"/>
      <c r="F5" s="73"/>
      <c r="G5" s="73"/>
      <c r="H5" s="73"/>
      <c r="I5" s="73"/>
      <c r="J5" s="73"/>
      <c r="K5" s="73"/>
      <c r="L5" s="73"/>
      <c r="M5" s="73"/>
      <c r="N5" s="73"/>
      <c r="O5" s="73"/>
      <c r="P5" s="73"/>
      <c r="Q5" s="73"/>
      <c r="R5" s="73"/>
      <c r="S5" s="73"/>
      <c r="T5" s="73"/>
      <c r="U5" s="73"/>
    </row>
    <row r="6" spans="1:21" x14ac:dyDescent="0.35">
      <c r="A6" s="74"/>
      <c r="B6" s="74"/>
      <c r="C6" s="73"/>
      <c r="D6" s="73"/>
      <c r="E6" s="73"/>
      <c r="F6" s="73"/>
      <c r="G6" s="73"/>
      <c r="H6" s="73"/>
      <c r="I6" s="73"/>
      <c r="J6" s="73"/>
      <c r="K6" s="73"/>
      <c r="L6" s="73"/>
      <c r="M6" s="73"/>
      <c r="N6" s="73"/>
      <c r="O6" s="73"/>
      <c r="P6" s="73"/>
      <c r="Q6" s="73"/>
      <c r="R6" s="73"/>
      <c r="S6" s="73"/>
      <c r="T6" s="73"/>
      <c r="U6" s="73"/>
    </row>
    <row r="7" spans="1:21" x14ac:dyDescent="0.35">
      <c r="A7" s="73"/>
      <c r="B7" s="73"/>
      <c r="C7" s="73"/>
      <c r="D7" s="73"/>
      <c r="E7" s="73"/>
      <c r="F7" s="73"/>
      <c r="G7" s="73"/>
      <c r="H7" s="73"/>
      <c r="I7" s="73"/>
      <c r="J7" s="73"/>
      <c r="K7" s="73"/>
      <c r="L7" s="73"/>
      <c r="M7" s="73"/>
      <c r="N7" s="73"/>
      <c r="O7" s="73"/>
      <c r="P7" s="73"/>
      <c r="Q7" s="73"/>
      <c r="R7" s="73"/>
      <c r="S7" s="73"/>
      <c r="T7" s="73"/>
      <c r="U7" s="73"/>
    </row>
    <row r="8" spans="1:21" x14ac:dyDescent="0.35">
      <c r="A8" s="73"/>
      <c r="B8" s="73"/>
      <c r="C8" s="73"/>
      <c r="D8" s="73"/>
      <c r="E8" s="73"/>
      <c r="F8" s="73"/>
      <c r="G8" s="73"/>
      <c r="H8" s="73"/>
      <c r="I8" s="73"/>
      <c r="J8" s="73"/>
      <c r="K8" s="73"/>
      <c r="L8" s="73"/>
      <c r="M8" s="73"/>
      <c r="N8" s="73"/>
      <c r="O8" s="73"/>
      <c r="P8" s="73"/>
      <c r="Q8" s="73"/>
      <c r="R8" s="73"/>
      <c r="S8" s="73"/>
      <c r="T8" s="73"/>
      <c r="U8" s="73"/>
    </row>
    <row r="9" spans="1:21" x14ac:dyDescent="0.35">
      <c r="A9" s="73"/>
      <c r="B9" s="73"/>
      <c r="C9" s="73"/>
      <c r="D9" s="73"/>
      <c r="E9" s="73"/>
      <c r="F9" s="73"/>
      <c r="G9" s="73"/>
      <c r="H9" s="73"/>
      <c r="I9" s="73"/>
      <c r="J9" s="73"/>
      <c r="K9" s="73"/>
      <c r="L9" s="73"/>
      <c r="M9" s="73"/>
      <c r="N9" s="73"/>
      <c r="O9" s="73"/>
      <c r="P9" s="73"/>
      <c r="Q9" s="73"/>
      <c r="R9" s="73"/>
      <c r="S9" s="73"/>
      <c r="T9" s="73"/>
      <c r="U9" s="73"/>
    </row>
    <row r="10" spans="1:21" ht="15" thickBot="1" x14ac:dyDescent="0.4">
      <c r="A10" s="73"/>
      <c r="B10" s="73"/>
      <c r="C10" s="73"/>
      <c r="D10" s="73"/>
      <c r="E10" s="73"/>
      <c r="F10" s="73"/>
      <c r="G10" s="73"/>
      <c r="H10" s="73"/>
      <c r="I10" s="73"/>
      <c r="J10" s="75"/>
      <c r="K10" s="75"/>
      <c r="L10" s="75"/>
      <c r="M10" s="75"/>
      <c r="N10" s="73"/>
      <c r="O10" s="73"/>
      <c r="P10" s="73"/>
      <c r="Q10" s="73"/>
      <c r="R10" s="73"/>
      <c r="S10" s="73"/>
      <c r="T10" s="73"/>
      <c r="U10" s="73"/>
    </row>
    <row r="11" spans="1:21" ht="15" thickBot="1" x14ac:dyDescent="0.4">
      <c r="A11" s="73"/>
      <c r="B11" s="8"/>
      <c r="C11" s="30" t="s">
        <v>203</v>
      </c>
      <c r="D11" s="293">
        <f>IFERROR('2. Ex-situ plan'!K90/'1. In-situ status quo plan'!$K$27,1)</f>
        <v>1</v>
      </c>
      <c r="E11" s="8"/>
      <c r="F11" s="73"/>
      <c r="G11" s="73"/>
      <c r="H11" s="73"/>
      <c r="I11" s="73"/>
      <c r="J11" s="95"/>
      <c r="K11" s="114"/>
      <c r="L11" s="115"/>
      <c r="M11" s="95"/>
      <c r="N11" s="73"/>
      <c r="O11" s="73"/>
      <c r="P11" s="73"/>
      <c r="Q11" s="73"/>
      <c r="R11" s="73"/>
      <c r="S11" s="73"/>
      <c r="T11" s="73"/>
      <c r="U11" s="73"/>
    </row>
    <row r="12" spans="1:21" ht="15" thickBot="1" x14ac:dyDescent="0.4">
      <c r="A12" s="73"/>
      <c r="B12" s="73"/>
      <c r="C12" s="73"/>
      <c r="D12" s="73"/>
      <c r="E12" s="73"/>
      <c r="F12" s="73"/>
      <c r="G12" s="73"/>
      <c r="H12" s="73"/>
      <c r="I12" s="73"/>
      <c r="J12" s="95"/>
      <c r="K12" s="114"/>
      <c r="L12" s="115"/>
      <c r="M12" s="95"/>
      <c r="N12" s="73"/>
      <c r="O12" s="73"/>
      <c r="P12" s="73"/>
      <c r="Q12" s="73"/>
      <c r="R12" s="73"/>
      <c r="S12" s="73"/>
      <c r="T12" s="73"/>
      <c r="U12" s="73"/>
    </row>
    <row r="13" spans="1:21" ht="15" thickBot="1" x14ac:dyDescent="0.4">
      <c r="A13" s="73"/>
      <c r="B13" s="73"/>
      <c r="C13" s="73"/>
      <c r="D13" s="85" t="s">
        <v>34</v>
      </c>
      <c r="E13" s="70" t="s">
        <v>63</v>
      </c>
      <c r="F13" s="73"/>
      <c r="G13" s="75"/>
      <c r="H13" s="75"/>
      <c r="I13" s="75"/>
      <c r="J13" s="75"/>
      <c r="K13" s="73"/>
      <c r="L13" s="73"/>
      <c r="M13" s="73"/>
      <c r="N13" s="73"/>
      <c r="O13" s="73"/>
      <c r="P13" s="73"/>
      <c r="Q13" s="73"/>
      <c r="R13" s="73"/>
      <c r="S13" s="73"/>
      <c r="T13" s="73"/>
      <c r="U13" s="73"/>
    </row>
    <row r="14" spans="1:21" ht="15" thickBot="1" x14ac:dyDescent="0.4">
      <c r="A14" s="75"/>
      <c r="B14" s="423" t="s">
        <v>43</v>
      </c>
      <c r="C14" s="418"/>
      <c r="D14" s="86" t="s">
        <v>38</v>
      </c>
      <c r="E14" s="86" t="s">
        <v>64</v>
      </c>
      <c r="F14" s="73"/>
      <c r="G14" s="75"/>
      <c r="H14" s="75"/>
      <c r="I14" s="75"/>
      <c r="J14" s="75"/>
      <c r="K14" s="73"/>
      <c r="L14" s="73"/>
      <c r="M14" s="73"/>
      <c r="N14" s="73"/>
      <c r="O14" s="73"/>
      <c r="P14" s="73"/>
      <c r="Q14" s="73"/>
      <c r="R14" s="73"/>
      <c r="S14" s="73"/>
      <c r="T14" s="73"/>
      <c r="U14" s="73"/>
    </row>
    <row r="15" spans="1:21" ht="15" customHeight="1" x14ac:dyDescent="0.35">
      <c r="A15" s="75">
        <v>1</v>
      </c>
      <c r="B15" s="424" t="str">
        <f>IF('1. In-situ status quo plan'!$B$16="","",'1. In-situ status quo plan'!$B$16)</f>
        <v/>
      </c>
      <c r="C15" s="425"/>
      <c r="D15" s="350">
        <f>D$11*'1. In-situ status quo plan'!$K16</f>
        <v>0</v>
      </c>
      <c r="E15" s="380" t="str">
        <f>IF('1. In-situ status quo plan'!L16="","",'1. In-situ status quo plan'!L16)</f>
        <v/>
      </c>
      <c r="F15" s="73"/>
      <c r="G15" s="73"/>
      <c r="H15" s="73"/>
      <c r="I15" s="73"/>
      <c r="J15" s="73"/>
      <c r="K15" s="73"/>
      <c r="L15" s="73"/>
      <c r="M15" s="73"/>
      <c r="N15" s="73"/>
      <c r="O15" s="73"/>
      <c r="P15" s="73"/>
      <c r="Q15" s="73"/>
      <c r="R15" s="73"/>
      <c r="S15" s="73"/>
      <c r="T15" s="73"/>
      <c r="U15" s="73"/>
    </row>
    <row r="16" spans="1:21" x14ac:dyDescent="0.35">
      <c r="A16" s="75">
        <v>2</v>
      </c>
      <c r="B16" s="419" t="str">
        <f>IF('1. In-situ status quo plan'!$B$17="","",'1. In-situ status quo plan'!$B$17)</f>
        <v/>
      </c>
      <c r="C16" s="420"/>
      <c r="D16" s="357">
        <f>D$11*'1. In-situ status quo plan'!$K17</f>
        <v>0</v>
      </c>
      <c r="E16" s="385" t="str">
        <f>IF('1. In-situ status quo plan'!L17="","",'1. In-situ status quo plan'!L17)</f>
        <v/>
      </c>
      <c r="F16" s="73"/>
      <c r="G16" s="73"/>
      <c r="H16" s="73"/>
      <c r="I16" s="73"/>
      <c r="J16" s="73"/>
      <c r="K16" s="73"/>
      <c r="L16" s="73"/>
      <c r="M16" s="73"/>
      <c r="N16" s="73"/>
      <c r="O16" s="73"/>
      <c r="P16" s="73"/>
      <c r="Q16" s="73"/>
      <c r="R16" s="73"/>
      <c r="S16" s="73"/>
      <c r="T16" s="73"/>
      <c r="U16" s="73"/>
    </row>
    <row r="17" spans="1:21" x14ac:dyDescent="0.35">
      <c r="A17" s="75">
        <v>3</v>
      </c>
      <c r="B17" s="419" t="str">
        <f>IF('1. In-situ status quo plan'!$B$18="","",'1. In-situ status quo plan'!$B$18)</f>
        <v/>
      </c>
      <c r="C17" s="420"/>
      <c r="D17" s="357">
        <f>D$11*'1. In-situ status quo plan'!$K18</f>
        <v>0</v>
      </c>
      <c r="E17" s="385" t="str">
        <f>IF('1. In-situ status quo plan'!L18="","",'1. In-situ status quo plan'!L18)</f>
        <v/>
      </c>
      <c r="F17" s="73"/>
      <c r="G17" s="73"/>
      <c r="H17" s="73"/>
      <c r="I17" s="73"/>
      <c r="J17" s="73"/>
      <c r="K17" s="73"/>
      <c r="L17" s="73"/>
      <c r="M17" s="73"/>
      <c r="N17" s="73"/>
      <c r="O17" s="73"/>
      <c r="P17" s="73"/>
      <c r="Q17" s="73"/>
      <c r="R17" s="73"/>
      <c r="S17" s="73"/>
      <c r="T17" s="73"/>
      <c r="U17" s="73"/>
    </row>
    <row r="18" spans="1:21" x14ac:dyDescent="0.35">
      <c r="A18" s="75">
        <v>4</v>
      </c>
      <c r="B18" s="419" t="str">
        <f>IF('1. In-situ status quo plan'!$B$19="","",'1. In-situ status quo plan'!$B$19)</f>
        <v/>
      </c>
      <c r="C18" s="420"/>
      <c r="D18" s="357">
        <f>D$11*'1. In-situ status quo plan'!$K19</f>
        <v>0</v>
      </c>
      <c r="E18" s="385" t="str">
        <f>IF('1. In-situ status quo plan'!L19="","",'1. In-situ status quo plan'!L19)</f>
        <v/>
      </c>
      <c r="F18" s="73"/>
      <c r="G18" s="73"/>
      <c r="H18" s="73"/>
      <c r="I18" s="73"/>
      <c r="J18" s="73"/>
      <c r="K18" s="73"/>
      <c r="L18" s="73"/>
      <c r="M18" s="73"/>
      <c r="N18" s="73"/>
      <c r="O18" s="73"/>
      <c r="P18" s="73"/>
      <c r="Q18" s="73"/>
      <c r="R18" s="73"/>
      <c r="S18" s="73"/>
      <c r="T18" s="73"/>
      <c r="U18" s="73"/>
    </row>
    <row r="19" spans="1:21" x14ac:dyDescent="0.35">
      <c r="A19" s="75">
        <v>5</v>
      </c>
      <c r="B19" s="419" t="str">
        <f>IF('1. In-situ status quo plan'!$B$20="","",'1. In-situ status quo plan'!$B$20)</f>
        <v/>
      </c>
      <c r="C19" s="420"/>
      <c r="D19" s="357">
        <f>D$11*'1. In-situ status quo plan'!$K20</f>
        <v>0</v>
      </c>
      <c r="E19" s="385" t="str">
        <f>IF('1. In-situ status quo plan'!L20="","",'1. In-situ status quo plan'!L20)</f>
        <v/>
      </c>
      <c r="F19" s="73"/>
      <c r="G19" s="73"/>
      <c r="H19" s="73"/>
      <c r="I19" s="73"/>
      <c r="J19" s="73"/>
      <c r="K19" s="73"/>
      <c r="L19" s="73"/>
      <c r="M19" s="73"/>
      <c r="N19" s="73"/>
      <c r="O19" s="73"/>
      <c r="P19" s="73"/>
      <c r="Q19" s="73"/>
      <c r="R19" s="73"/>
      <c r="S19" s="73"/>
      <c r="T19" s="73"/>
      <c r="U19" s="73"/>
    </row>
    <row r="20" spans="1:21" x14ac:dyDescent="0.35">
      <c r="A20" s="75">
        <v>6</v>
      </c>
      <c r="B20" s="419" t="str">
        <f>IF('1. In-situ status quo plan'!$B$21="","",'1. In-situ status quo plan'!$B$21)</f>
        <v/>
      </c>
      <c r="C20" s="420"/>
      <c r="D20" s="357">
        <f>D$11*'1. In-situ status quo plan'!$K21</f>
        <v>0</v>
      </c>
      <c r="E20" s="385" t="str">
        <f>IF('1. In-situ status quo plan'!L21="","",'1. In-situ status quo plan'!L21)</f>
        <v/>
      </c>
      <c r="F20" s="73"/>
      <c r="G20" s="73"/>
      <c r="H20" s="73"/>
      <c r="I20" s="73"/>
      <c r="J20" s="73"/>
      <c r="K20" s="73"/>
      <c r="L20" s="73"/>
      <c r="M20" s="73"/>
      <c r="N20" s="73"/>
      <c r="O20" s="73"/>
      <c r="P20" s="73"/>
      <c r="Q20" s="73"/>
      <c r="R20" s="73"/>
      <c r="S20" s="73"/>
      <c r="T20" s="73"/>
      <c r="U20" s="73"/>
    </row>
    <row r="21" spans="1:21" x14ac:dyDescent="0.35">
      <c r="A21" s="75">
        <v>7</v>
      </c>
      <c r="B21" s="419" t="str">
        <f>IF('1. In-situ status quo plan'!$B$22="","",'1. In-situ status quo plan'!$B$22)</f>
        <v/>
      </c>
      <c r="C21" s="420"/>
      <c r="D21" s="357">
        <f>D$11*'1. In-situ status quo plan'!$K22</f>
        <v>0</v>
      </c>
      <c r="E21" s="385" t="str">
        <f>IF('1. In-situ status quo plan'!L22="","",'1. In-situ status quo plan'!L22)</f>
        <v/>
      </c>
      <c r="F21" s="73"/>
      <c r="G21" s="73"/>
      <c r="H21" s="73"/>
      <c r="I21" s="73"/>
      <c r="J21" s="73"/>
      <c r="K21" s="73"/>
      <c r="L21" s="73"/>
      <c r="M21" s="73"/>
      <c r="N21" s="73"/>
      <c r="O21" s="73"/>
      <c r="P21" s="73"/>
      <c r="Q21" s="73"/>
      <c r="R21" s="73"/>
      <c r="S21" s="73"/>
      <c r="T21" s="73"/>
      <c r="U21" s="73"/>
    </row>
    <row r="22" spans="1:21" x14ac:dyDescent="0.35">
      <c r="A22" s="75">
        <v>8</v>
      </c>
      <c r="B22" s="419" t="str">
        <f>IF('1. In-situ status quo plan'!$B$23="","",'1. In-situ status quo plan'!$B$23)</f>
        <v/>
      </c>
      <c r="C22" s="420"/>
      <c r="D22" s="357">
        <f>D$11*'1. In-situ status quo plan'!$K23</f>
        <v>0</v>
      </c>
      <c r="E22" s="385" t="str">
        <f>IF('1. In-situ status quo plan'!L23="","",'1. In-situ status quo plan'!L23)</f>
        <v/>
      </c>
      <c r="F22" s="73"/>
      <c r="G22" s="73"/>
      <c r="H22" s="73"/>
      <c r="I22" s="73"/>
      <c r="J22" s="73"/>
      <c r="K22" s="73"/>
      <c r="L22" s="73"/>
      <c r="M22" s="73"/>
      <c r="N22" s="73"/>
      <c r="O22" s="73"/>
      <c r="P22" s="73"/>
      <c r="Q22" s="73"/>
      <c r="R22" s="73"/>
      <c r="S22" s="73"/>
      <c r="T22" s="73"/>
      <c r="U22" s="73"/>
    </row>
    <row r="23" spans="1:21" x14ac:dyDescent="0.35">
      <c r="A23" s="75">
        <v>9</v>
      </c>
      <c r="B23" s="419" t="str">
        <f>IF('1. In-situ status quo plan'!$B$24="","",'1. In-situ status quo plan'!$B$24)</f>
        <v/>
      </c>
      <c r="C23" s="420"/>
      <c r="D23" s="357">
        <f>D$11*'1. In-situ status quo plan'!$K24</f>
        <v>0</v>
      </c>
      <c r="E23" s="385" t="str">
        <f>IF('1. In-situ status quo plan'!L24="","",'1. In-situ status quo plan'!L24)</f>
        <v/>
      </c>
      <c r="F23" s="73"/>
      <c r="G23" s="73"/>
      <c r="H23" s="73"/>
      <c r="I23" s="73"/>
      <c r="J23" s="73"/>
      <c r="K23" s="73"/>
      <c r="L23" s="73"/>
      <c r="M23" s="73"/>
      <c r="N23" s="73"/>
      <c r="O23" s="73"/>
      <c r="P23" s="73"/>
      <c r="Q23" s="73"/>
      <c r="R23" s="73"/>
      <c r="S23" s="73"/>
      <c r="T23" s="73"/>
      <c r="U23" s="73"/>
    </row>
    <row r="24" spans="1:21" ht="15" thickBot="1" x14ac:dyDescent="0.4">
      <c r="A24" s="75">
        <v>10</v>
      </c>
      <c r="B24" s="421" t="str">
        <f>IF('1. In-situ status quo plan'!$B$25="","",'1. In-situ status quo plan'!$B$25)</f>
        <v/>
      </c>
      <c r="C24" s="422"/>
      <c r="D24" s="364">
        <f>D$11*'1. In-situ status quo plan'!$K25</f>
        <v>0</v>
      </c>
      <c r="E24" s="390" t="str">
        <f>IF('1. In-situ status quo plan'!L25="","",'1. In-situ status quo plan'!L25)</f>
        <v/>
      </c>
      <c r="F24" s="73"/>
      <c r="G24" s="73"/>
      <c r="H24" s="73"/>
      <c r="I24" s="73"/>
      <c r="J24" s="73"/>
      <c r="K24" s="73"/>
      <c r="L24" s="73"/>
      <c r="M24" s="73"/>
      <c r="N24" s="73"/>
      <c r="O24" s="73"/>
      <c r="P24" s="73"/>
      <c r="Q24" s="73"/>
      <c r="R24" s="73"/>
      <c r="S24" s="73"/>
      <c r="T24" s="73"/>
      <c r="U24" s="73"/>
    </row>
    <row r="25" spans="1:21" ht="15" thickBot="1" x14ac:dyDescent="0.4">
      <c r="A25" s="73"/>
      <c r="B25" s="73"/>
      <c r="C25" s="73"/>
      <c r="D25" s="73"/>
      <c r="E25" s="73"/>
      <c r="F25" s="73"/>
      <c r="G25" s="73"/>
      <c r="H25" s="73"/>
      <c r="I25" s="73"/>
      <c r="J25" s="73"/>
      <c r="K25" s="73"/>
      <c r="L25" s="73"/>
      <c r="M25" s="73"/>
      <c r="N25" s="73"/>
      <c r="O25" s="73"/>
      <c r="P25" s="73"/>
      <c r="Q25" s="73"/>
      <c r="R25" s="73"/>
      <c r="S25" s="73"/>
      <c r="T25" s="73"/>
      <c r="U25" s="73"/>
    </row>
    <row r="26" spans="1:21" ht="15" thickBot="1" x14ac:dyDescent="0.4">
      <c r="A26" s="73"/>
      <c r="B26" s="73"/>
      <c r="C26" s="79" t="s">
        <v>34</v>
      </c>
      <c r="D26" s="83">
        <f>SUM(D15:D24)</f>
        <v>0</v>
      </c>
      <c r="E26" s="73"/>
      <c r="F26" s="73"/>
      <c r="G26" s="73"/>
      <c r="H26" s="73"/>
      <c r="I26" s="73"/>
      <c r="J26" s="73"/>
      <c r="K26" s="73"/>
      <c r="L26" s="73"/>
      <c r="M26" s="73"/>
      <c r="N26" s="73"/>
      <c r="O26" s="73"/>
      <c r="P26" s="73"/>
      <c r="Q26" s="73"/>
      <c r="R26" s="73"/>
      <c r="S26" s="73"/>
      <c r="T26" s="73"/>
      <c r="U26" s="73"/>
    </row>
    <row r="27" spans="1:21" ht="15" thickBot="1" x14ac:dyDescent="0.4">
      <c r="A27" s="73"/>
      <c r="B27" s="73"/>
      <c r="C27" s="77"/>
      <c r="D27" s="73"/>
      <c r="E27" s="73"/>
      <c r="F27" s="73"/>
      <c r="G27" s="73"/>
      <c r="H27" s="73"/>
      <c r="I27" s="73"/>
      <c r="J27" s="73"/>
      <c r="K27" s="73"/>
      <c r="L27" s="73"/>
      <c r="M27" s="73"/>
      <c r="N27" s="73"/>
      <c r="O27" s="73"/>
      <c r="P27" s="73"/>
      <c r="Q27" s="73"/>
      <c r="R27" s="73"/>
      <c r="S27" s="73"/>
      <c r="T27" s="73"/>
      <c r="U27" s="73"/>
    </row>
    <row r="28" spans="1:21" ht="15" thickBot="1" x14ac:dyDescent="0.4">
      <c r="A28" s="73"/>
      <c r="B28" s="73"/>
      <c r="C28" s="62" t="s">
        <v>151</v>
      </c>
      <c r="D28" s="80" t="s">
        <v>38</v>
      </c>
      <c r="E28" s="73"/>
      <c r="F28" s="73"/>
      <c r="G28" s="73"/>
      <c r="H28" s="73"/>
      <c r="I28" s="73"/>
      <c r="J28" s="73"/>
      <c r="K28" s="73"/>
      <c r="L28" s="73"/>
      <c r="M28" s="73"/>
      <c r="N28" s="73"/>
      <c r="O28" s="73"/>
      <c r="P28" s="73"/>
      <c r="Q28" s="73"/>
      <c r="R28" s="73"/>
      <c r="S28" s="73"/>
      <c r="T28" s="73"/>
      <c r="U28" s="73"/>
    </row>
    <row r="29" spans="1:21" x14ac:dyDescent="0.35">
      <c r="A29" s="73"/>
      <c r="B29" s="73"/>
      <c r="C29" s="366">
        <f>'Initial information'!$D$20</f>
        <v>0</v>
      </c>
      <c r="D29" s="394">
        <f t="shared" ref="D29:D34" si="0">IF(C29="","",SUMIF(E$15:E$24,C29,D$15:D$24))</f>
        <v>0</v>
      </c>
      <c r="E29" s="73"/>
      <c r="F29" s="73"/>
      <c r="G29" s="73"/>
      <c r="H29" s="73"/>
      <c r="I29" s="73"/>
      <c r="J29" s="73"/>
      <c r="K29" s="73"/>
      <c r="L29" s="73"/>
      <c r="M29" s="73"/>
      <c r="N29" s="73"/>
      <c r="O29" s="73"/>
      <c r="P29" s="73"/>
      <c r="Q29" s="73"/>
      <c r="R29" s="73"/>
      <c r="S29" s="73"/>
      <c r="T29" s="73"/>
      <c r="U29" s="73"/>
    </row>
    <row r="30" spans="1:21" x14ac:dyDescent="0.35">
      <c r="A30" s="73"/>
      <c r="B30" s="73"/>
      <c r="C30" s="368" t="str">
        <f>IF('Initial information'!$D$21="","",IF(OR('Initial information'!$D$21='Initial information'!$D$20),"",'Initial information'!$D$21))</f>
        <v/>
      </c>
      <c r="D30" s="392" t="str">
        <f t="shared" si="0"/>
        <v/>
      </c>
      <c r="E30" s="73"/>
      <c r="F30" s="73"/>
      <c r="G30" s="73"/>
      <c r="H30" s="73"/>
      <c r="I30" s="73"/>
      <c r="J30" s="73"/>
      <c r="K30" s="73"/>
      <c r="L30" s="73"/>
      <c r="M30" s="73"/>
      <c r="N30" s="73"/>
      <c r="O30" s="73"/>
      <c r="P30" s="73"/>
      <c r="Q30" s="73"/>
      <c r="R30" s="73"/>
      <c r="S30" s="73"/>
      <c r="T30" s="73"/>
      <c r="U30" s="73"/>
    </row>
    <row r="31" spans="1:21" x14ac:dyDescent="0.35">
      <c r="A31" s="73"/>
      <c r="B31" s="73"/>
      <c r="C31" s="368" t="str">
        <f>IF('Initial information'!$D$22="","",IF(OR('Initial information'!$D$22='Initial information'!$D$21,'Initial information'!$D$22='Initial information'!$D$20),"",'Initial information'!$D$22))</f>
        <v/>
      </c>
      <c r="D31" s="392" t="str">
        <f t="shared" si="0"/>
        <v/>
      </c>
      <c r="E31" s="73"/>
      <c r="F31" s="73"/>
      <c r="G31" s="73"/>
      <c r="H31" s="73"/>
      <c r="I31" s="73"/>
      <c r="J31" s="73"/>
      <c r="K31" s="73"/>
      <c r="L31" s="73"/>
      <c r="M31" s="73"/>
      <c r="N31" s="73"/>
      <c r="O31" s="73"/>
      <c r="P31" s="73"/>
      <c r="Q31" s="73"/>
      <c r="R31" s="73"/>
      <c r="S31" s="73"/>
      <c r="T31" s="73"/>
      <c r="U31" s="73"/>
    </row>
    <row r="32" spans="1:21" x14ac:dyDescent="0.35">
      <c r="A32" s="73"/>
      <c r="B32" s="73"/>
      <c r="C32" s="368" t="str">
        <f>IF('Initial information'!$D$23="","",IF(OR('Initial information'!$D$23='Initial information'!$D$22,'Initial information'!$D$23='Initial information'!$D$21,'Initial information'!$D$23='Initial information'!$D$20),"",'Initial information'!$D$23))</f>
        <v/>
      </c>
      <c r="D32" s="392" t="str">
        <f t="shared" si="0"/>
        <v/>
      </c>
      <c r="E32" s="73"/>
      <c r="F32" s="73"/>
      <c r="G32" s="73"/>
      <c r="H32" s="73"/>
      <c r="I32" s="73"/>
      <c r="J32" s="73"/>
      <c r="K32" s="73"/>
      <c r="L32" s="73"/>
      <c r="M32" s="73"/>
      <c r="N32" s="73"/>
      <c r="O32" s="73"/>
      <c r="P32" s="73"/>
      <c r="Q32" s="73"/>
      <c r="R32" s="73"/>
      <c r="S32" s="73"/>
      <c r="T32" s="73"/>
      <c r="U32" s="73"/>
    </row>
    <row r="33" spans="1:21" x14ac:dyDescent="0.35">
      <c r="A33" s="73"/>
      <c r="B33" s="73"/>
      <c r="C33" s="368" t="str">
        <f>IF('Initial information'!$D$24="","",IF(OR('Initial information'!$D$24='Initial information'!$D$23,'Initial information'!$D$24='Initial information'!$D$22,'Initial information'!$D$24='Initial information'!$D$21,'Initial information'!$D$24='Initial information'!$D$20),"",'Initial information'!$D$24))</f>
        <v/>
      </c>
      <c r="D33" s="392" t="str">
        <f t="shared" si="0"/>
        <v/>
      </c>
      <c r="E33" s="73"/>
      <c r="F33" s="73"/>
      <c r="G33" s="73"/>
      <c r="H33" s="73"/>
      <c r="I33" s="73"/>
      <c r="J33" s="73"/>
      <c r="K33" s="73"/>
      <c r="L33" s="73"/>
      <c r="M33" s="73"/>
      <c r="N33" s="73"/>
      <c r="O33" s="73"/>
      <c r="P33" s="73"/>
      <c r="Q33" s="73"/>
      <c r="R33" s="73"/>
      <c r="S33" s="73"/>
      <c r="T33" s="73"/>
      <c r="U33" s="73"/>
    </row>
    <row r="34" spans="1:21" ht="15" thickBot="1" x14ac:dyDescent="0.4">
      <c r="A34" s="73"/>
      <c r="B34" s="73"/>
      <c r="C34" s="370" t="str">
        <f>IF('Initial information'!$D$25="","",IF(OR('Initial information'!$D$25='Initial information'!$D$24,'Initial information'!$D$25='Initial information'!$D$23,'Initial information'!$D$25='Initial information'!$D$22,'Initial information'!$D$25='Initial information'!$D$21,'Initial information'!$D$25='Initial information'!$D$20),"",'Initial information'!$D$25))</f>
        <v/>
      </c>
      <c r="D34" s="393" t="str">
        <f t="shared" si="0"/>
        <v/>
      </c>
      <c r="E34" s="73"/>
      <c r="F34" s="73"/>
      <c r="G34" s="73"/>
      <c r="H34" s="73"/>
      <c r="I34" s="73"/>
      <c r="J34" s="73"/>
      <c r="K34" s="73"/>
      <c r="L34" s="73"/>
      <c r="M34" s="73"/>
      <c r="N34" s="73"/>
      <c r="O34" s="73"/>
      <c r="P34" s="73"/>
      <c r="Q34" s="73"/>
      <c r="R34" s="73"/>
      <c r="S34" s="73"/>
      <c r="T34" s="73"/>
      <c r="U34" s="73"/>
    </row>
    <row r="35" spans="1:21" ht="15" thickBot="1" x14ac:dyDescent="0.4">
      <c r="A35" s="73"/>
      <c r="C35" s="79" t="s">
        <v>40</v>
      </c>
      <c r="D35" s="72">
        <f>SUM(D29:D34)</f>
        <v>0</v>
      </c>
      <c r="E35" s="73"/>
      <c r="F35" s="73"/>
      <c r="G35" s="73"/>
      <c r="H35" s="73"/>
      <c r="I35" s="73"/>
      <c r="J35" s="73"/>
      <c r="K35" s="73"/>
      <c r="L35" s="73"/>
      <c r="M35" s="73"/>
      <c r="N35" s="73"/>
      <c r="O35" s="73"/>
      <c r="P35" s="73"/>
      <c r="Q35" s="73"/>
      <c r="R35" s="73"/>
      <c r="S35" s="73"/>
      <c r="T35" s="73"/>
      <c r="U35" s="73"/>
    </row>
    <row r="36" spans="1:21" x14ac:dyDescent="0.35">
      <c r="A36" s="73"/>
      <c r="B36" s="73"/>
      <c r="C36" s="73"/>
      <c r="D36" s="73"/>
      <c r="E36" s="73"/>
      <c r="F36" s="73"/>
      <c r="G36" s="73"/>
      <c r="H36" s="73"/>
      <c r="I36" s="73"/>
      <c r="J36" s="73"/>
      <c r="K36" s="73"/>
      <c r="L36" s="73"/>
      <c r="M36" s="73"/>
      <c r="N36" s="73"/>
      <c r="O36" s="73"/>
      <c r="P36" s="73"/>
      <c r="Q36" s="73"/>
      <c r="R36" s="73"/>
      <c r="S36" s="73"/>
      <c r="T36" s="73"/>
      <c r="U36" s="73"/>
    </row>
    <row r="37" spans="1:21" ht="15" thickBot="1" x14ac:dyDescent="0.4">
      <c r="A37" s="73"/>
      <c r="B37" s="275" t="s">
        <v>285</v>
      </c>
      <c r="C37" s="224"/>
      <c r="D37" s="224"/>
      <c r="E37" s="73"/>
      <c r="F37" s="73"/>
      <c r="G37" s="73"/>
      <c r="H37" s="73"/>
      <c r="I37" s="73"/>
      <c r="J37" s="73"/>
      <c r="K37" s="73"/>
      <c r="L37" s="73"/>
      <c r="M37" s="73"/>
      <c r="N37" s="73"/>
      <c r="O37" s="73"/>
      <c r="P37" s="73"/>
      <c r="Q37" s="73"/>
      <c r="R37" s="73"/>
      <c r="S37" s="73"/>
      <c r="T37" s="73"/>
      <c r="U37" s="73"/>
    </row>
    <row r="38" spans="1:21" ht="15" thickBot="1" x14ac:dyDescent="0.4">
      <c r="A38" s="73"/>
      <c r="C38" s="6" t="s">
        <v>149</v>
      </c>
      <c r="D38" s="294"/>
      <c r="E38" s="73"/>
      <c r="F38" s="73"/>
      <c r="G38" s="73"/>
      <c r="H38" s="73"/>
      <c r="I38" s="73"/>
      <c r="J38" s="73"/>
      <c r="K38" s="73"/>
      <c r="L38" s="73"/>
      <c r="M38" s="73"/>
      <c r="N38" s="73"/>
      <c r="O38" s="73"/>
      <c r="P38" s="73"/>
      <c r="Q38" s="73"/>
      <c r="R38" s="73"/>
      <c r="S38" s="73"/>
      <c r="T38" s="73"/>
      <c r="U38" s="73"/>
    </row>
    <row r="39" spans="1:21" x14ac:dyDescent="0.35">
      <c r="A39" s="73"/>
      <c r="B39" s="73"/>
      <c r="C39" s="77" t="s">
        <v>197</v>
      </c>
      <c r="D39" s="73"/>
      <c r="E39" s="73"/>
      <c r="F39" s="73"/>
      <c r="G39" s="73"/>
      <c r="H39" s="73"/>
      <c r="I39" s="73"/>
      <c r="J39" s="73"/>
      <c r="K39" s="73"/>
      <c r="L39" s="73"/>
      <c r="M39" s="73"/>
      <c r="N39" s="73"/>
      <c r="O39" s="73"/>
      <c r="P39" s="73"/>
      <c r="Q39" s="73"/>
      <c r="R39" s="73"/>
      <c r="S39" s="73"/>
      <c r="T39" s="73"/>
      <c r="U39" s="73"/>
    </row>
    <row r="40" spans="1:21" ht="15" thickBot="1" x14ac:dyDescent="0.4">
      <c r="A40" s="73"/>
      <c r="B40" s="73"/>
      <c r="C40" s="73"/>
      <c r="D40" s="73"/>
      <c r="E40" s="73"/>
      <c r="F40" s="73"/>
      <c r="G40" s="73"/>
      <c r="H40" s="73"/>
      <c r="I40" s="73"/>
      <c r="J40" s="73"/>
      <c r="K40" s="73"/>
      <c r="L40" s="73"/>
      <c r="M40" s="73"/>
      <c r="N40" s="73"/>
      <c r="O40" s="73"/>
      <c r="P40" s="73"/>
      <c r="Q40" s="73"/>
      <c r="R40" s="73"/>
      <c r="S40" s="73"/>
      <c r="T40" s="73"/>
      <c r="U40" s="73"/>
    </row>
    <row r="41" spans="1:21" ht="61" customHeight="1" thickBot="1" x14ac:dyDescent="0.4">
      <c r="A41" s="73"/>
      <c r="B41" s="417" t="s">
        <v>204</v>
      </c>
      <c r="C41" s="418"/>
      <c r="D41" s="285"/>
      <c r="E41" s="73"/>
      <c r="F41" s="73"/>
      <c r="G41" s="73"/>
      <c r="H41" s="73"/>
      <c r="I41" s="73"/>
      <c r="J41" s="73"/>
      <c r="K41" s="73"/>
      <c r="L41" s="73"/>
      <c r="M41" s="73"/>
      <c r="N41" s="73"/>
      <c r="O41" s="73"/>
      <c r="P41" s="73"/>
      <c r="Q41" s="73"/>
      <c r="R41" s="73"/>
      <c r="S41" s="73"/>
      <c r="T41" s="73"/>
      <c r="U41" s="73"/>
    </row>
    <row r="42" spans="1:21" x14ac:dyDescent="0.35">
      <c r="A42" s="73"/>
      <c r="B42" s="123"/>
      <c r="C42" s="123"/>
      <c r="D42" s="124"/>
      <c r="E42" s="73"/>
      <c r="F42" s="73"/>
      <c r="G42" s="73"/>
      <c r="H42" s="73"/>
      <c r="I42" s="73"/>
      <c r="J42" s="73"/>
      <c r="K42" s="73"/>
      <c r="L42" s="73"/>
      <c r="M42" s="73"/>
      <c r="N42" s="73"/>
      <c r="O42" s="73"/>
      <c r="P42" s="73"/>
      <c r="Q42" s="73"/>
      <c r="R42" s="73"/>
      <c r="S42" s="73"/>
      <c r="T42" s="73"/>
      <c r="U42" s="73"/>
    </row>
    <row r="43" spans="1:21" ht="30.65" customHeight="1" x14ac:dyDescent="0.35">
      <c r="A43" s="73"/>
      <c r="B43" s="123"/>
      <c r="C43" s="123"/>
      <c r="D43" s="124"/>
      <c r="E43" s="73"/>
      <c r="F43" s="73"/>
      <c r="G43" s="73"/>
      <c r="H43" s="73"/>
      <c r="I43" s="73"/>
      <c r="J43" s="73"/>
      <c r="K43" s="73"/>
      <c r="L43" s="73"/>
      <c r="M43" s="73"/>
      <c r="N43" s="73"/>
      <c r="O43" s="73"/>
      <c r="P43" s="73"/>
      <c r="Q43" s="73"/>
      <c r="R43" s="73"/>
      <c r="S43" s="73"/>
      <c r="T43" s="73"/>
      <c r="U43" s="73"/>
    </row>
    <row r="44" spans="1:21" x14ac:dyDescent="0.35">
      <c r="A44" s="73"/>
      <c r="B44" s="73"/>
      <c r="C44" s="73"/>
      <c r="D44" s="73"/>
      <c r="E44" s="73"/>
      <c r="F44" s="73"/>
      <c r="G44" s="73"/>
      <c r="H44" s="73"/>
      <c r="I44" s="73"/>
      <c r="J44" s="73"/>
      <c r="K44" s="73"/>
      <c r="L44" s="73"/>
      <c r="M44" s="73"/>
      <c r="N44" s="73"/>
      <c r="O44" s="73"/>
      <c r="P44" s="73"/>
      <c r="Q44" s="73"/>
      <c r="R44" s="73"/>
      <c r="S44" s="73"/>
      <c r="T44" s="73"/>
      <c r="U44" s="73"/>
    </row>
    <row r="45" spans="1:21" x14ac:dyDescent="0.35">
      <c r="A45" s="73"/>
      <c r="B45" s="73"/>
      <c r="C45" s="73"/>
      <c r="D45" s="73"/>
      <c r="E45" s="73"/>
      <c r="F45" s="73"/>
      <c r="G45" s="73"/>
      <c r="H45" s="73"/>
      <c r="I45" s="73"/>
      <c r="J45" s="73"/>
      <c r="K45" s="73"/>
      <c r="L45" s="73"/>
      <c r="M45" s="73"/>
      <c r="N45" s="73"/>
      <c r="O45" s="73"/>
      <c r="P45" s="73"/>
      <c r="Q45" s="73"/>
      <c r="R45" s="73"/>
      <c r="S45" s="73"/>
      <c r="T45" s="73"/>
      <c r="U45" s="73"/>
    </row>
    <row r="46" spans="1:21" x14ac:dyDescent="0.35">
      <c r="A46" s="73"/>
      <c r="B46" s="73"/>
      <c r="C46" s="73"/>
      <c r="D46" s="73"/>
      <c r="E46" s="73"/>
      <c r="F46" s="73"/>
      <c r="G46" s="73"/>
      <c r="H46" s="73"/>
      <c r="I46" s="73"/>
      <c r="J46" s="73"/>
      <c r="K46" s="73"/>
      <c r="L46" s="73"/>
      <c r="M46" s="73"/>
      <c r="N46" s="73"/>
      <c r="O46" s="73"/>
      <c r="P46" s="73"/>
      <c r="Q46" s="73"/>
      <c r="R46" s="73"/>
      <c r="S46" s="73"/>
      <c r="T46" s="73"/>
      <c r="U46" s="73"/>
    </row>
    <row r="47" spans="1:21" x14ac:dyDescent="0.35">
      <c r="A47" s="73"/>
      <c r="B47" s="73"/>
      <c r="C47" s="73"/>
      <c r="D47" s="73"/>
      <c r="E47" s="73"/>
      <c r="F47" s="73"/>
      <c r="G47" s="73"/>
      <c r="H47" s="73"/>
      <c r="I47" s="73"/>
      <c r="J47" s="73"/>
      <c r="K47" s="73"/>
      <c r="L47" s="73"/>
      <c r="M47" s="73"/>
      <c r="N47" s="73"/>
      <c r="O47" s="73"/>
      <c r="P47" s="73"/>
      <c r="Q47" s="73"/>
      <c r="R47" s="73"/>
      <c r="S47" s="73"/>
      <c r="T47" s="73"/>
      <c r="U47" s="73"/>
    </row>
    <row r="48" spans="1:21" x14ac:dyDescent="0.35">
      <c r="A48" s="73"/>
      <c r="B48" s="73"/>
      <c r="C48" s="73"/>
      <c r="D48" s="73"/>
      <c r="E48" s="73"/>
      <c r="F48" s="73"/>
      <c r="G48" s="73"/>
      <c r="H48" s="73"/>
      <c r="I48" s="73"/>
      <c r="J48" s="73"/>
      <c r="K48" s="73"/>
      <c r="L48" s="73"/>
      <c r="M48" s="73"/>
      <c r="N48" s="73"/>
      <c r="O48" s="73"/>
      <c r="P48" s="73"/>
      <c r="Q48" s="73"/>
      <c r="R48" s="73"/>
      <c r="S48" s="73"/>
      <c r="T48" s="73"/>
      <c r="U48" s="73"/>
    </row>
  </sheetData>
  <mergeCells count="12">
    <mergeCell ref="B19:C19"/>
    <mergeCell ref="B14:C14"/>
    <mergeCell ref="B15:C15"/>
    <mergeCell ref="B16:C16"/>
    <mergeCell ref="B17:C17"/>
    <mergeCell ref="B18:C18"/>
    <mergeCell ref="B41:C41"/>
    <mergeCell ref="B20:C20"/>
    <mergeCell ref="B21:C21"/>
    <mergeCell ref="B22:C22"/>
    <mergeCell ref="B23:C23"/>
    <mergeCell ref="B24:C2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'lists_do not touch!'!$A$2:$A$7</xm:f>
          </x14:formula1>
          <xm:sqref>E15:E24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F64"/>
  <sheetViews>
    <sheetView workbookViewId="0"/>
  </sheetViews>
  <sheetFormatPr defaultRowHeight="14.5" x14ac:dyDescent="0.35"/>
  <sheetData>
    <row r="1" spans="1:32" ht="18.5" x14ac:dyDescent="0.45">
      <c r="A1" s="73"/>
      <c r="B1" s="268" t="s">
        <v>257</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row>
    <row r="2" spans="1:32" x14ac:dyDescent="0.3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row>
    <row r="3" spans="1:32" x14ac:dyDescent="0.3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row>
    <row r="4" spans="1:32" x14ac:dyDescent="0.3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row>
    <row r="5" spans="1:32" x14ac:dyDescent="0.3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row>
    <row r="6" spans="1:32" x14ac:dyDescent="0.35">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x14ac:dyDescent="0.3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32" x14ac:dyDescent="0.35">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x14ac:dyDescent="0.3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32" x14ac:dyDescent="0.3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x14ac:dyDescent="0.3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1:32" x14ac:dyDescent="0.35">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2" x14ac:dyDescent="0.35">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row>
    <row r="14" spans="1:32" x14ac:dyDescent="0.35">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row>
    <row r="15" spans="1:32" x14ac:dyDescent="0.35">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row>
    <row r="16" spans="1:32" x14ac:dyDescent="0.35">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row>
    <row r="17" spans="1:32" x14ac:dyDescent="0.3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row>
    <row r="18" spans="1:32" x14ac:dyDescent="0.35">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row>
    <row r="19" spans="1:32" x14ac:dyDescent="0.3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row>
    <row r="20" spans="1:32" x14ac:dyDescent="0.35">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row>
    <row r="21" spans="1:32" x14ac:dyDescent="0.3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row>
    <row r="22" spans="1:32" x14ac:dyDescent="0.3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row>
    <row r="23" spans="1:32" x14ac:dyDescent="0.3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row>
    <row r="24" spans="1:32" x14ac:dyDescent="0.35">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row>
    <row r="25" spans="1:32" x14ac:dyDescent="0.3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row>
    <row r="26" spans="1:32" x14ac:dyDescent="0.35">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row>
    <row r="27" spans="1:32" x14ac:dyDescent="0.35">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row>
    <row r="28" spans="1:32" x14ac:dyDescent="0.35">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row>
    <row r="29" spans="1:32" x14ac:dyDescent="0.35">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row>
    <row r="30" spans="1:32" x14ac:dyDescent="0.35">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row>
    <row r="31" spans="1:32" x14ac:dyDescent="0.35">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row>
    <row r="32" spans="1:32" x14ac:dyDescent="0.3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row>
    <row r="33" spans="1:32" x14ac:dyDescent="0.35">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row>
    <row r="34" spans="1:32" x14ac:dyDescent="0.35">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row>
    <row r="35" spans="1:32" x14ac:dyDescent="0.35">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row>
    <row r="36" spans="1:32" x14ac:dyDescent="0.3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row>
    <row r="37" spans="1:32" x14ac:dyDescent="0.3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row>
    <row r="38" spans="1:32" x14ac:dyDescent="0.3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row>
    <row r="39" spans="1:32" x14ac:dyDescent="0.3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row>
    <row r="40" spans="1:32" x14ac:dyDescent="0.3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row>
    <row r="41" spans="1:32" x14ac:dyDescent="0.3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row>
    <row r="42" spans="1:32" x14ac:dyDescent="0.3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row>
    <row r="43" spans="1:32" x14ac:dyDescent="0.3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row>
    <row r="44" spans="1:32" x14ac:dyDescent="0.3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row>
    <row r="45" spans="1:32" x14ac:dyDescent="0.3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row>
    <row r="46" spans="1:32" x14ac:dyDescent="0.3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x14ac:dyDescent="0.3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row>
    <row r="48" spans="1:32" x14ac:dyDescent="0.3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row>
    <row r="49" spans="1:32" x14ac:dyDescent="0.3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row>
    <row r="50" spans="1:32" x14ac:dyDescent="0.3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row>
    <row r="51" spans="1:32" x14ac:dyDescent="0.3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row>
    <row r="52" spans="1:32" x14ac:dyDescent="0.3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row>
    <row r="53" spans="1:32" x14ac:dyDescent="0.3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row>
    <row r="54" spans="1:32" x14ac:dyDescent="0.3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row>
    <row r="55" spans="1:32" x14ac:dyDescent="0.3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row>
    <row r="56" spans="1:32" x14ac:dyDescent="0.3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row>
    <row r="57" spans="1:32" x14ac:dyDescent="0.3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row>
    <row r="58" spans="1:32" x14ac:dyDescent="0.3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row>
    <row r="59" spans="1:32" x14ac:dyDescent="0.3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row>
    <row r="60" spans="1:32" x14ac:dyDescent="0.3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2" x14ac:dyDescent="0.3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row>
    <row r="62" spans="1:32" x14ac:dyDescent="0.3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row>
    <row r="63" spans="1:32" x14ac:dyDescent="0.3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row>
    <row r="64" spans="1:32" x14ac:dyDescent="0.3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36"/>
  <sheetViews>
    <sheetView zoomScaleNormal="100" workbookViewId="0"/>
  </sheetViews>
  <sheetFormatPr defaultRowHeight="14.5" x14ac:dyDescent="0.35"/>
  <cols>
    <col min="2" max="2" width="125.26953125" customWidth="1"/>
    <col min="3" max="3" width="15.453125" customWidth="1"/>
    <col min="4" max="4" width="36.54296875" style="45" customWidth="1"/>
    <col min="5" max="8" width="21" style="45" customWidth="1"/>
  </cols>
  <sheetData>
    <row r="1" spans="1:8" ht="18.5" x14ac:dyDescent="0.45">
      <c r="A1" s="73"/>
      <c r="B1" s="116" t="s">
        <v>145</v>
      </c>
      <c r="C1" s="73"/>
      <c r="D1" s="117"/>
      <c r="E1" s="117"/>
      <c r="F1" s="117"/>
      <c r="G1" s="117"/>
      <c r="H1" s="117"/>
    </row>
    <row r="2" spans="1:8" x14ac:dyDescent="0.35">
      <c r="A2" s="73"/>
      <c r="B2" s="73"/>
      <c r="C2" s="73"/>
      <c r="D2" s="117"/>
      <c r="E2" s="117"/>
      <c r="F2" s="117"/>
      <c r="G2" s="117"/>
      <c r="H2" s="117"/>
    </row>
    <row r="3" spans="1:8" ht="31" customHeight="1" x14ac:dyDescent="0.35">
      <c r="A3" s="73"/>
      <c r="B3" s="137" t="s">
        <v>297</v>
      </c>
      <c r="C3" s="73"/>
      <c r="D3" s="117"/>
      <c r="E3" s="117"/>
      <c r="F3" s="117"/>
      <c r="G3" s="117"/>
      <c r="H3" s="117"/>
    </row>
    <row r="4" spans="1:8" x14ac:dyDescent="0.35">
      <c r="A4" s="73"/>
      <c r="B4" s="73"/>
      <c r="C4" s="73"/>
      <c r="D4" s="117"/>
      <c r="E4" s="117"/>
      <c r="F4" s="117"/>
      <c r="G4" s="117"/>
      <c r="H4" s="117"/>
    </row>
    <row r="5" spans="1:8" x14ac:dyDescent="0.35">
      <c r="A5" s="73"/>
      <c r="B5" s="127" t="s">
        <v>65</v>
      </c>
      <c r="C5" s="126"/>
      <c r="D5" s="117"/>
      <c r="E5" s="117"/>
      <c r="F5" s="117"/>
      <c r="G5" s="117"/>
      <c r="H5" s="117"/>
    </row>
    <row r="6" spans="1:8" ht="45" customHeight="1" x14ac:dyDescent="0.35">
      <c r="A6" s="133">
        <v>1</v>
      </c>
      <c r="B6" s="128" t="str">
        <f>CONCATENATE("What is the probability that the 'in-situ status quo' plan for the ",'Initial information'!C7," will be ",'1. In-situ status quo plan'!$C$38,"% implemented in ",'1. In-situ status quo plan'!$C$35," years from now? Please provide your best estimate.")</f>
        <v>What is the probability that the 'in-situ status quo' plan for the  will be % implemented in  years from now? Please provide your best estimate.</v>
      </c>
      <c r="C6" s="119"/>
      <c r="D6" s="117"/>
      <c r="E6" s="117"/>
      <c r="F6" s="117"/>
      <c r="G6" s="117"/>
      <c r="H6" s="117"/>
    </row>
    <row r="7" spans="1:8" x14ac:dyDescent="0.35">
      <c r="A7" s="125"/>
      <c r="B7" s="120"/>
      <c r="C7" s="130"/>
      <c r="D7" s="117"/>
      <c r="E7" s="117"/>
      <c r="F7" s="117"/>
      <c r="G7" s="117"/>
      <c r="H7" s="117"/>
    </row>
    <row r="8" spans="1:8" x14ac:dyDescent="0.35">
      <c r="A8" s="73"/>
      <c r="B8" s="131" t="s">
        <v>67</v>
      </c>
      <c r="C8" s="132"/>
      <c r="D8" s="117"/>
      <c r="E8" s="117"/>
      <c r="F8" s="117"/>
      <c r="G8" s="117"/>
      <c r="H8" s="117"/>
    </row>
    <row r="9" spans="1:8" ht="45" customHeight="1" x14ac:dyDescent="0.35">
      <c r="A9" s="133">
        <v>2</v>
      </c>
      <c r="B9" s="129" t="str">
        <f>CONCATENATE("What is the probability that the 'in situ plus' plan for the ",'Initial information'!C7," will be ", '3. In-situ plus plan'!$D$41,"% implemented in ",'3. In-situ plus plan'!$D$38," years from now? Please provide your best estimate.")</f>
        <v>What is the probability that the 'in situ plus' plan for the  will be % implemented in  years from now? Please provide your best estimate.</v>
      </c>
      <c r="C9" s="121"/>
      <c r="D9" s="117"/>
      <c r="E9" s="117"/>
      <c r="F9" s="117"/>
      <c r="G9" s="117"/>
      <c r="H9" s="117"/>
    </row>
    <row r="10" spans="1:8" ht="45" customHeight="1" x14ac:dyDescent="0.35">
      <c r="A10" s="134"/>
      <c r="B10" s="136"/>
      <c r="C10" s="135"/>
      <c r="D10" s="117"/>
      <c r="E10" s="117"/>
      <c r="F10" s="117"/>
      <c r="G10" s="117"/>
      <c r="H10" s="117"/>
    </row>
    <row r="11" spans="1:8" x14ac:dyDescent="0.35">
      <c r="A11" s="73"/>
      <c r="B11" s="131" t="s">
        <v>68</v>
      </c>
      <c r="C11" s="132"/>
      <c r="D11" s="117"/>
      <c r="E11" s="117"/>
      <c r="F11" s="117"/>
      <c r="G11" s="117"/>
      <c r="H11" s="117"/>
    </row>
    <row r="12" spans="1:8" ht="45" customHeight="1" x14ac:dyDescent="0.35">
      <c r="A12" s="125">
        <v>3</v>
      </c>
      <c r="B12" s="122" t="str">
        <f>CONCATENATE("What is the probability that the ex situ plan will have a TRIVIAL impact on the wild source population, i.e. a take of ", '2. Ex-situ plan'!$C$15*'2. Ex-situ plan'!$C$16, " individuals will not threaten the viability of wild source population(s)? Please provide your best estimate.")</f>
        <v>What is the probability that the ex situ plan will have a TRIVIAL impact on the wild source population, i.e. a take of 0 individuals will not threaten the viability of wild source population(s)? Please provide your best estimate.</v>
      </c>
      <c r="C12" s="121"/>
      <c r="D12" s="117"/>
      <c r="E12" s="117"/>
      <c r="F12" s="117"/>
      <c r="G12" s="117"/>
      <c r="H12" s="117"/>
    </row>
    <row r="13" spans="1:8" ht="45" customHeight="1" x14ac:dyDescent="0.35">
      <c r="A13" s="125">
        <v>4</v>
      </c>
      <c r="B13" s="122" t="str">
        <f>CONCATENATE("What is the probability that the captive breeding component of the ex situ plan will be successful, i.e. ≥ ",'2. Ex-situ plan'!$C$23,"% of offspring born in year ",'2. Ex-situ plan'!$C$21," of the ex-situ breeding program will survive to ",'2. Ex-situ plan'!$C$22," months? Please provide your best estimate.")</f>
        <v>What is the probability that the captive breeding component of the ex situ plan will be successful, i.e. ≥ % of offspring born in year  of the ex-situ breeding program will survive to  months? Please provide your best estimate.</v>
      </c>
      <c r="C13" s="121"/>
      <c r="D13" s="117"/>
      <c r="E13" s="117"/>
      <c r="F13" s="117"/>
      <c r="G13" s="117"/>
      <c r="H13" s="117"/>
    </row>
    <row r="14" spans="1:8" ht="45" customHeight="1" x14ac:dyDescent="0.35">
      <c r="A14" s="125">
        <v>5</v>
      </c>
      <c r="B14" s="122" t="str">
        <f>CONCATENATE("What is the probability that captive individuals will be successfully released into the wild, i.e. ≥ ",'2. Ex-situ plan'!$C$29,"% of released individuals survive in the wild ",'2. Ex-situ plan'!$C$28," months after release? Please provide your best estimate.")</f>
        <v>What is the probability that captive individuals will be successfully released into the wild, i.e. ≥ % of released individuals survive in the wild  months after release? Please provide your best estimate.</v>
      </c>
      <c r="C14" s="121"/>
      <c r="D14" s="117"/>
      <c r="E14" s="117"/>
      <c r="F14" s="117"/>
      <c r="G14" s="117"/>
      <c r="H14" s="117"/>
    </row>
    <row r="15" spans="1:8" x14ac:dyDescent="0.35">
      <c r="A15" s="73"/>
      <c r="B15" s="73"/>
      <c r="C15" s="73"/>
      <c r="D15" s="117"/>
      <c r="E15" s="117"/>
      <c r="F15" s="117"/>
      <c r="G15" s="117"/>
      <c r="H15" s="117"/>
    </row>
    <row r="16" spans="1:8" x14ac:dyDescent="0.35">
      <c r="A16" s="73"/>
      <c r="B16" s="73"/>
      <c r="C16" s="73"/>
      <c r="D16" s="117"/>
      <c r="E16" s="117"/>
      <c r="F16" s="117"/>
      <c r="G16" s="117"/>
      <c r="H16" s="117"/>
    </row>
    <row r="17" spans="1:8" x14ac:dyDescent="0.35">
      <c r="A17" s="73"/>
      <c r="B17" s="73"/>
      <c r="C17" s="73"/>
      <c r="D17" s="117"/>
      <c r="E17" s="117"/>
      <c r="F17" s="117"/>
      <c r="G17" s="117"/>
      <c r="H17" s="117"/>
    </row>
    <row r="18" spans="1:8" x14ac:dyDescent="0.35">
      <c r="A18" s="73"/>
      <c r="B18" s="73"/>
      <c r="C18" s="73"/>
      <c r="D18" s="117"/>
      <c r="E18" s="117"/>
      <c r="F18" s="117"/>
      <c r="G18" s="117"/>
      <c r="H18" s="117"/>
    </row>
    <row r="19" spans="1:8" x14ac:dyDescent="0.35">
      <c r="A19" s="73"/>
      <c r="B19" s="73"/>
      <c r="C19" s="73"/>
      <c r="D19" s="117"/>
      <c r="E19" s="117"/>
      <c r="F19" s="117"/>
      <c r="G19" s="117"/>
      <c r="H19" s="117"/>
    </row>
    <row r="20" spans="1:8" x14ac:dyDescent="0.35">
      <c r="A20" s="73"/>
      <c r="B20" s="73"/>
      <c r="C20" s="73"/>
      <c r="D20" s="117"/>
      <c r="E20" s="117"/>
      <c r="F20" s="117"/>
      <c r="G20" s="117"/>
      <c r="H20" s="117"/>
    </row>
    <row r="21" spans="1:8" x14ac:dyDescent="0.35">
      <c r="A21" s="73"/>
      <c r="B21" s="73"/>
      <c r="C21" s="73"/>
      <c r="D21" s="117"/>
      <c r="E21" s="117"/>
      <c r="F21" s="117"/>
      <c r="G21" s="117"/>
      <c r="H21" s="117"/>
    </row>
    <row r="22" spans="1:8" x14ac:dyDescent="0.35">
      <c r="A22" s="73"/>
      <c r="B22" s="73"/>
      <c r="C22" s="73"/>
      <c r="D22" s="117"/>
      <c r="E22" s="117"/>
      <c r="F22" s="117"/>
      <c r="G22" s="117"/>
      <c r="H22" s="117"/>
    </row>
    <row r="23" spans="1:8" x14ac:dyDescent="0.35">
      <c r="A23" s="73"/>
      <c r="B23" s="73"/>
      <c r="C23" s="73"/>
      <c r="D23" s="117"/>
      <c r="E23" s="117"/>
      <c r="F23" s="117"/>
      <c r="G23" s="117"/>
      <c r="H23" s="117"/>
    </row>
    <row r="24" spans="1:8" x14ac:dyDescent="0.35">
      <c r="A24" s="73"/>
      <c r="B24" s="73"/>
      <c r="C24" s="73"/>
      <c r="D24" s="117"/>
      <c r="E24" s="117"/>
      <c r="F24" s="117"/>
      <c r="G24" s="117"/>
      <c r="H24" s="117"/>
    </row>
    <row r="25" spans="1:8" x14ac:dyDescent="0.35">
      <c r="A25" s="73"/>
      <c r="B25" s="73"/>
      <c r="C25" s="73"/>
      <c r="D25" s="117"/>
      <c r="E25" s="117"/>
      <c r="F25" s="117"/>
      <c r="G25" s="117"/>
      <c r="H25" s="117"/>
    </row>
    <row r="26" spans="1:8" x14ac:dyDescent="0.35">
      <c r="A26" s="73"/>
      <c r="B26" s="73"/>
      <c r="C26" s="73"/>
      <c r="D26" s="117"/>
      <c r="E26" s="117"/>
      <c r="F26" s="117"/>
      <c r="G26" s="117"/>
      <c r="H26" s="117"/>
    </row>
    <row r="27" spans="1:8" x14ac:dyDescent="0.35">
      <c r="A27" s="73"/>
      <c r="B27" s="73"/>
      <c r="C27" s="73"/>
      <c r="D27" s="117"/>
      <c r="E27" s="117"/>
      <c r="F27" s="117"/>
      <c r="G27" s="117"/>
      <c r="H27" s="117"/>
    </row>
    <row r="28" spans="1:8" x14ac:dyDescent="0.35">
      <c r="A28" s="73"/>
      <c r="B28" s="73"/>
      <c r="C28" s="73"/>
      <c r="D28" s="117"/>
      <c r="E28" s="117"/>
      <c r="F28" s="117"/>
      <c r="G28" s="117"/>
      <c r="H28" s="117"/>
    </row>
    <row r="29" spans="1:8" x14ac:dyDescent="0.35">
      <c r="A29" s="73"/>
      <c r="B29" s="73"/>
      <c r="C29" s="73"/>
      <c r="D29" s="117"/>
      <c r="E29" s="117"/>
      <c r="F29" s="117"/>
      <c r="G29" s="117"/>
      <c r="H29" s="117"/>
    </row>
    <row r="30" spans="1:8" x14ac:dyDescent="0.35">
      <c r="A30" s="73"/>
      <c r="B30" s="73"/>
      <c r="C30" s="73"/>
      <c r="D30" s="117"/>
      <c r="E30" s="117"/>
      <c r="F30" s="117"/>
      <c r="G30" s="117"/>
      <c r="H30" s="117"/>
    </row>
    <row r="31" spans="1:8" x14ac:dyDescent="0.35">
      <c r="A31" s="73"/>
      <c r="B31" s="73"/>
      <c r="C31" s="73"/>
      <c r="D31" s="117"/>
      <c r="E31" s="117"/>
      <c r="F31" s="117"/>
      <c r="G31" s="117"/>
      <c r="H31" s="117"/>
    </row>
    <row r="32" spans="1:8" x14ac:dyDescent="0.35">
      <c r="A32" s="73"/>
      <c r="B32" s="73"/>
      <c r="C32" s="73"/>
      <c r="D32" s="117"/>
      <c r="E32" s="117"/>
      <c r="F32" s="117"/>
      <c r="G32" s="117"/>
      <c r="H32" s="117"/>
    </row>
    <row r="33" spans="1:8" x14ac:dyDescent="0.35">
      <c r="A33" s="73"/>
      <c r="B33" s="73"/>
      <c r="C33" s="73"/>
      <c r="D33" s="117"/>
      <c r="E33" s="117"/>
      <c r="F33" s="117"/>
      <c r="G33" s="117"/>
      <c r="H33" s="117"/>
    </row>
    <row r="34" spans="1:8" x14ac:dyDescent="0.35">
      <c r="A34" s="73"/>
      <c r="B34" s="73"/>
      <c r="C34" s="73"/>
      <c r="D34" s="117"/>
      <c r="E34" s="117"/>
      <c r="F34" s="117"/>
      <c r="G34" s="117"/>
      <c r="H34" s="117"/>
    </row>
    <row r="35" spans="1:8" x14ac:dyDescent="0.35">
      <c r="A35" s="73"/>
      <c r="B35" s="73"/>
      <c r="C35" s="73"/>
      <c r="D35" s="117"/>
      <c r="E35" s="117"/>
      <c r="F35" s="117"/>
      <c r="G35" s="117"/>
      <c r="H35" s="117"/>
    </row>
    <row r="36" spans="1:8" x14ac:dyDescent="0.35">
      <c r="A36" s="73"/>
    </row>
  </sheetData>
  <pageMargins left="0.70866141732283472" right="0.70866141732283472" top="0.74803149606299213" bottom="0.74803149606299213" header="0.31496062992125984" footer="0.31496062992125984"/>
  <pageSetup paperSize="9" scale="5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O106"/>
  <sheetViews>
    <sheetView zoomScaleNormal="100" workbookViewId="0"/>
  </sheetViews>
  <sheetFormatPr defaultRowHeight="14.5" x14ac:dyDescent="0.35"/>
  <cols>
    <col min="2" max="2" width="130.81640625" customWidth="1"/>
    <col min="3" max="6" width="10.54296875" customWidth="1"/>
    <col min="11" max="11" width="36.54296875" style="45" customWidth="1"/>
    <col min="12" max="15" width="21" style="45" customWidth="1"/>
  </cols>
  <sheetData>
    <row r="1" spans="1:14" ht="18.5" x14ac:dyDescent="0.45">
      <c r="B1" s="116" t="s">
        <v>98</v>
      </c>
      <c r="C1" s="73"/>
      <c r="D1" s="73"/>
      <c r="E1" s="73"/>
      <c r="F1" s="73"/>
      <c r="G1" s="73"/>
      <c r="H1" s="73"/>
      <c r="I1" s="73"/>
      <c r="J1" s="73"/>
      <c r="K1" s="117"/>
      <c r="L1" s="117"/>
      <c r="M1" s="117"/>
      <c r="N1" s="117"/>
    </row>
    <row r="2" spans="1:14" x14ac:dyDescent="0.35">
      <c r="A2" s="73"/>
      <c r="B2" s="73"/>
      <c r="C2" s="73"/>
      <c r="D2" s="73"/>
      <c r="E2" s="73"/>
      <c r="F2" s="73"/>
      <c r="G2" s="73"/>
      <c r="H2" s="73"/>
      <c r="I2" s="73"/>
      <c r="J2" s="73"/>
      <c r="K2" s="118"/>
      <c r="L2" s="117"/>
      <c r="M2" s="117"/>
      <c r="N2" s="117"/>
    </row>
    <row r="3" spans="1:14" x14ac:dyDescent="0.35">
      <c r="A3" s="73"/>
      <c r="B3" s="137" t="s">
        <v>297</v>
      </c>
      <c r="C3" s="73"/>
      <c r="D3" s="73"/>
      <c r="E3" s="73"/>
      <c r="F3" s="73"/>
      <c r="G3" s="73"/>
      <c r="H3" s="73"/>
      <c r="I3" s="73"/>
      <c r="J3" s="73"/>
      <c r="K3" s="117"/>
      <c r="L3" s="117"/>
      <c r="M3" s="117"/>
      <c r="N3" s="117"/>
    </row>
    <row r="4" spans="1:14" x14ac:dyDescent="0.35">
      <c r="A4" s="73"/>
      <c r="B4" s="137"/>
      <c r="C4" s="73"/>
      <c r="D4" s="73"/>
      <c r="E4" s="73"/>
      <c r="F4" s="73"/>
      <c r="G4" s="73"/>
      <c r="H4" s="73"/>
      <c r="I4" s="73"/>
      <c r="J4" s="73"/>
      <c r="K4" s="117"/>
      <c r="L4" s="117"/>
      <c r="M4" s="117"/>
      <c r="N4" s="117"/>
    </row>
    <row r="5" spans="1:14" x14ac:dyDescent="0.35">
      <c r="A5" s="73"/>
      <c r="B5" s="137"/>
      <c r="C5" s="73"/>
      <c r="D5" s="73"/>
      <c r="E5" s="73"/>
      <c r="F5" s="73"/>
      <c r="G5" s="73"/>
      <c r="H5" s="73"/>
      <c r="I5" s="73"/>
      <c r="J5" s="73"/>
      <c r="K5" s="117"/>
      <c r="L5" s="117"/>
      <c r="M5" s="117"/>
      <c r="N5" s="117"/>
    </row>
    <row r="6" spans="1:14" x14ac:dyDescent="0.35">
      <c r="A6" s="73"/>
      <c r="B6" t="s">
        <v>206</v>
      </c>
      <c r="D6" s="73"/>
      <c r="E6" s="73"/>
      <c r="F6" s="73"/>
      <c r="G6" s="73"/>
      <c r="H6" s="73"/>
      <c r="I6" s="73"/>
      <c r="J6" s="73"/>
      <c r="K6" s="117"/>
      <c r="L6" s="117"/>
      <c r="M6" s="117"/>
      <c r="N6" s="117"/>
    </row>
    <row r="7" spans="1:14" x14ac:dyDescent="0.35">
      <c r="A7" s="73"/>
      <c r="B7" s="73"/>
      <c r="C7" s="73"/>
      <c r="D7" s="73"/>
      <c r="E7" s="73"/>
      <c r="F7" s="73"/>
      <c r="G7" s="73"/>
      <c r="H7" s="73"/>
      <c r="I7" s="73"/>
      <c r="J7" s="73"/>
      <c r="K7" s="117"/>
      <c r="L7" s="117"/>
      <c r="M7" s="117"/>
      <c r="N7" s="117"/>
    </row>
    <row r="8" spans="1:14" x14ac:dyDescent="0.35">
      <c r="A8" s="73"/>
      <c r="B8" s="73"/>
      <c r="C8" s="73"/>
      <c r="D8" s="73"/>
      <c r="E8" s="73"/>
      <c r="F8" s="73"/>
      <c r="G8" s="73"/>
      <c r="H8" s="73"/>
      <c r="I8" s="73"/>
      <c r="J8" s="73"/>
      <c r="K8" s="117"/>
      <c r="L8" s="117"/>
      <c r="M8" s="117"/>
      <c r="N8" s="117"/>
    </row>
    <row r="9" spans="1:14" x14ac:dyDescent="0.35">
      <c r="A9" s="73"/>
      <c r="B9" s="73"/>
      <c r="C9" s="73"/>
      <c r="D9" s="73"/>
      <c r="E9" s="73"/>
      <c r="F9" s="73"/>
      <c r="G9" s="73"/>
      <c r="H9" s="73"/>
      <c r="I9" s="73"/>
      <c r="J9" s="73"/>
      <c r="K9" s="117"/>
      <c r="L9" s="117"/>
      <c r="M9" s="117"/>
      <c r="N9" s="117"/>
    </row>
    <row r="10" spans="1:14" x14ac:dyDescent="0.35">
      <c r="A10" s="73"/>
      <c r="B10" s="73"/>
      <c r="C10" s="73"/>
      <c r="D10" s="73"/>
      <c r="E10" s="73"/>
      <c r="F10" s="73"/>
      <c r="G10" s="73"/>
      <c r="H10" s="73"/>
      <c r="I10" s="73"/>
      <c r="J10" s="73"/>
      <c r="K10" s="117"/>
      <c r="L10" s="117"/>
      <c r="M10" s="117"/>
      <c r="N10" s="117"/>
    </row>
    <row r="11" spans="1:14" x14ac:dyDescent="0.35">
      <c r="A11" s="73"/>
      <c r="B11" s="73"/>
      <c r="C11" s="73"/>
      <c r="D11" s="73"/>
      <c r="E11" s="73"/>
      <c r="F11" s="73"/>
      <c r="G11" s="73"/>
      <c r="H11" s="73"/>
      <c r="I11" s="73"/>
      <c r="J11" s="73"/>
      <c r="K11" s="117"/>
      <c r="L11" s="117"/>
      <c r="M11" s="117"/>
      <c r="N11" s="117"/>
    </row>
    <row r="12" spans="1:14" x14ac:dyDescent="0.35">
      <c r="A12" s="73"/>
      <c r="B12" s="73"/>
      <c r="C12" s="73"/>
      <c r="D12" s="73"/>
      <c r="E12" s="73"/>
      <c r="F12" s="73"/>
      <c r="G12" s="73"/>
      <c r="H12" s="73"/>
      <c r="I12" s="73"/>
      <c r="J12" s="73"/>
      <c r="K12" s="117"/>
      <c r="L12" s="117"/>
      <c r="M12" s="117"/>
      <c r="N12" s="117"/>
    </row>
    <row r="13" spans="1:14" x14ac:dyDescent="0.35">
      <c r="A13" s="73"/>
      <c r="B13" s="73"/>
      <c r="C13" s="73"/>
      <c r="D13" s="73"/>
      <c r="E13" s="73"/>
      <c r="F13" s="73"/>
      <c r="G13" s="73"/>
      <c r="H13" s="73"/>
      <c r="I13" s="73"/>
      <c r="J13" s="73"/>
      <c r="K13" s="117"/>
      <c r="L13" s="117"/>
      <c r="M13" s="117"/>
      <c r="N13" s="117"/>
    </row>
    <row r="14" spans="1:14" x14ac:dyDescent="0.35">
      <c r="A14" s="73"/>
      <c r="B14" s="137"/>
      <c r="C14" s="73"/>
      <c r="D14" s="73"/>
      <c r="E14" s="73"/>
      <c r="F14" s="73"/>
      <c r="G14" s="73"/>
      <c r="H14" s="73"/>
      <c r="I14" s="73"/>
      <c r="J14" s="73"/>
      <c r="K14" s="117"/>
      <c r="L14" s="117"/>
      <c r="M14" s="117"/>
      <c r="N14" s="117"/>
    </row>
    <row r="15" spans="1:14" x14ac:dyDescent="0.35">
      <c r="A15" s="73"/>
      <c r="B15" s="137"/>
      <c r="C15" s="73"/>
      <c r="D15" s="73"/>
      <c r="E15" s="73"/>
      <c r="F15" s="73"/>
      <c r="G15" s="73"/>
      <c r="H15" s="73"/>
      <c r="I15" s="73"/>
      <c r="J15" s="73"/>
      <c r="K15" s="117"/>
      <c r="L15" s="117"/>
      <c r="M15" s="117"/>
      <c r="N15" s="117"/>
    </row>
    <row r="16" spans="1:14" x14ac:dyDescent="0.35">
      <c r="A16" s="73"/>
      <c r="B16" s="137"/>
      <c r="C16" s="73"/>
      <c r="D16" s="73"/>
      <c r="E16" s="73"/>
      <c r="F16" s="73"/>
      <c r="G16" s="73"/>
      <c r="H16" s="73"/>
      <c r="I16" s="73"/>
      <c r="J16" s="73"/>
      <c r="K16" s="117"/>
      <c r="L16" s="117"/>
      <c r="M16" s="117"/>
      <c r="N16" s="117"/>
    </row>
    <row r="17" spans="1:15" x14ac:dyDescent="0.35">
      <c r="A17" s="73"/>
      <c r="B17" s="137"/>
      <c r="C17" s="73"/>
      <c r="D17" s="73"/>
      <c r="E17" s="73"/>
      <c r="F17" s="73"/>
      <c r="G17" s="73"/>
      <c r="H17" s="73"/>
      <c r="I17" s="73"/>
      <c r="J17" s="73"/>
      <c r="K17" s="117"/>
      <c r="L17" s="117"/>
      <c r="M17" s="117"/>
      <c r="N17" s="117"/>
    </row>
    <row r="18" spans="1:15" ht="15" thickBot="1" x14ac:dyDescent="0.4">
      <c r="A18" s="73"/>
      <c r="B18" s="137"/>
      <c r="C18" s="73"/>
      <c r="D18" s="73"/>
      <c r="E18" s="73"/>
      <c r="F18" s="73"/>
      <c r="G18" s="73"/>
      <c r="H18" s="73"/>
      <c r="I18" s="73"/>
      <c r="J18" s="73"/>
      <c r="K18" s="117"/>
      <c r="L18" s="117"/>
      <c r="M18" s="117"/>
      <c r="N18" s="117"/>
    </row>
    <row r="19" spans="1:15" ht="44" thickBot="1" x14ac:dyDescent="0.4">
      <c r="A19" s="73"/>
      <c r="B19" s="10" t="s">
        <v>207</v>
      </c>
      <c r="C19" s="11" t="s">
        <v>16</v>
      </c>
      <c r="D19" s="11" t="s">
        <v>17</v>
      </c>
      <c r="E19" s="73"/>
      <c r="F19" s="73"/>
      <c r="G19" s="73"/>
      <c r="H19" s="73"/>
      <c r="I19" s="73"/>
      <c r="J19" s="73"/>
      <c r="K19" s="117"/>
      <c r="L19" s="117"/>
      <c r="M19" s="117"/>
      <c r="N19" s="117"/>
    </row>
    <row r="20" spans="1:15" ht="15.5" thickTop="1" thickBot="1" x14ac:dyDescent="0.4">
      <c r="A20" s="73"/>
      <c r="B20" s="12" t="s">
        <v>18</v>
      </c>
      <c r="C20" s="13">
        <v>-100</v>
      </c>
      <c r="D20" s="13">
        <v>-20</v>
      </c>
      <c r="E20" s="73"/>
      <c r="F20" s="73"/>
      <c r="G20" s="73"/>
      <c r="H20" s="73"/>
      <c r="I20" s="73"/>
      <c r="J20" s="73"/>
      <c r="K20" s="117"/>
      <c r="L20" s="117"/>
      <c r="M20" s="117"/>
      <c r="N20" s="117"/>
    </row>
    <row r="21" spans="1:15" ht="15" thickBot="1" x14ac:dyDescent="0.4">
      <c r="A21" s="73"/>
      <c r="B21" s="14" t="s">
        <v>19</v>
      </c>
      <c r="C21" s="15">
        <v>-100</v>
      </c>
      <c r="D21" s="15">
        <v>0</v>
      </c>
      <c r="E21" s="73"/>
      <c r="F21" s="73"/>
      <c r="G21" s="73"/>
      <c r="H21" s="73"/>
      <c r="I21" s="73"/>
      <c r="J21" s="73"/>
      <c r="K21" s="117"/>
      <c r="L21" s="117"/>
      <c r="M21" s="117"/>
      <c r="N21" s="117"/>
    </row>
    <row r="22" spans="1:15" ht="15" thickBot="1" x14ac:dyDescent="0.4">
      <c r="A22" s="73"/>
      <c r="B22" s="16" t="s">
        <v>20</v>
      </c>
      <c r="C22" s="17">
        <v>-50</v>
      </c>
      <c r="D22" s="17">
        <v>30</v>
      </c>
      <c r="E22" s="73"/>
      <c r="F22" s="73"/>
      <c r="G22" s="73"/>
      <c r="H22" s="73"/>
      <c r="I22" s="73"/>
      <c r="J22" s="73"/>
      <c r="K22" s="117"/>
      <c r="L22" s="117"/>
      <c r="M22" s="117"/>
      <c r="N22" s="117"/>
    </row>
    <row r="23" spans="1:15" ht="15" thickBot="1" x14ac:dyDescent="0.4">
      <c r="A23" s="73"/>
      <c r="B23" s="14" t="s">
        <v>21</v>
      </c>
      <c r="C23" s="15">
        <v>-5</v>
      </c>
      <c r="D23" s="15">
        <v>100</v>
      </c>
      <c r="E23" s="73"/>
      <c r="F23" s="73"/>
      <c r="G23" s="73"/>
      <c r="H23" s="73"/>
      <c r="I23" s="73"/>
      <c r="J23" s="73"/>
      <c r="K23" s="117"/>
      <c r="L23" s="117"/>
      <c r="M23" s="117"/>
      <c r="N23" s="117"/>
    </row>
    <row r="24" spans="1:15" ht="15" thickBot="1" x14ac:dyDescent="0.4">
      <c r="A24" s="73"/>
      <c r="B24" s="16" t="s">
        <v>22</v>
      </c>
      <c r="C24" s="17">
        <v>20</v>
      </c>
      <c r="D24" s="17">
        <v>200</v>
      </c>
      <c r="E24" s="73"/>
      <c r="F24" s="73"/>
      <c r="G24" s="73"/>
      <c r="H24" s="73"/>
      <c r="I24" s="73"/>
      <c r="J24" s="73"/>
      <c r="K24" s="117"/>
      <c r="L24" s="117"/>
      <c r="M24" s="117"/>
      <c r="N24" s="117"/>
    </row>
    <row r="25" spans="1:15" x14ac:dyDescent="0.35">
      <c r="A25" s="73"/>
      <c r="B25" s="148"/>
      <c r="C25" s="149"/>
      <c r="D25" s="149"/>
      <c r="E25" s="73"/>
      <c r="F25" s="73"/>
      <c r="G25" s="73"/>
      <c r="H25" s="73"/>
      <c r="I25" s="73"/>
      <c r="J25" s="73"/>
      <c r="K25" s="117"/>
      <c r="L25" s="117"/>
      <c r="M25" s="117"/>
      <c r="N25" s="117"/>
    </row>
    <row r="26" spans="1:15" x14ac:dyDescent="0.35">
      <c r="A26" s="73"/>
      <c r="B26" s="148"/>
      <c r="C26" s="149"/>
      <c r="D26" s="149"/>
      <c r="E26" s="73"/>
      <c r="F26" s="73"/>
      <c r="G26" s="73"/>
      <c r="H26" s="73"/>
      <c r="I26" s="73"/>
      <c r="J26" s="73"/>
      <c r="K26" s="117"/>
      <c r="L26" s="117"/>
      <c r="M26" s="117"/>
      <c r="N26" s="117"/>
    </row>
    <row r="27" spans="1:15" ht="29" x14ac:dyDescent="0.35">
      <c r="A27" s="73"/>
      <c r="B27" s="148" t="s">
        <v>208</v>
      </c>
      <c r="C27" s="149"/>
      <c r="D27" s="149"/>
      <c r="E27" s="73"/>
      <c r="F27" s="73"/>
      <c r="G27" s="73"/>
      <c r="H27" s="73"/>
      <c r="I27" s="73"/>
      <c r="J27" s="73"/>
      <c r="K27" s="117"/>
      <c r="L27" s="117"/>
      <c r="M27" s="117"/>
      <c r="N27" s="117"/>
    </row>
    <row r="28" spans="1:15" x14ac:dyDescent="0.35">
      <c r="A28" s="73"/>
      <c r="B28" s="118"/>
      <c r="C28" s="73"/>
      <c r="D28" s="73"/>
      <c r="E28" s="73"/>
      <c r="F28" s="73"/>
      <c r="G28" s="73"/>
      <c r="H28" s="73"/>
      <c r="I28" s="73"/>
      <c r="J28" s="73"/>
      <c r="K28" s="117"/>
      <c r="L28" s="117"/>
      <c r="M28" s="117"/>
      <c r="N28" s="117"/>
    </row>
    <row r="29" spans="1:15" ht="31.5" customHeight="1" x14ac:dyDescent="0.35">
      <c r="A29" s="73"/>
      <c r="C29" s="138" t="s">
        <v>99</v>
      </c>
      <c r="D29" s="138" t="s">
        <v>100</v>
      </c>
      <c r="E29" s="138" t="s">
        <v>23</v>
      </c>
      <c r="F29" s="138" t="s">
        <v>101</v>
      </c>
      <c r="G29" s="73"/>
      <c r="H29" s="73"/>
      <c r="I29" s="73"/>
      <c r="J29" s="73"/>
      <c r="K29" s="73"/>
      <c r="L29" s="73"/>
      <c r="M29" s="73"/>
      <c r="N29" s="73"/>
      <c r="O29"/>
    </row>
    <row r="30" spans="1:15" ht="15" customHeight="1" x14ac:dyDescent="0.35">
      <c r="A30" s="73"/>
      <c r="B30" s="140" t="s">
        <v>205</v>
      </c>
      <c r="C30" s="141"/>
      <c r="D30" s="141"/>
      <c r="E30" s="141"/>
      <c r="F30" s="142"/>
      <c r="G30" s="73"/>
      <c r="H30" s="73"/>
      <c r="I30" s="73"/>
      <c r="J30" s="73"/>
      <c r="K30" s="73"/>
      <c r="L30" s="73"/>
      <c r="M30" s="73"/>
      <c r="N30" s="73"/>
      <c r="O30"/>
    </row>
    <row r="31" spans="1:15" ht="40" customHeight="1" x14ac:dyDescent="0.35">
      <c r="A31" s="125">
        <v>1</v>
      </c>
      <c r="B31" s="147" t="str">
        <f>'4.5 Group results Payoffs'!B3</f>
        <v>Let's say we DO NOTHING. 
At the end of the planning time horizon, what will be the CHANGE (as a % relative to current population size) in population size IN THE WILD?</v>
      </c>
      <c r="C31" s="51"/>
      <c r="D31" s="51"/>
      <c r="E31" s="51"/>
      <c r="F31" s="52"/>
      <c r="G31" s="73"/>
      <c r="H31" s="73"/>
      <c r="I31" s="73"/>
      <c r="J31" s="73"/>
      <c r="K31" s="73"/>
      <c r="L31" s="73"/>
      <c r="M31" s="73"/>
      <c r="N31" s="73"/>
      <c r="O31"/>
    </row>
    <row r="32" spans="1:15" ht="35.15" customHeight="1" x14ac:dyDescent="0.35">
      <c r="A32" s="73"/>
      <c r="B32" s="120"/>
      <c r="C32" s="143"/>
      <c r="D32" s="143"/>
      <c r="E32" s="143"/>
      <c r="F32" s="130"/>
      <c r="G32" s="73"/>
      <c r="H32" s="73"/>
      <c r="I32" s="73"/>
      <c r="J32" s="73"/>
      <c r="K32" s="73"/>
      <c r="L32" s="73"/>
      <c r="M32" s="73"/>
      <c r="N32" s="73"/>
      <c r="O32"/>
    </row>
    <row r="33" spans="1:15" ht="29" x14ac:dyDescent="0.35">
      <c r="A33" s="73"/>
      <c r="B33" s="120"/>
      <c r="C33" s="52" t="s">
        <v>99</v>
      </c>
      <c r="D33" s="52" t="s">
        <v>100</v>
      </c>
      <c r="E33" s="152" t="s">
        <v>23</v>
      </c>
      <c r="F33" s="152" t="s">
        <v>101</v>
      </c>
      <c r="G33" s="73"/>
      <c r="H33" s="73"/>
      <c r="I33" s="73"/>
      <c r="J33" s="73"/>
      <c r="K33" s="73"/>
      <c r="L33" s="73"/>
      <c r="M33" s="73"/>
      <c r="N33" s="73"/>
      <c r="O33"/>
    </row>
    <row r="34" spans="1:15" x14ac:dyDescent="0.35">
      <c r="A34" s="73"/>
      <c r="B34" s="139" t="s">
        <v>0</v>
      </c>
      <c r="C34" s="132"/>
      <c r="D34" s="132"/>
      <c r="E34" s="132"/>
      <c r="F34" s="132"/>
      <c r="G34" s="73"/>
      <c r="H34" s="73"/>
      <c r="I34" s="73"/>
      <c r="J34" s="73"/>
      <c r="K34" s="73"/>
      <c r="L34" s="73"/>
      <c r="M34" s="73"/>
      <c r="N34" s="73"/>
      <c r="O34"/>
    </row>
    <row r="35" spans="1:15" ht="40" customHeight="1" x14ac:dyDescent="0.35">
      <c r="A35" s="125">
        <v>2</v>
      </c>
      <c r="B35" s="47" t="str">
        <f>'4.5 Group results Payoffs'!B50</f>
        <v>Let's say implementation of the STATUS QUO IN-SITU PLAN = SUCCESSFUL. 
At the end of the planning time horizon, what will be the CHANGE (as a % relative to current population size) in population size IN THE WILD?</v>
      </c>
      <c r="C35" s="46"/>
      <c r="D35" s="46"/>
      <c r="E35" s="46"/>
      <c r="F35" s="46"/>
      <c r="G35" s="73"/>
      <c r="H35" s="73"/>
      <c r="I35" s="73"/>
      <c r="J35" s="73"/>
      <c r="K35" s="73"/>
      <c r="L35" s="73"/>
      <c r="M35" s="73"/>
      <c r="N35" s="73"/>
      <c r="O35"/>
    </row>
    <row r="36" spans="1:15" ht="40" customHeight="1" x14ac:dyDescent="0.35">
      <c r="A36" s="125">
        <v>3</v>
      </c>
      <c r="B36" s="47" t="str">
        <f>'4.5 Group results Payoffs'!B97</f>
        <v>Let's say implementation of the STATUS QUO IN-SITU PLAN = UNSUCCESSFUL. 
At the end of the planning time horizon, what will be the CHANGE (as a % relative to current population size) in population size IN THE WILD?</v>
      </c>
      <c r="C36" s="46"/>
      <c r="D36" s="46"/>
      <c r="E36" s="46"/>
      <c r="F36" s="46"/>
      <c r="G36" s="73"/>
      <c r="H36" s="73"/>
      <c r="I36" s="73"/>
      <c r="J36" s="73"/>
      <c r="K36" s="73"/>
      <c r="L36" s="73"/>
      <c r="M36" s="73"/>
      <c r="N36" s="73"/>
      <c r="O36"/>
    </row>
    <row r="37" spans="1:15" ht="108.65" customHeight="1" x14ac:dyDescent="0.35">
      <c r="A37" s="73"/>
      <c r="B37" s="146"/>
      <c r="C37" s="135"/>
      <c r="D37" s="135"/>
      <c r="E37" s="135"/>
      <c r="F37" s="135"/>
      <c r="G37" s="73"/>
      <c r="H37" s="73"/>
      <c r="I37" s="73"/>
      <c r="J37" s="73"/>
      <c r="K37" s="73"/>
      <c r="L37" s="73"/>
      <c r="M37" s="73"/>
      <c r="N37" s="73"/>
      <c r="O37"/>
    </row>
    <row r="38" spans="1:15" ht="32.15" customHeight="1" x14ac:dyDescent="0.35">
      <c r="A38" s="73"/>
      <c r="B38" s="151" t="str">
        <f>CONCATENATE("Implementation of the in-situ status quo plan is considered to be SUCCESSFUL if at least ",'1. In-situ status quo plan'!$C$38,"% of the plan is implemented within ",'1. In-situ status quo plan'!$C$35," years.")</f>
        <v>Implementation of the in-situ status quo plan is considered to be SUCCESSFUL if at least % of the plan is implemented within  years.</v>
      </c>
      <c r="C38" s="150"/>
      <c r="D38" s="150"/>
      <c r="E38" s="150"/>
      <c r="F38" s="150"/>
      <c r="G38" s="73"/>
      <c r="H38" s="73"/>
      <c r="I38" s="73"/>
      <c r="J38" s="73"/>
      <c r="K38" s="73"/>
      <c r="L38" s="73"/>
      <c r="M38" s="73"/>
      <c r="N38" s="73"/>
      <c r="O38"/>
    </row>
    <row r="39" spans="1:15" ht="29" x14ac:dyDescent="0.35">
      <c r="A39" s="73"/>
      <c r="B39" s="136"/>
      <c r="C39" s="52" t="s">
        <v>99</v>
      </c>
      <c r="D39" s="52" t="s">
        <v>100</v>
      </c>
      <c r="E39" s="152" t="s">
        <v>23</v>
      </c>
      <c r="F39" s="152" t="s">
        <v>101</v>
      </c>
      <c r="G39" s="73"/>
      <c r="H39" s="73"/>
      <c r="I39" s="73"/>
      <c r="J39" s="73"/>
      <c r="K39" s="73"/>
      <c r="L39" s="73"/>
      <c r="M39" s="73"/>
      <c r="N39" s="73"/>
      <c r="O39"/>
    </row>
    <row r="40" spans="1:15" x14ac:dyDescent="0.35">
      <c r="A40" s="73"/>
      <c r="B40" s="139" t="s">
        <v>1</v>
      </c>
      <c r="C40" s="132"/>
      <c r="D40" s="132"/>
      <c r="E40" s="132"/>
      <c r="F40" s="132"/>
      <c r="G40" s="73"/>
      <c r="H40" s="73"/>
      <c r="I40" s="73"/>
      <c r="J40" s="73"/>
      <c r="K40" s="117"/>
      <c r="L40" s="117"/>
      <c r="M40" s="117"/>
      <c r="N40" s="117"/>
    </row>
    <row r="41" spans="1:15" ht="40" customHeight="1" x14ac:dyDescent="0.35">
      <c r="A41" s="125">
        <v>4</v>
      </c>
      <c r="B41" s="47" t="str">
        <f>'4.5 Group results Payoffs'!B144</f>
        <v>Let's say implementation of the IN-SITU PLUS PLAN = SUCCESSFUL. 
At the end of the planning time horizon, what will be the CHANGE (as a % relative to current population size) in population size IN THE WILD?</v>
      </c>
      <c r="C41" s="46"/>
      <c r="D41" s="46"/>
      <c r="E41" s="46"/>
      <c r="F41" s="46"/>
      <c r="G41" s="73"/>
      <c r="H41" s="73"/>
      <c r="I41" s="73"/>
      <c r="J41" s="73"/>
      <c r="K41" s="117"/>
      <c r="L41" s="117"/>
      <c r="M41" s="117"/>
      <c r="N41" s="117"/>
    </row>
    <row r="42" spans="1:15" ht="40" customHeight="1" x14ac:dyDescent="0.35">
      <c r="A42" s="125">
        <v>5</v>
      </c>
      <c r="B42" s="47" t="str">
        <f>'4.5 Group results Payoffs'!B191</f>
        <v>Let's say implementation of the IN-SITU PLUS PLAN = UNSUCCESSFUL. 
At the end of the planning time horizon, what will be the CHANGE (as a % relative to current population size) in population size IN THE WILD?</v>
      </c>
      <c r="C42" s="46"/>
      <c r="D42" s="46"/>
      <c r="E42" s="46"/>
      <c r="F42" s="46"/>
      <c r="G42" s="73"/>
      <c r="H42" s="73"/>
      <c r="I42" s="73"/>
      <c r="J42" s="73"/>
      <c r="K42" s="117"/>
      <c r="L42" s="117"/>
      <c r="M42" s="117"/>
      <c r="N42" s="117"/>
    </row>
    <row r="43" spans="1:15" ht="89.15" customHeight="1" x14ac:dyDescent="0.35">
      <c r="A43" s="73"/>
      <c r="B43" s="146"/>
      <c r="C43" s="135"/>
      <c r="D43" s="135"/>
      <c r="E43" s="135"/>
      <c r="F43" s="135"/>
      <c r="G43" s="73"/>
      <c r="H43" s="73"/>
      <c r="I43" s="73"/>
      <c r="J43" s="73"/>
      <c r="K43" s="117"/>
      <c r="L43" s="117"/>
      <c r="M43" s="117"/>
      <c r="N43" s="117"/>
    </row>
    <row r="44" spans="1:15" ht="35.5" customHeight="1" x14ac:dyDescent="0.35">
      <c r="A44" s="73"/>
      <c r="B44" s="151" t="str">
        <f>CONCATENATE("Implementation of the in-situ plus plan is considered to be SUCCESSFUL if at least ",'3. In-situ plus plan'!$D$41,"% of the plan is implemented within ",'3. In-situ plus plan'!$D$38," years.")</f>
        <v>Implementation of the in-situ plus plan is considered to be SUCCESSFUL if at least % of the plan is implemented within  years.</v>
      </c>
      <c r="C44" s="150"/>
      <c r="D44" s="150"/>
      <c r="E44" s="150"/>
      <c r="F44" s="150"/>
      <c r="G44" s="73"/>
      <c r="H44" s="73"/>
      <c r="I44" s="73"/>
      <c r="J44" s="73"/>
      <c r="K44" s="117"/>
      <c r="L44" s="117"/>
      <c r="M44" s="117"/>
      <c r="N44" s="117"/>
    </row>
    <row r="45" spans="1:15" ht="29" x14ac:dyDescent="0.35">
      <c r="A45" s="73"/>
      <c r="B45" s="136"/>
      <c r="C45" s="52" t="s">
        <v>99</v>
      </c>
      <c r="D45" s="52" t="s">
        <v>100</v>
      </c>
      <c r="E45" s="152" t="s">
        <v>23</v>
      </c>
      <c r="F45" s="152" t="s">
        <v>101</v>
      </c>
      <c r="G45" s="73"/>
      <c r="H45" s="73"/>
      <c r="I45" s="73"/>
      <c r="J45" s="73"/>
      <c r="K45" s="117"/>
      <c r="L45" s="117"/>
      <c r="M45" s="117"/>
      <c r="N45" s="117"/>
    </row>
    <row r="46" spans="1:15" x14ac:dyDescent="0.35">
      <c r="A46" s="73"/>
      <c r="B46" s="139" t="s">
        <v>2</v>
      </c>
      <c r="C46" s="132"/>
      <c r="D46" s="132"/>
      <c r="E46" s="132"/>
      <c r="F46" s="132"/>
      <c r="G46" s="73"/>
      <c r="H46" s="73"/>
      <c r="I46" s="73"/>
      <c r="J46" s="73"/>
      <c r="K46" s="117"/>
      <c r="L46" s="117"/>
      <c r="M46" s="117"/>
      <c r="N46" s="117"/>
    </row>
    <row r="47" spans="1:15" ht="40" customHeight="1" x14ac:dyDescent="0.35">
      <c r="A47" s="125">
        <v>6</v>
      </c>
      <c r="B47" s="47" t="str">
        <f>'4.5 Group results Payoffs'!B238</f>
        <v>Let's say IN-SITU COMPONENT = SUCCESSFUL, impact on source population = TRIVIAL, and captive breeding AND release into the wild = SUCCESSFUL. 
At the end of the planning time horizon, what will be the CHANGE (as a % relative to current population size) in population size IN THE WILD?</v>
      </c>
      <c r="C47" s="46"/>
      <c r="D47" s="46"/>
      <c r="E47" s="46"/>
      <c r="F47" s="46"/>
      <c r="G47" s="73"/>
      <c r="H47" s="73"/>
      <c r="I47" s="73"/>
      <c r="J47" s="73"/>
      <c r="K47" s="117"/>
      <c r="L47" s="117"/>
      <c r="M47" s="117"/>
      <c r="N47" s="117"/>
    </row>
    <row r="48" spans="1:15" ht="44.25" customHeight="1" x14ac:dyDescent="0.35">
      <c r="A48" s="125">
        <v>7</v>
      </c>
      <c r="B48" s="47" t="str">
        <f>'4.5 Group results Payoffs'!B285</f>
        <v>Let's say IN-SITU COMPONENT = SUCCESSFUL, impact on source population = TRIVIAL, and captive breeding OR release into the wild = UNSUCCESSFUL.  
At the end of the planning time horizon, what will be the CHANGE (as a % relative to current population size) in population size IN THE WILD?</v>
      </c>
      <c r="C48" s="46"/>
      <c r="D48" s="46"/>
      <c r="E48" s="46"/>
      <c r="F48" s="46"/>
      <c r="G48" s="73"/>
      <c r="H48" s="73"/>
      <c r="I48" s="73"/>
      <c r="J48" s="73"/>
      <c r="K48" s="117"/>
      <c r="L48" s="117"/>
      <c r="M48" s="117"/>
      <c r="N48" s="117"/>
    </row>
    <row r="49" spans="1:14" ht="35.15" customHeight="1" x14ac:dyDescent="0.35">
      <c r="A49" s="73"/>
      <c r="B49" s="144"/>
      <c r="C49" s="145"/>
      <c r="D49" s="145"/>
      <c r="E49" s="145"/>
      <c r="F49" s="145"/>
      <c r="G49" s="73"/>
      <c r="H49" s="73"/>
      <c r="I49" s="73"/>
      <c r="J49" s="73"/>
      <c r="K49" s="117"/>
      <c r="L49" s="117"/>
      <c r="M49" s="117"/>
      <c r="N49" s="117"/>
    </row>
    <row r="50" spans="1:14" ht="45.75" customHeight="1" x14ac:dyDescent="0.35">
      <c r="A50" s="125">
        <v>8</v>
      </c>
      <c r="B50" s="47" t="str">
        <f>'4.5 Group results Payoffs'!B332</f>
        <v>Let's say IN-SITU COMPONENT = SUCCESSFUL, impact on source population = MATERIAL, and captive breeding AND release into the wild = SUCCESSFUL. 
At the end of the planning time horizon, what will be the CHANGE (as a % relative to current population size) in population size IN THE WILD?</v>
      </c>
      <c r="C50" s="46"/>
      <c r="D50" s="46"/>
      <c r="E50" s="46"/>
      <c r="F50" s="46"/>
      <c r="G50" s="73"/>
      <c r="H50" s="73"/>
      <c r="I50" s="73"/>
      <c r="J50" s="73"/>
      <c r="K50" s="117"/>
      <c r="L50" s="117"/>
      <c r="M50" s="117"/>
      <c r="N50" s="117"/>
    </row>
    <row r="51" spans="1:14" ht="50.25" customHeight="1" x14ac:dyDescent="0.35">
      <c r="A51" s="125">
        <v>9</v>
      </c>
      <c r="B51" s="47" t="str">
        <f>'4.5 Group results Payoffs'!B379</f>
        <v>Let's say IN-SITU COMPONENT = SUCCESSFUL, impact on source population = MATERIAL, and captive breeding OR release into the wild = UNSUCCESSFUL. 
At the end of the planning time horizon, what will be the CHANGE (as a % relative to current population size) in population size IN THE WILD?</v>
      </c>
      <c r="C51" s="46"/>
      <c r="D51" s="46"/>
      <c r="E51" s="46"/>
      <c r="F51" s="46"/>
      <c r="G51" s="73"/>
      <c r="H51" s="73"/>
      <c r="I51" s="73"/>
      <c r="J51" s="73"/>
      <c r="K51" s="117"/>
      <c r="L51" s="117"/>
      <c r="M51" s="117"/>
      <c r="N51" s="117"/>
    </row>
    <row r="52" spans="1:14" ht="35.15" customHeight="1" x14ac:dyDescent="0.35">
      <c r="A52" s="73"/>
      <c r="B52" s="144"/>
      <c r="C52" s="145"/>
      <c r="D52" s="145"/>
      <c r="E52" s="145"/>
      <c r="F52" s="145"/>
      <c r="G52" s="73"/>
      <c r="H52" s="73"/>
      <c r="I52" s="73"/>
      <c r="J52" s="73"/>
      <c r="K52" s="117"/>
      <c r="L52" s="117"/>
      <c r="M52" s="117"/>
      <c r="N52" s="117"/>
    </row>
    <row r="53" spans="1:14" ht="52.5" customHeight="1" x14ac:dyDescent="0.35">
      <c r="A53" s="125">
        <v>10</v>
      </c>
      <c r="B53" s="47" t="str">
        <f>'4.5 Group results Payoffs'!B426</f>
        <v>Let's say IN-SITU COMPONENT = UNSUCCESSFUL, impact on source population = TRIVIAL, and captive breeding AND release into the wild = SUCCESSFUL. 
At the end of the planning time horizon, what will be the CHANGE (as a % relative to current population size) in population size IN THE WILD?</v>
      </c>
      <c r="C53" s="48"/>
      <c r="D53" s="48"/>
      <c r="E53" s="48"/>
      <c r="F53" s="48"/>
      <c r="G53" s="73"/>
      <c r="H53" s="73"/>
      <c r="I53" s="73"/>
      <c r="J53" s="73"/>
      <c r="K53" s="117"/>
      <c r="L53" s="117"/>
      <c r="M53" s="117"/>
      <c r="N53" s="117"/>
    </row>
    <row r="54" spans="1:14" ht="48.75" customHeight="1" x14ac:dyDescent="0.35">
      <c r="A54" s="125">
        <v>11</v>
      </c>
      <c r="B54" s="47" t="str">
        <f>'4.5 Group results Payoffs'!B473</f>
        <v>Let's say IN-SITU COMPONENT = UNSUCCESSFUL, impact on source population = TRIVIAL, and captive breeding OR release into the wild = UNSUCCESSFUL. 
At the end of the planning time horizon, what will be the CHANGE (as a % relative to current population size) in population size IN THE WILD?</v>
      </c>
      <c r="C54" s="48"/>
      <c r="D54" s="48"/>
      <c r="E54" s="48"/>
      <c r="F54" s="48"/>
      <c r="G54" s="73"/>
      <c r="H54" s="73"/>
      <c r="I54" s="73"/>
      <c r="J54" s="73"/>
      <c r="K54" s="117"/>
      <c r="L54" s="117"/>
      <c r="M54" s="117"/>
      <c r="N54" s="117"/>
    </row>
    <row r="55" spans="1:14" ht="35.15" customHeight="1" x14ac:dyDescent="0.35">
      <c r="A55" s="73"/>
      <c r="B55" s="144"/>
      <c r="C55" s="145"/>
      <c r="D55" s="145"/>
      <c r="E55" s="145"/>
      <c r="F55" s="145"/>
      <c r="G55" s="73"/>
      <c r="H55" s="73"/>
      <c r="I55" s="73"/>
      <c r="J55" s="73"/>
      <c r="K55" s="117"/>
      <c r="L55" s="117"/>
      <c r="M55" s="117"/>
      <c r="N55" s="117"/>
    </row>
    <row r="56" spans="1:14" ht="44.25" customHeight="1" x14ac:dyDescent="0.35">
      <c r="A56" s="125">
        <v>12</v>
      </c>
      <c r="B56" s="47" t="str">
        <f>'4.5 Group results Payoffs'!B520</f>
        <v>Let's say IN-SITU COMPONENT = UNSUCCESSFUL, impact on source population = MATERIAL, and captive breeding AND release into the wild = SUCCESSFUL. 
At the end of the planning time horizon, what will be the CHANGE (as a % relative to current population size) in population size IN THE WILD?</v>
      </c>
      <c r="C56" s="48"/>
      <c r="D56" s="48"/>
      <c r="E56" s="48"/>
      <c r="F56" s="48"/>
      <c r="G56" s="73"/>
      <c r="H56" s="73"/>
      <c r="I56" s="73"/>
      <c r="J56" s="73"/>
      <c r="K56" s="117"/>
      <c r="L56" s="117"/>
      <c r="M56" s="117"/>
      <c r="N56" s="117"/>
    </row>
    <row r="57" spans="1:14" ht="45.75" customHeight="1" x14ac:dyDescent="0.35">
      <c r="A57" s="125">
        <v>13</v>
      </c>
      <c r="B57" s="47" t="str">
        <f>'4.5 Group results Payoffs'!B567</f>
        <v>Let's say IN-SITU COMPONENT = UNSUCCESSFUL, impact on source population = MATERIAL, and captive breeding OR release into the wild = UNSUCCESSFUL. 
At the end of the planning time horizon, what will be the CHANGE (as a % relative to current population size) in population size IN THE WILD?</v>
      </c>
      <c r="C57" s="48"/>
      <c r="D57" s="48"/>
      <c r="E57" s="48"/>
      <c r="F57" s="48"/>
      <c r="G57" s="73"/>
      <c r="H57" s="73"/>
      <c r="I57" s="73"/>
      <c r="J57" s="73"/>
      <c r="K57" s="117"/>
      <c r="L57" s="117"/>
      <c r="M57" s="117"/>
      <c r="N57" s="117"/>
    </row>
    <row r="58" spans="1:14" x14ac:dyDescent="0.35">
      <c r="A58" s="73"/>
      <c r="B58" s="73"/>
      <c r="C58" s="73"/>
      <c r="D58" s="73"/>
      <c r="E58" s="73"/>
      <c r="F58" s="73"/>
      <c r="G58" s="73"/>
      <c r="H58" s="73"/>
      <c r="I58" s="73"/>
      <c r="J58" s="73"/>
      <c r="K58" s="117"/>
    </row>
    <row r="59" spans="1:14" x14ac:dyDescent="0.35">
      <c r="A59" s="73"/>
      <c r="B59" s="73"/>
      <c r="C59" s="73"/>
      <c r="D59" s="73"/>
      <c r="E59" s="73"/>
      <c r="F59" s="73"/>
      <c r="G59" s="73"/>
      <c r="H59" s="73"/>
      <c r="I59" s="73"/>
      <c r="J59" s="73"/>
      <c r="K59" s="117"/>
    </row>
    <row r="60" spans="1:14" x14ac:dyDescent="0.35">
      <c r="A60" s="73"/>
      <c r="B60" s="73"/>
      <c r="C60" s="73"/>
      <c r="D60" s="73"/>
      <c r="E60" s="73"/>
      <c r="F60" s="73"/>
      <c r="G60" s="73"/>
      <c r="H60" s="73"/>
      <c r="I60" s="73"/>
      <c r="J60" s="73"/>
      <c r="K60" s="117"/>
    </row>
    <row r="61" spans="1:14" x14ac:dyDescent="0.35">
      <c r="A61" s="73"/>
      <c r="B61" s="73"/>
      <c r="C61" s="73"/>
      <c r="D61" s="73"/>
      <c r="E61" s="73"/>
      <c r="F61" s="73"/>
      <c r="G61" s="73"/>
      <c r="H61" s="73"/>
      <c r="I61" s="73"/>
      <c r="J61" s="73"/>
      <c r="K61" s="117"/>
    </row>
    <row r="62" spans="1:14" x14ac:dyDescent="0.35">
      <c r="A62" s="73"/>
      <c r="B62" s="73"/>
      <c r="C62" s="73"/>
      <c r="D62" s="73"/>
      <c r="E62" s="73"/>
      <c r="F62" s="73"/>
      <c r="G62" s="73"/>
      <c r="H62" s="73"/>
      <c r="I62" s="73"/>
      <c r="J62" s="73"/>
      <c r="K62" s="117"/>
    </row>
    <row r="63" spans="1:14" x14ac:dyDescent="0.35">
      <c r="A63" s="73"/>
      <c r="B63" s="73"/>
      <c r="C63" s="73"/>
      <c r="D63" s="73"/>
      <c r="E63" s="73"/>
      <c r="F63" s="73"/>
      <c r="G63" s="73"/>
      <c r="H63" s="73"/>
      <c r="I63" s="73"/>
      <c r="J63" s="73"/>
      <c r="K63" s="117"/>
    </row>
    <row r="64" spans="1:14" x14ac:dyDescent="0.35">
      <c r="A64" s="73"/>
      <c r="B64" s="73"/>
      <c r="C64" s="73"/>
      <c r="D64" s="73"/>
      <c r="E64" s="73"/>
      <c r="F64" s="73"/>
      <c r="G64" s="73"/>
      <c r="H64" s="73"/>
      <c r="I64" s="73"/>
      <c r="J64" s="73"/>
      <c r="K64" s="117"/>
    </row>
    <row r="65" spans="1:11" x14ac:dyDescent="0.35">
      <c r="A65" s="73"/>
      <c r="B65" s="73"/>
      <c r="C65" s="73"/>
      <c r="D65" s="73"/>
      <c r="E65" s="73"/>
      <c r="F65" s="73"/>
      <c r="G65" s="73"/>
      <c r="H65" s="73"/>
      <c r="I65" s="73"/>
      <c r="J65" s="73"/>
      <c r="K65" s="117"/>
    </row>
    <row r="66" spans="1:11" x14ac:dyDescent="0.35">
      <c r="A66" s="73"/>
      <c r="B66" s="73"/>
      <c r="C66" s="73"/>
      <c r="D66" s="73"/>
      <c r="E66" s="73"/>
      <c r="F66" s="73"/>
      <c r="G66" s="73"/>
      <c r="H66" s="73"/>
      <c r="I66" s="73"/>
      <c r="J66" s="73"/>
      <c r="K66" s="117"/>
    </row>
    <row r="67" spans="1:11" x14ac:dyDescent="0.35">
      <c r="A67" s="73"/>
      <c r="B67" s="73"/>
      <c r="C67" s="73"/>
      <c r="D67" s="73"/>
      <c r="E67" s="73"/>
      <c r="F67" s="73"/>
      <c r="G67" s="73"/>
      <c r="H67" s="73"/>
      <c r="I67" s="73"/>
      <c r="J67" s="73"/>
      <c r="K67" s="117"/>
    </row>
    <row r="68" spans="1:11" x14ac:dyDescent="0.35">
      <c r="A68" s="73"/>
      <c r="B68" s="73"/>
      <c r="C68" s="73"/>
      <c r="D68" s="73"/>
      <c r="E68" s="73"/>
      <c r="F68" s="73"/>
      <c r="G68" s="73"/>
      <c r="H68" s="73"/>
      <c r="I68" s="73"/>
      <c r="J68" s="73"/>
      <c r="K68" s="117"/>
    </row>
    <row r="69" spans="1:11" x14ac:dyDescent="0.35">
      <c r="A69" s="73"/>
      <c r="B69" s="73"/>
      <c r="C69" s="73"/>
      <c r="D69" s="73"/>
      <c r="E69" s="73"/>
      <c r="F69" s="73"/>
      <c r="G69" s="73"/>
      <c r="H69" s="73"/>
      <c r="I69" s="73"/>
      <c r="J69" s="73"/>
      <c r="K69" s="117"/>
    </row>
    <row r="70" spans="1:11" x14ac:dyDescent="0.35">
      <c r="A70" s="73"/>
      <c r="B70" s="73"/>
      <c r="C70" s="73"/>
      <c r="D70" s="73"/>
      <c r="E70" s="73"/>
      <c r="F70" s="73"/>
      <c r="G70" s="73"/>
      <c r="H70" s="73"/>
      <c r="I70" s="73"/>
      <c r="J70" s="73"/>
      <c r="K70" s="117"/>
    </row>
    <row r="71" spans="1:11" x14ac:dyDescent="0.35">
      <c r="A71" s="73"/>
      <c r="B71" s="73"/>
      <c r="C71" s="73"/>
      <c r="D71" s="73"/>
      <c r="E71" s="73"/>
      <c r="F71" s="73"/>
      <c r="G71" s="73"/>
      <c r="H71" s="73"/>
      <c r="I71" s="73"/>
      <c r="J71" s="73"/>
      <c r="K71" s="117"/>
    </row>
    <row r="72" spans="1:11" x14ac:dyDescent="0.35">
      <c r="A72" s="73"/>
      <c r="B72" s="73"/>
      <c r="C72" s="73"/>
      <c r="D72" s="73"/>
      <c r="E72" s="73"/>
      <c r="F72" s="73"/>
      <c r="G72" s="73"/>
      <c r="H72" s="73"/>
      <c r="I72" s="73"/>
      <c r="J72" s="73"/>
      <c r="K72" s="117"/>
    </row>
    <row r="73" spans="1:11" x14ac:dyDescent="0.35">
      <c r="A73" s="73"/>
      <c r="B73" s="73"/>
      <c r="C73" s="73"/>
      <c r="D73" s="73"/>
      <c r="E73" s="73"/>
      <c r="F73" s="73"/>
      <c r="G73" s="73"/>
      <c r="H73" s="73"/>
      <c r="I73" s="73"/>
      <c r="J73" s="73"/>
      <c r="K73" s="117"/>
    </row>
    <row r="74" spans="1:11" x14ac:dyDescent="0.35">
      <c r="A74" s="73"/>
      <c r="B74" s="73"/>
      <c r="C74" s="73"/>
      <c r="D74" s="73"/>
      <c r="E74" s="73"/>
      <c r="F74" s="73"/>
      <c r="G74" s="73"/>
      <c r="H74" s="73"/>
      <c r="I74" s="73"/>
      <c r="J74" s="73"/>
      <c r="K74" s="117"/>
    </row>
    <row r="75" spans="1:11" x14ac:dyDescent="0.35">
      <c r="A75" s="73"/>
      <c r="B75" s="73"/>
      <c r="C75" s="73"/>
      <c r="D75" s="73"/>
      <c r="E75" s="73"/>
      <c r="F75" s="73"/>
      <c r="G75" s="73"/>
      <c r="H75" s="73"/>
      <c r="I75" s="73"/>
      <c r="J75" s="73"/>
      <c r="K75" s="117"/>
    </row>
    <row r="76" spans="1:11" x14ac:dyDescent="0.35">
      <c r="A76" s="73"/>
      <c r="B76" s="73"/>
      <c r="C76" s="73"/>
      <c r="D76" s="73"/>
      <c r="E76" s="73"/>
      <c r="F76" s="73"/>
      <c r="G76" s="73"/>
      <c r="H76" s="73"/>
      <c r="I76" s="73"/>
      <c r="J76" s="73"/>
      <c r="K76" s="117"/>
    </row>
    <row r="77" spans="1:11" x14ac:dyDescent="0.35">
      <c r="A77" s="73"/>
      <c r="B77" s="73"/>
      <c r="C77" s="73"/>
      <c r="D77" s="73"/>
      <c r="E77" s="73"/>
      <c r="F77" s="73"/>
      <c r="G77" s="73"/>
      <c r="H77" s="73"/>
      <c r="I77" s="73"/>
      <c r="J77" s="73"/>
      <c r="K77" s="117"/>
    </row>
    <row r="78" spans="1:11" x14ac:dyDescent="0.35">
      <c r="A78" s="73"/>
      <c r="B78" s="73"/>
      <c r="C78" s="73"/>
      <c r="D78" s="73"/>
      <c r="E78" s="73"/>
      <c r="F78" s="73"/>
      <c r="G78" s="73"/>
      <c r="H78" s="73"/>
      <c r="I78" s="73"/>
      <c r="J78" s="73"/>
      <c r="K78" s="117"/>
    </row>
    <row r="79" spans="1:11" x14ac:dyDescent="0.35">
      <c r="A79" s="73"/>
      <c r="B79" s="73"/>
      <c r="C79" s="73"/>
      <c r="D79" s="73"/>
      <c r="E79" s="73"/>
      <c r="F79" s="73"/>
      <c r="G79" s="73"/>
      <c r="H79" s="73"/>
      <c r="I79" s="73"/>
      <c r="J79" s="73"/>
      <c r="K79" s="117"/>
    </row>
    <row r="80" spans="1:11" x14ac:dyDescent="0.35">
      <c r="A80" s="73"/>
      <c r="B80" s="73"/>
      <c r="C80" s="73"/>
      <c r="D80" s="73"/>
      <c r="E80" s="73"/>
      <c r="F80" s="73"/>
      <c r="G80" s="73"/>
      <c r="H80" s="73"/>
      <c r="I80" s="73"/>
      <c r="J80" s="73"/>
      <c r="K80" s="117"/>
    </row>
    <row r="81" spans="1:11" x14ac:dyDescent="0.35">
      <c r="A81" s="73"/>
      <c r="B81" s="73"/>
      <c r="C81" s="73"/>
      <c r="D81" s="73"/>
      <c r="E81" s="73"/>
      <c r="F81" s="73"/>
      <c r="G81" s="73"/>
      <c r="H81" s="73"/>
      <c r="I81" s="73"/>
      <c r="J81" s="73"/>
      <c r="K81" s="117"/>
    </row>
    <row r="82" spans="1:11" x14ac:dyDescent="0.35">
      <c r="A82" s="73"/>
      <c r="B82" s="73"/>
      <c r="C82" s="73"/>
      <c r="D82" s="73"/>
      <c r="E82" s="73"/>
      <c r="F82" s="73"/>
      <c r="G82" s="73"/>
      <c r="H82" s="73"/>
      <c r="I82" s="73"/>
      <c r="J82" s="73"/>
      <c r="K82" s="117"/>
    </row>
    <row r="83" spans="1:11" x14ac:dyDescent="0.35">
      <c r="A83" s="73"/>
      <c r="B83" s="73"/>
      <c r="C83" s="73"/>
      <c r="D83" s="73"/>
      <c r="E83" s="73"/>
      <c r="F83" s="73"/>
      <c r="G83" s="73"/>
      <c r="H83" s="73"/>
      <c r="I83" s="73"/>
      <c r="J83" s="73"/>
      <c r="K83" s="117"/>
    </row>
    <row r="84" spans="1:11" x14ac:dyDescent="0.35">
      <c r="A84" s="73"/>
      <c r="B84" s="73"/>
      <c r="C84" s="73"/>
      <c r="D84" s="73"/>
      <c r="E84" s="73"/>
      <c r="F84" s="73"/>
      <c r="G84" s="73"/>
      <c r="H84" s="73"/>
      <c r="I84" s="73"/>
      <c r="J84" s="73"/>
      <c r="K84" s="117"/>
    </row>
    <row r="85" spans="1:11" x14ac:dyDescent="0.35">
      <c r="A85" s="73"/>
      <c r="B85" s="73"/>
      <c r="C85" s="73"/>
      <c r="D85" s="73"/>
      <c r="E85" s="73"/>
      <c r="F85" s="73"/>
      <c r="G85" s="73"/>
      <c r="H85" s="73"/>
      <c r="I85" s="73"/>
      <c r="J85" s="73"/>
      <c r="K85" s="117"/>
    </row>
    <row r="86" spans="1:11" x14ac:dyDescent="0.35">
      <c r="A86" s="73"/>
      <c r="B86" s="73"/>
      <c r="C86" s="73"/>
      <c r="D86" s="73"/>
      <c r="E86" s="73"/>
      <c r="F86" s="73"/>
      <c r="G86" s="73"/>
      <c r="H86" s="73"/>
      <c r="I86" s="73"/>
      <c r="J86" s="73"/>
      <c r="K86" s="117"/>
    </row>
    <row r="87" spans="1:11" x14ac:dyDescent="0.35">
      <c r="A87" s="73"/>
      <c r="B87" s="73"/>
      <c r="C87" s="73"/>
      <c r="D87" s="73"/>
      <c r="E87" s="73"/>
      <c r="F87" s="73"/>
      <c r="G87" s="73"/>
      <c r="H87" s="73"/>
      <c r="I87" s="73"/>
      <c r="J87" s="73"/>
      <c r="K87" s="117"/>
    </row>
    <row r="88" spans="1:11" x14ac:dyDescent="0.35">
      <c r="A88" s="73"/>
      <c r="B88" s="73"/>
      <c r="C88" s="73"/>
      <c r="D88" s="73"/>
      <c r="E88" s="73"/>
      <c r="F88" s="73"/>
      <c r="G88" s="73"/>
      <c r="H88" s="73"/>
      <c r="I88" s="73"/>
      <c r="J88" s="73"/>
      <c r="K88" s="117"/>
    </row>
    <row r="89" spans="1:11" x14ac:dyDescent="0.35">
      <c r="A89" s="73"/>
      <c r="B89" s="73"/>
      <c r="C89" s="73"/>
      <c r="D89" s="73"/>
      <c r="E89" s="73"/>
      <c r="F89" s="73"/>
      <c r="G89" s="73"/>
      <c r="H89" s="73"/>
      <c r="I89" s="73"/>
      <c r="J89" s="73"/>
      <c r="K89" s="117"/>
    </row>
    <row r="90" spans="1:11" x14ac:dyDescent="0.35">
      <c r="A90" s="73"/>
      <c r="B90" s="73"/>
      <c r="C90" s="73"/>
      <c r="D90" s="73"/>
      <c r="E90" s="73"/>
      <c r="F90" s="73"/>
      <c r="G90" s="73"/>
      <c r="H90" s="73"/>
      <c r="I90" s="73"/>
      <c r="J90" s="73"/>
      <c r="K90" s="117"/>
    </row>
    <row r="91" spans="1:11" x14ac:dyDescent="0.35">
      <c r="A91" s="73"/>
      <c r="B91" s="73"/>
      <c r="C91" s="73"/>
      <c r="D91" s="73"/>
      <c r="E91" s="73"/>
      <c r="F91" s="73"/>
      <c r="G91" s="73"/>
      <c r="H91" s="73"/>
      <c r="I91" s="73"/>
      <c r="J91" s="73"/>
      <c r="K91" s="117"/>
    </row>
    <row r="92" spans="1:11" x14ac:dyDescent="0.35">
      <c r="A92" s="73"/>
      <c r="B92" s="73"/>
      <c r="C92" s="73"/>
      <c r="D92" s="73"/>
      <c r="E92" s="73"/>
      <c r="F92" s="73"/>
      <c r="G92" s="73"/>
      <c r="H92" s="73"/>
      <c r="I92" s="73"/>
      <c r="J92" s="73"/>
      <c r="K92" s="117"/>
    </row>
    <row r="93" spans="1:11" x14ac:dyDescent="0.35">
      <c r="A93" s="73"/>
      <c r="B93" s="73"/>
      <c r="C93" s="73"/>
      <c r="D93" s="73"/>
      <c r="E93" s="73"/>
      <c r="F93" s="73"/>
      <c r="G93" s="73"/>
      <c r="H93" s="73"/>
      <c r="I93" s="73"/>
      <c r="J93" s="73"/>
      <c r="K93" s="117"/>
    </row>
    <row r="94" spans="1:11" x14ac:dyDescent="0.35">
      <c r="A94" s="73"/>
      <c r="B94" s="73"/>
      <c r="C94" s="73"/>
      <c r="D94" s="73"/>
      <c r="E94" s="73"/>
      <c r="F94" s="73"/>
      <c r="G94" s="73"/>
      <c r="H94" s="73"/>
      <c r="I94" s="73"/>
      <c r="J94" s="73"/>
      <c r="K94" s="117"/>
    </row>
    <row r="95" spans="1:11" x14ac:dyDescent="0.35">
      <c r="A95" s="73"/>
      <c r="B95" s="73"/>
      <c r="C95" s="73"/>
      <c r="D95" s="73"/>
      <c r="E95" s="73"/>
      <c r="F95" s="73"/>
      <c r="G95" s="73"/>
      <c r="H95" s="73"/>
      <c r="I95" s="73"/>
      <c r="J95" s="73"/>
      <c r="K95" s="117"/>
    </row>
    <row r="96" spans="1:11" x14ac:dyDescent="0.35">
      <c r="A96" s="73"/>
      <c r="B96" s="73"/>
      <c r="C96" s="73"/>
      <c r="D96" s="73"/>
      <c r="E96" s="73"/>
      <c r="F96" s="73"/>
      <c r="G96" s="73"/>
      <c r="H96" s="73"/>
      <c r="I96" s="73"/>
      <c r="J96" s="73"/>
      <c r="K96" s="117"/>
    </row>
    <row r="97" spans="1:11" x14ac:dyDescent="0.35">
      <c r="A97" s="73"/>
      <c r="B97" s="73"/>
      <c r="C97" s="73"/>
      <c r="D97" s="73"/>
      <c r="E97" s="73"/>
      <c r="F97" s="73"/>
      <c r="G97" s="73"/>
      <c r="H97" s="73"/>
      <c r="I97" s="73"/>
      <c r="J97" s="73"/>
      <c r="K97" s="117"/>
    </row>
    <row r="98" spans="1:11" x14ac:dyDescent="0.35">
      <c r="A98" s="73"/>
      <c r="B98" s="73"/>
      <c r="C98" s="73"/>
      <c r="D98" s="73"/>
      <c r="E98" s="73"/>
      <c r="F98" s="73"/>
      <c r="G98" s="73"/>
      <c r="H98" s="73"/>
      <c r="I98" s="73"/>
      <c r="J98" s="73"/>
      <c r="K98" s="117"/>
    </row>
    <row r="99" spans="1:11" x14ac:dyDescent="0.35">
      <c r="A99" s="73"/>
      <c r="B99" s="151" t="str">
        <f>CONCATENATE("Implementation of the in-situ component of the ex-situ plan is considered to be SUCCESSFUL if at least ",'1. In-situ status quo plan'!$C$38,"% of the plan is implemented within ",'1. In-situ status quo plan'!$C$35," years.")</f>
        <v>Implementation of the in-situ component of the ex-situ plan is considered to be SUCCESSFUL if at least % of the plan is implemented within  years.</v>
      </c>
      <c r="C99" s="73"/>
      <c r="D99" s="73"/>
      <c r="E99" s="73"/>
      <c r="F99" s="73"/>
      <c r="G99" s="73"/>
      <c r="H99" s="73"/>
      <c r="I99" s="73"/>
      <c r="J99" s="73"/>
      <c r="K99" s="117"/>
    </row>
    <row r="100" spans="1:11" ht="29" x14ac:dyDescent="0.35">
      <c r="A100" s="73"/>
      <c r="B100" s="151" t="str">
        <f>CONCATENATE("The ex situ plan is considered to have a TRIVIAL impact on the wild source population if a take of ", '2. Ex-situ plan'!$C$15*'2. Ex-situ plan'!$C$16, " individuals will NOT threaten the viability of wild source population(s).")</f>
        <v>The ex situ plan is considered to have a TRIVIAL impact on the wild source population if a take of 0 individuals will NOT threaten the viability of wild source population(s).</v>
      </c>
      <c r="C100" s="73"/>
      <c r="D100" s="73"/>
      <c r="E100" s="73"/>
      <c r="F100" s="73"/>
      <c r="G100" s="73"/>
      <c r="H100" s="73"/>
      <c r="I100" s="73"/>
      <c r="J100" s="73"/>
      <c r="K100" s="117"/>
    </row>
    <row r="101" spans="1:11" ht="29" x14ac:dyDescent="0.35">
      <c r="A101" s="73"/>
      <c r="B101" s="151" t="str">
        <f>CONCATENATE("The ex situ plan is considered to have a MATERIAL impact on the wild source population if a take of ", '2. Ex-situ plan'!$C$15*'2. Ex-situ plan'!$C$16, " individuals WILL threaten the viability of wild source population(s).")</f>
        <v>The ex situ plan is considered to have a MATERIAL impact on the wild source population if a take of 0 individuals WILL threaten the viability of wild source population(s).</v>
      </c>
      <c r="C101" s="73"/>
      <c r="D101" s="73"/>
      <c r="E101" s="73"/>
      <c r="F101" s="73"/>
      <c r="G101" s="73"/>
      <c r="H101" s="73"/>
      <c r="I101" s="73"/>
      <c r="J101" s="73"/>
      <c r="K101" s="117"/>
    </row>
    <row r="102" spans="1:11" x14ac:dyDescent="0.35">
      <c r="A102" s="73"/>
      <c r="B102" s="151" t="str">
        <f>CONCATENATE("Breeding is considered SUCCESSFUL if ≥ ",'2. Ex-situ plan'!$C$23,"% of offspring born in year ",'2. Ex-situ plan'!$C$21," of the ex-situ breeding program survive to ",'2. Ex-situ plan'!$C$22," months.")</f>
        <v>Breeding is considered SUCCESSFUL if ≥ % of offspring born in year  of the ex-situ breeding program survive to  months.</v>
      </c>
      <c r="C102" s="73"/>
      <c r="D102" s="73"/>
      <c r="E102" s="73"/>
      <c r="F102" s="73"/>
      <c r="G102" s="73"/>
      <c r="H102" s="73"/>
      <c r="I102" s="73"/>
      <c r="J102" s="73"/>
      <c r="K102" s="117"/>
    </row>
    <row r="103" spans="1:11" x14ac:dyDescent="0.35">
      <c r="A103" s="73"/>
      <c r="B103" s="151" t="str">
        <f>CONCATENATE("Release is considered SUCCESSFUL if ≥ ",'2. Ex-situ plan'!$C$29,"% of released individuals survive in the wild ",'2. Ex-situ plan'!$C$28," months after release.")</f>
        <v>Release is considered SUCCESSFUL if ≥ % of released individuals survive in the wild  months after release.</v>
      </c>
      <c r="C103" s="73"/>
      <c r="D103" s="73"/>
      <c r="E103" s="73"/>
      <c r="F103" s="73"/>
      <c r="G103" s="73"/>
      <c r="H103" s="73"/>
      <c r="I103" s="73"/>
      <c r="J103" s="73"/>
      <c r="K103" s="117"/>
    </row>
    <row r="104" spans="1:11" x14ac:dyDescent="0.35">
      <c r="A104" s="73"/>
      <c r="B104" s="73"/>
      <c r="C104" s="73"/>
      <c r="D104" s="73"/>
      <c r="E104" s="73"/>
      <c r="F104" s="73"/>
      <c r="G104" s="73"/>
      <c r="H104" s="73"/>
      <c r="I104" s="73"/>
      <c r="J104" s="73"/>
      <c r="K104" s="117"/>
    </row>
    <row r="105" spans="1:11" x14ac:dyDescent="0.35">
      <c r="A105" s="73"/>
      <c r="B105" s="73"/>
      <c r="C105" s="73"/>
      <c r="D105" s="73"/>
      <c r="E105" s="73"/>
      <c r="F105" s="73"/>
      <c r="G105" s="73"/>
      <c r="H105" s="73"/>
      <c r="I105" s="73"/>
      <c r="J105" s="73"/>
      <c r="K105" s="117"/>
    </row>
    <row r="106" spans="1:11" x14ac:dyDescent="0.35">
      <c r="A106" s="73"/>
      <c r="B106" s="73"/>
      <c r="C106" s="73"/>
      <c r="D106" s="73"/>
      <c r="E106" s="73"/>
      <c r="F106" s="73"/>
      <c r="G106" s="73"/>
      <c r="H106" s="73"/>
      <c r="I106" s="73"/>
      <c r="J106" s="73"/>
      <c r="K106" s="117"/>
    </row>
  </sheetData>
  <pageMargins left="0.70866141732283472" right="0.70866141732283472" top="0.74803149606299213" bottom="0.74803149606299213" header="0.31496062992125984" footer="0.31496062992125984"/>
  <pageSetup paperSize="9" scale="4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E4FA46BECACF4FB06F10405B556FD4" ma:contentTypeVersion="8" ma:contentTypeDescription="Create a new document." ma:contentTypeScope="" ma:versionID="9d36325c133f19a40683069cf84a653f">
  <xsd:schema xmlns:xsd="http://www.w3.org/2001/XMLSchema" xmlns:xs="http://www.w3.org/2001/XMLSchema" xmlns:p="http://schemas.microsoft.com/office/2006/metadata/properties" xmlns:ns3="5515527c-8017-4014-987a-e4978804477c" targetNamespace="http://schemas.microsoft.com/office/2006/metadata/properties" ma:root="true" ma:fieldsID="23ef208ed0f58d74ec23ae7b5244470c" ns3:_="">
    <xsd:import namespace="5515527c-8017-4014-987a-e4978804477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5527c-8017-4014-987a-e497880447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0BFB2-F864-4C61-8B57-CBAB07043867}">
  <ds:schemaRefs>
    <ds:schemaRef ds:uri="http://schemas.microsoft.com/sharepoint/v3/contenttype/forms"/>
  </ds:schemaRefs>
</ds:datastoreItem>
</file>

<file path=customXml/itemProps2.xml><?xml version="1.0" encoding="utf-8"?>
<ds:datastoreItem xmlns:ds="http://schemas.openxmlformats.org/officeDocument/2006/customXml" ds:itemID="{E29838DF-B114-4F5F-8FD6-EA2F9E9ADD96}">
  <ds:schemaRefs>
    <ds:schemaRef ds:uri="http://purl.org/dc/elements/1.1/"/>
    <ds:schemaRef ds:uri="5515527c-8017-4014-987a-e4978804477c"/>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E4AE7EA2-7BC8-4640-9A3A-48EE2035A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5527c-8017-4014-987a-e49788044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Outline</vt:lpstr>
      <vt:lpstr>Quick guide</vt:lpstr>
      <vt:lpstr>Initial information</vt:lpstr>
      <vt:lpstr>1. In-situ status quo plan</vt:lpstr>
      <vt:lpstr>2. Ex-situ plan</vt:lpstr>
      <vt:lpstr>3. In-situ plus plan</vt:lpstr>
      <vt:lpstr>4. Expert elicitation</vt:lpstr>
      <vt:lpstr>4.1 Elicitation form 1 Events</vt:lpstr>
      <vt:lpstr>4.2 Elicitation form 2 Payoffs</vt:lpstr>
      <vt:lpstr>4.3 Elicitation data entry</vt:lpstr>
      <vt:lpstr>4.4 Group results Events</vt:lpstr>
      <vt:lpstr>4.5 Group results Payoffs</vt:lpstr>
      <vt:lpstr>5. Decision tree Outputs</vt:lpstr>
      <vt:lpstr>6.1 Value judgements</vt:lpstr>
      <vt:lpstr>6.2 Value judgements summary</vt:lpstr>
      <vt:lpstr>S1 IUCN Ex-situ Guidelines form</vt:lpstr>
      <vt:lpstr>lists_do not touch!</vt:lpstr>
      <vt:lpstr>'1. In-situ status quo plan'!Extract</vt:lpstr>
      <vt:lpstr>'Initial information'!Extract</vt:lpstr>
      <vt:lpstr>'lists_do not touch!'!Extract</vt:lpstr>
      <vt:lpstr>'4.1 Elicitation form 1 Events'!Print_Area</vt:lpstr>
      <vt:lpstr>'4.2 Elicitation form 2 Payoffs'!Print_Area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Rout; Terry Walshe</dc:creator>
  <cp:lastPrinted>2019-12-03T00:30:40Z</cp:lastPrinted>
  <dcterms:created xsi:type="dcterms:W3CDTF">2019-05-23T01:10:33Z</dcterms:created>
  <dcterms:modified xsi:type="dcterms:W3CDTF">2021-02-02T04:50:02Z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0x0101004DE4FA46BECACF4FB06F10405B556FD4</vt:lpwstr>
  </property>
</Properties>
</file>